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730" windowHeight="11760" tabRatio="882"/>
  </bookViews>
  <sheets>
    <sheet name="оглавление" sheetId="7" r:id="rId1"/>
    <sheet name="микс" sheetId="2" r:id="rId2"/>
    <sheet name="условия_KPI" sheetId="11" r:id="rId3"/>
    <sheet name="мотивация" sheetId="12" r:id="rId4"/>
    <sheet name="рейтинг_поставщиков" sheetId="14" r:id="rId5"/>
    <sheet name="рейтинг_расчет" sheetId="13" r:id="rId6"/>
    <sheet name="ПОбТЗ" sheetId="8" r:id="rId7"/>
    <sheet name="ПОбТЗ_1" sheetId="3" r:id="rId8"/>
    <sheet name="ПОбТЗ_2" sheetId="4" r:id="rId9"/>
    <sheet name="ПОбТЗ_3" sheetId="5" r:id="rId10"/>
    <sheet name="расчеты" sheetId="10" r:id="rId11"/>
    <sheet name="операции" sheetId="1" r:id="rId12"/>
  </sheets>
  <definedNames>
    <definedName name="_xlnm._FilterDatabase" localSheetId="11" hidden="1">операции!$L$2:$AG$1271</definedName>
    <definedName name="_xlnm._FilterDatabase" localSheetId="4" hidden="1">рейтинг_поставщиков!$C$9:$I$9</definedName>
  </definedNames>
  <calcPr calcId="125725"/>
</workbook>
</file>

<file path=xl/calcChain.xml><?xml version="1.0" encoding="utf-8"?>
<calcChain xmlns="http://schemas.openxmlformats.org/spreadsheetml/2006/main">
  <c r="D25" i="14"/>
  <c r="D15"/>
  <c r="D24"/>
  <c r="D23"/>
  <c r="D14"/>
  <c r="D13"/>
  <c r="D20"/>
  <c r="D19"/>
  <c r="D27"/>
  <c r="D11"/>
  <c r="D17"/>
  <c r="D10"/>
  <c r="D16"/>
  <c r="D18"/>
  <c r="D12"/>
  <c r="D28"/>
  <c r="D26"/>
  <c r="D22"/>
  <c r="D21"/>
  <c r="D29"/>
  <c r="O241" i="13"/>
  <c r="O244"/>
  <c r="O243"/>
  <c r="O242"/>
  <c r="O232"/>
  <c r="O231"/>
  <c r="O230"/>
  <c r="O229"/>
  <c r="O220"/>
  <c r="O219"/>
  <c r="O218"/>
  <c r="O217"/>
  <c r="O208"/>
  <c r="O207"/>
  <c r="O206"/>
  <c r="O205"/>
  <c r="O196"/>
  <c r="O195"/>
  <c r="O194"/>
  <c r="O193"/>
  <c r="O184"/>
  <c r="O183"/>
  <c r="O182"/>
  <c r="O181"/>
  <c r="O172"/>
  <c r="O171"/>
  <c r="O170"/>
  <c r="O169"/>
  <c r="O160"/>
  <c r="O159"/>
  <c r="O158"/>
  <c r="O157"/>
  <c r="O148"/>
  <c r="O147"/>
  <c r="O146"/>
  <c r="O145"/>
  <c r="O136"/>
  <c r="O135"/>
  <c r="O134"/>
  <c r="O133"/>
  <c r="O124"/>
  <c r="O123"/>
  <c r="O122"/>
  <c r="O121"/>
  <c r="O112"/>
  <c r="O111"/>
  <c r="O110"/>
  <c r="O109"/>
  <c r="O100"/>
  <c r="O99"/>
  <c r="O98"/>
  <c r="O97"/>
  <c r="O88"/>
  <c r="O87"/>
  <c r="O86"/>
  <c r="O85"/>
  <c r="O76"/>
  <c r="O75"/>
  <c r="O74"/>
  <c r="O73"/>
  <c r="O64"/>
  <c r="O63"/>
  <c r="O62"/>
  <c r="O61"/>
  <c r="O52"/>
  <c r="O51"/>
  <c r="O50"/>
  <c r="O49"/>
  <c r="O40"/>
  <c r="O39"/>
  <c r="O38"/>
  <c r="O37"/>
  <c r="O28"/>
  <c r="O27"/>
  <c r="O26"/>
  <c r="O25"/>
  <c r="O14"/>
  <c r="O15"/>
  <c r="O16"/>
  <c r="O13"/>
  <c r="I71" i="12"/>
  <c r="I70"/>
  <c r="I69"/>
  <c r="I60"/>
  <c r="I59"/>
  <c r="I58"/>
  <c r="I49"/>
  <c r="I48"/>
  <c r="I47"/>
  <c r="I38"/>
  <c r="I37"/>
  <c r="I36"/>
  <c r="I27"/>
  <c r="I26"/>
  <c r="I25"/>
  <c r="I16"/>
  <c r="I15"/>
  <c r="I14"/>
  <c r="F240" i="13" l="1"/>
  <c r="F241" s="1"/>
  <c r="F228"/>
  <c r="F229" s="1"/>
  <c r="F230" s="1"/>
  <c r="F216"/>
  <c r="F217" s="1"/>
  <c r="F204"/>
  <c r="F205" s="1"/>
  <c r="F206" s="1"/>
  <c r="F192"/>
  <c r="F193" s="1"/>
  <c r="F180"/>
  <c r="F181" s="1"/>
  <c r="F168"/>
  <c r="F169" s="1"/>
  <c r="F156"/>
  <c r="F157" s="1"/>
  <c r="F158" s="1"/>
  <c r="F144"/>
  <c r="F145" s="1"/>
  <c r="F132"/>
  <c r="F133" s="1"/>
  <c r="F134" s="1"/>
  <c r="F242" l="1"/>
  <c r="F243" s="1"/>
  <c r="F244" s="1"/>
  <c r="F218"/>
  <c r="F231"/>
  <c r="F194"/>
  <c r="F207"/>
  <c r="F182"/>
  <c r="F170"/>
  <c r="F135"/>
  <c r="F146"/>
  <c r="F159"/>
  <c r="F120"/>
  <c r="F121" s="1"/>
  <c r="F122" s="1"/>
  <c r="F108"/>
  <c r="F109" s="1"/>
  <c r="F96"/>
  <c r="F97" s="1"/>
  <c r="F98" s="1"/>
  <c r="F84"/>
  <c r="F85" s="1"/>
  <c r="F72"/>
  <c r="F73" s="1"/>
  <c r="F74" s="1"/>
  <c r="F60"/>
  <c r="F61" s="1"/>
  <c r="F48"/>
  <c r="F49" s="1"/>
  <c r="F50" s="1"/>
  <c r="F36"/>
  <c r="F37" s="1"/>
  <c r="F24"/>
  <c r="F25" s="1"/>
  <c r="F26" s="1"/>
  <c r="J20" i="11"/>
  <c r="K20"/>
  <c r="L20"/>
  <c r="M20"/>
  <c r="J22"/>
  <c r="K22"/>
  <c r="L22"/>
  <c r="M22"/>
  <c r="J18"/>
  <c r="K18"/>
  <c r="L18"/>
  <c r="M18"/>
  <c r="J16"/>
  <c r="K16"/>
  <c r="L16"/>
  <c r="M16"/>
  <c r="F12" i="13"/>
  <c r="F246" l="1"/>
  <c r="F247" s="1"/>
  <c r="F245"/>
  <c r="F232"/>
  <c r="F219"/>
  <c r="F208"/>
  <c r="F209" s="1"/>
  <c r="F195"/>
  <c r="F183"/>
  <c r="F171"/>
  <c r="F147"/>
  <c r="F160"/>
  <c r="F161" s="1"/>
  <c r="F136"/>
  <c r="F137" s="1"/>
  <c r="F110"/>
  <c r="F123"/>
  <c r="F86"/>
  <c r="F99"/>
  <c r="F62"/>
  <c r="F75"/>
  <c r="F38"/>
  <c r="F51"/>
  <c r="F27"/>
  <c r="F13"/>
  <c r="I32" i="10"/>
  <c r="F248" i="13" l="1"/>
  <c r="I247"/>
  <c r="F234"/>
  <c r="F235" s="1"/>
  <c r="F233"/>
  <c r="F210"/>
  <c r="F211" s="1"/>
  <c r="F162"/>
  <c r="F163" s="1"/>
  <c r="F138"/>
  <c r="F139" s="1"/>
  <c r="F220"/>
  <c r="F221" s="1"/>
  <c r="F196"/>
  <c r="F197" s="1"/>
  <c r="F172"/>
  <c r="F173" s="1"/>
  <c r="F184"/>
  <c r="F185" s="1"/>
  <c r="F148"/>
  <c r="F149" s="1"/>
  <c r="F124"/>
  <c r="F125" s="1"/>
  <c r="F111"/>
  <c r="F100"/>
  <c r="F101" s="1"/>
  <c r="F87"/>
  <c r="F63"/>
  <c r="F76"/>
  <c r="F77" s="1"/>
  <c r="F52"/>
  <c r="F53" s="1"/>
  <c r="F39"/>
  <c r="F28"/>
  <c r="F29" s="1"/>
  <c r="F14"/>
  <c r="F15" s="1"/>
  <c r="F16" s="1"/>
  <c r="F18" s="1"/>
  <c r="F68" i="12"/>
  <c r="F69" s="1"/>
  <c r="F70" s="1"/>
  <c r="F71" s="1"/>
  <c r="F72" s="1"/>
  <c r="F57"/>
  <c r="F58" s="1"/>
  <c r="F59" s="1"/>
  <c r="F60" s="1"/>
  <c r="F61" s="1"/>
  <c r="F46"/>
  <c r="F47" s="1"/>
  <c r="F48" s="1"/>
  <c r="F49" s="1"/>
  <c r="F50" s="1"/>
  <c r="F35"/>
  <c r="F36" s="1"/>
  <c r="F37" s="1"/>
  <c r="F38" s="1"/>
  <c r="F39" s="1"/>
  <c r="F24"/>
  <c r="F25" s="1"/>
  <c r="F26" s="1"/>
  <c r="F27" s="1"/>
  <c r="F28" s="1"/>
  <c r="F13"/>
  <c r="F14" s="1"/>
  <c r="F15" s="1"/>
  <c r="F16" s="1"/>
  <c r="F17" s="1"/>
  <c r="F18" s="1"/>
  <c r="F19" s="1"/>
  <c r="F20" s="1"/>
  <c r="F21" s="1"/>
  <c r="F22" s="1"/>
  <c r="F9"/>
  <c r="I248" i="13" l="1"/>
  <c r="F249"/>
  <c r="F236"/>
  <c r="I235"/>
  <c r="F222"/>
  <c r="F223" s="1"/>
  <c r="F212"/>
  <c r="I211"/>
  <c r="F198"/>
  <c r="F199" s="1"/>
  <c r="F186"/>
  <c r="F187" s="1"/>
  <c r="F174"/>
  <c r="F175" s="1"/>
  <c r="F164"/>
  <c r="I163"/>
  <c r="F150"/>
  <c r="F151" s="1"/>
  <c r="F140"/>
  <c r="I139"/>
  <c r="F126"/>
  <c r="F127" s="1"/>
  <c r="F102"/>
  <c r="F103" s="1"/>
  <c r="F78"/>
  <c r="F79" s="1"/>
  <c r="F54"/>
  <c r="F55" s="1"/>
  <c r="F30"/>
  <c r="F31" s="1"/>
  <c r="F19"/>
  <c r="I19" s="1"/>
  <c r="F17"/>
  <c r="F112"/>
  <c r="F113" s="1"/>
  <c r="F88"/>
  <c r="F89" s="1"/>
  <c r="F64"/>
  <c r="F65" s="1"/>
  <c r="F40"/>
  <c r="F41" s="1"/>
  <c r="F73" i="12"/>
  <c r="F74" s="1"/>
  <c r="F62"/>
  <c r="F63" s="1"/>
  <c r="F51"/>
  <c r="F52" s="1"/>
  <c r="F40"/>
  <c r="F41" s="1"/>
  <c r="F29"/>
  <c r="F30" s="1"/>
  <c r="F1940" i="10"/>
  <c r="L2010"/>
  <c r="K2010"/>
  <c r="I2010"/>
  <c r="L1987"/>
  <c r="K1987"/>
  <c r="I1987"/>
  <c r="L1954"/>
  <c r="K1954"/>
  <c r="I1954"/>
  <c r="F1866"/>
  <c r="L1936"/>
  <c r="K1936"/>
  <c r="I1936"/>
  <c r="L1913"/>
  <c r="K1913"/>
  <c r="I1913"/>
  <c r="L1880"/>
  <c r="K1880"/>
  <c r="I1880"/>
  <c r="F1792"/>
  <c r="L1862"/>
  <c r="K1862"/>
  <c r="I1862"/>
  <c r="L1839"/>
  <c r="K1839"/>
  <c r="I1839"/>
  <c r="L1806"/>
  <c r="K1806"/>
  <c r="I1806"/>
  <c r="F1718"/>
  <c r="L1788"/>
  <c r="K1788"/>
  <c r="I1788"/>
  <c r="L1765"/>
  <c r="K1765"/>
  <c r="I1765"/>
  <c r="L1732"/>
  <c r="K1732"/>
  <c r="I1732"/>
  <c r="F1644"/>
  <c r="L1714"/>
  <c r="K1714"/>
  <c r="I1714"/>
  <c r="L1691"/>
  <c r="K1691"/>
  <c r="I1691"/>
  <c r="L1658"/>
  <c r="K1658"/>
  <c r="I1658"/>
  <c r="F1570"/>
  <c r="L1640"/>
  <c r="K1640"/>
  <c r="I1640"/>
  <c r="L1617"/>
  <c r="K1617"/>
  <c r="I1617"/>
  <c r="L1584"/>
  <c r="K1584"/>
  <c r="I1584"/>
  <c r="F1496"/>
  <c r="L1566"/>
  <c r="K1566"/>
  <c r="I1566"/>
  <c r="L1543"/>
  <c r="K1543"/>
  <c r="I1543"/>
  <c r="L1510"/>
  <c r="K1510"/>
  <c r="I1510"/>
  <c r="F1422"/>
  <c r="L1492"/>
  <c r="K1492"/>
  <c r="I1492"/>
  <c r="L1469"/>
  <c r="K1469"/>
  <c r="I1469"/>
  <c r="L1436"/>
  <c r="K1436"/>
  <c r="I1436"/>
  <c r="F1348"/>
  <c r="L1418"/>
  <c r="K1418"/>
  <c r="I1418"/>
  <c r="L1395"/>
  <c r="K1395"/>
  <c r="I1395"/>
  <c r="L1362"/>
  <c r="K1362"/>
  <c r="I1362"/>
  <c r="F1274"/>
  <c r="L1344"/>
  <c r="K1344"/>
  <c r="I1344"/>
  <c r="L1321"/>
  <c r="K1321"/>
  <c r="I1321"/>
  <c r="L1288"/>
  <c r="K1288"/>
  <c r="I1288"/>
  <c r="F1200"/>
  <c r="L1270"/>
  <c r="K1270"/>
  <c r="I1270"/>
  <c r="L1247"/>
  <c r="K1247"/>
  <c r="I1247"/>
  <c r="L1214"/>
  <c r="K1214"/>
  <c r="I1214"/>
  <c r="F1126"/>
  <c r="L1196"/>
  <c r="K1196"/>
  <c r="I1196"/>
  <c r="L1173"/>
  <c r="K1173"/>
  <c r="I1173"/>
  <c r="L1140"/>
  <c r="K1140"/>
  <c r="I1140"/>
  <c r="F1052"/>
  <c r="L1122"/>
  <c r="K1122"/>
  <c r="I1122"/>
  <c r="L1099"/>
  <c r="K1099"/>
  <c r="I1099"/>
  <c r="L1066"/>
  <c r="K1066"/>
  <c r="I1066"/>
  <c r="F978"/>
  <c r="L1048"/>
  <c r="K1048"/>
  <c r="I1048"/>
  <c r="L1025"/>
  <c r="K1025"/>
  <c r="I1025"/>
  <c r="L992"/>
  <c r="K992"/>
  <c r="I992"/>
  <c r="F904"/>
  <c r="L974"/>
  <c r="K974"/>
  <c r="I974"/>
  <c r="L951"/>
  <c r="K951"/>
  <c r="I951"/>
  <c r="L918"/>
  <c r="K918"/>
  <c r="I918"/>
  <c r="F830"/>
  <c r="L900"/>
  <c r="K900"/>
  <c r="I900"/>
  <c r="L877"/>
  <c r="K877"/>
  <c r="I877"/>
  <c r="L844"/>
  <c r="K844"/>
  <c r="I844"/>
  <c r="F756"/>
  <c r="L826"/>
  <c r="K826"/>
  <c r="I826"/>
  <c r="L803"/>
  <c r="K803"/>
  <c r="I803"/>
  <c r="L770"/>
  <c r="K770"/>
  <c r="I770"/>
  <c r="F682"/>
  <c r="L752"/>
  <c r="K752"/>
  <c r="I752"/>
  <c r="L729"/>
  <c r="K729"/>
  <c r="I729"/>
  <c r="L696"/>
  <c r="K696"/>
  <c r="I696"/>
  <c r="F608"/>
  <c r="L678"/>
  <c r="K678"/>
  <c r="I678"/>
  <c r="L655"/>
  <c r="K655"/>
  <c r="I655"/>
  <c r="L622"/>
  <c r="K622"/>
  <c r="I622"/>
  <c r="F534"/>
  <c r="L604"/>
  <c r="K604"/>
  <c r="I604"/>
  <c r="L581"/>
  <c r="K581"/>
  <c r="I581"/>
  <c r="L548"/>
  <c r="K548"/>
  <c r="I548"/>
  <c r="F457"/>
  <c r="L527"/>
  <c r="K527"/>
  <c r="I527"/>
  <c r="L504"/>
  <c r="K504"/>
  <c r="I504"/>
  <c r="L471"/>
  <c r="K471"/>
  <c r="I471"/>
  <c r="F383"/>
  <c r="L453"/>
  <c r="K453"/>
  <c r="I453"/>
  <c r="L430"/>
  <c r="K430"/>
  <c r="I430"/>
  <c r="L397"/>
  <c r="K397"/>
  <c r="I397"/>
  <c r="F309"/>
  <c r="L379"/>
  <c r="K379"/>
  <c r="I379"/>
  <c r="L356"/>
  <c r="K356"/>
  <c r="I356"/>
  <c r="L323"/>
  <c r="K323"/>
  <c r="I323"/>
  <c r="F235"/>
  <c r="L305"/>
  <c r="K305"/>
  <c r="I305"/>
  <c r="L282"/>
  <c r="K282"/>
  <c r="I282"/>
  <c r="L249"/>
  <c r="K249"/>
  <c r="I249"/>
  <c r="F161"/>
  <c r="L231"/>
  <c r="K231"/>
  <c r="I231"/>
  <c r="L208"/>
  <c r="K208"/>
  <c r="I208"/>
  <c r="L175"/>
  <c r="K175"/>
  <c r="I175"/>
  <c r="F87"/>
  <c r="L157"/>
  <c r="K157"/>
  <c r="I157"/>
  <c r="L134"/>
  <c r="K134"/>
  <c r="I134"/>
  <c r="L101"/>
  <c r="K101"/>
  <c r="I101"/>
  <c r="AA9"/>
  <c r="Z9"/>
  <c r="Z7"/>
  <c r="V9"/>
  <c r="U9"/>
  <c r="U7"/>
  <c r="L80"/>
  <c r="K80"/>
  <c r="I80"/>
  <c r="N8"/>
  <c r="Q9"/>
  <c r="P9"/>
  <c r="P7"/>
  <c r="L25"/>
  <c r="L57"/>
  <c r="K57"/>
  <c r="K25"/>
  <c r="I63"/>
  <c r="I57"/>
  <c r="I25"/>
  <c r="AH1188" i="1"/>
  <c r="L9" i="10"/>
  <c r="K9"/>
  <c r="K7"/>
  <c r="F35" i="8"/>
  <c r="F36" s="1"/>
  <c r="AH10" i="1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9"/>
  <c r="F250" i="13" l="1"/>
  <c r="I250" s="1"/>
  <c r="I249"/>
  <c r="I236"/>
  <c r="F237"/>
  <c r="F224"/>
  <c r="I223"/>
  <c r="I212"/>
  <c r="F213"/>
  <c r="F200"/>
  <c r="I199"/>
  <c r="F188"/>
  <c r="I187"/>
  <c r="F176"/>
  <c r="I175"/>
  <c r="F165"/>
  <c r="I164"/>
  <c r="F152"/>
  <c r="I151"/>
  <c r="F141"/>
  <c r="I140"/>
  <c r="F128"/>
  <c r="I127"/>
  <c r="F114"/>
  <c r="F115" s="1"/>
  <c r="F104"/>
  <c r="I103"/>
  <c r="F90"/>
  <c r="F91" s="1"/>
  <c r="F80"/>
  <c r="I79"/>
  <c r="F66"/>
  <c r="F67" s="1"/>
  <c r="I55"/>
  <c r="F56"/>
  <c r="F42"/>
  <c r="F43" s="1"/>
  <c r="F20"/>
  <c r="I20" s="1"/>
  <c r="F32"/>
  <c r="I31"/>
  <c r="P1954" i="10"/>
  <c r="Q1880"/>
  <c r="N1732"/>
  <c r="P1658"/>
  <c r="Q1584"/>
  <c r="N1436"/>
  <c r="P1362"/>
  <c r="Q1288"/>
  <c r="P1806"/>
  <c r="Q1732"/>
  <c r="N1658"/>
  <c r="Q1510"/>
  <c r="Q1362"/>
  <c r="N1288"/>
  <c r="N1066"/>
  <c r="P992"/>
  <c r="Q918"/>
  <c r="N770"/>
  <c r="P696"/>
  <c r="Q622"/>
  <c r="P1880"/>
  <c r="N1806"/>
  <c r="P1732"/>
  <c r="P1510"/>
  <c r="Q1436"/>
  <c r="N1362"/>
  <c r="Q1214"/>
  <c r="Q1140"/>
  <c r="N992"/>
  <c r="N1954"/>
  <c r="N1880"/>
  <c r="Q1806"/>
  <c r="Q1658"/>
  <c r="P1584"/>
  <c r="P1288"/>
  <c r="P1214"/>
  <c r="P1066"/>
  <c r="P918"/>
  <c r="N844"/>
  <c r="P770"/>
  <c r="N471"/>
  <c r="P397"/>
  <c r="Q323"/>
  <c r="N175"/>
  <c r="Q101"/>
  <c r="N7"/>
  <c r="N25"/>
  <c r="N9"/>
  <c r="N1584"/>
  <c r="N1510"/>
  <c r="N1214"/>
  <c r="P1140"/>
  <c r="N918"/>
  <c r="P622"/>
  <c r="Q548"/>
  <c r="N397"/>
  <c r="P323"/>
  <c r="Q249"/>
  <c r="P101"/>
  <c r="N1140"/>
  <c r="Q992"/>
  <c r="Q844"/>
  <c r="Q696"/>
  <c r="N249"/>
  <c r="P471"/>
  <c r="P25"/>
  <c r="P249"/>
  <c r="N323"/>
  <c r="Q471"/>
  <c r="P1436"/>
  <c r="Q1954"/>
  <c r="Q25"/>
  <c r="N101"/>
  <c r="P175"/>
  <c r="Q397"/>
  <c r="N548"/>
  <c r="P844"/>
  <c r="Q1066"/>
  <c r="I64"/>
  <c r="Q175"/>
  <c r="P548"/>
  <c r="N622"/>
  <c r="N696"/>
  <c r="Q770"/>
  <c r="I1962"/>
  <c r="I1888"/>
  <c r="I1814"/>
  <c r="N1740"/>
  <c r="I1740"/>
  <c r="N1666"/>
  <c r="I1666"/>
  <c r="N1592"/>
  <c r="I1592"/>
  <c r="I1518"/>
  <c r="I1444"/>
  <c r="N1370"/>
  <c r="I1370"/>
  <c r="N1296"/>
  <c r="I1296"/>
  <c r="I1222"/>
  <c r="I1148"/>
  <c r="I1074"/>
  <c r="N1000"/>
  <c r="I1000"/>
  <c r="N926"/>
  <c r="I926"/>
  <c r="I852"/>
  <c r="I778"/>
  <c r="N704"/>
  <c r="I704"/>
  <c r="I556"/>
  <c r="I661"/>
  <c r="N630"/>
  <c r="I630"/>
  <c r="F1941"/>
  <c r="F1942" s="1"/>
  <c r="F1943" s="1"/>
  <c r="F1944" s="1"/>
  <c r="F1945" s="1"/>
  <c r="F1946" s="1"/>
  <c r="F1947" s="1"/>
  <c r="F1948" s="1"/>
  <c r="F1949" s="1"/>
  <c r="F1950" s="1"/>
  <c r="F1951" s="1"/>
  <c r="F1952" s="1"/>
  <c r="F1953" s="1"/>
  <c r="F1954" s="1"/>
  <c r="F1955" s="1"/>
  <c r="F1956" s="1"/>
  <c r="F1957" s="1"/>
  <c r="F1958" s="1"/>
  <c r="F1959" s="1"/>
  <c r="F1865"/>
  <c r="F1939"/>
  <c r="I1845"/>
  <c r="F75" i="12"/>
  <c r="F64"/>
  <c r="F53"/>
  <c r="F42"/>
  <c r="F31"/>
  <c r="L1996" i="10"/>
  <c r="L2001"/>
  <c r="L2007"/>
  <c r="I1993"/>
  <c r="N1965"/>
  <c r="L1927"/>
  <c r="F1867"/>
  <c r="F1868" s="1"/>
  <c r="F1869" s="1"/>
  <c r="F1870" s="1"/>
  <c r="F1871" s="1"/>
  <c r="F1872" s="1"/>
  <c r="F1873" s="1"/>
  <c r="F1874" s="1"/>
  <c r="F1875" s="1"/>
  <c r="F1876" s="1"/>
  <c r="F1877" s="1"/>
  <c r="F1878" s="1"/>
  <c r="F1879" s="1"/>
  <c r="F1880" s="1"/>
  <c r="F1881" s="1"/>
  <c r="F1882" s="1"/>
  <c r="F1883" s="1"/>
  <c r="F1884" s="1"/>
  <c r="F1885" s="1"/>
  <c r="I1919"/>
  <c r="N1845"/>
  <c r="F1793"/>
  <c r="F1794" s="1"/>
  <c r="F1795" s="1"/>
  <c r="F1796" s="1"/>
  <c r="F1797" s="1"/>
  <c r="F1798" s="1"/>
  <c r="F1799" s="1"/>
  <c r="F1800" s="1"/>
  <c r="F1801" s="1"/>
  <c r="F1802" s="1"/>
  <c r="F1803" s="1"/>
  <c r="F1804" s="1"/>
  <c r="F1805" s="1"/>
  <c r="F1806" s="1"/>
  <c r="F1807" s="1"/>
  <c r="F1808" s="1"/>
  <c r="F1809" s="1"/>
  <c r="F1810" s="1"/>
  <c r="F1811" s="1"/>
  <c r="I1846"/>
  <c r="F1791"/>
  <c r="N1771"/>
  <c r="I1771"/>
  <c r="F1719"/>
  <c r="F1720" s="1"/>
  <c r="F1721" s="1"/>
  <c r="F1722" s="1"/>
  <c r="F1723" s="1"/>
  <c r="F1724" s="1"/>
  <c r="F1725" s="1"/>
  <c r="F1726" s="1"/>
  <c r="F1727" s="1"/>
  <c r="F1728" s="1"/>
  <c r="F1729" s="1"/>
  <c r="F1730" s="1"/>
  <c r="F1731" s="1"/>
  <c r="F1732" s="1"/>
  <c r="F1733" s="1"/>
  <c r="F1734" s="1"/>
  <c r="F1735" s="1"/>
  <c r="F1736" s="1"/>
  <c r="F1737" s="1"/>
  <c r="F1717"/>
  <c r="F1569"/>
  <c r="I1705"/>
  <c r="N1700"/>
  <c r="N1705"/>
  <c r="N1689"/>
  <c r="I1697"/>
  <c r="N1655"/>
  <c r="I1655"/>
  <c r="I1649"/>
  <c r="N1662"/>
  <c r="K1705"/>
  <c r="K1711"/>
  <c r="K1700"/>
  <c r="I1644"/>
  <c r="N1644"/>
  <c r="F1645"/>
  <c r="F1646" s="1"/>
  <c r="F1647" s="1"/>
  <c r="F1648" s="1"/>
  <c r="F1649" s="1"/>
  <c r="F1650" s="1"/>
  <c r="F1651" s="1"/>
  <c r="F1652" s="1"/>
  <c r="F1653" s="1"/>
  <c r="F1654" s="1"/>
  <c r="F1655" s="1"/>
  <c r="F1656" s="1"/>
  <c r="F1657" s="1"/>
  <c r="F1658" s="1"/>
  <c r="F1659" s="1"/>
  <c r="F1660" s="1"/>
  <c r="F1661" s="1"/>
  <c r="F1662" s="1"/>
  <c r="F1663" s="1"/>
  <c r="N1669"/>
  <c r="L1705"/>
  <c r="F1199"/>
  <c r="F1571"/>
  <c r="F1572" s="1"/>
  <c r="F1573" s="1"/>
  <c r="F1574" s="1"/>
  <c r="F1575" s="1"/>
  <c r="F1576" s="1"/>
  <c r="F1577" s="1"/>
  <c r="F1578" s="1"/>
  <c r="F1579" s="1"/>
  <c r="F1580" s="1"/>
  <c r="F1581" s="1"/>
  <c r="F1582" s="1"/>
  <c r="F1583" s="1"/>
  <c r="F1584" s="1"/>
  <c r="F1585" s="1"/>
  <c r="F1586" s="1"/>
  <c r="F1587" s="1"/>
  <c r="F1588" s="1"/>
  <c r="F1589" s="1"/>
  <c r="F1643"/>
  <c r="N1649"/>
  <c r="N1687"/>
  <c r="N1697"/>
  <c r="L1626"/>
  <c r="L1629" s="1"/>
  <c r="N1677"/>
  <c r="F1497"/>
  <c r="F1498" s="1"/>
  <c r="F1499" s="1"/>
  <c r="F1500" s="1"/>
  <c r="F1501" s="1"/>
  <c r="F1502" s="1"/>
  <c r="F1503" s="1"/>
  <c r="F1504" s="1"/>
  <c r="F1505" s="1"/>
  <c r="F1506" s="1"/>
  <c r="F1507" s="1"/>
  <c r="F1508" s="1"/>
  <c r="F1509" s="1"/>
  <c r="F1510" s="1"/>
  <c r="F1511" s="1"/>
  <c r="F1512" s="1"/>
  <c r="F1513" s="1"/>
  <c r="F1514" s="1"/>
  <c r="F1515" s="1"/>
  <c r="F1495"/>
  <c r="L1631"/>
  <c r="L1637"/>
  <c r="N1637"/>
  <c r="N1623"/>
  <c r="I1637"/>
  <c r="I1623"/>
  <c r="N1581"/>
  <c r="I1581"/>
  <c r="K1637"/>
  <c r="N1549"/>
  <c r="I1549"/>
  <c r="L1557"/>
  <c r="L1563"/>
  <c r="L1552"/>
  <c r="F1273"/>
  <c r="K1489"/>
  <c r="F1347"/>
  <c r="L1478"/>
  <c r="L1489"/>
  <c r="L1483"/>
  <c r="I1489"/>
  <c r="I1475"/>
  <c r="N1440"/>
  <c r="F1423"/>
  <c r="F1424" s="1"/>
  <c r="F1425" s="1"/>
  <c r="F1426" s="1"/>
  <c r="F1427" s="1"/>
  <c r="F1428" s="1"/>
  <c r="F1429" s="1"/>
  <c r="F1430" s="1"/>
  <c r="F1431" s="1"/>
  <c r="F1432" s="1"/>
  <c r="F1433" s="1"/>
  <c r="F1434" s="1"/>
  <c r="F1435" s="1"/>
  <c r="F1436" s="1"/>
  <c r="F1437" s="1"/>
  <c r="F1438" s="1"/>
  <c r="F1439" s="1"/>
  <c r="F1440" s="1"/>
  <c r="F1441" s="1"/>
  <c r="N1475"/>
  <c r="F1421"/>
  <c r="I1440"/>
  <c r="L1404"/>
  <c r="L1409"/>
  <c r="L1415"/>
  <c r="F1201"/>
  <c r="F1202" s="1"/>
  <c r="F1203" s="1"/>
  <c r="F1204" s="1"/>
  <c r="F1205" s="1"/>
  <c r="F1206" s="1"/>
  <c r="F1207" s="1"/>
  <c r="F1208" s="1"/>
  <c r="F1209" s="1"/>
  <c r="F1210" s="1"/>
  <c r="F1211" s="1"/>
  <c r="F1212" s="1"/>
  <c r="F1213" s="1"/>
  <c r="F1214" s="1"/>
  <c r="F1215" s="1"/>
  <c r="F1216" s="1"/>
  <c r="F1217" s="1"/>
  <c r="F1218" s="1"/>
  <c r="F1219" s="1"/>
  <c r="N1401"/>
  <c r="I1401"/>
  <c r="F1349"/>
  <c r="F1350" s="1"/>
  <c r="F1351" s="1"/>
  <c r="F1352" s="1"/>
  <c r="F1353" s="1"/>
  <c r="F1354" s="1"/>
  <c r="F1355" s="1"/>
  <c r="F1356" s="1"/>
  <c r="F1357" s="1"/>
  <c r="F1358" s="1"/>
  <c r="F1359" s="1"/>
  <c r="F1360" s="1"/>
  <c r="F1361" s="1"/>
  <c r="F1362" s="1"/>
  <c r="F1363" s="1"/>
  <c r="F1364" s="1"/>
  <c r="F1365" s="1"/>
  <c r="F1366" s="1"/>
  <c r="F1367" s="1"/>
  <c r="F755"/>
  <c r="I1327"/>
  <c r="F1275"/>
  <c r="F1276" s="1"/>
  <c r="F1277" s="1"/>
  <c r="F1278" s="1"/>
  <c r="F1279" s="1"/>
  <c r="F1280" s="1"/>
  <c r="F1281" s="1"/>
  <c r="F1282" s="1"/>
  <c r="F1283" s="1"/>
  <c r="F1284" s="1"/>
  <c r="F1285" s="1"/>
  <c r="F1286" s="1"/>
  <c r="F1287" s="1"/>
  <c r="F1288" s="1"/>
  <c r="F1289" s="1"/>
  <c r="F1290" s="1"/>
  <c r="F1291" s="1"/>
  <c r="F1292" s="1"/>
  <c r="F1293" s="1"/>
  <c r="N1327"/>
  <c r="L1261"/>
  <c r="F1051"/>
  <c r="N1070"/>
  <c r="N1071" s="1"/>
  <c r="F1053"/>
  <c r="F1054" s="1"/>
  <c r="F1055" s="1"/>
  <c r="F1056" s="1"/>
  <c r="F1057" s="1"/>
  <c r="F1058" s="1"/>
  <c r="F1059" s="1"/>
  <c r="F1060" s="1"/>
  <c r="F1061" s="1"/>
  <c r="F1062" s="1"/>
  <c r="F1063" s="1"/>
  <c r="F1064" s="1"/>
  <c r="F1065" s="1"/>
  <c r="F1066" s="1"/>
  <c r="F1067" s="1"/>
  <c r="F1068" s="1"/>
  <c r="F1069" s="1"/>
  <c r="F1070" s="1"/>
  <c r="F1071" s="1"/>
  <c r="F1125"/>
  <c r="I1179"/>
  <c r="I1180" s="1"/>
  <c r="N1253"/>
  <c r="I1253"/>
  <c r="N1245"/>
  <c r="N1243"/>
  <c r="N1179"/>
  <c r="K1193"/>
  <c r="F1127"/>
  <c r="F1128" s="1"/>
  <c r="F1129" s="1"/>
  <c r="F1130" s="1"/>
  <c r="F1131" s="1"/>
  <c r="F1132" s="1"/>
  <c r="F1133" s="1"/>
  <c r="F1134" s="1"/>
  <c r="F1135" s="1"/>
  <c r="F1136" s="1"/>
  <c r="F1137" s="1"/>
  <c r="F1138" s="1"/>
  <c r="F1139" s="1"/>
  <c r="F1140" s="1"/>
  <c r="F1141" s="1"/>
  <c r="F1142" s="1"/>
  <c r="F1143" s="1"/>
  <c r="F1144" s="1"/>
  <c r="F1145" s="1"/>
  <c r="L1187"/>
  <c r="L1113"/>
  <c r="K1119"/>
  <c r="F829"/>
  <c r="F979"/>
  <c r="F980" s="1"/>
  <c r="F981" s="1"/>
  <c r="F982" s="1"/>
  <c r="F983" s="1"/>
  <c r="F984" s="1"/>
  <c r="F985" s="1"/>
  <c r="F986" s="1"/>
  <c r="F987" s="1"/>
  <c r="F988" s="1"/>
  <c r="F989" s="1"/>
  <c r="F990" s="1"/>
  <c r="F991" s="1"/>
  <c r="F992" s="1"/>
  <c r="F993" s="1"/>
  <c r="F994" s="1"/>
  <c r="F995" s="1"/>
  <c r="F996" s="1"/>
  <c r="F997" s="1"/>
  <c r="F977"/>
  <c r="N1105"/>
  <c r="I1105"/>
  <c r="L1039"/>
  <c r="I735"/>
  <c r="I736" s="1"/>
  <c r="N1031"/>
  <c r="I1031"/>
  <c r="I957"/>
  <c r="F905"/>
  <c r="F906" s="1"/>
  <c r="F907" s="1"/>
  <c r="F908" s="1"/>
  <c r="F909" s="1"/>
  <c r="F910" s="1"/>
  <c r="F911" s="1"/>
  <c r="F912" s="1"/>
  <c r="F913" s="1"/>
  <c r="F914" s="1"/>
  <c r="F915" s="1"/>
  <c r="F916" s="1"/>
  <c r="F917" s="1"/>
  <c r="F918" s="1"/>
  <c r="F919" s="1"/>
  <c r="F920" s="1"/>
  <c r="F921" s="1"/>
  <c r="F922" s="1"/>
  <c r="F923" s="1"/>
  <c r="F903"/>
  <c r="N957"/>
  <c r="L965"/>
  <c r="L891"/>
  <c r="F609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83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N883"/>
  <c r="I883"/>
  <c r="K823"/>
  <c r="L817"/>
  <c r="F757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N809"/>
  <c r="I809"/>
  <c r="N799"/>
  <c r="N801"/>
  <c r="N774"/>
  <c r="I577"/>
  <c r="I578" s="1"/>
  <c r="F535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I601"/>
  <c r="I602" s="1"/>
  <c r="I595"/>
  <c r="I598" s="1"/>
  <c r="I579"/>
  <c r="I580" s="1"/>
  <c r="I585" s="1"/>
  <c r="N545"/>
  <c r="N546" s="1"/>
  <c r="K601"/>
  <c r="K602" s="1"/>
  <c r="K590"/>
  <c r="K591" s="1"/>
  <c r="N552"/>
  <c r="N553" s="1"/>
  <c r="N587"/>
  <c r="N588" s="1"/>
  <c r="N735"/>
  <c r="F681"/>
  <c r="F683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L743"/>
  <c r="L601"/>
  <c r="L602" s="1"/>
  <c r="L595"/>
  <c r="L598" s="1"/>
  <c r="L590"/>
  <c r="L591" s="1"/>
  <c r="F310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I662"/>
  <c r="K595"/>
  <c r="K598" s="1"/>
  <c r="I545"/>
  <c r="I546" s="1"/>
  <c r="N577"/>
  <c r="N578" s="1"/>
  <c r="I587"/>
  <c r="I588" s="1"/>
  <c r="I552"/>
  <c r="I553" s="1"/>
  <c r="N579"/>
  <c r="N580" s="1"/>
  <c r="I590"/>
  <c r="I591" s="1"/>
  <c r="N601"/>
  <c r="N602" s="1"/>
  <c r="F607"/>
  <c r="N661"/>
  <c r="F533"/>
  <c r="K513"/>
  <c r="K524"/>
  <c r="K518"/>
  <c r="L524"/>
  <c r="L513"/>
  <c r="L518"/>
  <c r="F458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I518"/>
  <c r="I524"/>
  <c r="I513"/>
  <c r="F456"/>
  <c r="L444"/>
  <c r="L450"/>
  <c r="F382"/>
  <c r="I450"/>
  <c r="F384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L439"/>
  <c r="K450"/>
  <c r="F88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8" s="1"/>
  <c r="F86"/>
  <c r="F308"/>
  <c r="F234"/>
  <c r="F236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L148"/>
  <c r="F160"/>
  <c r="F162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N63"/>
  <c r="N64" s="1"/>
  <c r="N57"/>
  <c r="P57"/>
  <c r="F37" i="8"/>
  <c r="I37" s="1"/>
  <c r="E191" i="5"/>
  <c r="E182"/>
  <c r="E183" s="1"/>
  <c r="E184" s="1"/>
  <c r="E185" s="1"/>
  <c r="E186" s="1"/>
  <c r="E187" s="1"/>
  <c r="E188" s="1"/>
  <c r="E189" s="1"/>
  <c r="E173"/>
  <c r="E164"/>
  <c r="E165" s="1"/>
  <c r="E166" s="1"/>
  <c r="E167" s="1"/>
  <c r="E168" s="1"/>
  <c r="E169" s="1"/>
  <c r="E170" s="1"/>
  <c r="E171" s="1"/>
  <c r="E155"/>
  <c r="E156" s="1"/>
  <c r="E157" s="1"/>
  <c r="E158" s="1"/>
  <c r="E159" s="1"/>
  <c r="E160" s="1"/>
  <c r="E161" s="1"/>
  <c r="E162" s="1"/>
  <c r="E146"/>
  <c r="E147" s="1"/>
  <c r="E148" s="1"/>
  <c r="E149" s="1"/>
  <c r="E150" s="1"/>
  <c r="E151" s="1"/>
  <c r="E152" s="1"/>
  <c r="E153" s="1"/>
  <c r="E137"/>
  <c r="E138" s="1"/>
  <c r="E139" s="1"/>
  <c r="E140" s="1"/>
  <c r="E141" s="1"/>
  <c r="E142" s="1"/>
  <c r="E143" s="1"/>
  <c r="E144" s="1"/>
  <c r="E128"/>
  <c r="E129" s="1"/>
  <c r="E130" s="1"/>
  <c r="E131" s="1"/>
  <c r="E132" s="1"/>
  <c r="E133" s="1"/>
  <c r="E134" s="1"/>
  <c r="E135" s="1"/>
  <c r="E119"/>
  <c r="E192"/>
  <c r="E193" s="1"/>
  <c r="E194" s="1"/>
  <c r="E195" s="1"/>
  <c r="E196" s="1"/>
  <c r="E197" s="1"/>
  <c r="E198" s="1"/>
  <c r="E174"/>
  <c r="E175" s="1"/>
  <c r="E176" s="1"/>
  <c r="E177" s="1"/>
  <c r="E178" s="1"/>
  <c r="E179" s="1"/>
  <c r="E180" s="1"/>
  <c r="E120"/>
  <c r="E121" s="1"/>
  <c r="E122" s="1"/>
  <c r="E123" s="1"/>
  <c r="E124" s="1"/>
  <c r="E125" s="1"/>
  <c r="E126" s="1"/>
  <c r="E110"/>
  <c r="E111" s="1"/>
  <c r="E112" s="1"/>
  <c r="E113" s="1"/>
  <c r="E114" s="1"/>
  <c r="E115" s="1"/>
  <c r="E116" s="1"/>
  <c r="E117" s="1"/>
  <c r="E101"/>
  <c r="E102" s="1"/>
  <c r="E103" s="1"/>
  <c r="E104" s="1"/>
  <c r="E105" s="1"/>
  <c r="E106" s="1"/>
  <c r="E107" s="1"/>
  <c r="E108" s="1"/>
  <c r="E92"/>
  <c r="E83"/>
  <c r="E84" s="1"/>
  <c r="E85" s="1"/>
  <c r="E86" s="1"/>
  <c r="E87" s="1"/>
  <c r="E88" s="1"/>
  <c r="E89" s="1"/>
  <c r="E90" s="1"/>
  <c r="E74"/>
  <c r="E75" s="1"/>
  <c r="E76" s="1"/>
  <c r="E77" s="1"/>
  <c r="E78" s="1"/>
  <c r="E79" s="1"/>
  <c r="E80" s="1"/>
  <c r="E81" s="1"/>
  <c r="E93"/>
  <c r="E94" s="1"/>
  <c r="E95" s="1"/>
  <c r="E96" s="1"/>
  <c r="E97" s="1"/>
  <c r="E98" s="1"/>
  <c r="E99" s="1"/>
  <c r="E65"/>
  <c r="E66" s="1"/>
  <c r="E67" s="1"/>
  <c r="E68" s="1"/>
  <c r="E69" s="1"/>
  <c r="E70" s="1"/>
  <c r="E71" s="1"/>
  <c r="E72" s="1"/>
  <c r="E56"/>
  <c r="E47"/>
  <c r="E38"/>
  <c r="E29"/>
  <c r="E20"/>
  <c r="E9"/>
  <c r="C5"/>
  <c r="E57"/>
  <c r="E58" s="1"/>
  <c r="E59" s="1"/>
  <c r="E60" s="1"/>
  <c r="E61" s="1"/>
  <c r="E62" s="1"/>
  <c r="E63" s="1"/>
  <c r="E48"/>
  <c r="E49" s="1"/>
  <c r="E50" s="1"/>
  <c r="E51" s="1"/>
  <c r="E52" s="1"/>
  <c r="E53" s="1"/>
  <c r="E54" s="1"/>
  <c r="E39"/>
  <c r="E40" s="1"/>
  <c r="E41" s="1"/>
  <c r="E42" s="1"/>
  <c r="E43" s="1"/>
  <c r="E44" s="1"/>
  <c r="E45" s="1"/>
  <c r="E30"/>
  <c r="E31" s="1"/>
  <c r="E32" s="1"/>
  <c r="E33" s="1"/>
  <c r="E34" s="1"/>
  <c r="E35" s="1"/>
  <c r="E36" s="1"/>
  <c r="E21"/>
  <c r="E22" s="1"/>
  <c r="E23" s="1"/>
  <c r="E24" s="1"/>
  <c r="E25" s="1"/>
  <c r="E26" s="1"/>
  <c r="E27" s="1"/>
  <c r="J8"/>
  <c r="E65" i="4"/>
  <c r="E66" s="1"/>
  <c r="E56"/>
  <c r="E57" s="1"/>
  <c r="E58" s="1"/>
  <c r="E59" s="1"/>
  <c r="E60" s="1"/>
  <c r="E61" s="1"/>
  <c r="E47"/>
  <c r="E48" s="1"/>
  <c r="E38"/>
  <c r="E39" s="1"/>
  <c r="E29"/>
  <c r="E30" s="1"/>
  <c r="L5" i="1"/>
  <c r="E20" i="4"/>
  <c r="E21" s="1"/>
  <c r="E22" s="1"/>
  <c r="E23" s="1"/>
  <c r="E24" s="1"/>
  <c r="E25" s="1"/>
  <c r="E26" s="1"/>
  <c r="E27" s="1"/>
  <c r="E9"/>
  <c r="C5"/>
  <c r="J8"/>
  <c r="I246" i="13" l="1"/>
  <c r="F238"/>
  <c r="I238" s="1"/>
  <c r="I237"/>
  <c r="I234" s="1"/>
  <c r="I224"/>
  <c r="F225"/>
  <c r="F214"/>
  <c r="I214" s="1"/>
  <c r="I213"/>
  <c r="I200"/>
  <c r="F201"/>
  <c r="I188"/>
  <c r="F189"/>
  <c r="F177"/>
  <c r="I176"/>
  <c r="F166"/>
  <c r="I166" s="1"/>
  <c r="I165"/>
  <c r="I152"/>
  <c r="F153"/>
  <c r="F142"/>
  <c r="I142" s="1"/>
  <c r="I141"/>
  <c r="I128"/>
  <c r="F129"/>
  <c r="F116"/>
  <c r="I115"/>
  <c r="F105"/>
  <c r="I104"/>
  <c r="F92"/>
  <c r="I91"/>
  <c r="I80"/>
  <c r="F81"/>
  <c r="I67"/>
  <c r="F68"/>
  <c r="I56"/>
  <c r="F57"/>
  <c r="F21"/>
  <c r="I21" s="1"/>
  <c r="F44"/>
  <c r="I43"/>
  <c r="F33"/>
  <c r="I32"/>
  <c r="N1975" i="10"/>
  <c r="N1973"/>
  <c r="N1993"/>
  <c r="N852"/>
  <c r="N1222"/>
  <c r="N1958"/>
  <c r="N1959" s="1"/>
  <c r="N556"/>
  <c r="N778"/>
  <c r="P2010"/>
  <c r="P1987"/>
  <c r="Q1936"/>
  <c r="Q1913"/>
  <c r="N1788"/>
  <c r="N1765"/>
  <c r="P1714"/>
  <c r="P1691"/>
  <c r="Q1640"/>
  <c r="Q1617"/>
  <c r="N1492"/>
  <c r="N1469"/>
  <c r="P1418"/>
  <c r="P1395"/>
  <c r="Q1344"/>
  <c r="Q1321"/>
  <c r="N1196"/>
  <c r="N2010"/>
  <c r="Q2010"/>
  <c r="Q1987"/>
  <c r="N1913"/>
  <c r="P1862"/>
  <c r="P1765"/>
  <c r="N1714"/>
  <c r="P1617"/>
  <c r="Q1566"/>
  <c r="N1543"/>
  <c r="P1492"/>
  <c r="Q1469"/>
  <c r="Q1418"/>
  <c r="N1344"/>
  <c r="P1247"/>
  <c r="Q1196"/>
  <c r="N1122"/>
  <c r="N1099"/>
  <c r="P1048"/>
  <c r="P1025"/>
  <c r="Q974"/>
  <c r="Q951"/>
  <c r="N826"/>
  <c r="N803"/>
  <c r="P752"/>
  <c r="P729"/>
  <c r="Q678"/>
  <c r="Q655"/>
  <c r="N1987"/>
  <c r="P1936"/>
  <c r="N1862"/>
  <c r="Q1839"/>
  <c r="Q1691"/>
  <c r="N1617"/>
  <c r="P1566"/>
  <c r="P1469"/>
  <c r="N1418"/>
  <c r="P1321"/>
  <c r="Q1270"/>
  <c r="N1247"/>
  <c r="P1196"/>
  <c r="Q1173"/>
  <c r="N1048"/>
  <c r="N1025"/>
  <c r="P974"/>
  <c r="P951"/>
  <c r="P1788"/>
  <c r="N1640"/>
  <c r="N1566"/>
  <c r="Q1492"/>
  <c r="Q1395"/>
  <c r="N1270"/>
  <c r="Q1099"/>
  <c r="Q1048"/>
  <c r="N900"/>
  <c r="Q877"/>
  <c r="Q729"/>
  <c r="N655"/>
  <c r="N527"/>
  <c r="N504"/>
  <c r="P453"/>
  <c r="P430"/>
  <c r="Q379"/>
  <c r="Q356"/>
  <c r="N231"/>
  <c r="N208"/>
  <c r="P157"/>
  <c r="P134"/>
  <c r="Q80"/>
  <c r="P1839"/>
  <c r="N1691"/>
  <c r="N1395"/>
  <c r="N1321"/>
  <c r="P1173"/>
  <c r="Q1122"/>
  <c r="P1099"/>
  <c r="P877"/>
  <c r="Q826"/>
  <c r="N729"/>
  <c r="P678"/>
  <c r="Q604"/>
  <c r="Q581"/>
  <c r="N453"/>
  <c r="N430"/>
  <c r="P379"/>
  <c r="P356"/>
  <c r="Q305"/>
  <c r="Q282"/>
  <c r="S8"/>
  <c r="P1913"/>
  <c r="N1839"/>
  <c r="Q1765"/>
  <c r="Q1543"/>
  <c r="Q1247"/>
  <c r="N1173"/>
  <c r="P1122"/>
  <c r="Q900"/>
  <c r="N877"/>
  <c r="P826"/>
  <c r="Q803"/>
  <c r="Q752"/>
  <c r="Q1862"/>
  <c r="P1270"/>
  <c r="N974"/>
  <c r="P900"/>
  <c r="P604"/>
  <c r="P581"/>
  <c r="Q527"/>
  <c r="P504"/>
  <c r="N134"/>
  <c r="Q57"/>
  <c r="Q1788"/>
  <c r="Q1714"/>
  <c r="N951"/>
  <c r="N604"/>
  <c r="N581"/>
  <c r="N585" s="1"/>
  <c r="P527"/>
  <c r="Q208"/>
  <c r="Q157"/>
  <c r="Q134"/>
  <c r="P80"/>
  <c r="P1640"/>
  <c r="P1543"/>
  <c r="Q1025"/>
  <c r="N752"/>
  <c r="P655"/>
  <c r="Q430"/>
  <c r="N379"/>
  <c r="N356"/>
  <c r="P305"/>
  <c r="P282"/>
  <c r="Q231"/>
  <c r="P208"/>
  <c r="N157"/>
  <c r="N80"/>
  <c r="N1936"/>
  <c r="P1344"/>
  <c r="P803"/>
  <c r="N678"/>
  <c r="Q504"/>
  <c r="Q453"/>
  <c r="N305"/>
  <c r="N282"/>
  <c r="P231"/>
  <c r="N32"/>
  <c r="N1962"/>
  <c r="N1888"/>
  <c r="N1444"/>
  <c r="N1074"/>
  <c r="N1983"/>
  <c r="N1814"/>
  <c r="N1518"/>
  <c r="N1148"/>
  <c r="N1960"/>
  <c r="N1964" s="1"/>
  <c r="N1985"/>
  <c r="N1919"/>
  <c r="N1711"/>
  <c r="N1679"/>
  <c r="N1664"/>
  <c r="F1960"/>
  <c r="F1962" s="1"/>
  <c r="F1963" s="1"/>
  <c r="F1961"/>
  <c r="F1886"/>
  <c r="F1888" s="1"/>
  <c r="F1889" s="1"/>
  <c r="F1887"/>
  <c r="F1812"/>
  <c r="F1814" s="1"/>
  <c r="F1815" s="1"/>
  <c r="F1813"/>
  <c r="F1738"/>
  <c r="F1740" s="1"/>
  <c r="F1741" s="1"/>
  <c r="F1739"/>
  <c r="F1664"/>
  <c r="F1666" s="1"/>
  <c r="F1667" s="1"/>
  <c r="F1665"/>
  <c r="F1590"/>
  <c r="F1592" s="1"/>
  <c r="F1593" s="1"/>
  <c r="F1591"/>
  <c r="F1516"/>
  <c r="F1518" s="1"/>
  <c r="F1519" s="1"/>
  <c r="F1517"/>
  <c r="F1442"/>
  <c r="F1446" s="1"/>
  <c r="F1447" s="1"/>
  <c r="F1448" s="1"/>
  <c r="F1449" s="1"/>
  <c r="F1450" s="1"/>
  <c r="F1451" s="1"/>
  <c r="F1452" s="1"/>
  <c r="F1453" s="1"/>
  <c r="F1454" s="1"/>
  <c r="F1455" s="1"/>
  <c r="F1456" s="1"/>
  <c r="F1457" s="1"/>
  <c r="F1458" s="1"/>
  <c r="F1459" s="1"/>
  <c r="F1460" s="1"/>
  <c r="F1461" s="1"/>
  <c r="F1462" s="1"/>
  <c r="F1463" s="1"/>
  <c r="F1464" s="1"/>
  <c r="F1465" s="1"/>
  <c r="F1466" s="1"/>
  <c r="F1467" s="1"/>
  <c r="F1468" s="1"/>
  <c r="F1469" s="1"/>
  <c r="F1470" s="1"/>
  <c r="F1471" s="1"/>
  <c r="F1472" s="1"/>
  <c r="F1473" s="1"/>
  <c r="F1474" s="1"/>
  <c r="F1475" s="1"/>
  <c r="F1476" s="1"/>
  <c r="F1477" s="1"/>
  <c r="F1478" s="1"/>
  <c r="F1479" s="1"/>
  <c r="F1480" s="1"/>
  <c r="F1481" s="1"/>
  <c r="F1482" s="1"/>
  <c r="F1483" s="1"/>
  <c r="F1484" s="1"/>
  <c r="F1485" s="1"/>
  <c r="F1486" s="1"/>
  <c r="F1487" s="1"/>
  <c r="F1488" s="1"/>
  <c r="F1489" s="1"/>
  <c r="F1490" s="1"/>
  <c r="F1491" s="1"/>
  <c r="F1492" s="1"/>
  <c r="F1493" s="1"/>
  <c r="F1494" s="1"/>
  <c r="F1443"/>
  <c r="F1368"/>
  <c r="F1372" s="1"/>
  <c r="F1373" s="1"/>
  <c r="F1374" s="1"/>
  <c r="F1375" s="1"/>
  <c r="F1376" s="1"/>
  <c r="F1377" s="1"/>
  <c r="F1378" s="1"/>
  <c r="F1379" s="1"/>
  <c r="F1380" s="1"/>
  <c r="F1381" s="1"/>
  <c r="F1382" s="1"/>
  <c r="F1383" s="1"/>
  <c r="F1384" s="1"/>
  <c r="F1385" s="1"/>
  <c r="F1386" s="1"/>
  <c r="F1387" s="1"/>
  <c r="F1388" s="1"/>
  <c r="F1389" s="1"/>
  <c r="F1390" s="1"/>
  <c r="F1391" s="1"/>
  <c r="F1392" s="1"/>
  <c r="F1393" s="1"/>
  <c r="F1394" s="1"/>
  <c r="F1395" s="1"/>
  <c r="F1396" s="1"/>
  <c r="F1397" s="1"/>
  <c r="F1398" s="1"/>
  <c r="F1399" s="1"/>
  <c r="F1400" s="1"/>
  <c r="F1401" s="1"/>
  <c r="F1402" s="1"/>
  <c r="F1403" s="1"/>
  <c r="F1404" s="1"/>
  <c r="F1405" s="1"/>
  <c r="F1406" s="1"/>
  <c r="F1407" s="1"/>
  <c r="F1408" s="1"/>
  <c r="F1409" s="1"/>
  <c r="F1410" s="1"/>
  <c r="F1411" s="1"/>
  <c r="F1412" s="1"/>
  <c r="F1413" s="1"/>
  <c r="F1414" s="1"/>
  <c r="F1415" s="1"/>
  <c r="F1416" s="1"/>
  <c r="F1417" s="1"/>
  <c r="F1418" s="1"/>
  <c r="F1419" s="1"/>
  <c r="F1420" s="1"/>
  <c r="F1369"/>
  <c r="F1294"/>
  <c r="F1296" s="1"/>
  <c r="F1297" s="1"/>
  <c r="F1295"/>
  <c r="F1220"/>
  <c r="F1222" s="1"/>
  <c r="F1223" s="1"/>
  <c r="F1221"/>
  <c r="F1146"/>
  <c r="F1148" s="1"/>
  <c r="F1149" s="1"/>
  <c r="F1147"/>
  <c r="F1072"/>
  <c r="F1076" s="1"/>
  <c r="F1077" s="1"/>
  <c r="F1078" s="1"/>
  <c r="F1079" s="1"/>
  <c r="F1080" s="1"/>
  <c r="F1081" s="1"/>
  <c r="F1082" s="1"/>
  <c r="F1083" s="1"/>
  <c r="F1084" s="1"/>
  <c r="F1085" s="1"/>
  <c r="F1086" s="1"/>
  <c r="F1087" s="1"/>
  <c r="F1088" s="1"/>
  <c r="F1089" s="1"/>
  <c r="F1090" s="1"/>
  <c r="F1091" s="1"/>
  <c r="F1092" s="1"/>
  <c r="F1093" s="1"/>
  <c r="F1094" s="1"/>
  <c r="F1095" s="1"/>
  <c r="F1096" s="1"/>
  <c r="F1097" s="1"/>
  <c r="F1098" s="1"/>
  <c r="F1099" s="1"/>
  <c r="F1100" s="1"/>
  <c r="F1101" s="1"/>
  <c r="F1102" s="1"/>
  <c r="F1103" s="1"/>
  <c r="F1104" s="1"/>
  <c r="F1105" s="1"/>
  <c r="F1106" s="1"/>
  <c r="F1107" s="1"/>
  <c r="F1108" s="1"/>
  <c r="F1109" s="1"/>
  <c r="F1110" s="1"/>
  <c r="F1111" s="1"/>
  <c r="F1112" s="1"/>
  <c r="F1113" s="1"/>
  <c r="F1114" s="1"/>
  <c r="F1115" s="1"/>
  <c r="F1116" s="1"/>
  <c r="F1117" s="1"/>
  <c r="F1118" s="1"/>
  <c r="F1119" s="1"/>
  <c r="F1120" s="1"/>
  <c r="F1121" s="1"/>
  <c r="F1122" s="1"/>
  <c r="F1123" s="1"/>
  <c r="F1124" s="1"/>
  <c r="F1073"/>
  <c r="F998"/>
  <c r="F1002" s="1"/>
  <c r="F1003" s="1"/>
  <c r="F1004" s="1"/>
  <c r="F1005" s="1"/>
  <c r="F1006" s="1"/>
  <c r="F1007" s="1"/>
  <c r="F1008" s="1"/>
  <c r="F1009" s="1"/>
  <c r="F1010" s="1"/>
  <c r="F1011" s="1"/>
  <c r="F1012" s="1"/>
  <c r="F1013" s="1"/>
  <c r="F1014" s="1"/>
  <c r="F1015" s="1"/>
  <c r="F1016" s="1"/>
  <c r="F1017" s="1"/>
  <c r="F1018" s="1"/>
  <c r="F1019" s="1"/>
  <c r="F1020" s="1"/>
  <c r="F1021" s="1"/>
  <c r="F1022" s="1"/>
  <c r="F1023" s="1"/>
  <c r="F1024" s="1"/>
  <c r="F1025" s="1"/>
  <c r="F1026" s="1"/>
  <c r="F1027" s="1"/>
  <c r="F1028" s="1"/>
  <c r="F1029" s="1"/>
  <c r="F1030" s="1"/>
  <c r="F1031" s="1"/>
  <c r="F1032" s="1"/>
  <c r="F1033" s="1"/>
  <c r="F1034" s="1"/>
  <c r="F1035" s="1"/>
  <c r="F1036" s="1"/>
  <c r="F1037" s="1"/>
  <c r="F1038" s="1"/>
  <c r="F1039" s="1"/>
  <c r="F1040" s="1"/>
  <c r="F1041" s="1"/>
  <c r="F1042" s="1"/>
  <c r="F1043" s="1"/>
  <c r="F1044" s="1"/>
  <c r="F1045" s="1"/>
  <c r="F1046" s="1"/>
  <c r="F1047" s="1"/>
  <c r="F1048" s="1"/>
  <c r="F1049" s="1"/>
  <c r="F1050" s="1"/>
  <c r="F999"/>
  <c r="F924"/>
  <c r="F925"/>
  <c r="F850"/>
  <c r="F852" s="1"/>
  <c r="F853" s="1"/>
  <c r="F851"/>
  <c r="F776"/>
  <c r="F777"/>
  <c r="F702"/>
  <c r="F703"/>
  <c r="F628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29"/>
  <c r="F554"/>
  <c r="F555"/>
  <c r="F477"/>
  <c r="F478"/>
  <c r="F403"/>
  <c r="F405" s="1"/>
  <c r="F406" s="1"/>
  <c r="F404"/>
  <c r="F329"/>
  <c r="F330"/>
  <c r="F255"/>
  <c r="F256"/>
  <c r="F18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182"/>
  <c r="F107"/>
  <c r="F109" s="1"/>
  <c r="F110" s="1"/>
  <c r="F1964"/>
  <c r="F1965" s="1"/>
  <c r="F1966" s="1"/>
  <c r="F1967" s="1"/>
  <c r="F1968" s="1"/>
  <c r="F1969" s="1"/>
  <c r="F1970" s="1"/>
  <c r="F1971" s="1"/>
  <c r="F1972" s="1"/>
  <c r="F1973" s="1"/>
  <c r="F1974" s="1"/>
  <c r="F1975" s="1"/>
  <c r="F1976" s="1"/>
  <c r="F1977" s="1"/>
  <c r="F1978" s="1"/>
  <c r="F1979" s="1"/>
  <c r="F1980" s="1"/>
  <c r="F1981" s="1"/>
  <c r="F1982" s="1"/>
  <c r="F1983" s="1"/>
  <c r="F1984" s="1"/>
  <c r="F1985" s="1"/>
  <c r="F1986" s="1"/>
  <c r="F1987" s="1"/>
  <c r="F1988" s="1"/>
  <c r="F1989" s="1"/>
  <c r="F1990" s="1"/>
  <c r="F1991" s="1"/>
  <c r="F1992" s="1"/>
  <c r="F1993" s="1"/>
  <c r="F1994" s="1"/>
  <c r="F1995" s="1"/>
  <c r="F1996" s="1"/>
  <c r="F1997" s="1"/>
  <c r="F1998" s="1"/>
  <c r="F1999" s="1"/>
  <c r="F2000" s="1"/>
  <c r="F2001" s="1"/>
  <c r="F2002" s="1"/>
  <c r="F2003" s="1"/>
  <c r="F2004" s="1"/>
  <c r="F2005" s="1"/>
  <c r="F2006" s="1"/>
  <c r="F2007" s="1"/>
  <c r="F2008" s="1"/>
  <c r="F2009" s="1"/>
  <c r="F2010" s="1"/>
  <c r="F2011" s="1"/>
  <c r="F2012" s="1"/>
  <c r="N1963"/>
  <c r="F1890"/>
  <c r="F1891" s="1"/>
  <c r="F1892" s="1"/>
  <c r="F1893" s="1"/>
  <c r="F1894" s="1"/>
  <c r="F1895" s="1"/>
  <c r="F1896" s="1"/>
  <c r="F1897" s="1"/>
  <c r="F1898" s="1"/>
  <c r="F1899" s="1"/>
  <c r="F1900" s="1"/>
  <c r="F1901" s="1"/>
  <c r="F1902" s="1"/>
  <c r="F1903" s="1"/>
  <c r="F1904" s="1"/>
  <c r="F1905" s="1"/>
  <c r="F1906" s="1"/>
  <c r="F1907" s="1"/>
  <c r="F1908" s="1"/>
  <c r="F1909" s="1"/>
  <c r="F1910" s="1"/>
  <c r="F1911" s="1"/>
  <c r="F1912" s="1"/>
  <c r="F1913" s="1"/>
  <c r="F1914" s="1"/>
  <c r="F1915" s="1"/>
  <c r="F1916" s="1"/>
  <c r="F1917" s="1"/>
  <c r="F1918" s="1"/>
  <c r="F1919" s="1"/>
  <c r="F1920" s="1"/>
  <c r="F1921" s="1"/>
  <c r="F1922" s="1"/>
  <c r="F1923" s="1"/>
  <c r="F1924" s="1"/>
  <c r="F1925" s="1"/>
  <c r="F1926" s="1"/>
  <c r="F1927" s="1"/>
  <c r="F1928" s="1"/>
  <c r="F1929" s="1"/>
  <c r="F1930" s="1"/>
  <c r="F1931" s="1"/>
  <c r="F1932" s="1"/>
  <c r="F1933" s="1"/>
  <c r="F1934" s="1"/>
  <c r="F1935" s="1"/>
  <c r="F1936" s="1"/>
  <c r="F1937" s="1"/>
  <c r="F1938" s="1"/>
  <c r="F1816"/>
  <c r="F1817" s="1"/>
  <c r="F1818" s="1"/>
  <c r="F1819" s="1"/>
  <c r="F1820" s="1"/>
  <c r="F1821" s="1"/>
  <c r="F1822" s="1"/>
  <c r="F1823" s="1"/>
  <c r="F1824" s="1"/>
  <c r="F1825" s="1"/>
  <c r="F1826" s="1"/>
  <c r="F1827" s="1"/>
  <c r="F1828" s="1"/>
  <c r="F1829" s="1"/>
  <c r="F1830" s="1"/>
  <c r="F1831" s="1"/>
  <c r="F1832" s="1"/>
  <c r="F1833" s="1"/>
  <c r="F1834" s="1"/>
  <c r="F1835" s="1"/>
  <c r="F1836" s="1"/>
  <c r="F1837" s="1"/>
  <c r="F1838" s="1"/>
  <c r="F1839" s="1"/>
  <c r="F1840" s="1"/>
  <c r="F1841" s="1"/>
  <c r="F1842" s="1"/>
  <c r="F1843" s="1"/>
  <c r="F1844" s="1"/>
  <c r="F1845" s="1"/>
  <c r="F1846" s="1"/>
  <c r="F1847" s="1"/>
  <c r="F1848" s="1"/>
  <c r="F1849" s="1"/>
  <c r="F1850" s="1"/>
  <c r="F1851" s="1"/>
  <c r="F1852" s="1"/>
  <c r="F1853" s="1"/>
  <c r="F1854" s="1"/>
  <c r="F1855" s="1"/>
  <c r="F1856" s="1"/>
  <c r="F1857" s="1"/>
  <c r="F1858" s="1"/>
  <c r="F1859" s="1"/>
  <c r="F1860" s="1"/>
  <c r="F1861" s="1"/>
  <c r="F1862" s="1"/>
  <c r="F1863" s="1"/>
  <c r="F1864" s="1"/>
  <c r="F1742"/>
  <c r="F1743" s="1"/>
  <c r="F1744" s="1"/>
  <c r="F1745" s="1"/>
  <c r="F1746" s="1"/>
  <c r="F1747" s="1"/>
  <c r="F1748" s="1"/>
  <c r="F1749" s="1"/>
  <c r="F1750" s="1"/>
  <c r="F1751" s="1"/>
  <c r="F1752" s="1"/>
  <c r="F1753" s="1"/>
  <c r="F1754" s="1"/>
  <c r="F1755" s="1"/>
  <c r="F1756" s="1"/>
  <c r="F1757" s="1"/>
  <c r="F1758" s="1"/>
  <c r="F1759" s="1"/>
  <c r="F1760" s="1"/>
  <c r="F1761" s="1"/>
  <c r="F1762" s="1"/>
  <c r="F1763" s="1"/>
  <c r="F1764" s="1"/>
  <c r="F1765" s="1"/>
  <c r="F1766" s="1"/>
  <c r="F1767" s="1"/>
  <c r="F1768" s="1"/>
  <c r="F1769" s="1"/>
  <c r="F1770" s="1"/>
  <c r="F1771" s="1"/>
  <c r="F1772" s="1"/>
  <c r="F1773" s="1"/>
  <c r="F1774" s="1"/>
  <c r="F1775" s="1"/>
  <c r="F1776" s="1"/>
  <c r="F1777" s="1"/>
  <c r="F1778" s="1"/>
  <c r="F1779" s="1"/>
  <c r="F1780" s="1"/>
  <c r="F1781" s="1"/>
  <c r="F1782" s="1"/>
  <c r="F1783" s="1"/>
  <c r="F1784" s="1"/>
  <c r="F1785" s="1"/>
  <c r="F1786" s="1"/>
  <c r="F1787" s="1"/>
  <c r="F1788" s="1"/>
  <c r="F1789" s="1"/>
  <c r="F1790" s="1"/>
  <c r="N1667"/>
  <c r="F1668"/>
  <c r="F1669" s="1"/>
  <c r="F1670" s="1"/>
  <c r="F1671" s="1"/>
  <c r="F1672" s="1"/>
  <c r="F1673" s="1"/>
  <c r="F1674" s="1"/>
  <c r="F1675" s="1"/>
  <c r="F1676" s="1"/>
  <c r="F1677" s="1"/>
  <c r="F1678" s="1"/>
  <c r="F1679" s="1"/>
  <c r="F1680" s="1"/>
  <c r="F1681" s="1"/>
  <c r="F1682" s="1"/>
  <c r="F1683" s="1"/>
  <c r="F1684" s="1"/>
  <c r="F1685" s="1"/>
  <c r="F1686" s="1"/>
  <c r="F1687" s="1"/>
  <c r="F1688" s="1"/>
  <c r="F1689" s="1"/>
  <c r="F1690" s="1"/>
  <c r="F1691" s="1"/>
  <c r="F1692" s="1"/>
  <c r="F1693" s="1"/>
  <c r="F1694" s="1"/>
  <c r="F1695" s="1"/>
  <c r="F1696" s="1"/>
  <c r="F1697" s="1"/>
  <c r="F1698" s="1"/>
  <c r="F1699" s="1"/>
  <c r="F1700" s="1"/>
  <c r="F1701" s="1"/>
  <c r="F1702" s="1"/>
  <c r="F1703" s="1"/>
  <c r="F1704" s="1"/>
  <c r="F1705" s="1"/>
  <c r="F1706" s="1"/>
  <c r="F1707" s="1"/>
  <c r="F1708" s="1"/>
  <c r="F1709" s="1"/>
  <c r="F1710" s="1"/>
  <c r="F1711" s="1"/>
  <c r="F1712" s="1"/>
  <c r="F1713" s="1"/>
  <c r="F1714" s="1"/>
  <c r="F1715" s="1"/>
  <c r="F1716" s="1"/>
  <c r="F1594"/>
  <c r="F1595" s="1"/>
  <c r="F1596" s="1"/>
  <c r="F1597" s="1"/>
  <c r="F1598" s="1"/>
  <c r="F1599" s="1"/>
  <c r="F1600" s="1"/>
  <c r="F1601" s="1"/>
  <c r="F1602" s="1"/>
  <c r="F1603" s="1"/>
  <c r="F1604" s="1"/>
  <c r="F1605" s="1"/>
  <c r="F1606" s="1"/>
  <c r="F1607" s="1"/>
  <c r="F1608" s="1"/>
  <c r="F1609" s="1"/>
  <c r="F1610" s="1"/>
  <c r="F1611" s="1"/>
  <c r="F1612" s="1"/>
  <c r="F1613" s="1"/>
  <c r="F1614" s="1"/>
  <c r="F1615" s="1"/>
  <c r="F1616" s="1"/>
  <c r="F1617" s="1"/>
  <c r="F1618" s="1"/>
  <c r="F1619" s="1"/>
  <c r="F1620" s="1"/>
  <c r="F1621" s="1"/>
  <c r="F1622" s="1"/>
  <c r="F1623" s="1"/>
  <c r="F1624" s="1"/>
  <c r="F1625" s="1"/>
  <c r="F1626" s="1"/>
  <c r="F1627" s="1"/>
  <c r="F1628" s="1"/>
  <c r="F1629" s="1"/>
  <c r="F1630" s="1"/>
  <c r="F1631" s="1"/>
  <c r="F1632" s="1"/>
  <c r="F1633" s="1"/>
  <c r="F1634" s="1"/>
  <c r="F1635" s="1"/>
  <c r="F1636" s="1"/>
  <c r="F1637" s="1"/>
  <c r="F1638" s="1"/>
  <c r="F1639" s="1"/>
  <c r="F1640" s="1"/>
  <c r="F1641" s="1"/>
  <c r="F1642" s="1"/>
  <c r="F1520"/>
  <c r="F1521" s="1"/>
  <c r="F1522" s="1"/>
  <c r="F1523" s="1"/>
  <c r="F1524" s="1"/>
  <c r="F1525" s="1"/>
  <c r="F1526" s="1"/>
  <c r="F1527" s="1"/>
  <c r="F1528" s="1"/>
  <c r="F1529" s="1"/>
  <c r="F1530" s="1"/>
  <c r="F1531" s="1"/>
  <c r="F1532" s="1"/>
  <c r="F1533" s="1"/>
  <c r="F1534" s="1"/>
  <c r="F1535" s="1"/>
  <c r="F1536" s="1"/>
  <c r="F1537" s="1"/>
  <c r="F1538" s="1"/>
  <c r="F1539" s="1"/>
  <c r="F1540" s="1"/>
  <c r="F1541" s="1"/>
  <c r="F1542" s="1"/>
  <c r="F1543" s="1"/>
  <c r="F1544" s="1"/>
  <c r="F1545" s="1"/>
  <c r="F1546" s="1"/>
  <c r="F1547" s="1"/>
  <c r="F1548" s="1"/>
  <c r="F1549" s="1"/>
  <c r="F1550" s="1"/>
  <c r="F1551" s="1"/>
  <c r="F1552" s="1"/>
  <c r="F1553" s="1"/>
  <c r="F1554" s="1"/>
  <c r="F1555" s="1"/>
  <c r="F1556" s="1"/>
  <c r="F1557" s="1"/>
  <c r="F1558" s="1"/>
  <c r="F1559" s="1"/>
  <c r="F1560" s="1"/>
  <c r="F1561" s="1"/>
  <c r="F1562" s="1"/>
  <c r="F1563" s="1"/>
  <c r="F1564" s="1"/>
  <c r="F1565" s="1"/>
  <c r="F1566" s="1"/>
  <c r="F1567" s="1"/>
  <c r="F1568" s="1"/>
  <c r="F1444"/>
  <c r="F1445" s="1"/>
  <c r="F1370"/>
  <c r="F1371" s="1"/>
  <c r="F1298"/>
  <c r="F1299" s="1"/>
  <c r="F1300" s="1"/>
  <c r="F1301" s="1"/>
  <c r="F1302" s="1"/>
  <c r="F1303" s="1"/>
  <c r="F1304" s="1"/>
  <c r="F1305" s="1"/>
  <c r="F1306" s="1"/>
  <c r="F1307" s="1"/>
  <c r="F1308" s="1"/>
  <c r="F1309" s="1"/>
  <c r="F1310" s="1"/>
  <c r="F1311" s="1"/>
  <c r="F1312" s="1"/>
  <c r="F1313" s="1"/>
  <c r="F1314" s="1"/>
  <c r="F1315" s="1"/>
  <c r="F1316" s="1"/>
  <c r="F1317" s="1"/>
  <c r="F1318" s="1"/>
  <c r="F1319" s="1"/>
  <c r="F1320" s="1"/>
  <c r="F1321" s="1"/>
  <c r="F1322" s="1"/>
  <c r="F1323" s="1"/>
  <c r="F1324" s="1"/>
  <c r="F1325" s="1"/>
  <c r="F1326" s="1"/>
  <c r="F1327" s="1"/>
  <c r="F1328" s="1"/>
  <c r="F1329" s="1"/>
  <c r="F1330" s="1"/>
  <c r="F1331" s="1"/>
  <c r="F1332" s="1"/>
  <c r="F1333" s="1"/>
  <c r="F1334" s="1"/>
  <c r="F1335" s="1"/>
  <c r="F1336" s="1"/>
  <c r="F1337" s="1"/>
  <c r="F1338" s="1"/>
  <c r="F1339" s="1"/>
  <c r="F1340" s="1"/>
  <c r="F1341" s="1"/>
  <c r="F1342" s="1"/>
  <c r="F1343" s="1"/>
  <c r="F1344" s="1"/>
  <c r="F1345" s="1"/>
  <c r="F1346" s="1"/>
  <c r="F1224"/>
  <c r="F1225" s="1"/>
  <c r="F1226" s="1"/>
  <c r="F1227" s="1"/>
  <c r="F1228" s="1"/>
  <c r="F1229" s="1"/>
  <c r="F1230" s="1"/>
  <c r="F1231" s="1"/>
  <c r="F1232" s="1"/>
  <c r="F1233" s="1"/>
  <c r="F1234" s="1"/>
  <c r="F1235" s="1"/>
  <c r="F1236" s="1"/>
  <c r="F1237" s="1"/>
  <c r="F1238" s="1"/>
  <c r="F1239" s="1"/>
  <c r="F1240" s="1"/>
  <c r="F1241" s="1"/>
  <c r="F1242" s="1"/>
  <c r="F1243" s="1"/>
  <c r="F1244" s="1"/>
  <c r="F1245" s="1"/>
  <c r="F1246" s="1"/>
  <c r="F1247" s="1"/>
  <c r="F1248" s="1"/>
  <c r="F1249" s="1"/>
  <c r="F1250" s="1"/>
  <c r="F1251" s="1"/>
  <c r="F1252" s="1"/>
  <c r="F1253" s="1"/>
  <c r="F1254" s="1"/>
  <c r="F1255" s="1"/>
  <c r="F1256" s="1"/>
  <c r="F1257" s="1"/>
  <c r="F1258" s="1"/>
  <c r="F1259" s="1"/>
  <c r="F1260" s="1"/>
  <c r="F1261" s="1"/>
  <c r="F1262" s="1"/>
  <c r="F1263" s="1"/>
  <c r="F1264" s="1"/>
  <c r="F1265" s="1"/>
  <c r="F1266" s="1"/>
  <c r="F1267" s="1"/>
  <c r="F1268" s="1"/>
  <c r="F1269" s="1"/>
  <c r="F1270" s="1"/>
  <c r="F1271" s="1"/>
  <c r="F1272" s="1"/>
  <c r="F1150"/>
  <c r="F1151" s="1"/>
  <c r="F1152" s="1"/>
  <c r="F1153" s="1"/>
  <c r="F1154" s="1"/>
  <c r="F1155" s="1"/>
  <c r="F1156" s="1"/>
  <c r="F1157" s="1"/>
  <c r="F1158" s="1"/>
  <c r="F1159" s="1"/>
  <c r="F1160" s="1"/>
  <c r="F1161" s="1"/>
  <c r="F1162" s="1"/>
  <c r="F1163" s="1"/>
  <c r="F1164" s="1"/>
  <c r="F1165" s="1"/>
  <c r="F1166" s="1"/>
  <c r="F1167" s="1"/>
  <c r="F1168" s="1"/>
  <c r="F1169" s="1"/>
  <c r="F1170" s="1"/>
  <c r="F1171" s="1"/>
  <c r="F1172" s="1"/>
  <c r="F1173" s="1"/>
  <c r="F1174" s="1"/>
  <c r="F1175" s="1"/>
  <c r="F1176" s="1"/>
  <c r="F1177" s="1"/>
  <c r="F1178" s="1"/>
  <c r="F1179" s="1"/>
  <c r="F1180" s="1"/>
  <c r="F1181" s="1"/>
  <c r="F1182" s="1"/>
  <c r="F1183" s="1"/>
  <c r="F1184" s="1"/>
  <c r="F1185" s="1"/>
  <c r="F1186" s="1"/>
  <c r="F1187" s="1"/>
  <c r="F1188" s="1"/>
  <c r="F1189" s="1"/>
  <c r="F1190" s="1"/>
  <c r="F1191" s="1"/>
  <c r="F1192" s="1"/>
  <c r="F1193" s="1"/>
  <c r="F1194" s="1"/>
  <c r="F1195" s="1"/>
  <c r="F1196" s="1"/>
  <c r="F1197" s="1"/>
  <c r="F1198" s="1"/>
  <c r="F1074"/>
  <c r="F1075" s="1"/>
  <c r="F854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F869" s="1"/>
  <c r="F870" s="1"/>
  <c r="F871" s="1"/>
  <c r="F872" s="1"/>
  <c r="F873" s="1"/>
  <c r="F874" s="1"/>
  <c r="F875" s="1"/>
  <c r="F876" s="1"/>
  <c r="F877" s="1"/>
  <c r="F878" s="1"/>
  <c r="F879" s="1"/>
  <c r="F880" s="1"/>
  <c r="F881" s="1"/>
  <c r="F882" s="1"/>
  <c r="F883" s="1"/>
  <c r="F884" s="1"/>
  <c r="F885" s="1"/>
  <c r="F886" s="1"/>
  <c r="F887" s="1"/>
  <c r="F888" s="1"/>
  <c r="F889" s="1"/>
  <c r="F890" s="1"/>
  <c r="F891" s="1"/>
  <c r="F892" s="1"/>
  <c r="F893" s="1"/>
  <c r="F894" s="1"/>
  <c r="F895" s="1"/>
  <c r="F896" s="1"/>
  <c r="F897" s="1"/>
  <c r="F898" s="1"/>
  <c r="F899" s="1"/>
  <c r="F900" s="1"/>
  <c r="F901" s="1"/>
  <c r="F902" s="1"/>
  <c r="F780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778"/>
  <c r="F779" s="1"/>
  <c r="F706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F749" s="1"/>
  <c r="F750" s="1"/>
  <c r="F751" s="1"/>
  <c r="F752" s="1"/>
  <c r="F753" s="1"/>
  <c r="F754" s="1"/>
  <c r="F704"/>
  <c r="F705" s="1"/>
  <c r="F558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556"/>
  <c r="F557" s="1"/>
  <c r="F48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479"/>
  <c r="F480" s="1"/>
  <c r="F407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333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31"/>
  <c r="F332" s="1"/>
  <c r="F259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257"/>
  <c r="F258" s="1"/>
  <c r="F76" i="12"/>
  <c r="F65"/>
  <c r="F54"/>
  <c r="F43"/>
  <c r="F32"/>
  <c r="N1989" i="10"/>
  <c r="N1988"/>
  <c r="N1984"/>
  <c r="N1968"/>
  <c r="L1628"/>
  <c r="I1994"/>
  <c r="L2002"/>
  <c r="L2004"/>
  <c r="L2003"/>
  <c r="N1966"/>
  <c r="N1970" s="1"/>
  <c r="O1965"/>
  <c r="N1979"/>
  <c r="N1978"/>
  <c r="N1974"/>
  <c r="O1960"/>
  <c r="N1994"/>
  <c r="L1997"/>
  <c r="L1998" s="1"/>
  <c r="N1977"/>
  <c r="N1976"/>
  <c r="N1986"/>
  <c r="N1991" s="1"/>
  <c r="L2009"/>
  <c r="L2008"/>
  <c r="L2011" s="1"/>
  <c r="L1627"/>
  <c r="N1920"/>
  <c r="I1920"/>
  <c r="L1928"/>
  <c r="L1929" s="1"/>
  <c r="L1930"/>
  <c r="N1846"/>
  <c r="N1772"/>
  <c r="I1772"/>
  <c r="N1692"/>
  <c r="N1688"/>
  <c r="O1699"/>
  <c r="O1644"/>
  <c r="N1645"/>
  <c r="N1646" s="1"/>
  <c r="K1701"/>
  <c r="K1702" s="1"/>
  <c r="I1652"/>
  <c r="I1650"/>
  <c r="I1651" s="1"/>
  <c r="N1690"/>
  <c r="N1695" s="1"/>
  <c r="I1708"/>
  <c r="I1706"/>
  <c r="I1707" s="1"/>
  <c r="J1705"/>
  <c r="L1707"/>
  <c r="L1706"/>
  <c r="L1708"/>
  <c r="I1646"/>
  <c r="I1645"/>
  <c r="J1644"/>
  <c r="K1715"/>
  <c r="K1712"/>
  <c r="K1713"/>
  <c r="N1663"/>
  <c r="I1656"/>
  <c r="I1659"/>
  <c r="I1657"/>
  <c r="I1698"/>
  <c r="N1708"/>
  <c r="N1706"/>
  <c r="N1707"/>
  <c r="N1698"/>
  <c r="N1657"/>
  <c r="N1656"/>
  <c r="N1659"/>
  <c r="N1668"/>
  <c r="N1672"/>
  <c r="O1664"/>
  <c r="N1680"/>
  <c r="N1681"/>
  <c r="N1712"/>
  <c r="N1713"/>
  <c r="N1715"/>
  <c r="N1682"/>
  <c r="N1678"/>
  <c r="N1652"/>
  <c r="N1650"/>
  <c r="N1651"/>
  <c r="N1671"/>
  <c r="O1669"/>
  <c r="N1670"/>
  <c r="K1706"/>
  <c r="K1707" s="1"/>
  <c r="K1708"/>
  <c r="N1701"/>
  <c r="N1702"/>
  <c r="O1700"/>
  <c r="L1630"/>
  <c r="N1582"/>
  <c r="N1583"/>
  <c r="N1585"/>
  <c r="N1639"/>
  <c r="N1638"/>
  <c r="N1641" s="1"/>
  <c r="I1638"/>
  <c r="I1641" s="1"/>
  <c r="J1637"/>
  <c r="N1624"/>
  <c r="L1632"/>
  <c r="L1634"/>
  <c r="L1633"/>
  <c r="K1641"/>
  <c r="K1639"/>
  <c r="K1638"/>
  <c r="I1582"/>
  <c r="I1583" s="1"/>
  <c r="I1624"/>
  <c r="L1639"/>
  <c r="L1641"/>
  <c r="L1638"/>
  <c r="N1550"/>
  <c r="L1555"/>
  <c r="L1554"/>
  <c r="L1553"/>
  <c r="I1550"/>
  <c r="L1558"/>
  <c r="L1560"/>
  <c r="L1559"/>
  <c r="I596"/>
  <c r="L1565"/>
  <c r="L1567"/>
  <c r="L1564"/>
  <c r="I1441"/>
  <c r="I1476"/>
  <c r="J1489"/>
  <c r="I1490"/>
  <c r="I1493" s="1"/>
  <c r="L1491"/>
  <c r="L1493"/>
  <c r="L1490"/>
  <c r="L1479"/>
  <c r="L1481"/>
  <c r="L1480"/>
  <c r="N1476"/>
  <c r="L1485"/>
  <c r="L1484"/>
  <c r="L1486"/>
  <c r="N1441"/>
  <c r="K1490"/>
  <c r="K1493" s="1"/>
  <c r="K1491"/>
  <c r="L1410"/>
  <c r="L1412"/>
  <c r="L1411"/>
  <c r="L1405"/>
  <c r="L1406"/>
  <c r="I1402"/>
  <c r="N1402"/>
  <c r="L1416"/>
  <c r="L1417" s="1"/>
  <c r="N1328"/>
  <c r="I1328"/>
  <c r="N1249"/>
  <c r="N1248"/>
  <c r="N1244"/>
  <c r="N1246"/>
  <c r="N1251" s="1"/>
  <c r="N1254"/>
  <c r="I1254"/>
  <c r="L1262"/>
  <c r="L1264"/>
  <c r="L1263"/>
  <c r="N1180"/>
  <c r="L1188"/>
  <c r="L1190"/>
  <c r="L1189"/>
  <c r="K1197"/>
  <c r="K1194"/>
  <c r="K1195"/>
  <c r="I547"/>
  <c r="K1121"/>
  <c r="K1120"/>
  <c r="K1123" s="1"/>
  <c r="L1116"/>
  <c r="L1115"/>
  <c r="L1114"/>
  <c r="I592"/>
  <c r="I1106"/>
  <c r="N1106"/>
  <c r="L1040"/>
  <c r="L1042"/>
  <c r="L1041"/>
  <c r="N1032"/>
  <c r="I1032"/>
  <c r="L967"/>
  <c r="L966"/>
  <c r="L968"/>
  <c r="I958"/>
  <c r="N958"/>
  <c r="N884"/>
  <c r="I884"/>
  <c r="L892"/>
  <c r="L894"/>
  <c r="L893"/>
  <c r="K596"/>
  <c r="N775"/>
  <c r="I810"/>
  <c r="L818"/>
  <c r="L820"/>
  <c r="L819"/>
  <c r="N802"/>
  <c r="N807" s="1"/>
  <c r="N805"/>
  <c r="N804"/>
  <c r="N800"/>
  <c r="K824"/>
  <c r="K825" s="1"/>
  <c r="N810"/>
  <c r="N736"/>
  <c r="L744"/>
  <c r="L746"/>
  <c r="L745"/>
  <c r="L596"/>
  <c r="N662"/>
  <c r="L597"/>
  <c r="L603"/>
  <c r="N549"/>
  <c r="I597"/>
  <c r="I599"/>
  <c r="J595"/>
  <c r="I549"/>
  <c r="I550" s="1"/>
  <c r="L592"/>
  <c r="I583"/>
  <c r="I584"/>
  <c r="I586" s="1"/>
  <c r="I582"/>
  <c r="I603"/>
  <c r="J601"/>
  <c r="N582"/>
  <c r="N583"/>
  <c r="N584"/>
  <c r="N586" s="1"/>
  <c r="N605"/>
  <c r="N603"/>
  <c r="K597"/>
  <c r="J590"/>
  <c r="K592"/>
  <c r="K605"/>
  <c r="K603"/>
  <c r="I515"/>
  <c r="I516"/>
  <c r="I514"/>
  <c r="J513"/>
  <c r="I526"/>
  <c r="I528"/>
  <c r="J524"/>
  <c r="I525"/>
  <c r="L521"/>
  <c r="L520"/>
  <c r="L519"/>
  <c r="K520"/>
  <c r="K519"/>
  <c r="K521"/>
  <c r="L525"/>
  <c r="L528"/>
  <c r="L526"/>
  <c r="K526"/>
  <c r="K528"/>
  <c r="K525"/>
  <c r="L514"/>
  <c r="L516"/>
  <c r="L515"/>
  <c r="K514"/>
  <c r="K516"/>
  <c r="K515"/>
  <c r="I519"/>
  <c r="J518"/>
  <c r="I521"/>
  <c r="I520"/>
  <c r="L452"/>
  <c r="L454"/>
  <c r="L451"/>
  <c r="K454"/>
  <c r="K451"/>
  <c r="K452" s="1"/>
  <c r="L441"/>
  <c r="L440"/>
  <c r="I451"/>
  <c r="I454" s="1"/>
  <c r="J450"/>
  <c r="L445"/>
  <c r="L446" s="1"/>
  <c r="L447"/>
  <c r="L149"/>
  <c r="L151"/>
  <c r="L150"/>
  <c r="J7" i="5"/>
  <c r="J9"/>
  <c r="J192" s="1"/>
  <c r="E49" i="4"/>
  <c r="E50" s="1"/>
  <c r="E51" s="1"/>
  <c r="E52" s="1"/>
  <c r="E67"/>
  <c r="E68" s="1"/>
  <c r="E69" s="1"/>
  <c r="E70" s="1"/>
  <c r="E31"/>
  <c r="E32" s="1"/>
  <c r="E33" s="1"/>
  <c r="E34" s="1"/>
  <c r="E62"/>
  <c r="E63" s="1"/>
  <c r="E40"/>
  <c r="E41" s="1"/>
  <c r="E42" s="1"/>
  <c r="E43" s="1"/>
  <c r="J9"/>
  <c r="J7"/>
  <c r="E36" i="3"/>
  <c r="E35"/>
  <c r="E34"/>
  <c r="E27"/>
  <c r="E26"/>
  <c r="E25"/>
  <c r="F98" i="8"/>
  <c r="F95"/>
  <c r="F92"/>
  <c r="F93" s="1"/>
  <c r="F89"/>
  <c r="F86"/>
  <c r="F87" s="1"/>
  <c r="F83"/>
  <c r="F80"/>
  <c r="F81" s="1"/>
  <c r="F77"/>
  <c r="F74"/>
  <c r="F75" s="1"/>
  <c r="F71"/>
  <c r="F68"/>
  <c r="F69" s="1"/>
  <c r="F65"/>
  <c r="F62"/>
  <c r="F63" s="1"/>
  <c r="F59"/>
  <c r="F56"/>
  <c r="F57" s="1"/>
  <c r="F53"/>
  <c r="F50"/>
  <c r="F51" s="1"/>
  <c r="F47"/>
  <c r="F44"/>
  <c r="F41"/>
  <c r="F31"/>
  <c r="F32" s="1"/>
  <c r="F33" s="1"/>
  <c r="F27"/>
  <c r="F23"/>
  <c r="F19"/>
  <c r="F15"/>
  <c r="AG1009" i="1"/>
  <c r="AG1010"/>
  <c r="AG1011"/>
  <c r="AG1012"/>
  <c r="AG1013"/>
  <c r="AG1014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2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118"/>
  <c r="AG1119"/>
  <c r="AG1120"/>
  <c r="AG1121"/>
  <c r="AG1122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171"/>
  <c r="AG1172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1256"/>
  <c r="AG1257"/>
  <c r="AG1258"/>
  <c r="AG1259"/>
  <c r="AG1260"/>
  <c r="AG1261"/>
  <c r="AG1262"/>
  <c r="F226" i="13" l="1"/>
  <c r="I226" s="1"/>
  <c r="I225"/>
  <c r="I210"/>
  <c r="F202"/>
  <c r="I202" s="1"/>
  <c r="I201"/>
  <c r="F190"/>
  <c r="I190" s="1"/>
  <c r="I189"/>
  <c r="F178"/>
  <c r="I178" s="1"/>
  <c r="I177"/>
  <c r="I162"/>
  <c r="F154"/>
  <c r="I154" s="1"/>
  <c r="I153"/>
  <c r="I138"/>
  <c r="F130"/>
  <c r="I130" s="1"/>
  <c r="I129"/>
  <c r="I116"/>
  <c r="F117"/>
  <c r="F106"/>
  <c r="I106" s="1"/>
  <c r="I105"/>
  <c r="I92"/>
  <c r="F93"/>
  <c r="F82"/>
  <c r="I82" s="1"/>
  <c r="I81"/>
  <c r="F22"/>
  <c r="I22" s="1"/>
  <c r="I18" s="1"/>
  <c r="I68"/>
  <c r="F69"/>
  <c r="F58"/>
  <c r="I58" s="1"/>
  <c r="I57"/>
  <c r="I44"/>
  <c r="F45"/>
  <c r="F34"/>
  <c r="I34" s="1"/>
  <c r="I33"/>
  <c r="F926" i="10"/>
  <c r="F927" s="1"/>
  <c r="F928"/>
  <c r="F929" s="1"/>
  <c r="F930" s="1"/>
  <c r="F931" s="1"/>
  <c r="F932" s="1"/>
  <c r="F933" s="1"/>
  <c r="F934" s="1"/>
  <c r="F935" s="1"/>
  <c r="F936" s="1"/>
  <c r="F937" s="1"/>
  <c r="F938" s="1"/>
  <c r="F939" s="1"/>
  <c r="F940" s="1"/>
  <c r="F941" s="1"/>
  <c r="F942" s="1"/>
  <c r="F943" s="1"/>
  <c r="F944" s="1"/>
  <c r="F945" s="1"/>
  <c r="F946" s="1"/>
  <c r="F947" s="1"/>
  <c r="F948" s="1"/>
  <c r="F949" s="1"/>
  <c r="F950" s="1"/>
  <c r="F951" s="1"/>
  <c r="F952" s="1"/>
  <c r="F953" s="1"/>
  <c r="F954" s="1"/>
  <c r="F955" s="1"/>
  <c r="F956" s="1"/>
  <c r="F957" s="1"/>
  <c r="F958" s="1"/>
  <c r="F959" s="1"/>
  <c r="F960" s="1"/>
  <c r="F961" s="1"/>
  <c r="F962" s="1"/>
  <c r="F963" s="1"/>
  <c r="F964" s="1"/>
  <c r="F965" s="1"/>
  <c r="F966" s="1"/>
  <c r="F967" s="1"/>
  <c r="F968" s="1"/>
  <c r="F969" s="1"/>
  <c r="F970" s="1"/>
  <c r="F971" s="1"/>
  <c r="F972" s="1"/>
  <c r="F973" s="1"/>
  <c r="F974" s="1"/>
  <c r="F975" s="1"/>
  <c r="F976" s="1"/>
  <c r="F111"/>
  <c r="F112" s="1"/>
  <c r="V1954"/>
  <c r="S1806"/>
  <c r="U1732"/>
  <c r="V1658"/>
  <c r="S1510"/>
  <c r="U1436"/>
  <c r="V1362"/>
  <c r="S1214"/>
  <c r="U1954"/>
  <c r="S1880"/>
  <c r="U1584"/>
  <c r="S1436"/>
  <c r="V1288"/>
  <c r="U1214"/>
  <c r="S1140"/>
  <c r="U1066"/>
  <c r="V992"/>
  <c r="S844"/>
  <c r="U770"/>
  <c r="V696"/>
  <c r="S1954"/>
  <c r="V1806"/>
  <c r="U1658"/>
  <c r="S1584"/>
  <c r="U1288"/>
  <c r="S1066"/>
  <c r="U992"/>
  <c r="U1510"/>
  <c r="U1140"/>
  <c r="V844"/>
  <c r="U696"/>
  <c r="S622"/>
  <c r="S548"/>
  <c r="U471"/>
  <c r="V397"/>
  <c r="S249"/>
  <c r="U175"/>
  <c r="S992"/>
  <c r="V918"/>
  <c r="U844"/>
  <c r="V770"/>
  <c r="S696"/>
  <c r="S471"/>
  <c r="U397"/>
  <c r="V323"/>
  <c r="S175"/>
  <c r="S101"/>
  <c r="S7"/>
  <c r="V1880"/>
  <c r="V1732"/>
  <c r="V1436"/>
  <c r="U1362"/>
  <c r="V1066"/>
  <c r="U918"/>
  <c r="S770"/>
  <c r="U1806"/>
  <c r="S1732"/>
  <c r="V1140"/>
  <c r="S397"/>
  <c r="U323"/>
  <c r="V249"/>
  <c r="S1658"/>
  <c r="V1584"/>
  <c r="V471"/>
  <c r="S323"/>
  <c r="U249"/>
  <c r="V101"/>
  <c r="V1510"/>
  <c r="S1362"/>
  <c r="S918"/>
  <c r="V622"/>
  <c r="V548"/>
  <c r="U101"/>
  <c r="U1880"/>
  <c r="S1288"/>
  <c r="V1214"/>
  <c r="U622"/>
  <c r="U548"/>
  <c r="V175"/>
  <c r="V25"/>
  <c r="S9"/>
  <c r="S1518"/>
  <c r="S1592"/>
  <c r="S1370"/>
  <c r="S1296"/>
  <c r="S556"/>
  <c r="S1771"/>
  <c r="S1697"/>
  <c r="S1962"/>
  <c r="S1222"/>
  <c r="S852"/>
  <c r="S1845"/>
  <c r="S1740"/>
  <c r="S926"/>
  <c r="S1919"/>
  <c r="S1993"/>
  <c r="S1000"/>
  <c r="S778"/>
  <c r="S630"/>
  <c r="S1649"/>
  <c r="S1444"/>
  <c r="S1655"/>
  <c r="S1549"/>
  <c r="S1666"/>
  <c r="S1074"/>
  <c r="S704"/>
  <c r="S1687"/>
  <c r="S1644"/>
  <c r="S1888"/>
  <c r="S1689"/>
  <c r="S1467"/>
  <c r="S1440"/>
  <c r="S1393"/>
  <c r="S1623"/>
  <c r="S1391"/>
  <c r="S1465"/>
  <c r="S1581"/>
  <c r="S1031"/>
  <c r="S1253"/>
  <c r="S1401"/>
  <c r="S1327"/>
  <c r="S1105"/>
  <c r="S1475"/>
  <c r="S809"/>
  <c r="S577"/>
  <c r="S735"/>
  <c r="S552"/>
  <c r="S1179"/>
  <c r="S957"/>
  <c r="S587"/>
  <c r="S545"/>
  <c r="S661"/>
  <c r="S883"/>
  <c r="S579"/>
  <c r="S63"/>
  <c r="S25"/>
  <c r="U25"/>
  <c r="F1000"/>
  <c r="F1001" s="1"/>
  <c r="F630"/>
  <c r="F631" s="1"/>
  <c r="F220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L1931"/>
  <c r="L1932" s="1"/>
  <c r="N1981"/>
  <c r="F113"/>
  <c r="F114" s="1"/>
  <c r="F115" s="1"/>
  <c r="F116" s="1"/>
  <c r="F77" i="12"/>
  <c r="F66"/>
  <c r="F55"/>
  <c r="F44"/>
  <c r="F33"/>
  <c r="L2012" i="10"/>
  <c r="N1969"/>
  <c r="N1990"/>
  <c r="N1992" s="1"/>
  <c r="N1967"/>
  <c r="N1971" s="1"/>
  <c r="N1972" s="1"/>
  <c r="N1980"/>
  <c r="L2005"/>
  <c r="L1999" s="1"/>
  <c r="L2000" s="1"/>
  <c r="N1660"/>
  <c r="N1653"/>
  <c r="N1647" s="1"/>
  <c r="N1648" s="1"/>
  <c r="I1660"/>
  <c r="N1674"/>
  <c r="N1716"/>
  <c r="N1684"/>
  <c r="K1716"/>
  <c r="O1646"/>
  <c r="L1191"/>
  <c r="N1694"/>
  <c r="N1696" s="1"/>
  <c r="J1646"/>
  <c r="I1709"/>
  <c r="K1709"/>
  <c r="K1703" s="1"/>
  <c r="K1704" s="1"/>
  <c r="N1685"/>
  <c r="I1653"/>
  <c r="I1647" s="1"/>
  <c r="I1648" s="1"/>
  <c r="L1635"/>
  <c r="L1636" s="1"/>
  <c r="S1693"/>
  <c r="N1675"/>
  <c r="N1683"/>
  <c r="N1673"/>
  <c r="N1709"/>
  <c r="N1703" s="1"/>
  <c r="N1704" s="1"/>
  <c r="L1709"/>
  <c r="N1693"/>
  <c r="K1642"/>
  <c r="S1585"/>
  <c r="L1642"/>
  <c r="I1585"/>
  <c r="N1642"/>
  <c r="I1639"/>
  <c r="I1642" s="1"/>
  <c r="N1586"/>
  <c r="L1556"/>
  <c r="L1568"/>
  <c r="L1561"/>
  <c r="L1562" s="1"/>
  <c r="K1198"/>
  <c r="L1487"/>
  <c r="L1488" s="1"/>
  <c r="K1494"/>
  <c r="L1494"/>
  <c r="I1491"/>
  <c r="I1494" s="1"/>
  <c r="L1482"/>
  <c r="L1419"/>
  <c r="L1420" s="1"/>
  <c r="L1413"/>
  <c r="L1407" s="1"/>
  <c r="L1408" s="1"/>
  <c r="L1265"/>
  <c r="N1250"/>
  <c r="N1252" s="1"/>
  <c r="L1192"/>
  <c r="K1124"/>
  <c r="L1117"/>
  <c r="L1043"/>
  <c r="L969"/>
  <c r="L895"/>
  <c r="L896" s="1"/>
  <c r="K827"/>
  <c r="K828" s="1"/>
  <c r="L821"/>
  <c r="L822" s="1"/>
  <c r="N806"/>
  <c r="N808" s="1"/>
  <c r="L747"/>
  <c r="K517"/>
  <c r="I529"/>
  <c r="N606"/>
  <c r="I600"/>
  <c r="L599"/>
  <c r="L600" s="1"/>
  <c r="I605"/>
  <c r="I606" s="1"/>
  <c r="L152"/>
  <c r="K455"/>
  <c r="L529"/>
  <c r="K606"/>
  <c r="I593"/>
  <c r="I594" s="1"/>
  <c r="N547"/>
  <c r="N550" s="1"/>
  <c r="S583"/>
  <c r="L605"/>
  <c r="L593" s="1"/>
  <c r="L594" s="1"/>
  <c r="K599"/>
  <c r="K593" s="1"/>
  <c r="K594" s="1"/>
  <c r="L517"/>
  <c r="K522"/>
  <c r="K523" s="1"/>
  <c r="K529"/>
  <c r="L522"/>
  <c r="L523" s="1"/>
  <c r="I522"/>
  <c r="I523" s="1"/>
  <c r="I517"/>
  <c r="L455"/>
  <c r="I452"/>
  <c r="I455" s="1"/>
  <c r="L448"/>
  <c r="L442" s="1"/>
  <c r="L443" s="1"/>
  <c r="E53" i="4"/>
  <c r="E54" s="1"/>
  <c r="J155" i="5"/>
  <c r="J191"/>
  <c r="J156"/>
  <c r="J160"/>
  <c r="J161" s="1"/>
  <c r="O1702" i="10" s="1"/>
  <c r="K8" i="5"/>
  <c r="E71" i="4"/>
  <c r="E72" s="1"/>
  <c r="E44"/>
  <c r="E45" s="1"/>
  <c r="E35"/>
  <c r="E36" s="1"/>
  <c r="K8"/>
  <c r="F99" i="8"/>
  <c r="F100" s="1"/>
  <c r="F54"/>
  <c r="F64"/>
  <c r="F78"/>
  <c r="F88"/>
  <c r="F45"/>
  <c r="F48"/>
  <c r="F58"/>
  <c r="F72"/>
  <c r="F82"/>
  <c r="F96"/>
  <c r="F16"/>
  <c r="F52"/>
  <c r="F66"/>
  <c r="F76"/>
  <c r="F90"/>
  <c r="F84"/>
  <c r="F94"/>
  <c r="F60"/>
  <c r="F70"/>
  <c r="F28"/>
  <c r="F29" s="1"/>
  <c r="F42"/>
  <c r="F20"/>
  <c r="F21" s="1"/>
  <c r="F24"/>
  <c r="F25" s="1"/>
  <c r="V1219" i="1"/>
  <c r="AF1219" s="1"/>
  <c r="V1220"/>
  <c r="AF1220" s="1"/>
  <c r="V1221"/>
  <c r="AF1221" s="1"/>
  <c r="V1222"/>
  <c r="AF1222" s="1"/>
  <c r="V1223"/>
  <c r="V1224"/>
  <c r="AF1224" s="1"/>
  <c r="V1225"/>
  <c r="V1226"/>
  <c r="V1227"/>
  <c r="V1228"/>
  <c r="AF1228" s="1"/>
  <c r="V1229"/>
  <c r="AF1229" s="1"/>
  <c r="V1230"/>
  <c r="V1231"/>
  <c r="V1232"/>
  <c r="V1233"/>
  <c r="V1234"/>
  <c r="AF1234" s="1"/>
  <c r="V1235"/>
  <c r="AF1235" s="1"/>
  <c r="V1236"/>
  <c r="AF1236" s="1"/>
  <c r="V1237"/>
  <c r="V1238"/>
  <c r="AF1238" s="1"/>
  <c r="V1239"/>
  <c r="AF1239" s="1"/>
  <c r="V1240"/>
  <c r="AF1240" s="1"/>
  <c r="V1241"/>
  <c r="V1242"/>
  <c r="V1243"/>
  <c r="AF1243" s="1"/>
  <c r="V1244"/>
  <c r="AF1244" s="1"/>
  <c r="V1245"/>
  <c r="AF1245" s="1"/>
  <c r="V1246"/>
  <c r="AF1246" s="1"/>
  <c r="V1247"/>
  <c r="AF1247" s="1"/>
  <c r="V1248"/>
  <c r="AF1248" s="1"/>
  <c r="V1249"/>
  <c r="AF1249" s="1"/>
  <c r="V1250"/>
  <c r="V1251"/>
  <c r="AF1251" s="1"/>
  <c r="V1252"/>
  <c r="V1253"/>
  <c r="AF1253" s="1"/>
  <c r="V1254"/>
  <c r="AF1254" s="1"/>
  <c r="V1255"/>
  <c r="V1256"/>
  <c r="V1257"/>
  <c r="AF1257" s="1"/>
  <c r="V1258"/>
  <c r="V1259"/>
  <c r="AF1259" s="1"/>
  <c r="V1260"/>
  <c r="V1261"/>
  <c r="V1262"/>
  <c r="AF1262" s="1"/>
  <c r="V1009"/>
  <c r="V1010"/>
  <c r="V1011"/>
  <c r="V1012"/>
  <c r="AF1012" s="1"/>
  <c r="V1013"/>
  <c r="V1014"/>
  <c r="V1015"/>
  <c r="AF1015" s="1"/>
  <c r="V1016"/>
  <c r="V1017"/>
  <c r="AF1017" s="1"/>
  <c r="V1018"/>
  <c r="AF1018" s="1"/>
  <c r="V1019"/>
  <c r="AF1019" s="1"/>
  <c r="V1020"/>
  <c r="AF1020" s="1"/>
  <c r="V1021"/>
  <c r="AF1021" s="1"/>
  <c r="V1022"/>
  <c r="AF1022" s="1"/>
  <c r="V1023"/>
  <c r="AF1023" s="1"/>
  <c r="V1024"/>
  <c r="AF1024" s="1"/>
  <c r="V1025"/>
  <c r="V1026"/>
  <c r="AF1026" s="1"/>
  <c r="V1027"/>
  <c r="AF1027" s="1"/>
  <c r="V1028"/>
  <c r="V1029"/>
  <c r="AF1029" s="1"/>
  <c r="V1030"/>
  <c r="AF1030" s="1"/>
  <c r="V1031"/>
  <c r="AF1031" s="1"/>
  <c r="V1032"/>
  <c r="V1033"/>
  <c r="V1034"/>
  <c r="V1035"/>
  <c r="AF1035" s="1"/>
  <c r="V1036"/>
  <c r="AF1036" s="1"/>
  <c r="V1037"/>
  <c r="V1038"/>
  <c r="AF1038" s="1"/>
  <c r="V1039"/>
  <c r="V1040"/>
  <c r="V1041"/>
  <c r="V1042"/>
  <c r="V1043"/>
  <c r="AF1043" s="1"/>
  <c r="V1044"/>
  <c r="V1045"/>
  <c r="AF1045" s="1"/>
  <c r="V1046"/>
  <c r="AF1046" s="1"/>
  <c r="V1047"/>
  <c r="AF1047" s="1"/>
  <c r="V1048"/>
  <c r="V1049"/>
  <c r="V1050"/>
  <c r="AF1050" s="1"/>
  <c r="V1051"/>
  <c r="AF1051" s="1"/>
  <c r="V1052"/>
  <c r="AF1052" s="1"/>
  <c r="V1053"/>
  <c r="AF1053" s="1"/>
  <c r="V1054"/>
  <c r="V1055"/>
  <c r="AF1055" s="1"/>
  <c r="V1056"/>
  <c r="AF1056" s="1"/>
  <c r="V1057"/>
  <c r="AF1057" s="1"/>
  <c r="V1058"/>
  <c r="V1059"/>
  <c r="AF1059" s="1"/>
  <c r="V1060"/>
  <c r="AF1060" s="1"/>
  <c r="V1061"/>
  <c r="V1062"/>
  <c r="AF1062" s="1"/>
  <c r="V1063"/>
  <c r="AF1063" s="1"/>
  <c r="V1064"/>
  <c r="AF1064" s="1"/>
  <c r="V1065"/>
  <c r="AF1065" s="1"/>
  <c r="V1066"/>
  <c r="AF1066" s="1"/>
  <c r="V1067"/>
  <c r="AF1067" s="1"/>
  <c r="V1068"/>
  <c r="AF1068" s="1"/>
  <c r="V1069"/>
  <c r="AF1069" s="1"/>
  <c r="V1070"/>
  <c r="AF1070" s="1"/>
  <c r="V1071"/>
  <c r="AF1071" s="1"/>
  <c r="V1072"/>
  <c r="AF1072" s="1"/>
  <c r="V1073"/>
  <c r="V1074"/>
  <c r="AF1074" s="1"/>
  <c r="V1075"/>
  <c r="AF1075" s="1"/>
  <c r="V1076"/>
  <c r="AF1076" s="1"/>
  <c r="V1077"/>
  <c r="AF1077" s="1"/>
  <c r="V1078"/>
  <c r="AF1078" s="1"/>
  <c r="V1079"/>
  <c r="AF1079" s="1"/>
  <c r="V1080"/>
  <c r="V1081"/>
  <c r="AF1081" s="1"/>
  <c r="V1082"/>
  <c r="AF1082" s="1"/>
  <c r="V1083"/>
  <c r="V1084"/>
  <c r="AF1084" s="1"/>
  <c r="V1085"/>
  <c r="AF1085" s="1"/>
  <c r="V1086"/>
  <c r="AF1086" s="1"/>
  <c r="V1087"/>
  <c r="AF1087" s="1"/>
  <c r="V1088"/>
  <c r="AF1088" s="1"/>
  <c r="V1089"/>
  <c r="AF1089" s="1"/>
  <c r="V1090"/>
  <c r="AF1090" s="1"/>
  <c r="V1091"/>
  <c r="AF1091" s="1"/>
  <c r="V1092"/>
  <c r="AF1092" s="1"/>
  <c r="V1093"/>
  <c r="AF1093" s="1"/>
  <c r="V1094"/>
  <c r="V1095"/>
  <c r="AF1095" s="1"/>
  <c r="V1096"/>
  <c r="AF1096" s="1"/>
  <c r="V1097"/>
  <c r="AF1097" s="1"/>
  <c r="V1098"/>
  <c r="AF1098" s="1"/>
  <c r="V1099"/>
  <c r="V1100"/>
  <c r="V1101"/>
  <c r="AF1101" s="1"/>
  <c r="V1102"/>
  <c r="AF1102" s="1"/>
  <c r="V1103"/>
  <c r="V1104"/>
  <c r="AF1104" s="1"/>
  <c r="V1105"/>
  <c r="V1106"/>
  <c r="AF1106" s="1"/>
  <c r="V1107"/>
  <c r="AF1107" s="1"/>
  <c r="V1108"/>
  <c r="AF1108" s="1"/>
  <c r="V1109"/>
  <c r="AF1109" s="1"/>
  <c r="V1110"/>
  <c r="AF1110" s="1"/>
  <c r="V1111"/>
  <c r="AF1111" s="1"/>
  <c r="V1112"/>
  <c r="V1113"/>
  <c r="V1114"/>
  <c r="AF1114" s="1"/>
  <c r="V1115"/>
  <c r="AF1115" s="1"/>
  <c r="V1116"/>
  <c r="AF1116" s="1"/>
  <c r="V1117"/>
  <c r="AF1117" s="1"/>
  <c r="V1118"/>
  <c r="AF1118" s="1"/>
  <c r="V1119"/>
  <c r="AF1119" s="1"/>
  <c r="V1120"/>
  <c r="AF1120" s="1"/>
  <c r="V1121"/>
  <c r="AF1121" s="1"/>
  <c r="V1122"/>
  <c r="AF1122" s="1"/>
  <c r="V1123"/>
  <c r="AF1123" s="1"/>
  <c r="V1124"/>
  <c r="AF1124" s="1"/>
  <c r="V1125"/>
  <c r="AF1125" s="1"/>
  <c r="V1126"/>
  <c r="AF1126" s="1"/>
  <c r="V1127"/>
  <c r="AF1127" s="1"/>
  <c r="V1128"/>
  <c r="AF1128" s="1"/>
  <c r="V1129"/>
  <c r="AF1129" s="1"/>
  <c r="V1130"/>
  <c r="AF1130" s="1"/>
  <c r="V1131"/>
  <c r="AF1131" s="1"/>
  <c r="V1132"/>
  <c r="AF1132" s="1"/>
  <c r="V1133"/>
  <c r="AF1133" s="1"/>
  <c r="V1134"/>
  <c r="AF1134" s="1"/>
  <c r="V1135"/>
  <c r="AF1135" s="1"/>
  <c r="V1136"/>
  <c r="AF1136" s="1"/>
  <c r="V1137"/>
  <c r="AF1137" s="1"/>
  <c r="V1138"/>
  <c r="AF1138" s="1"/>
  <c r="V1139"/>
  <c r="AF1139" s="1"/>
  <c r="V1140"/>
  <c r="AF1140" s="1"/>
  <c r="V1141"/>
  <c r="AF1141" s="1"/>
  <c r="V1142"/>
  <c r="AF1142" s="1"/>
  <c r="V1143"/>
  <c r="AF1143" s="1"/>
  <c r="V1144"/>
  <c r="V1145"/>
  <c r="AF1145" s="1"/>
  <c r="V1146"/>
  <c r="AF1146" s="1"/>
  <c r="V1147"/>
  <c r="AF1147" s="1"/>
  <c r="V1148"/>
  <c r="AF1148" s="1"/>
  <c r="V1149"/>
  <c r="AF1149" s="1"/>
  <c r="V1150"/>
  <c r="AF1150" s="1"/>
  <c r="V1151"/>
  <c r="AF1151" s="1"/>
  <c r="V1152"/>
  <c r="AF1152" s="1"/>
  <c r="V1153"/>
  <c r="AF1153" s="1"/>
  <c r="V1154"/>
  <c r="AF1154" s="1"/>
  <c r="V1155"/>
  <c r="AF1155" s="1"/>
  <c r="V1156"/>
  <c r="AF1156" s="1"/>
  <c r="V1157"/>
  <c r="AF1157" s="1"/>
  <c r="V1158"/>
  <c r="AF1158" s="1"/>
  <c r="V1159"/>
  <c r="AF1159" s="1"/>
  <c r="V1160"/>
  <c r="AF1160" s="1"/>
  <c r="V1161"/>
  <c r="V1162"/>
  <c r="AF1162" s="1"/>
  <c r="V1163"/>
  <c r="AF1163" s="1"/>
  <c r="V1164"/>
  <c r="AF1164" s="1"/>
  <c r="V1165"/>
  <c r="AF1165" s="1"/>
  <c r="V1166"/>
  <c r="AF1166" s="1"/>
  <c r="V1167"/>
  <c r="AF1167" s="1"/>
  <c r="V1168"/>
  <c r="AF1168" s="1"/>
  <c r="V1169"/>
  <c r="AF1169" s="1"/>
  <c r="V1170"/>
  <c r="AF1170" s="1"/>
  <c r="V1171"/>
  <c r="AF1171" s="1"/>
  <c r="V1172"/>
  <c r="AF1172" s="1"/>
  <c r="V1173"/>
  <c r="AF1173" s="1"/>
  <c r="V1174"/>
  <c r="V1175"/>
  <c r="AF1175" s="1"/>
  <c r="V1176"/>
  <c r="AF1176" s="1"/>
  <c r="V1177"/>
  <c r="AF1177" s="1"/>
  <c r="V1178"/>
  <c r="AF1178" s="1"/>
  <c r="V1179"/>
  <c r="AF1179" s="1"/>
  <c r="V1180"/>
  <c r="AF1180" s="1"/>
  <c r="V1181"/>
  <c r="AF1181" s="1"/>
  <c r="V1182"/>
  <c r="AF1182" s="1"/>
  <c r="V1183"/>
  <c r="AF1183" s="1"/>
  <c r="V1184"/>
  <c r="AF1184" s="1"/>
  <c r="V1185"/>
  <c r="V1186"/>
  <c r="AF1186" s="1"/>
  <c r="V1187"/>
  <c r="AF1187" s="1"/>
  <c r="V1188"/>
  <c r="AF1188" s="1"/>
  <c r="V1189"/>
  <c r="AF1189" s="1"/>
  <c r="V1190"/>
  <c r="AF1190" s="1"/>
  <c r="V1191"/>
  <c r="AF1191" s="1"/>
  <c r="V1192"/>
  <c r="AF1192" s="1"/>
  <c r="V1193"/>
  <c r="AF1193" s="1"/>
  <c r="V1194"/>
  <c r="AF1194" s="1"/>
  <c r="V1195"/>
  <c r="AF1195" s="1"/>
  <c r="V1196"/>
  <c r="AF1196" s="1"/>
  <c r="V1197"/>
  <c r="AF1197" s="1"/>
  <c r="V1198"/>
  <c r="AF1198" s="1"/>
  <c r="V1199"/>
  <c r="AF1199" s="1"/>
  <c r="V1200"/>
  <c r="AF1200" s="1"/>
  <c r="V1201"/>
  <c r="AF1201" s="1"/>
  <c r="V1202"/>
  <c r="AF1202" s="1"/>
  <c r="V1203"/>
  <c r="AF1203" s="1"/>
  <c r="V1204"/>
  <c r="AF1204" s="1"/>
  <c r="V1205"/>
  <c r="AF1205" s="1"/>
  <c r="V1206"/>
  <c r="AF1206" s="1"/>
  <c r="V1207"/>
  <c r="AF1207" s="1"/>
  <c r="V1208"/>
  <c r="AF1208" s="1"/>
  <c r="V1209"/>
  <c r="AF1209" s="1"/>
  <c r="V1210"/>
  <c r="AF1210" s="1"/>
  <c r="V1211"/>
  <c r="V1212"/>
  <c r="V1213"/>
  <c r="AF1213" s="1"/>
  <c r="V1214"/>
  <c r="AF1214" s="1"/>
  <c r="V1215"/>
  <c r="AF1215" s="1"/>
  <c r="V1216"/>
  <c r="AF1216" s="1"/>
  <c r="V1217"/>
  <c r="AF1217" s="1"/>
  <c r="V1218"/>
  <c r="AF1218" s="1"/>
  <c r="I222" i="13" l="1"/>
  <c r="I198"/>
  <c r="I174"/>
  <c r="I186"/>
  <c r="I150"/>
  <c r="I126"/>
  <c r="F118"/>
  <c r="I118" s="1"/>
  <c r="I117"/>
  <c r="I102"/>
  <c r="F94"/>
  <c r="I94" s="1"/>
  <c r="I93"/>
  <c r="I78"/>
  <c r="F70"/>
  <c r="I70" s="1"/>
  <c r="I69"/>
  <c r="I54"/>
  <c r="I30"/>
  <c r="F46"/>
  <c r="I46" s="1"/>
  <c r="I45"/>
  <c r="AF1103" i="1"/>
  <c r="I2007" i="10"/>
  <c r="K2007"/>
  <c r="AF1011" i="1"/>
  <c r="AF1261"/>
  <c r="L675" i="10"/>
  <c r="L1848"/>
  <c r="L1853"/>
  <c r="L291"/>
  <c r="L296"/>
  <c r="AF1233" i="1"/>
  <c r="L1335" i="10"/>
  <c r="L222"/>
  <c r="L71"/>
  <c r="L1193"/>
  <c r="I1193"/>
  <c r="L1182"/>
  <c r="AF1174" i="1"/>
  <c r="K2001" i="10"/>
  <c r="K1996"/>
  <c r="I2001"/>
  <c r="I1996"/>
  <c r="AF1058" i="1"/>
  <c r="I1785" i="10"/>
  <c r="K1785"/>
  <c r="I1774"/>
  <c r="K1779"/>
  <c r="I1779"/>
  <c r="K1774"/>
  <c r="AF1042" i="1"/>
  <c r="AF1034"/>
  <c r="I965" i="10"/>
  <c r="K965"/>
  <c r="K1922"/>
  <c r="I1933"/>
  <c r="K1933"/>
  <c r="I1922"/>
  <c r="K376"/>
  <c r="I376"/>
  <c r="I71"/>
  <c r="K1552"/>
  <c r="I1552"/>
  <c r="I1557"/>
  <c r="K1557"/>
  <c r="I365"/>
  <c r="K71"/>
  <c r="K370"/>
  <c r="I370"/>
  <c r="K365"/>
  <c r="L1045"/>
  <c r="L1034"/>
  <c r="L1267"/>
  <c r="L1256"/>
  <c r="L154"/>
  <c r="L143"/>
  <c r="L886"/>
  <c r="L897"/>
  <c r="I1711"/>
  <c r="L1700"/>
  <c r="L1711"/>
  <c r="I1700"/>
  <c r="AF1211" i="1"/>
  <c r="K1415" i="10"/>
  <c r="I1415"/>
  <c r="K1182"/>
  <c r="I1187"/>
  <c r="I1182"/>
  <c r="K1187"/>
  <c r="I1119"/>
  <c r="L1108"/>
  <c r="L1119"/>
  <c r="AF1161" i="1"/>
  <c r="K749" i="10"/>
  <c r="I749"/>
  <c r="AF1113" i="1"/>
  <c r="I1341" i="10"/>
  <c r="K1341"/>
  <c r="I228"/>
  <c r="K228"/>
  <c r="K1108"/>
  <c r="I1108"/>
  <c r="I1113"/>
  <c r="K1113"/>
  <c r="AF1073" i="1"/>
  <c r="K1045" i="10"/>
  <c r="I1045"/>
  <c r="AF1061" i="1"/>
  <c r="K675" i="10"/>
  <c r="K302"/>
  <c r="I302"/>
  <c r="I675"/>
  <c r="AF1049" i="1"/>
  <c r="K1478" i="10"/>
  <c r="K1483"/>
  <c r="I1483"/>
  <c r="I1478"/>
  <c r="K439"/>
  <c r="I439"/>
  <c r="K444"/>
  <c r="I444"/>
  <c r="AF1037" i="1"/>
  <c r="AF1033"/>
  <c r="K897" i="10"/>
  <c r="I897"/>
  <c r="K812"/>
  <c r="K817"/>
  <c r="I817"/>
  <c r="I812"/>
  <c r="K148"/>
  <c r="I148"/>
  <c r="I77"/>
  <c r="I66"/>
  <c r="K1256"/>
  <c r="I1256"/>
  <c r="I1267"/>
  <c r="K1267"/>
  <c r="I143"/>
  <c r="K66"/>
  <c r="K154"/>
  <c r="K143"/>
  <c r="K77"/>
  <c r="I154"/>
  <c r="L664"/>
  <c r="L669"/>
  <c r="L1774"/>
  <c r="L1785"/>
  <c r="L1933"/>
  <c r="L1922"/>
  <c r="L66"/>
  <c r="L738"/>
  <c r="L365"/>
  <c r="L376"/>
  <c r="L77"/>
  <c r="L749"/>
  <c r="AF1083" i="1"/>
  <c r="I1563" i="10"/>
  <c r="K1563"/>
  <c r="K1039"/>
  <c r="I1034"/>
  <c r="K1034"/>
  <c r="I1039"/>
  <c r="K1626"/>
  <c r="I1631"/>
  <c r="I1626"/>
  <c r="K1631"/>
  <c r="AF1212" i="1"/>
  <c r="K1404" i="10"/>
  <c r="I1409"/>
  <c r="K1409"/>
  <c r="I1404"/>
  <c r="I1330"/>
  <c r="I1335"/>
  <c r="K1335"/>
  <c r="K1330"/>
  <c r="I217"/>
  <c r="I222"/>
  <c r="K217"/>
  <c r="K222"/>
  <c r="K743"/>
  <c r="I743"/>
  <c r="I738"/>
  <c r="K738"/>
  <c r="AF1080" i="1"/>
  <c r="K1859" i="10"/>
  <c r="I1859"/>
  <c r="K1848"/>
  <c r="K1853"/>
  <c r="I1848"/>
  <c r="I1853"/>
  <c r="AF1044" i="1"/>
  <c r="I1261" i="10"/>
  <c r="K1261"/>
  <c r="K669"/>
  <c r="K664"/>
  <c r="I664"/>
  <c r="K291"/>
  <c r="I296"/>
  <c r="I669"/>
  <c r="K296"/>
  <c r="I291"/>
  <c r="I891"/>
  <c r="K891"/>
  <c r="K886"/>
  <c r="I886"/>
  <c r="I971"/>
  <c r="K960"/>
  <c r="I960"/>
  <c r="K971"/>
  <c r="AF1016" i="1"/>
  <c r="I1927" i="10"/>
  <c r="K1927"/>
  <c r="L812"/>
  <c r="L823"/>
  <c r="I823"/>
  <c r="AF1250" i="1"/>
  <c r="L1779" i="10"/>
  <c r="L370"/>
  <c r="AF1242" i="1"/>
  <c r="L1859" i="10"/>
  <c r="L302"/>
  <c r="L1341"/>
  <c r="L1330"/>
  <c r="L228"/>
  <c r="L217"/>
  <c r="L960"/>
  <c r="L971"/>
  <c r="F117"/>
  <c r="N1982"/>
  <c r="S580"/>
  <c r="S662"/>
  <c r="S588"/>
  <c r="S736"/>
  <c r="S1328"/>
  <c r="S1254"/>
  <c r="S1394"/>
  <c r="S1692"/>
  <c r="S1688"/>
  <c r="S80"/>
  <c r="V2010"/>
  <c r="V1987"/>
  <c r="S1862"/>
  <c r="S1839"/>
  <c r="U1788"/>
  <c r="U1765"/>
  <c r="V1714"/>
  <c r="V1691"/>
  <c r="S1566"/>
  <c r="S1543"/>
  <c r="U1492"/>
  <c r="U1469"/>
  <c r="V1418"/>
  <c r="V1395"/>
  <c r="S1270"/>
  <c r="S1247"/>
  <c r="U1196"/>
  <c r="U1173"/>
  <c r="U2010"/>
  <c r="S1936"/>
  <c r="V1913"/>
  <c r="U1839"/>
  <c r="V1788"/>
  <c r="S1691"/>
  <c r="U1640"/>
  <c r="V1543"/>
  <c r="U1395"/>
  <c r="V1344"/>
  <c r="S1321"/>
  <c r="U1270"/>
  <c r="S1173"/>
  <c r="U1122"/>
  <c r="U1099"/>
  <c r="V1048"/>
  <c r="V1025"/>
  <c r="S900"/>
  <c r="S877"/>
  <c r="U826"/>
  <c r="U803"/>
  <c r="V752"/>
  <c r="V729"/>
  <c r="U1913"/>
  <c r="V1862"/>
  <c r="S1788"/>
  <c r="V1765"/>
  <c r="U1714"/>
  <c r="S1640"/>
  <c r="V1617"/>
  <c r="U1543"/>
  <c r="V1492"/>
  <c r="S1395"/>
  <c r="U1344"/>
  <c r="V1247"/>
  <c r="S1122"/>
  <c r="S1099"/>
  <c r="U1048"/>
  <c r="U1025"/>
  <c r="V974"/>
  <c r="V951"/>
  <c r="S2010"/>
  <c r="U1987"/>
  <c r="V1839"/>
  <c r="U1691"/>
  <c r="V1469"/>
  <c r="U1321"/>
  <c r="V1173"/>
  <c r="V1122"/>
  <c r="V900"/>
  <c r="S826"/>
  <c r="V803"/>
  <c r="U752"/>
  <c r="S678"/>
  <c r="V655"/>
  <c r="S604"/>
  <c r="S581"/>
  <c r="S585" s="1"/>
  <c r="U527"/>
  <c r="U504"/>
  <c r="V453"/>
  <c r="V430"/>
  <c r="S305"/>
  <c r="S282"/>
  <c r="U231"/>
  <c r="U208"/>
  <c r="S1987"/>
  <c r="V1936"/>
  <c r="S1913"/>
  <c r="S1765"/>
  <c r="U1617"/>
  <c r="S1469"/>
  <c r="U1418"/>
  <c r="U1247"/>
  <c r="U974"/>
  <c r="U951"/>
  <c r="U900"/>
  <c r="S803"/>
  <c r="S752"/>
  <c r="U655"/>
  <c r="S527"/>
  <c r="S504"/>
  <c r="U453"/>
  <c r="U430"/>
  <c r="V379"/>
  <c r="V356"/>
  <c r="S231"/>
  <c r="S208"/>
  <c r="S157"/>
  <c r="S134"/>
  <c r="U1936"/>
  <c r="U1862"/>
  <c r="S1714"/>
  <c r="V1640"/>
  <c r="S1617"/>
  <c r="V1566"/>
  <c r="S1418"/>
  <c r="S1344"/>
  <c r="V1270"/>
  <c r="V1196"/>
  <c r="S1025"/>
  <c r="S974"/>
  <c r="S951"/>
  <c r="V877"/>
  <c r="U729"/>
  <c r="S1196"/>
  <c r="U877"/>
  <c r="U379"/>
  <c r="U356"/>
  <c r="V305"/>
  <c r="V282"/>
  <c r="V208"/>
  <c r="U157"/>
  <c r="U134"/>
  <c r="V1099"/>
  <c r="V678"/>
  <c r="S655"/>
  <c r="S430"/>
  <c r="S379"/>
  <c r="S356"/>
  <c r="U305"/>
  <c r="U282"/>
  <c r="V231"/>
  <c r="X8"/>
  <c r="U1566"/>
  <c r="S1048"/>
  <c r="V826"/>
  <c r="U678"/>
  <c r="V604"/>
  <c r="V581"/>
  <c r="V504"/>
  <c r="S453"/>
  <c r="S1492"/>
  <c r="V1321"/>
  <c r="S729"/>
  <c r="U604"/>
  <c r="U581"/>
  <c r="V527"/>
  <c r="V134"/>
  <c r="V157"/>
  <c r="S1705"/>
  <c r="S1631"/>
  <c r="S817"/>
  <c r="S595"/>
  <c r="S590"/>
  <c r="U80"/>
  <c r="S1113"/>
  <c r="V57"/>
  <c r="S57"/>
  <c r="U57"/>
  <c r="V80"/>
  <c r="S669"/>
  <c r="S601"/>
  <c r="S884"/>
  <c r="S958"/>
  <c r="S553"/>
  <c r="S810"/>
  <c r="S1582"/>
  <c r="S1583" s="1"/>
  <c r="S1392"/>
  <c r="S1398" s="1"/>
  <c r="S1397"/>
  <c r="S1396"/>
  <c r="S1624"/>
  <c r="S1441"/>
  <c r="S1550"/>
  <c r="S1772"/>
  <c r="S1148"/>
  <c r="S64"/>
  <c r="S547"/>
  <c r="S546"/>
  <c r="S549"/>
  <c r="S550" s="1"/>
  <c r="S1476"/>
  <c r="S1032"/>
  <c r="S1468"/>
  <c r="S1473" s="1"/>
  <c r="S1690"/>
  <c r="S1695" s="1"/>
  <c r="S1656"/>
  <c r="S1657"/>
  <c r="S1659"/>
  <c r="S1994"/>
  <c r="S1920"/>
  <c r="S1846"/>
  <c r="S1698"/>
  <c r="S1180"/>
  <c r="S578"/>
  <c r="S584" s="1"/>
  <c r="S586" s="1"/>
  <c r="S582"/>
  <c r="S1106"/>
  <c r="S1402"/>
  <c r="S1471"/>
  <c r="S1466"/>
  <c r="S1472" s="1"/>
  <c r="S1474" s="1"/>
  <c r="S1470"/>
  <c r="S1645"/>
  <c r="S1646" s="1"/>
  <c r="T1646" s="1"/>
  <c r="T1644"/>
  <c r="S1650"/>
  <c r="S1651"/>
  <c r="S1652"/>
  <c r="S1814"/>
  <c r="S32"/>
  <c r="N1676"/>
  <c r="F118"/>
  <c r="F119" s="1"/>
  <c r="L2006"/>
  <c r="N1686"/>
  <c r="N1654"/>
  <c r="L1710"/>
  <c r="I1654"/>
  <c r="N1710"/>
  <c r="K1710"/>
  <c r="I1710"/>
  <c r="I1586"/>
  <c r="S1586"/>
  <c r="L1414"/>
  <c r="L1266"/>
  <c r="L153"/>
  <c r="L1118"/>
  <c r="L970"/>
  <c r="L1044"/>
  <c r="L748"/>
  <c r="L606"/>
  <c r="K600"/>
  <c r="L449"/>
  <c r="AF1094" i="1"/>
  <c r="AF1014"/>
  <c r="AF1227"/>
  <c r="AF1256"/>
  <c r="AF1226"/>
  <c r="AF1013"/>
  <c r="AF1255"/>
  <c r="AF1048"/>
  <c r="AF1028"/>
  <c r="AF1144"/>
  <c r="AF1112"/>
  <c r="AF1100"/>
  <c r="AF1040"/>
  <c r="AF1032"/>
  <c r="AF1258"/>
  <c r="AF1230"/>
  <c r="AF1099"/>
  <c r="AF1039"/>
  <c r="AF1241"/>
  <c r="AF1237"/>
  <c r="AF1225"/>
  <c r="AF1054"/>
  <c r="AF1010"/>
  <c r="AF1260"/>
  <c r="AF1252"/>
  <c r="AF1232"/>
  <c r="I88" i="8" s="1"/>
  <c r="AF1185" i="1"/>
  <c r="AF1105"/>
  <c r="AF1025"/>
  <c r="AF1231"/>
  <c r="AF1223"/>
  <c r="AF1041"/>
  <c r="J194" i="5"/>
  <c r="J195"/>
  <c r="O1970" i="10" s="1"/>
  <c r="J193" i="5"/>
  <c r="J162"/>
  <c r="J158"/>
  <c r="J159"/>
  <c r="O1674" i="10" s="1"/>
  <c r="J157" i="5"/>
  <c r="K9"/>
  <c r="K7"/>
  <c r="K9" i="4"/>
  <c r="K7"/>
  <c r="I100" i="8"/>
  <c r="I52"/>
  <c r="AF1009" i="1"/>
  <c r="I70" i="8" s="1"/>
  <c r="F43"/>
  <c r="I43" s="1"/>
  <c r="F17"/>
  <c r="F61"/>
  <c r="F85"/>
  <c r="F91"/>
  <c r="I91" s="1"/>
  <c r="F97"/>
  <c r="F46"/>
  <c r="F79"/>
  <c r="F73"/>
  <c r="F55"/>
  <c r="F67"/>
  <c r="F49"/>
  <c r="F39"/>
  <c r="F9"/>
  <c r="K7"/>
  <c r="L9"/>
  <c r="K9"/>
  <c r="I114" i="13" l="1"/>
  <c r="I42"/>
  <c r="I90"/>
  <c r="I66"/>
  <c r="S1114" i="10"/>
  <c r="S1115" s="1"/>
  <c r="S1116"/>
  <c r="S598"/>
  <c r="S596"/>
  <c r="S597"/>
  <c r="S1632"/>
  <c r="S1633" s="1"/>
  <c r="S1634"/>
  <c r="S1635" s="1"/>
  <c r="S1706"/>
  <c r="S1707"/>
  <c r="S1708"/>
  <c r="S1709" s="1"/>
  <c r="S1710" s="1"/>
  <c r="S1694"/>
  <c r="S1696" s="1"/>
  <c r="L972"/>
  <c r="L975" s="1"/>
  <c r="L963" s="1"/>
  <c r="L973"/>
  <c r="L976" s="1"/>
  <c r="L1331"/>
  <c r="L1332" s="1"/>
  <c r="J823"/>
  <c r="I824"/>
  <c r="I827" s="1"/>
  <c r="I825"/>
  <c r="I828" s="1"/>
  <c r="K961"/>
  <c r="K962" s="1"/>
  <c r="J291"/>
  <c r="I292"/>
  <c r="I293" s="1"/>
  <c r="I299"/>
  <c r="I300" s="1"/>
  <c r="I297"/>
  <c r="I298" s="1"/>
  <c r="J296"/>
  <c r="I665"/>
  <c r="I666" s="1"/>
  <c r="J664"/>
  <c r="K1849"/>
  <c r="K1850" s="1"/>
  <c r="K218"/>
  <c r="K219" s="1"/>
  <c r="K1331"/>
  <c r="K1332" s="1"/>
  <c r="J1404"/>
  <c r="I1405"/>
  <c r="I1406" s="1"/>
  <c r="K1634"/>
  <c r="K1635" s="1"/>
  <c r="K1629" s="1"/>
  <c r="K1632"/>
  <c r="K1633" s="1"/>
  <c r="K1627"/>
  <c r="K1628" s="1"/>
  <c r="K1040"/>
  <c r="K1041" s="1"/>
  <c r="K1042"/>
  <c r="J1563"/>
  <c r="I1564"/>
  <c r="I1567" s="1"/>
  <c r="I1565"/>
  <c r="I1568" s="1"/>
  <c r="L78"/>
  <c r="L79" s="1"/>
  <c r="L82" s="1"/>
  <c r="L81"/>
  <c r="L67"/>
  <c r="L68" s="1"/>
  <c r="L1775"/>
  <c r="L1776" s="1"/>
  <c r="K155"/>
  <c r="K156" s="1"/>
  <c r="K159" s="1"/>
  <c r="K158"/>
  <c r="I1257"/>
  <c r="I1258" s="1"/>
  <c r="J1258" s="1"/>
  <c r="J1256"/>
  <c r="J812"/>
  <c r="I813"/>
  <c r="I814" s="1"/>
  <c r="J814" s="1"/>
  <c r="I820"/>
  <c r="I821" s="1"/>
  <c r="I815" s="1"/>
  <c r="I816" s="1"/>
  <c r="I818"/>
  <c r="I819" s="1"/>
  <c r="J817"/>
  <c r="K813"/>
  <c r="K814" s="1"/>
  <c r="I898"/>
  <c r="I901" s="1"/>
  <c r="J897"/>
  <c r="K898"/>
  <c r="K899" s="1"/>
  <c r="K901"/>
  <c r="K902" s="1"/>
  <c r="K445"/>
  <c r="K446" s="1"/>
  <c r="K447"/>
  <c r="J1483"/>
  <c r="I1486"/>
  <c r="I1487" s="1"/>
  <c r="I1481" s="1"/>
  <c r="I1484"/>
  <c r="I1485" s="1"/>
  <c r="K1109"/>
  <c r="K1110" s="1"/>
  <c r="J1119"/>
  <c r="I1120"/>
  <c r="I1123" s="1"/>
  <c r="J1182"/>
  <c r="I1183"/>
  <c r="I1184" s="1"/>
  <c r="K1183"/>
  <c r="K1184" s="1"/>
  <c r="K1416"/>
  <c r="K1419" s="1"/>
  <c r="K1417"/>
  <c r="K1420" s="1"/>
  <c r="I1712"/>
  <c r="I1713" s="1"/>
  <c r="J1711"/>
  <c r="L155"/>
  <c r="L156" s="1"/>
  <c r="L159" s="1"/>
  <c r="L158"/>
  <c r="L146" s="1"/>
  <c r="L1046"/>
  <c r="L1049" s="1"/>
  <c r="L1037" s="1"/>
  <c r="L1047"/>
  <c r="L1050" s="1"/>
  <c r="K74"/>
  <c r="K75" s="1"/>
  <c r="K72"/>
  <c r="K73" s="1"/>
  <c r="I1923"/>
  <c r="I1924" s="1"/>
  <c r="J1922"/>
  <c r="K1775"/>
  <c r="K1776" s="1"/>
  <c r="K1780"/>
  <c r="K1781" s="1"/>
  <c r="K1782"/>
  <c r="K1783" s="1"/>
  <c r="I1775"/>
  <c r="I1776" s="1"/>
  <c r="J1776" s="1"/>
  <c r="J1774"/>
  <c r="K1786"/>
  <c r="K1789" s="1"/>
  <c r="K1787"/>
  <c r="K1790" s="1"/>
  <c r="K2004"/>
  <c r="K2005" s="1"/>
  <c r="K2002"/>
  <c r="K2003" s="1"/>
  <c r="L72"/>
  <c r="L73" s="1"/>
  <c r="L74"/>
  <c r="L75" s="1"/>
  <c r="L297"/>
  <c r="L298" s="1"/>
  <c r="L299"/>
  <c r="L676"/>
  <c r="L677" s="1"/>
  <c r="L679"/>
  <c r="L680" s="1"/>
  <c r="I97" i="8"/>
  <c r="J592" i="10"/>
  <c r="J515"/>
  <c r="S591"/>
  <c r="T590"/>
  <c r="S592"/>
  <c r="L961"/>
  <c r="L962" s="1"/>
  <c r="L1342"/>
  <c r="L1343" s="1"/>
  <c r="L1345"/>
  <c r="L1346" s="1"/>
  <c r="L373"/>
  <c r="L374" s="1"/>
  <c r="L371"/>
  <c r="L372" s="1"/>
  <c r="L824"/>
  <c r="L825" s="1"/>
  <c r="L827"/>
  <c r="K1930"/>
  <c r="K1931" s="1"/>
  <c r="K1928"/>
  <c r="K1929" s="1"/>
  <c r="J971"/>
  <c r="I972"/>
  <c r="I975" s="1"/>
  <c r="J891"/>
  <c r="I894"/>
  <c r="I892"/>
  <c r="I893" s="1"/>
  <c r="K297"/>
  <c r="K298" s="1"/>
  <c r="K299"/>
  <c r="K292"/>
  <c r="K293" s="1"/>
  <c r="K665"/>
  <c r="K666" s="1"/>
  <c r="I1849"/>
  <c r="I1850" s="1"/>
  <c r="J1848"/>
  <c r="J738"/>
  <c r="I739"/>
  <c r="I740" s="1"/>
  <c r="I225"/>
  <c r="I223"/>
  <c r="I224" s="1"/>
  <c r="J222"/>
  <c r="I218"/>
  <c r="I219" s="1"/>
  <c r="J217"/>
  <c r="J1335"/>
  <c r="I1338"/>
  <c r="I1339" s="1"/>
  <c r="I1336"/>
  <c r="I1337" s="1"/>
  <c r="I1042"/>
  <c r="I1043" s="1"/>
  <c r="I1040"/>
  <c r="I1041" s="1"/>
  <c r="J1039"/>
  <c r="L377"/>
  <c r="L378" s="1"/>
  <c r="L380"/>
  <c r="L381" s="1"/>
  <c r="L1923"/>
  <c r="L1924" s="1"/>
  <c r="L670"/>
  <c r="L671" s="1"/>
  <c r="L672"/>
  <c r="L673" s="1"/>
  <c r="L667" s="1"/>
  <c r="I155"/>
  <c r="I158" s="1"/>
  <c r="J154"/>
  <c r="K78"/>
  <c r="K79" s="1"/>
  <c r="K67"/>
  <c r="K68"/>
  <c r="K1268"/>
  <c r="K1271" s="1"/>
  <c r="I67"/>
  <c r="I68"/>
  <c r="J66"/>
  <c r="K820"/>
  <c r="K821" s="1"/>
  <c r="K815" s="1"/>
  <c r="K816" s="1"/>
  <c r="K818"/>
  <c r="K819" s="1"/>
  <c r="K1484"/>
  <c r="K1485" s="1"/>
  <c r="K1486"/>
  <c r="K1487" s="1"/>
  <c r="K1481" s="1"/>
  <c r="I303"/>
  <c r="I304" s="1"/>
  <c r="J302"/>
  <c r="K676"/>
  <c r="K679" s="1"/>
  <c r="K677"/>
  <c r="K680" s="1"/>
  <c r="I1046"/>
  <c r="I1047" s="1"/>
  <c r="J1045"/>
  <c r="I229"/>
  <c r="I230" s="1"/>
  <c r="J228"/>
  <c r="I1188"/>
  <c r="I1189" s="1"/>
  <c r="J1187"/>
  <c r="I1190"/>
  <c r="I1191" s="1"/>
  <c r="I1416"/>
  <c r="I1417" s="1"/>
  <c r="J1415"/>
  <c r="I1419"/>
  <c r="I1420" s="1"/>
  <c r="I1701"/>
  <c r="I1702" s="1"/>
  <c r="J1702" s="1"/>
  <c r="J1700"/>
  <c r="L898"/>
  <c r="L901" s="1"/>
  <c r="L889" s="1"/>
  <c r="L1257"/>
  <c r="L1258" s="1"/>
  <c r="K366"/>
  <c r="K367" s="1"/>
  <c r="I366"/>
  <c r="I367" s="1"/>
  <c r="J365"/>
  <c r="K1560"/>
  <c r="K1558"/>
  <c r="K1559" s="1"/>
  <c r="K1553"/>
  <c r="K1554" s="1"/>
  <c r="K377"/>
  <c r="K378" s="1"/>
  <c r="K380"/>
  <c r="K381" s="1"/>
  <c r="J1933"/>
  <c r="I1934"/>
  <c r="I1937" s="1"/>
  <c r="J965"/>
  <c r="I968"/>
  <c r="I969" s="1"/>
  <c r="I963" s="1"/>
  <c r="I966"/>
  <c r="I967" s="1"/>
  <c r="I2004"/>
  <c r="I2002"/>
  <c r="I2003" s="1"/>
  <c r="J2001"/>
  <c r="L1183"/>
  <c r="L1184" s="1"/>
  <c r="L223"/>
  <c r="L224" s="1"/>
  <c r="L225"/>
  <c r="L226" s="1"/>
  <c r="L292"/>
  <c r="L293" s="1"/>
  <c r="S1653"/>
  <c r="S818"/>
  <c r="S819" s="1"/>
  <c r="S820"/>
  <c r="L218"/>
  <c r="L219" s="1"/>
  <c r="L303"/>
  <c r="L304" s="1"/>
  <c r="L306"/>
  <c r="L307" s="1"/>
  <c r="L1782"/>
  <c r="L1783" s="1"/>
  <c r="L1780"/>
  <c r="L1781" s="1"/>
  <c r="L813"/>
  <c r="L814" s="1"/>
  <c r="I1930"/>
  <c r="I1931" s="1"/>
  <c r="I1925" s="1"/>
  <c r="I1926" s="1"/>
  <c r="I1928"/>
  <c r="I1929" s="1"/>
  <c r="I1932" s="1"/>
  <c r="J1927"/>
  <c r="K972"/>
  <c r="K975" s="1"/>
  <c r="K973"/>
  <c r="K976" s="1"/>
  <c r="J886"/>
  <c r="I887"/>
  <c r="I888" s="1"/>
  <c r="K887"/>
  <c r="K888" s="1"/>
  <c r="I672"/>
  <c r="I673" s="1"/>
  <c r="I670"/>
  <c r="I671" s="1"/>
  <c r="J669"/>
  <c r="K672"/>
  <c r="K673" s="1"/>
  <c r="K667" s="1"/>
  <c r="K668" s="1"/>
  <c r="K670"/>
  <c r="K671" s="1"/>
  <c r="K1262"/>
  <c r="K1263" s="1"/>
  <c r="K1264"/>
  <c r="K1265" s="1"/>
  <c r="K1259" s="1"/>
  <c r="I1262"/>
  <c r="I1263" s="1"/>
  <c r="J1261"/>
  <c r="I1264"/>
  <c r="J1853"/>
  <c r="I1856"/>
  <c r="I1857" s="1"/>
  <c r="I1854"/>
  <c r="I1855" s="1"/>
  <c r="K1856"/>
  <c r="K1854"/>
  <c r="K1855" s="1"/>
  <c r="J1859"/>
  <c r="I1860"/>
  <c r="I1863" s="1"/>
  <c r="K1860"/>
  <c r="K1861" s="1"/>
  <c r="K1863"/>
  <c r="K1864" s="1"/>
  <c r="I744"/>
  <c r="I745" s="1"/>
  <c r="J743"/>
  <c r="I746"/>
  <c r="K225"/>
  <c r="K223"/>
  <c r="K224" s="1"/>
  <c r="K1410"/>
  <c r="K1411" s="1"/>
  <c r="K1412"/>
  <c r="K1413" s="1"/>
  <c r="K1407" s="1"/>
  <c r="J1631"/>
  <c r="I1632"/>
  <c r="I1633" s="1"/>
  <c r="I1634"/>
  <c r="K1035"/>
  <c r="K1036" s="1"/>
  <c r="I1035"/>
  <c r="I1036" s="1"/>
  <c r="J1034"/>
  <c r="K1564"/>
  <c r="K1565" s="1"/>
  <c r="K1567"/>
  <c r="K1568" s="1"/>
  <c r="L366"/>
  <c r="L367" s="1"/>
  <c r="L1934"/>
  <c r="L1935" s="1"/>
  <c r="L1937"/>
  <c r="L1925" s="1"/>
  <c r="L1926" s="1"/>
  <c r="L665"/>
  <c r="L666" s="1"/>
  <c r="K1257"/>
  <c r="K1258" s="1"/>
  <c r="I78"/>
  <c r="I79"/>
  <c r="I81"/>
  <c r="J77"/>
  <c r="J444"/>
  <c r="I447"/>
  <c r="I445"/>
  <c r="I446" s="1"/>
  <c r="J439"/>
  <c r="I440"/>
  <c r="I441" s="1"/>
  <c r="K303"/>
  <c r="K304" s="1"/>
  <c r="K306"/>
  <c r="K307" s="1"/>
  <c r="K229"/>
  <c r="K232" s="1"/>
  <c r="K230"/>
  <c r="K233" s="1"/>
  <c r="J1341"/>
  <c r="I1342"/>
  <c r="I1345" s="1"/>
  <c r="I750"/>
  <c r="I753" s="1"/>
  <c r="J749"/>
  <c r="I751"/>
  <c r="I754" s="1"/>
  <c r="L1120"/>
  <c r="L1123" s="1"/>
  <c r="L1111" s="1"/>
  <c r="L1121"/>
  <c r="L1124" s="1"/>
  <c r="L1712"/>
  <c r="L1713" s="1"/>
  <c r="L1715"/>
  <c r="L887"/>
  <c r="L888" s="1"/>
  <c r="L1268"/>
  <c r="L1271" s="1"/>
  <c r="L1259" s="1"/>
  <c r="L1260" s="1"/>
  <c r="L1269"/>
  <c r="L1272" s="1"/>
  <c r="I373"/>
  <c r="I374" s="1"/>
  <c r="I371"/>
  <c r="I372" s="1"/>
  <c r="J370"/>
  <c r="I1558"/>
  <c r="I1559" s="1"/>
  <c r="J1557"/>
  <c r="I1560"/>
  <c r="I72"/>
  <c r="I74"/>
  <c r="I75" s="1"/>
  <c r="I69" s="1"/>
  <c r="I70" s="1"/>
  <c r="I73"/>
  <c r="J71"/>
  <c r="I377"/>
  <c r="I378" s="1"/>
  <c r="J376"/>
  <c r="I380"/>
  <c r="I381" s="1"/>
  <c r="K1934"/>
  <c r="K1937" s="1"/>
  <c r="K1935"/>
  <c r="K1938" s="1"/>
  <c r="K966"/>
  <c r="K967" s="1"/>
  <c r="K968"/>
  <c r="I1786"/>
  <c r="I1789" s="1"/>
  <c r="J1785"/>
  <c r="I1787"/>
  <c r="I1790" s="1"/>
  <c r="I1997"/>
  <c r="I1998" s="1"/>
  <c r="J1996"/>
  <c r="I1194"/>
  <c r="I1197" s="1"/>
  <c r="J1193"/>
  <c r="L1336"/>
  <c r="L1337" s="1"/>
  <c r="L1338"/>
  <c r="L1339" s="1"/>
  <c r="L1333" s="1"/>
  <c r="L1334" s="1"/>
  <c r="L1856"/>
  <c r="L1857" s="1"/>
  <c r="L1854"/>
  <c r="L1855" s="1"/>
  <c r="I2008"/>
  <c r="I2011" s="1"/>
  <c r="J2007"/>
  <c r="I2009"/>
  <c r="I2012" s="1"/>
  <c r="S1660"/>
  <c r="S602"/>
  <c r="S605"/>
  <c r="S603"/>
  <c r="S606" s="1"/>
  <c r="S672"/>
  <c r="S670"/>
  <c r="S671" s="1"/>
  <c r="X32"/>
  <c r="X1880"/>
  <c r="Z1806"/>
  <c r="AA1732"/>
  <c r="X1584"/>
  <c r="Z1510"/>
  <c r="AA1436"/>
  <c r="X1288"/>
  <c r="Z1214"/>
  <c r="AA1880"/>
  <c r="X1806"/>
  <c r="Z1732"/>
  <c r="X1658"/>
  <c r="AA1510"/>
  <c r="Z1362"/>
  <c r="Z1140"/>
  <c r="AA1066"/>
  <c r="X918"/>
  <c r="Z844"/>
  <c r="AA770"/>
  <c r="X622"/>
  <c r="AA1954"/>
  <c r="Z1880"/>
  <c r="X1732"/>
  <c r="AA1584"/>
  <c r="X1510"/>
  <c r="Z1436"/>
  <c r="X1362"/>
  <c r="AA1214"/>
  <c r="X1140"/>
  <c r="Z1066"/>
  <c r="AA992"/>
  <c r="X992"/>
  <c r="Z918"/>
  <c r="X770"/>
  <c r="AA622"/>
  <c r="Z548"/>
  <c r="AA471"/>
  <c r="X323"/>
  <c r="Z249"/>
  <c r="AA175"/>
  <c r="X101"/>
  <c r="AA101"/>
  <c r="X7"/>
  <c r="Z1954"/>
  <c r="AA1658"/>
  <c r="X1436"/>
  <c r="AA1362"/>
  <c r="AA1288"/>
  <c r="X1066"/>
  <c r="AA696"/>
  <c r="Z622"/>
  <c r="X548"/>
  <c r="Z471"/>
  <c r="AA397"/>
  <c r="X249"/>
  <c r="Z175"/>
  <c r="Z101"/>
  <c r="X9"/>
  <c r="X1954"/>
  <c r="AA1806"/>
  <c r="Z1658"/>
  <c r="Z1584"/>
  <c r="Z1288"/>
  <c r="X1214"/>
  <c r="AA1140"/>
  <c r="AA844"/>
  <c r="Z696"/>
  <c r="X844"/>
  <c r="X471"/>
  <c r="AA918"/>
  <c r="AA548"/>
  <c r="AA25"/>
  <c r="Z992"/>
  <c r="Z397"/>
  <c r="AA323"/>
  <c r="X175"/>
  <c r="Z770"/>
  <c r="X696"/>
  <c r="X397"/>
  <c r="Z323"/>
  <c r="AA249"/>
  <c r="X1592"/>
  <c r="X1370"/>
  <c r="X1296"/>
  <c r="Z1958"/>
  <c r="Z1959" s="1"/>
  <c r="X1884"/>
  <c r="X1919"/>
  <c r="X1740"/>
  <c r="X1666"/>
  <c r="X1222"/>
  <c r="X1000"/>
  <c r="X926"/>
  <c r="X852"/>
  <c r="X778"/>
  <c r="X704"/>
  <c r="X630"/>
  <c r="X1810"/>
  <c r="X1993"/>
  <c r="Z1884"/>
  <c r="Z1885" s="1"/>
  <c r="X1845"/>
  <c r="AA1810"/>
  <c r="AA1811" s="1"/>
  <c r="Z1736"/>
  <c r="Z1737" s="1"/>
  <c r="X1814"/>
  <c r="X1518"/>
  <c r="X1148"/>
  <c r="Z1810"/>
  <c r="Z1811" s="1"/>
  <c r="X1771"/>
  <c r="X1444"/>
  <c r="X1074"/>
  <c r="X1958"/>
  <c r="AA1884"/>
  <c r="AA1885" s="1"/>
  <c r="X556"/>
  <c r="X1736"/>
  <c r="Z1662"/>
  <c r="Z1663" s="1"/>
  <c r="X1588"/>
  <c r="X1514"/>
  <c r="Z1440"/>
  <c r="Z1441" s="1"/>
  <c r="X1393"/>
  <c r="X1962"/>
  <c r="X1888"/>
  <c r="AA1958"/>
  <c r="AA1959" s="1"/>
  <c r="X1697"/>
  <c r="AA1662"/>
  <c r="AA1663" s="1"/>
  <c r="X1649"/>
  <c r="X1613"/>
  <c r="AA1736"/>
  <c r="AA1737" s="1"/>
  <c r="AA1588"/>
  <c r="AA1589" s="1"/>
  <c r="AA1514"/>
  <c r="AA1515" s="1"/>
  <c r="X1623"/>
  <c r="Z1588"/>
  <c r="Z1589" s="1"/>
  <c r="X1615"/>
  <c r="X1391"/>
  <c r="X1144"/>
  <c r="X1662"/>
  <c r="X1575"/>
  <c r="X1317"/>
  <c r="X1440"/>
  <c r="AA1440"/>
  <c r="AA1441" s="1"/>
  <c r="Z1366"/>
  <c r="Z1367" s="1"/>
  <c r="AA1366"/>
  <c r="AA1367" s="1"/>
  <c r="X1475"/>
  <c r="X1327"/>
  <c r="Z1218"/>
  <c r="Z1219" s="1"/>
  <c r="Z1514"/>
  <c r="Z1515" s="1"/>
  <c r="X1549"/>
  <c r="X1401"/>
  <c r="X1366"/>
  <c r="X1319"/>
  <c r="X1057"/>
  <c r="AA1218"/>
  <c r="AA1219" s="1"/>
  <c r="AA996"/>
  <c r="AA997" s="1"/>
  <c r="X1179"/>
  <c r="X1070"/>
  <c r="X700"/>
  <c r="X996"/>
  <c r="Z848"/>
  <c r="Z849" s="1"/>
  <c r="AA848"/>
  <c r="AA849" s="1"/>
  <c r="X1292"/>
  <c r="X1253"/>
  <c r="Z1144"/>
  <c r="Z1145" s="1"/>
  <c r="X1105"/>
  <c r="AA1292"/>
  <c r="AA1293" s="1"/>
  <c r="Z1292"/>
  <c r="Z1293" s="1"/>
  <c r="X1218"/>
  <c r="AA1070"/>
  <c r="AA1071" s="1"/>
  <c r="X1031"/>
  <c r="X957"/>
  <c r="AA922"/>
  <c r="AA923" s="1"/>
  <c r="X809"/>
  <c r="AA700"/>
  <c r="AA701" s="1"/>
  <c r="X554"/>
  <c r="Z922"/>
  <c r="Z923" s="1"/>
  <c r="X883"/>
  <c r="X539"/>
  <c r="X587"/>
  <c r="X545"/>
  <c r="Z700"/>
  <c r="Z701" s="1"/>
  <c r="X735"/>
  <c r="X569"/>
  <c r="X534"/>
  <c r="X661"/>
  <c r="AA475"/>
  <c r="AA476" s="1"/>
  <c r="AA253"/>
  <c r="AA254" s="1"/>
  <c r="X105"/>
  <c r="Z253"/>
  <c r="Z254" s="1"/>
  <c r="AA179"/>
  <c r="AA180" s="1"/>
  <c r="X179"/>
  <c r="Z25"/>
  <c r="X761"/>
  <c r="Z1070"/>
  <c r="Z1071" s="1"/>
  <c r="Z996"/>
  <c r="Z997" s="1"/>
  <c r="X848"/>
  <c r="X579"/>
  <c r="X552"/>
  <c r="Z626"/>
  <c r="Z627" s="1"/>
  <c r="Z552"/>
  <c r="Z553" s="1"/>
  <c r="AA1144"/>
  <c r="AA1145" s="1"/>
  <c r="X559"/>
  <c r="X613"/>
  <c r="X401"/>
  <c r="Z179"/>
  <c r="Z180" s="1"/>
  <c r="Z29"/>
  <c r="Z30" s="1"/>
  <c r="X922"/>
  <c r="AA626"/>
  <c r="AA627" s="1"/>
  <c r="AA552"/>
  <c r="AA553" s="1"/>
  <c r="Z475"/>
  <c r="Z476" s="1"/>
  <c r="AA401"/>
  <c r="AA402" s="1"/>
  <c r="X327"/>
  <c r="X25"/>
  <c r="Z105"/>
  <c r="Z106" s="1"/>
  <c r="AA105"/>
  <c r="AA106" s="1"/>
  <c r="X774"/>
  <c r="AA327"/>
  <c r="AA328" s="1"/>
  <c r="Z401"/>
  <c r="Z402" s="1"/>
  <c r="Z327"/>
  <c r="Z328" s="1"/>
  <c r="X29"/>
  <c r="AA29"/>
  <c r="AA30" s="1"/>
  <c r="X63"/>
  <c r="X253"/>
  <c r="Z774"/>
  <c r="Z775" s="1"/>
  <c r="AA774"/>
  <c r="AA775" s="1"/>
  <c r="X567"/>
  <c r="X577"/>
  <c r="X626"/>
  <c r="X475"/>
  <c r="S1399"/>
  <c r="S1400" s="1"/>
  <c r="L229"/>
  <c r="L232" s="1"/>
  <c r="L1860"/>
  <c r="L1861" s="1"/>
  <c r="L1863"/>
  <c r="L1864" s="1"/>
  <c r="J960"/>
  <c r="I961"/>
  <c r="I962" s="1"/>
  <c r="K894"/>
  <c r="K895" s="1"/>
  <c r="K889" s="1"/>
  <c r="K890" s="1"/>
  <c r="K892"/>
  <c r="K893" s="1"/>
  <c r="K739"/>
  <c r="K740" s="1"/>
  <c r="K744"/>
  <c r="K745" s="1"/>
  <c r="K746"/>
  <c r="K747" s="1"/>
  <c r="K1338"/>
  <c r="K1339" s="1"/>
  <c r="K1336"/>
  <c r="K1337" s="1"/>
  <c r="J1330"/>
  <c r="I1331"/>
  <c r="I1332" s="1"/>
  <c r="I1410"/>
  <c r="I1411" s="1"/>
  <c r="J1409"/>
  <c r="I1412"/>
  <c r="I1413" s="1"/>
  <c r="I1407" s="1"/>
  <c r="I1408" s="1"/>
  <c r="K1405"/>
  <c r="K1406" s="1"/>
  <c r="J1626"/>
  <c r="I1627"/>
  <c r="I1628" s="1"/>
  <c r="L750"/>
  <c r="L751" s="1"/>
  <c r="L739"/>
  <c r="L740" s="1"/>
  <c r="L1786"/>
  <c r="L1787" s="1"/>
  <c r="K144"/>
  <c r="K145" s="1"/>
  <c r="I144"/>
  <c r="I145" s="1"/>
  <c r="J143"/>
  <c r="J1267"/>
  <c r="I1268"/>
  <c r="I1269" s="1"/>
  <c r="I151"/>
  <c r="I149"/>
  <c r="I150"/>
  <c r="J148"/>
  <c r="K151"/>
  <c r="K152" s="1"/>
  <c r="K146" s="1"/>
  <c r="K149"/>
  <c r="K150" s="1"/>
  <c r="K440"/>
  <c r="K441" s="1"/>
  <c r="I1479"/>
  <c r="I1480" s="1"/>
  <c r="J1478"/>
  <c r="K1479"/>
  <c r="K1480" s="1"/>
  <c r="I676"/>
  <c r="I677" s="1"/>
  <c r="J675"/>
  <c r="K1046"/>
  <c r="K1047" s="1"/>
  <c r="K1114"/>
  <c r="K1115" s="1"/>
  <c r="K1116"/>
  <c r="I1116"/>
  <c r="I1117" s="1"/>
  <c r="I1111" s="1"/>
  <c r="I1114"/>
  <c r="I1115" s="1"/>
  <c r="J1113"/>
  <c r="J1108"/>
  <c r="I1109"/>
  <c r="I1110" s="1"/>
  <c r="J1110" s="1"/>
  <c r="K1342"/>
  <c r="K1343" s="1"/>
  <c r="K750"/>
  <c r="K753" s="1"/>
  <c r="L1109"/>
  <c r="L1110" s="1"/>
  <c r="K1190"/>
  <c r="K1188"/>
  <c r="K1189" s="1"/>
  <c r="L1701"/>
  <c r="L1702" s="1"/>
  <c r="L144"/>
  <c r="L145" s="1"/>
  <c r="L1035"/>
  <c r="L1036" s="1"/>
  <c r="K371"/>
  <c r="K372" s="1"/>
  <c r="K373"/>
  <c r="K374" s="1"/>
  <c r="K368" s="1"/>
  <c r="K369" s="1"/>
  <c r="J1552"/>
  <c r="I1553"/>
  <c r="I1554" s="1"/>
  <c r="K1923"/>
  <c r="K1924" s="1"/>
  <c r="J1779"/>
  <c r="I1782"/>
  <c r="I1780"/>
  <c r="I1781" s="1"/>
  <c r="K1997"/>
  <c r="K1998" s="1"/>
  <c r="L1194"/>
  <c r="L1197" s="1"/>
  <c r="L1185" s="1"/>
  <c r="L1849"/>
  <c r="L1850" s="1"/>
  <c r="K2008"/>
  <c r="K2009" s="1"/>
  <c r="F120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I55" i="8"/>
  <c r="I21"/>
  <c r="I58"/>
  <c r="I73"/>
  <c r="I76"/>
  <c r="I29"/>
  <c r="I79"/>
  <c r="I94"/>
  <c r="I25"/>
  <c r="I67"/>
  <c r="I46"/>
  <c r="I61"/>
  <c r="I85"/>
  <c r="I33"/>
  <c r="K37"/>
  <c r="L37"/>
  <c r="I82"/>
  <c r="I49"/>
  <c r="I64"/>
  <c r="L8" i="5"/>
  <c r="K25"/>
  <c r="K26" s="1"/>
  <c r="L8" i="4"/>
  <c r="I13" i="8"/>
  <c r="I17"/>
  <c r="L100"/>
  <c r="L97"/>
  <c r="L94"/>
  <c r="L91"/>
  <c r="L88"/>
  <c r="L85"/>
  <c r="L82"/>
  <c r="L79"/>
  <c r="L76"/>
  <c r="L73"/>
  <c r="L70"/>
  <c r="L67"/>
  <c r="L64"/>
  <c r="L61"/>
  <c r="L58"/>
  <c r="L55"/>
  <c r="L52"/>
  <c r="L49"/>
  <c r="L46"/>
  <c r="K100"/>
  <c r="K97"/>
  <c r="K94"/>
  <c r="K91"/>
  <c r="K88"/>
  <c r="K85"/>
  <c r="K82"/>
  <c r="K79"/>
  <c r="K76"/>
  <c r="K73"/>
  <c r="K70"/>
  <c r="K67"/>
  <c r="K64"/>
  <c r="K61"/>
  <c r="K58"/>
  <c r="K55"/>
  <c r="K52"/>
  <c r="K49"/>
  <c r="K46"/>
  <c r="K43"/>
  <c r="L43"/>
  <c r="K29"/>
  <c r="K25"/>
  <c r="K21"/>
  <c r="K33"/>
  <c r="L29"/>
  <c r="L25"/>
  <c r="L21"/>
  <c r="L33"/>
  <c r="K17"/>
  <c r="L13"/>
  <c r="L17"/>
  <c r="K13"/>
  <c r="E9" i="3"/>
  <c r="C5"/>
  <c r="J8"/>
  <c r="K375" i="10" l="1"/>
  <c r="K751"/>
  <c r="K754" s="1"/>
  <c r="I1118"/>
  <c r="K1049"/>
  <c r="K1050" s="1"/>
  <c r="J1480"/>
  <c r="I1271"/>
  <c r="I1272" s="1"/>
  <c r="L1789"/>
  <c r="L1790" s="1"/>
  <c r="K896"/>
  <c r="X568"/>
  <c r="X572"/>
  <c r="X573"/>
  <c r="X64"/>
  <c r="X328"/>
  <c r="X326"/>
  <c r="X616"/>
  <c r="X617" s="1"/>
  <c r="X614"/>
  <c r="X615" s="1"/>
  <c r="X847"/>
  <c r="X849"/>
  <c r="X535"/>
  <c r="X536"/>
  <c r="Y534"/>
  <c r="X571"/>
  <c r="X575" s="1"/>
  <c r="X570"/>
  <c r="X1071"/>
  <c r="X1069"/>
  <c r="X1616"/>
  <c r="X1624"/>
  <c r="X1589"/>
  <c r="X1587"/>
  <c r="X1920"/>
  <c r="X80"/>
  <c r="X1936"/>
  <c r="X1913"/>
  <c r="Z1862"/>
  <c r="Z1839"/>
  <c r="AA1788"/>
  <c r="AA1765"/>
  <c r="X1640"/>
  <c r="X1617"/>
  <c r="Z1566"/>
  <c r="Z1543"/>
  <c r="AA1492"/>
  <c r="AA1469"/>
  <c r="X1344"/>
  <c r="X1321"/>
  <c r="Z1270"/>
  <c r="Z1247"/>
  <c r="AA1196"/>
  <c r="AA1173"/>
  <c r="AA2010"/>
  <c r="AA1987"/>
  <c r="Z1987"/>
  <c r="AA1936"/>
  <c r="X1862"/>
  <c r="X1765"/>
  <c r="X1714"/>
  <c r="AA1691"/>
  <c r="Z1617"/>
  <c r="AA1566"/>
  <c r="X1492"/>
  <c r="Z1469"/>
  <c r="Z1418"/>
  <c r="AA1321"/>
  <c r="X1247"/>
  <c r="Z1196"/>
  <c r="AA1122"/>
  <c r="AA1099"/>
  <c r="X974"/>
  <c r="X951"/>
  <c r="Z900"/>
  <c r="Z877"/>
  <c r="AA826"/>
  <c r="AA803"/>
  <c r="X678"/>
  <c r="X655"/>
  <c r="Z2010"/>
  <c r="X1987"/>
  <c r="Z1936"/>
  <c r="AA1839"/>
  <c r="Z1691"/>
  <c r="AA1640"/>
  <c r="X1566"/>
  <c r="X1469"/>
  <c r="X1418"/>
  <c r="AA1395"/>
  <c r="Z1321"/>
  <c r="AA1270"/>
  <c r="X1196"/>
  <c r="Z1173"/>
  <c r="Z1122"/>
  <c r="Z1099"/>
  <c r="AA1048"/>
  <c r="AA1025"/>
  <c r="Z1913"/>
  <c r="Z1765"/>
  <c r="AA1714"/>
  <c r="AA1617"/>
  <c r="AA1543"/>
  <c r="AA1418"/>
  <c r="AA1344"/>
  <c r="AA1247"/>
  <c r="Z1025"/>
  <c r="Z974"/>
  <c r="Z951"/>
  <c r="AA877"/>
  <c r="Z729"/>
  <c r="AA678"/>
  <c r="Z604"/>
  <c r="Z581"/>
  <c r="AA527"/>
  <c r="AA504"/>
  <c r="X379"/>
  <c r="X356"/>
  <c r="Z305"/>
  <c r="Z282"/>
  <c r="AA231"/>
  <c r="AA208"/>
  <c r="X157"/>
  <c r="X134"/>
  <c r="AA157"/>
  <c r="AA134"/>
  <c r="AA57"/>
  <c r="AA1862"/>
  <c r="Z1788"/>
  <c r="Z1714"/>
  <c r="Z1640"/>
  <c r="X1543"/>
  <c r="Z1344"/>
  <c r="X1270"/>
  <c r="Z1048"/>
  <c r="X1025"/>
  <c r="X877"/>
  <c r="Z826"/>
  <c r="AA752"/>
  <c r="X729"/>
  <c r="Z678"/>
  <c r="X604"/>
  <c r="X581"/>
  <c r="Z527"/>
  <c r="Z504"/>
  <c r="AA453"/>
  <c r="AA430"/>
  <c r="X305"/>
  <c r="X282"/>
  <c r="Z231"/>
  <c r="Z208"/>
  <c r="Z157"/>
  <c r="Z134"/>
  <c r="AA80"/>
  <c r="X1788"/>
  <c r="Z1492"/>
  <c r="Z1395"/>
  <c r="X1099"/>
  <c r="X1048"/>
  <c r="AA900"/>
  <c r="X826"/>
  <c r="Z803"/>
  <c r="Z752"/>
  <c r="X1839"/>
  <c r="X1173"/>
  <c r="AA951"/>
  <c r="Z655"/>
  <c r="Z453"/>
  <c r="X430"/>
  <c r="X231"/>
  <c r="X1691"/>
  <c r="X1122"/>
  <c r="X752"/>
  <c r="AA604"/>
  <c r="AA581"/>
  <c r="X504"/>
  <c r="X453"/>
  <c r="X1395"/>
  <c r="X803"/>
  <c r="AA729"/>
  <c r="X527"/>
  <c r="AA379"/>
  <c r="AA356"/>
  <c r="X77"/>
  <c r="X2010"/>
  <c r="AA1913"/>
  <c r="AA974"/>
  <c r="X900"/>
  <c r="AA655"/>
  <c r="Z430"/>
  <c r="Z379"/>
  <c r="Z356"/>
  <c r="AA305"/>
  <c r="AA282"/>
  <c r="X208"/>
  <c r="X66"/>
  <c r="Z1933"/>
  <c r="AA1927"/>
  <c r="X1927"/>
  <c r="X1933"/>
  <c r="X1113"/>
  <c r="Z2001"/>
  <c r="Z1848"/>
  <c r="Z1849" s="1"/>
  <c r="Z1850" s="1"/>
  <c r="X1853"/>
  <c r="AA1859"/>
  <c r="X1785"/>
  <c r="AA1779"/>
  <c r="Z2007"/>
  <c r="AA2007"/>
  <c r="X2007"/>
  <c r="X2001"/>
  <c r="Z1853"/>
  <c r="X1848"/>
  <c r="AA1853"/>
  <c r="X1774"/>
  <c r="X1779"/>
  <c r="AA1996"/>
  <c r="AA1997" s="1"/>
  <c r="AA1998" s="1"/>
  <c r="Z1922"/>
  <c r="Z1923" s="1"/>
  <c r="Z1924" s="1"/>
  <c r="X1922"/>
  <c r="AA2001"/>
  <c r="X1996"/>
  <c r="X1859"/>
  <c r="Z1859"/>
  <c r="AA1785"/>
  <c r="Z1774"/>
  <c r="Z1775" s="1"/>
  <c r="Z1776" s="1"/>
  <c r="AA1933"/>
  <c r="AA1848"/>
  <c r="AA1849" s="1"/>
  <c r="AA1850" s="1"/>
  <c r="AA1774"/>
  <c r="AA1700"/>
  <c r="Z1700"/>
  <c r="X1631"/>
  <c r="X1557"/>
  <c r="Z1557"/>
  <c r="Z1483"/>
  <c r="Z1996"/>
  <c r="Z1927"/>
  <c r="AA1922"/>
  <c r="AA1711"/>
  <c r="X1637"/>
  <c r="Z1785"/>
  <c r="X1700"/>
  <c r="Z1705"/>
  <c r="Z1637"/>
  <c r="Z1626"/>
  <c r="Z1627" s="1"/>
  <c r="Z1628" s="1"/>
  <c r="AA1637"/>
  <c r="Z1779"/>
  <c r="AA1705"/>
  <c r="Z1631"/>
  <c r="AA1631"/>
  <c r="X1626"/>
  <c r="Z1478"/>
  <c r="X1711"/>
  <c r="Z1711"/>
  <c r="Z1552"/>
  <c r="AA1626"/>
  <c r="AA1557"/>
  <c r="X1330"/>
  <c r="X1483"/>
  <c r="AA1478"/>
  <c r="Z1415"/>
  <c r="X1415"/>
  <c r="X1404"/>
  <c r="X1409"/>
  <c r="AA1330"/>
  <c r="Z1335"/>
  <c r="AA1261"/>
  <c r="X1182"/>
  <c r="X1563"/>
  <c r="AA1563"/>
  <c r="X1489"/>
  <c r="X1478"/>
  <c r="AA1489"/>
  <c r="Z1409"/>
  <c r="AA1341"/>
  <c r="X1705"/>
  <c r="Z1563"/>
  <c r="AA1552"/>
  <c r="Z1404"/>
  <c r="Z1405" s="1"/>
  <c r="Z1406" s="1"/>
  <c r="AA1404"/>
  <c r="AA1335"/>
  <c r="Z1341"/>
  <c r="X1335"/>
  <c r="AA1256"/>
  <c r="X1256"/>
  <c r="X1261"/>
  <c r="X1552"/>
  <c r="AA1409"/>
  <c r="Z1330"/>
  <c r="X1341"/>
  <c r="X1267"/>
  <c r="X1187"/>
  <c r="AA1182"/>
  <c r="X1039"/>
  <c r="Z1045"/>
  <c r="AA1034"/>
  <c r="AA1035" s="1"/>
  <c r="AA1036" s="1"/>
  <c r="X971"/>
  <c r="X965"/>
  <c r="X960"/>
  <c r="Z886"/>
  <c r="Z887" s="1"/>
  <c r="Z888" s="1"/>
  <c r="Z960"/>
  <c r="AA965"/>
  <c r="Z891"/>
  <c r="AA886"/>
  <c r="X891"/>
  <c r="AA817"/>
  <c r="Z1489"/>
  <c r="AA1483"/>
  <c r="AA1415"/>
  <c r="Z1256"/>
  <c r="Z1257" s="1"/>
  <c r="Z1258" s="1"/>
  <c r="Z1187"/>
  <c r="AA1187"/>
  <c r="Z1034"/>
  <c r="X897"/>
  <c r="AA1113"/>
  <c r="X1108"/>
  <c r="AA1267"/>
  <c r="Z1267"/>
  <c r="Z1182"/>
  <c r="Z1183" s="1"/>
  <c r="Z1184" s="1"/>
  <c r="Z1108"/>
  <c r="Z1109" s="1"/>
  <c r="Z1110" s="1"/>
  <c r="Z1039"/>
  <c r="AA960"/>
  <c r="AA897"/>
  <c r="Z817"/>
  <c r="X812"/>
  <c r="AA601"/>
  <c r="AA749"/>
  <c r="Z664"/>
  <c r="Z601"/>
  <c r="AA1193"/>
  <c r="Z1193"/>
  <c r="Z1119"/>
  <c r="X1119"/>
  <c r="AA1039"/>
  <c r="Z971"/>
  <c r="AA971"/>
  <c r="Z897"/>
  <c r="X886"/>
  <c r="AA823"/>
  <c r="X817"/>
  <c r="X601"/>
  <c r="AA738"/>
  <c r="X743"/>
  <c r="X738"/>
  <c r="AA595"/>
  <c r="X450"/>
  <c r="Z669"/>
  <c r="Z595"/>
  <c r="AA590"/>
  <c r="AA675"/>
  <c r="AA664"/>
  <c r="AA665" s="1"/>
  <c r="AA666" s="1"/>
  <c r="Z513"/>
  <c r="AA513"/>
  <c r="AA450"/>
  <c r="Z376"/>
  <c r="X291"/>
  <c r="AA365"/>
  <c r="X370"/>
  <c r="AA291"/>
  <c r="AA302"/>
  <c r="X296"/>
  <c r="X217"/>
  <c r="AA217"/>
  <c r="AA143"/>
  <c r="AA148"/>
  <c r="Z143"/>
  <c r="Z222"/>
  <c r="Z80"/>
  <c r="X71"/>
  <c r="Z1261"/>
  <c r="X1193"/>
  <c r="Z1113"/>
  <c r="AA1119"/>
  <c r="X1034"/>
  <c r="AA891"/>
  <c r="Z823"/>
  <c r="AA812"/>
  <c r="AA743"/>
  <c r="Z743"/>
  <c r="Z590"/>
  <c r="X595"/>
  <c r="X669"/>
  <c r="X365"/>
  <c r="Z524"/>
  <c r="Z518"/>
  <c r="X513"/>
  <c r="X518"/>
  <c r="X1045"/>
  <c r="AA1108"/>
  <c r="AA1109" s="1"/>
  <c r="AA1110" s="1"/>
  <c r="Z965"/>
  <c r="X675"/>
  <c r="AA518"/>
  <c r="Z450"/>
  <c r="Z439"/>
  <c r="AA439"/>
  <c r="AA440" s="1"/>
  <c r="AA441" s="1"/>
  <c r="Z365"/>
  <c r="X376"/>
  <c r="Z302"/>
  <c r="AA228"/>
  <c r="AA222"/>
  <c r="AA66"/>
  <c r="X57"/>
  <c r="AA154"/>
  <c r="Z217"/>
  <c r="Z218" s="1"/>
  <c r="Z219" s="1"/>
  <c r="AA1045"/>
  <c r="Z812"/>
  <c r="Z813" s="1"/>
  <c r="Z814" s="1"/>
  <c r="X823"/>
  <c r="AA669"/>
  <c r="X664"/>
  <c r="X439"/>
  <c r="X444"/>
  <c r="X154"/>
  <c r="AA376"/>
  <c r="Z291"/>
  <c r="AA296"/>
  <c r="X228"/>
  <c r="X222"/>
  <c r="Z148"/>
  <c r="Z71"/>
  <c r="Z66"/>
  <c r="X143"/>
  <c r="AA71"/>
  <c r="AA370"/>
  <c r="Z296"/>
  <c r="Z154"/>
  <c r="X749"/>
  <c r="Z749"/>
  <c r="Z738"/>
  <c r="X590"/>
  <c r="X524"/>
  <c r="AA444"/>
  <c r="X148"/>
  <c r="Z370"/>
  <c r="X302"/>
  <c r="Z228"/>
  <c r="AA77"/>
  <c r="Z77"/>
  <c r="AA524"/>
  <c r="Z444"/>
  <c r="Z57"/>
  <c r="Z675"/>
  <c r="L1858"/>
  <c r="I1195"/>
  <c r="I1198" s="1"/>
  <c r="I1561"/>
  <c r="I1555" s="1"/>
  <c r="I1556" s="1"/>
  <c r="I375"/>
  <c r="L1112"/>
  <c r="I1343"/>
  <c r="I1346" s="1"/>
  <c r="J441"/>
  <c r="L1938"/>
  <c r="I1635"/>
  <c r="I1629" s="1"/>
  <c r="I1630" s="1"/>
  <c r="K1414"/>
  <c r="I1861"/>
  <c r="I1864" s="1"/>
  <c r="K1857"/>
  <c r="K1851" s="1"/>
  <c r="K1852" s="1"/>
  <c r="I1265"/>
  <c r="K1266"/>
  <c r="I674"/>
  <c r="J888"/>
  <c r="L1784"/>
  <c r="L227"/>
  <c r="I2005"/>
  <c r="I1999" s="1"/>
  <c r="I1935"/>
  <c r="I1938" s="1"/>
  <c r="I232"/>
  <c r="I233" s="1"/>
  <c r="I306"/>
  <c r="I307" s="1"/>
  <c r="K1488"/>
  <c r="K1269"/>
  <c r="K1272" s="1"/>
  <c r="K81"/>
  <c r="K82" s="1"/>
  <c r="I156"/>
  <c r="I159" s="1"/>
  <c r="L674"/>
  <c r="I1333"/>
  <c r="I1334" s="1"/>
  <c r="J219"/>
  <c r="K300"/>
  <c r="K294" s="1"/>
  <c r="K295" s="1"/>
  <c r="K1932"/>
  <c r="L301"/>
  <c r="K2006"/>
  <c r="K1999"/>
  <c r="K2000" s="1"/>
  <c r="I1121"/>
  <c r="I1124" s="1"/>
  <c r="I1488"/>
  <c r="I822"/>
  <c r="K1043"/>
  <c r="K1037" s="1"/>
  <c r="K1038" s="1"/>
  <c r="K1630"/>
  <c r="S600"/>
  <c r="S1117"/>
  <c r="S1118" s="1"/>
  <c r="J1554"/>
  <c r="I1112"/>
  <c r="J1332"/>
  <c r="K741"/>
  <c r="K742" s="1"/>
  <c r="X553"/>
  <c r="X551"/>
  <c r="X106"/>
  <c r="X104"/>
  <c r="X546"/>
  <c r="X549"/>
  <c r="X547"/>
  <c r="X1219"/>
  <c r="X1217"/>
  <c r="X997"/>
  <c r="X995"/>
  <c r="X1180"/>
  <c r="X1320"/>
  <c r="X1325" s="1"/>
  <c r="X1476"/>
  <c r="X1318"/>
  <c r="X1324" s="1"/>
  <c r="X1326" s="1"/>
  <c r="X1322"/>
  <c r="X1323"/>
  <c r="X1396"/>
  <c r="X1397"/>
  <c r="X1392"/>
  <c r="X1618"/>
  <c r="X1614"/>
  <c r="X1620" s="1"/>
  <c r="X1698"/>
  <c r="X1737"/>
  <c r="X1735"/>
  <c r="X1959"/>
  <c r="X1957"/>
  <c r="X1846"/>
  <c r="X1883"/>
  <c r="X1885"/>
  <c r="L1851"/>
  <c r="L1852" s="1"/>
  <c r="I2000"/>
  <c r="J1998"/>
  <c r="K969"/>
  <c r="K963" s="1"/>
  <c r="K964" s="1"/>
  <c r="I76"/>
  <c r="I368"/>
  <c r="I369" s="1"/>
  <c r="L1716"/>
  <c r="L1703"/>
  <c r="L1704" s="1"/>
  <c r="I1636"/>
  <c r="I1858"/>
  <c r="K674"/>
  <c r="I667"/>
  <c r="I668" s="1"/>
  <c r="L1777"/>
  <c r="L1778" s="1"/>
  <c r="S821"/>
  <c r="S1647"/>
  <c r="S1648" s="1"/>
  <c r="S1654"/>
  <c r="L1186"/>
  <c r="I970"/>
  <c r="L899"/>
  <c r="L902" s="1"/>
  <c r="I1185"/>
  <c r="I1186" s="1"/>
  <c r="K822"/>
  <c r="I1044"/>
  <c r="J740"/>
  <c r="J1850"/>
  <c r="I973"/>
  <c r="I976" s="1"/>
  <c r="K1925"/>
  <c r="K1926" s="1"/>
  <c r="L375"/>
  <c r="L368"/>
  <c r="L369" s="1"/>
  <c r="L76"/>
  <c r="L69"/>
  <c r="L70" s="1"/>
  <c r="K76"/>
  <c r="K69"/>
  <c r="K70" s="1"/>
  <c r="L147"/>
  <c r="I1482"/>
  <c r="K1044"/>
  <c r="J666"/>
  <c r="I1784"/>
  <c r="L1195"/>
  <c r="L1198" s="1"/>
  <c r="I1783"/>
  <c r="I1777" s="1"/>
  <c r="I1778" s="1"/>
  <c r="K1191"/>
  <c r="K1185" s="1"/>
  <c r="K1186" s="1"/>
  <c r="K1345"/>
  <c r="K1346" s="1"/>
  <c r="K1117"/>
  <c r="K1111" s="1"/>
  <c r="K1112" s="1"/>
  <c r="I679"/>
  <c r="I680" s="1"/>
  <c r="K153"/>
  <c r="I152"/>
  <c r="I146" s="1"/>
  <c r="I147" s="1"/>
  <c r="J1628"/>
  <c r="K748"/>
  <c r="X476"/>
  <c r="X474"/>
  <c r="X627"/>
  <c r="X625"/>
  <c r="X178"/>
  <c r="X180"/>
  <c r="X588"/>
  <c r="X958"/>
  <c r="X1254"/>
  <c r="X701"/>
  <c r="X699"/>
  <c r="X1365"/>
  <c r="X1367"/>
  <c r="X1550"/>
  <c r="X1328"/>
  <c r="X1576"/>
  <c r="X1577" s="1"/>
  <c r="X1578"/>
  <c r="X1579" s="1"/>
  <c r="X1580" s="1"/>
  <c r="X1661"/>
  <c r="X1663"/>
  <c r="X1513"/>
  <c r="X1515"/>
  <c r="X557"/>
  <c r="X1772"/>
  <c r="X1994"/>
  <c r="X1811"/>
  <c r="X1809"/>
  <c r="K970"/>
  <c r="I1562"/>
  <c r="J1036"/>
  <c r="K226"/>
  <c r="K220" s="1"/>
  <c r="K221" s="1"/>
  <c r="I1851"/>
  <c r="I1852" s="1"/>
  <c r="S822"/>
  <c r="I964"/>
  <c r="K1562"/>
  <c r="J367"/>
  <c r="L890"/>
  <c r="J68"/>
  <c r="I896"/>
  <c r="L828"/>
  <c r="L815"/>
  <c r="L816" s="1"/>
  <c r="K1777"/>
  <c r="K1778" s="1"/>
  <c r="J1184"/>
  <c r="J1406"/>
  <c r="J293"/>
  <c r="L964"/>
  <c r="S1636"/>
  <c r="S599"/>
  <c r="S593" s="1"/>
  <c r="S594" s="1"/>
  <c r="K2011"/>
  <c r="K2012" s="1"/>
  <c r="K147"/>
  <c r="L753"/>
  <c r="I1414"/>
  <c r="K1340"/>
  <c r="J962"/>
  <c r="L230"/>
  <c r="L233" s="1"/>
  <c r="X578"/>
  <c r="X582"/>
  <c r="X583"/>
  <c r="X252"/>
  <c r="X254"/>
  <c r="X28"/>
  <c r="X30"/>
  <c r="X775"/>
  <c r="X773"/>
  <c r="X923"/>
  <c r="X921"/>
  <c r="X402"/>
  <c r="X400"/>
  <c r="X560"/>
  <c r="X561"/>
  <c r="Y559"/>
  <c r="X580"/>
  <c r="X764"/>
  <c r="X762"/>
  <c r="X763" s="1"/>
  <c r="X662"/>
  <c r="X736"/>
  <c r="X542"/>
  <c r="X543" s="1"/>
  <c r="X537" s="1"/>
  <c r="X540"/>
  <c r="X541"/>
  <c r="X884"/>
  <c r="X558"/>
  <c r="Y554"/>
  <c r="X562"/>
  <c r="X563"/>
  <c r="X810"/>
  <c r="X1032"/>
  <c r="X1106"/>
  <c r="X1293"/>
  <c r="X1291"/>
  <c r="X1058"/>
  <c r="X1059" s="1"/>
  <c r="X1060"/>
  <c r="X1402"/>
  <c r="X1441"/>
  <c r="X1439"/>
  <c r="X1145"/>
  <c r="X1143"/>
  <c r="X1650"/>
  <c r="X1651" s="1"/>
  <c r="X1652"/>
  <c r="X1394"/>
  <c r="X1399" s="1"/>
  <c r="S673"/>
  <c r="S674" s="1"/>
  <c r="L1340"/>
  <c r="I448"/>
  <c r="I82"/>
  <c r="K1408"/>
  <c r="I747"/>
  <c r="K1858"/>
  <c r="K1260"/>
  <c r="L220"/>
  <c r="L221" s="1"/>
  <c r="I2006"/>
  <c r="K1561"/>
  <c r="K1555" s="1"/>
  <c r="K1556" s="1"/>
  <c r="I1192"/>
  <c r="I1049"/>
  <c r="I1050" s="1"/>
  <c r="K1482"/>
  <c r="L668"/>
  <c r="I1340"/>
  <c r="I226"/>
  <c r="I220" s="1"/>
  <c r="I221" s="1"/>
  <c r="I895"/>
  <c r="I889" s="1"/>
  <c r="I890" s="1"/>
  <c r="T592"/>
  <c r="L300"/>
  <c r="L294" s="1"/>
  <c r="L295" s="1"/>
  <c r="K1784"/>
  <c r="J1924"/>
  <c r="L1038"/>
  <c r="I1715"/>
  <c r="K448"/>
  <c r="K442" s="1"/>
  <c r="K443" s="1"/>
  <c r="I899"/>
  <c r="I902" s="1"/>
  <c r="K1636"/>
  <c r="I301"/>
  <c r="F144"/>
  <c r="F145" s="1"/>
  <c r="I21" i="12"/>
  <c r="I65"/>
  <c r="I43"/>
  <c r="I76"/>
  <c r="I54"/>
  <c r="I32"/>
  <c r="L9" i="5"/>
  <c r="L21" s="1"/>
  <c r="L7"/>
  <c r="L7" i="4"/>
  <c r="L9"/>
  <c r="E30" i="3"/>
  <c r="E31"/>
  <c r="E32"/>
  <c r="E33"/>
  <c r="E29"/>
  <c r="E21"/>
  <c r="E22"/>
  <c r="E23"/>
  <c r="E24"/>
  <c r="E20"/>
  <c r="J7"/>
  <c r="J9"/>
  <c r="P978" i="1"/>
  <c r="P977"/>
  <c r="P976"/>
  <c r="P946"/>
  <c r="P945"/>
  <c r="P944"/>
  <c r="P943"/>
  <c r="P942"/>
  <c r="P941"/>
  <c r="P940"/>
  <c r="P939"/>
  <c r="P938"/>
  <c r="P937"/>
  <c r="P936"/>
  <c r="P935"/>
  <c r="P934"/>
  <c r="P933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77"/>
  <c r="P876"/>
  <c r="P875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46"/>
  <c r="P845"/>
  <c r="P844"/>
  <c r="P843"/>
  <c r="P842"/>
  <c r="P841"/>
  <c r="P840"/>
  <c r="P839"/>
  <c r="P838"/>
  <c r="P837"/>
  <c r="P836"/>
  <c r="P835"/>
  <c r="P834"/>
  <c r="P833"/>
  <c r="P832"/>
  <c r="P831"/>
  <c r="P755"/>
  <c r="P754"/>
  <c r="P753"/>
  <c r="P749"/>
  <c r="P748"/>
  <c r="P747"/>
  <c r="P746"/>
  <c r="P708"/>
  <c r="P707"/>
  <c r="P706"/>
  <c r="P705"/>
  <c r="P704"/>
  <c r="P703"/>
  <c r="P702"/>
  <c r="P701"/>
  <c r="P632"/>
  <c r="P631"/>
  <c r="P630"/>
  <c r="P577"/>
  <c r="P576"/>
  <c r="P575"/>
  <c r="P574"/>
  <c r="P573"/>
  <c r="P572"/>
  <c r="P571"/>
  <c r="P570"/>
  <c r="P569"/>
  <c r="P568"/>
  <c r="P473"/>
  <c r="P472"/>
  <c r="P471"/>
  <c r="P428"/>
  <c r="P427"/>
  <c r="P426"/>
  <c r="P425"/>
  <c r="P424"/>
  <c r="P423"/>
  <c r="P422"/>
  <c r="P421"/>
  <c r="P371"/>
  <c r="P368"/>
  <c r="P367"/>
  <c r="P366"/>
  <c r="P360"/>
  <c r="P357"/>
  <c r="P356"/>
  <c r="P355"/>
  <c r="P354"/>
  <c r="P353"/>
  <c r="P352"/>
  <c r="P337"/>
  <c r="P293"/>
  <c r="P292"/>
  <c r="P291"/>
  <c r="P290"/>
  <c r="P289"/>
  <c r="P285"/>
  <c r="P280"/>
  <c r="P279"/>
  <c r="P269"/>
  <c r="P268"/>
  <c r="P251"/>
  <c r="P219"/>
  <c r="P218"/>
  <c r="P217"/>
  <c r="P216"/>
  <c r="P215"/>
  <c r="P209"/>
  <c r="P208"/>
  <c r="P189"/>
  <c r="P188"/>
  <c r="P187"/>
  <c r="P186"/>
  <c r="P992"/>
  <c r="P991"/>
  <c r="P990"/>
  <c r="P989"/>
  <c r="P988"/>
  <c r="P987"/>
  <c r="P986"/>
  <c r="P985"/>
  <c r="P984"/>
  <c r="P983"/>
  <c r="P982"/>
  <c r="P981"/>
  <c r="P980"/>
  <c r="P979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32"/>
  <c r="P931"/>
  <c r="P930"/>
  <c r="P929"/>
  <c r="P928"/>
  <c r="P927"/>
  <c r="P926"/>
  <c r="P925"/>
  <c r="P924"/>
  <c r="P923"/>
  <c r="P922"/>
  <c r="P921"/>
  <c r="P920"/>
  <c r="P919"/>
  <c r="P918"/>
  <c r="P916"/>
  <c r="P915"/>
  <c r="P914"/>
  <c r="P913"/>
  <c r="P912"/>
  <c r="P911"/>
  <c r="P910"/>
  <c r="P909"/>
  <c r="P908"/>
  <c r="P907"/>
  <c r="P906"/>
  <c r="P905"/>
  <c r="P904"/>
  <c r="P883"/>
  <c r="P882"/>
  <c r="P881"/>
  <c r="P880"/>
  <c r="P879"/>
  <c r="P878"/>
  <c r="P874"/>
  <c r="P873"/>
  <c r="P872"/>
  <c r="P871"/>
  <c r="P870"/>
  <c r="P869"/>
  <c r="P868"/>
  <c r="P850"/>
  <c r="P849"/>
  <c r="P848"/>
  <c r="P830"/>
  <c r="P829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0"/>
  <c r="P769"/>
  <c r="P768"/>
  <c r="P767"/>
  <c r="P766"/>
  <c r="P765"/>
  <c r="P764"/>
  <c r="P763"/>
  <c r="P762"/>
  <c r="P761"/>
  <c r="P760"/>
  <c r="P759"/>
  <c r="P758"/>
  <c r="P757"/>
  <c r="P756"/>
  <c r="P752"/>
  <c r="P751"/>
  <c r="P750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3"/>
  <c r="P712"/>
  <c r="P711"/>
  <c r="P710"/>
  <c r="P709"/>
  <c r="P697"/>
  <c r="P696"/>
  <c r="P695"/>
  <c r="P694"/>
  <c r="P693"/>
  <c r="P692"/>
  <c r="P691"/>
  <c r="P690"/>
  <c r="P687"/>
  <c r="P686"/>
  <c r="P684"/>
  <c r="P681"/>
  <c r="P680"/>
  <c r="P679"/>
  <c r="P678"/>
  <c r="P677"/>
  <c r="P676"/>
  <c r="P675"/>
  <c r="P674"/>
  <c r="P673"/>
  <c r="P672"/>
  <c r="P671"/>
  <c r="P670"/>
  <c r="P669"/>
  <c r="P665"/>
  <c r="P664"/>
  <c r="P663"/>
  <c r="P662"/>
  <c r="P661"/>
  <c r="P660"/>
  <c r="P659"/>
  <c r="P657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29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0"/>
  <c r="P589"/>
  <c r="P588"/>
  <c r="P587"/>
  <c r="P586"/>
  <c r="P585"/>
  <c r="P583"/>
  <c r="P582"/>
  <c r="P581"/>
  <c r="P580"/>
  <c r="P579"/>
  <c r="P578"/>
  <c r="P567"/>
  <c r="P566"/>
  <c r="P565"/>
  <c r="P564"/>
  <c r="P563"/>
  <c r="P562"/>
  <c r="P561"/>
  <c r="P560"/>
  <c r="P559"/>
  <c r="P558"/>
  <c r="P557"/>
  <c r="P556"/>
  <c r="P555"/>
  <c r="P554"/>
  <c r="P553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8"/>
  <c r="P487"/>
  <c r="P486"/>
  <c r="P485"/>
  <c r="P484"/>
  <c r="P481"/>
  <c r="P480"/>
  <c r="P479"/>
  <c r="P478"/>
  <c r="P477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3"/>
  <c r="P372"/>
  <c r="P365"/>
  <c r="P364"/>
  <c r="P363"/>
  <c r="P362"/>
  <c r="P361"/>
  <c r="P359"/>
  <c r="P358"/>
  <c r="P351"/>
  <c r="P350"/>
  <c r="P349"/>
  <c r="P348"/>
  <c r="P347"/>
  <c r="P346"/>
  <c r="P345"/>
  <c r="P344"/>
  <c r="P343"/>
  <c r="P338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296"/>
  <c r="P295"/>
  <c r="P294"/>
  <c r="P288"/>
  <c r="P287"/>
  <c r="P286"/>
  <c r="P278"/>
  <c r="P277"/>
  <c r="P276"/>
  <c r="P275"/>
  <c r="P274"/>
  <c r="P273"/>
  <c r="P272"/>
  <c r="P271"/>
  <c r="P265"/>
  <c r="P264"/>
  <c r="P263"/>
  <c r="P262"/>
  <c r="P261"/>
  <c r="P260"/>
  <c r="P259"/>
  <c r="P258"/>
  <c r="P257"/>
  <c r="P256"/>
  <c r="P255"/>
  <c r="P254"/>
  <c r="P253"/>
  <c r="P252"/>
  <c r="P250"/>
  <c r="P249"/>
  <c r="P248"/>
  <c r="P247"/>
  <c r="P246"/>
  <c r="P245"/>
  <c r="P244"/>
  <c r="P243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4"/>
  <c r="P213"/>
  <c r="P212"/>
  <c r="P211"/>
  <c r="P210"/>
  <c r="P207"/>
  <c r="P206"/>
  <c r="P204"/>
  <c r="P203"/>
  <c r="P202"/>
  <c r="P196"/>
  <c r="P195"/>
  <c r="P194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1"/>
  <c r="P90"/>
  <c r="P89"/>
  <c r="P88"/>
  <c r="P87"/>
  <c r="P86"/>
  <c r="P85"/>
  <c r="P84"/>
  <c r="P83"/>
  <c r="P82"/>
  <c r="P81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04"/>
  <c r="P1003"/>
  <c r="P1002"/>
  <c r="P1001"/>
  <c r="P1000"/>
  <c r="P999"/>
  <c r="P998"/>
  <c r="P997"/>
  <c r="P996"/>
  <c r="P995"/>
  <c r="P994"/>
  <c r="P975"/>
  <c r="P974"/>
  <c r="P973"/>
  <c r="P972"/>
  <c r="P971"/>
  <c r="P917"/>
  <c r="P847"/>
  <c r="P771"/>
  <c r="P716"/>
  <c r="P715"/>
  <c r="P714"/>
  <c r="P700"/>
  <c r="P699"/>
  <c r="P698"/>
  <c r="P689"/>
  <c r="P688"/>
  <c r="P685"/>
  <c r="P683"/>
  <c r="P682"/>
  <c r="P668"/>
  <c r="P667"/>
  <c r="P666"/>
  <c r="P658"/>
  <c r="P656"/>
  <c r="P655"/>
  <c r="P654"/>
  <c r="P628"/>
  <c r="P594"/>
  <c r="P593"/>
  <c r="P592"/>
  <c r="P591"/>
  <c r="P552"/>
  <c r="P551"/>
  <c r="P550"/>
  <c r="P549"/>
  <c r="P489"/>
  <c r="P483"/>
  <c r="P270"/>
  <c r="P266"/>
  <c r="P197"/>
  <c r="P476"/>
  <c r="P475"/>
  <c r="P378"/>
  <c r="P377"/>
  <c r="P376"/>
  <c r="P375"/>
  <c r="P374"/>
  <c r="P370"/>
  <c r="P369"/>
  <c r="P297"/>
  <c r="P193"/>
  <c r="P192"/>
  <c r="P191"/>
  <c r="P190"/>
  <c r="P340"/>
  <c r="P341"/>
  <c r="P339"/>
  <c r="P1008"/>
  <c r="P1007"/>
  <c r="P1006"/>
  <c r="P1005"/>
  <c r="P993"/>
  <c r="P970"/>
  <c r="P969"/>
  <c r="P968"/>
  <c r="P967"/>
  <c r="P828"/>
  <c r="P827"/>
  <c r="P826"/>
  <c r="P584"/>
  <c r="P482"/>
  <c r="P474"/>
  <c r="P420"/>
  <c r="P419"/>
  <c r="P418"/>
  <c r="P417"/>
  <c r="P416"/>
  <c r="P415"/>
  <c r="P414"/>
  <c r="P342"/>
  <c r="P302"/>
  <c r="P301"/>
  <c r="P300"/>
  <c r="P299"/>
  <c r="P298"/>
  <c r="P284"/>
  <c r="P283"/>
  <c r="P282"/>
  <c r="P281"/>
  <c r="P267"/>
  <c r="P242"/>
  <c r="P241"/>
  <c r="P240"/>
  <c r="P239"/>
  <c r="P238"/>
  <c r="P205"/>
  <c r="P201"/>
  <c r="P200"/>
  <c r="P199"/>
  <c r="P198"/>
  <c r="P163"/>
  <c r="P93"/>
  <c r="P92"/>
  <c r="P80"/>
  <c r="P79"/>
  <c r="P10"/>
  <c r="P9"/>
  <c r="L1006"/>
  <c r="L992"/>
  <c r="L991"/>
  <c r="L990"/>
  <c r="L989"/>
  <c r="L988"/>
  <c r="L987"/>
  <c r="L986"/>
  <c r="L985"/>
  <c r="L984"/>
  <c r="L983"/>
  <c r="L982"/>
  <c r="L979"/>
  <c r="L970"/>
  <c r="L966"/>
  <c r="L964"/>
  <c r="L962"/>
  <c r="L961"/>
  <c r="L960"/>
  <c r="L957"/>
  <c r="L956"/>
  <c r="L955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19"/>
  <c r="L918"/>
  <c r="L917"/>
  <c r="L915"/>
  <c r="L914"/>
  <c r="L913"/>
  <c r="L912"/>
  <c r="L910"/>
  <c r="L909"/>
  <c r="L908"/>
  <c r="L907"/>
  <c r="L906"/>
  <c r="L905"/>
  <c r="L903"/>
  <c r="L902"/>
  <c r="L901"/>
  <c r="L888"/>
  <c r="L884"/>
  <c r="L883"/>
  <c r="L882"/>
  <c r="L879"/>
  <c r="L878"/>
  <c r="L877"/>
  <c r="L876"/>
  <c r="L875"/>
  <c r="L874"/>
  <c r="L873"/>
  <c r="L872"/>
  <c r="L871"/>
  <c r="L869"/>
  <c r="L868"/>
  <c r="L867"/>
  <c r="L866"/>
  <c r="L865"/>
  <c r="L864"/>
  <c r="L863"/>
  <c r="L862"/>
  <c r="L861"/>
  <c r="L859"/>
  <c r="L858"/>
  <c r="L857"/>
  <c r="L856"/>
  <c r="L855"/>
  <c r="L854"/>
  <c r="L852"/>
  <c r="L851"/>
  <c r="L847"/>
  <c r="L846"/>
  <c r="L845"/>
  <c r="L844"/>
  <c r="L843"/>
  <c r="L842"/>
  <c r="L840"/>
  <c r="L839"/>
  <c r="L836"/>
  <c r="L834"/>
  <c r="L833"/>
  <c r="L830"/>
  <c r="L828"/>
  <c r="L827"/>
  <c r="L826"/>
  <c r="L823"/>
  <c r="L822"/>
  <c r="L821"/>
  <c r="L820"/>
  <c r="L819"/>
  <c r="L818"/>
  <c r="L817"/>
  <c r="L816"/>
  <c r="L815"/>
  <c r="L814"/>
  <c r="L811"/>
  <c r="L810"/>
  <c r="L805"/>
  <c r="L804"/>
  <c r="L803"/>
  <c r="L802"/>
  <c r="L801"/>
  <c r="L800"/>
  <c r="L799"/>
  <c r="L798"/>
  <c r="L797"/>
  <c r="L796"/>
  <c r="L794"/>
  <c r="L791"/>
  <c r="L788"/>
  <c r="L787"/>
  <c r="L786"/>
  <c r="L785"/>
  <c r="L784"/>
  <c r="L783"/>
  <c r="L781"/>
  <c r="L780"/>
  <c r="L779"/>
  <c r="L778"/>
  <c r="L777"/>
  <c r="L776"/>
  <c r="L775"/>
  <c r="L774"/>
  <c r="L773"/>
  <c r="L772"/>
  <c r="L771"/>
  <c r="L770"/>
  <c r="L768"/>
  <c r="L767"/>
  <c r="L766"/>
  <c r="L765"/>
  <c r="L762"/>
  <c r="L760"/>
  <c r="L758"/>
  <c r="L756"/>
  <c r="L755"/>
  <c r="L752"/>
  <c r="L751"/>
  <c r="L745"/>
  <c r="L744"/>
  <c r="L743"/>
  <c r="L742"/>
  <c r="L728"/>
  <c r="L726"/>
  <c r="L725"/>
  <c r="L724"/>
  <c r="L723"/>
  <c r="L721"/>
  <c r="L720"/>
  <c r="L719"/>
  <c r="L718"/>
  <c r="L717"/>
  <c r="L714"/>
  <c r="L713"/>
  <c r="L712"/>
  <c r="L711"/>
  <c r="L710"/>
  <c r="L708"/>
  <c r="L706"/>
  <c r="L702"/>
  <c r="L697"/>
  <c r="L696"/>
  <c r="L695"/>
  <c r="L693"/>
  <c r="L692"/>
  <c r="L691"/>
  <c r="L690"/>
  <c r="L689"/>
  <c r="L688"/>
  <c r="L687"/>
  <c r="L686"/>
  <c r="L683"/>
  <c r="L682"/>
  <c r="L681"/>
  <c r="L679"/>
  <c r="L678"/>
  <c r="L674"/>
  <c r="L673"/>
  <c r="L672"/>
  <c r="L669"/>
  <c r="L665"/>
  <c r="L664"/>
  <c r="L663"/>
  <c r="L662"/>
  <c r="L661"/>
  <c r="L660"/>
  <c r="L659"/>
  <c r="L658"/>
  <c r="L651"/>
  <c r="L648"/>
  <c r="L645"/>
  <c r="L644"/>
  <c r="L643"/>
  <c r="L642"/>
  <c r="L641"/>
  <c r="L640"/>
  <c r="L639"/>
  <c r="L638"/>
  <c r="L637"/>
  <c r="L636"/>
  <c r="L635"/>
  <c r="L632"/>
  <c r="L631"/>
  <c r="L629"/>
  <c r="L628"/>
  <c r="L627"/>
  <c r="L626"/>
  <c r="L625"/>
  <c r="L624"/>
  <c r="L621"/>
  <c r="L620"/>
  <c r="L619"/>
  <c r="L618"/>
  <c r="L617"/>
  <c r="L616"/>
  <c r="L615"/>
  <c r="L614"/>
  <c r="L613"/>
  <c r="L610"/>
  <c r="L608"/>
  <c r="L607"/>
  <c r="L600"/>
  <c r="L596"/>
  <c r="L595"/>
  <c r="L594"/>
  <c r="L593"/>
  <c r="L590"/>
  <c r="L589"/>
  <c r="L588"/>
  <c r="L587"/>
  <c r="L586"/>
  <c r="L585"/>
  <c r="L583"/>
  <c r="L582"/>
  <c r="L581"/>
  <c r="L580"/>
  <c r="L577"/>
  <c r="L576"/>
  <c r="L575"/>
  <c r="L571"/>
  <c r="L568"/>
  <c r="L567"/>
  <c r="L566"/>
  <c r="L565"/>
  <c r="L564"/>
  <c r="L563"/>
  <c r="L561"/>
  <c r="L559"/>
  <c r="L558"/>
  <c r="L557"/>
  <c r="L556"/>
  <c r="L555"/>
  <c r="L554"/>
  <c r="L553"/>
  <c r="L548"/>
  <c r="L547"/>
  <c r="L546"/>
  <c r="L545"/>
  <c r="L542"/>
  <c r="L541"/>
  <c r="L540"/>
  <c r="L539"/>
  <c r="L538"/>
  <c r="L537"/>
  <c r="L535"/>
  <c r="L534"/>
  <c r="L533"/>
  <c r="L532"/>
  <c r="L531"/>
  <c r="L530"/>
  <c r="L529"/>
  <c r="L528"/>
  <c r="L527"/>
  <c r="L526"/>
  <c r="L525"/>
  <c r="L524"/>
  <c r="L523"/>
  <c r="L522"/>
  <c r="L521"/>
  <c r="L520"/>
  <c r="L514"/>
  <c r="L513"/>
  <c r="L512"/>
  <c r="L511"/>
  <c r="L510"/>
  <c r="L507"/>
  <c r="L501"/>
  <c r="L500"/>
  <c r="L499"/>
  <c r="L498"/>
  <c r="L497"/>
  <c r="L496"/>
  <c r="L495"/>
  <c r="L494"/>
  <c r="L493"/>
  <c r="L491"/>
  <c r="L490"/>
  <c r="L489"/>
  <c r="L488"/>
  <c r="L487"/>
  <c r="L486"/>
  <c r="L485"/>
  <c r="L484"/>
  <c r="L483"/>
  <c r="L481"/>
  <c r="L480"/>
  <c r="L479"/>
  <c r="L478"/>
  <c r="L477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0"/>
  <c r="L438"/>
  <c r="L437"/>
  <c r="L436"/>
  <c r="L435"/>
  <c r="L434"/>
  <c r="L433"/>
  <c r="L430"/>
  <c r="L428"/>
  <c r="L427"/>
  <c r="L426"/>
  <c r="L425"/>
  <c r="L423"/>
  <c r="L422"/>
  <c r="L413"/>
  <c r="L412"/>
  <c r="L410"/>
  <c r="L408"/>
  <c r="L407"/>
  <c r="L406"/>
  <c r="L405"/>
  <c r="L401"/>
  <c r="L400"/>
  <c r="L399"/>
  <c r="L398"/>
  <c r="L397"/>
  <c r="L396"/>
  <c r="L395"/>
  <c r="L394"/>
  <c r="L393"/>
  <c r="L392"/>
  <c r="L391"/>
  <c r="L390"/>
  <c r="L389"/>
  <c r="L388"/>
  <c r="L385"/>
  <c r="L384"/>
  <c r="L383"/>
  <c r="L382"/>
  <c r="L380"/>
  <c r="L371"/>
  <c r="L363"/>
  <c r="L360"/>
  <c r="L357"/>
  <c r="L356"/>
  <c r="L355"/>
  <c r="L349"/>
  <c r="L348"/>
  <c r="L347"/>
  <c r="L346"/>
  <c r="L345"/>
  <c r="L344"/>
  <c r="L343"/>
  <c r="L342"/>
  <c r="L338"/>
  <c r="L337"/>
  <c r="L332"/>
  <c r="L331"/>
  <c r="L330"/>
  <c r="L329"/>
  <c r="L328"/>
  <c r="L325"/>
  <c r="L324"/>
  <c r="L320"/>
  <c r="L319"/>
  <c r="L318"/>
  <c r="L317"/>
  <c r="L316"/>
  <c r="L313"/>
  <c r="L309"/>
  <c r="L308"/>
  <c r="L307"/>
  <c r="L306"/>
  <c r="L305"/>
  <c r="L304"/>
  <c r="L303"/>
  <c r="L296"/>
  <c r="L295"/>
  <c r="L294"/>
  <c r="L293"/>
  <c r="L292"/>
  <c r="L291"/>
  <c r="L290"/>
  <c r="L289"/>
  <c r="L288"/>
  <c r="L287"/>
  <c r="L286"/>
  <c r="L284"/>
  <c r="L283"/>
  <c r="L282"/>
  <c r="L281"/>
  <c r="L279"/>
  <c r="L278"/>
  <c r="L273"/>
  <c r="L272"/>
  <c r="L270"/>
  <c r="L266"/>
  <c r="L265"/>
  <c r="L264"/>
  <c r="L262"/>
  <c r="L261"/>
  <c r="L260"/>
  <c r="L259"/>
  <c r="L258"/>
  <c r="L257"/>
  <c r="L256"/>
  <c r="L255"/>
  <c r="L254"/>
  <c r="L251"/>
  <c r="L250"/>
  <c r="L249"/>
  <c r="L248"/>
  <c r="L247"/>
  <c r="L246"/>
  <c r="L245"/>
  <c r="L244"/>
  <c r="L242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8"/>
  <c r="L217"/>
  <c r="L216"/>
  <c r="L215"/>
  <c r="L212"/>
  <c r="L209"/>
  <c r="L206"/>
  <c r="L205"/>
  <c r="L204"/>
  <c r="L203"/>
  <c r="L201"/>
  <c r="L200"/>
  <c r="L199"/>
  <c r="L197"/>
  <c r="L195"/>
  <c r="L194"/>
  <c r="L189"/>
  <c r="L188"/>
  <c r="L186"/>
  <c r="L185"/>
  <c r="L184"/>
  <c r="L183"/>
  <c r="L182"/>
  <c r="L181"/>
  <c r="L179"/>
  <c r="L178"/>
  <c r="L177"/>
  <c r="L172"/>
  <c r="L171"/>
  <c r="L169"/>
  <c r="L168"/>
  <c r="L167"/>
  <c r="L163"/>
  <c r="L161"/>
  <c r="L160"/>
  <c r="L159"/>
  <c r="L158"/>
  <c r="L155"/>
  <c r="L154"/>
  <c r="L153"/>
  <c r="L152"/>
  <c r="L150"/>
  <c r="L149"/>
  <c r="L145"/>
  <c r="L144"/>
  <c r="L138"/>
  <c r="L136"/>
  <c r="L135"/>
  <c r="L134"/>
  <c r="L133"/>
  <c r="L132"/>
  <c r="L131"/>
  <c r="L129"/>
  <c r="L128"/>
  <c r="L127"/>
  <c r="L126"/>
  <c r="L125"/>
  <c r="L124"/>
  <c r="L123"/>
  <c r="L122"/>
  <c r="L121"/>
  <c r="L120"/>
  <c r="L118"/>
  <c r="L117"/>
  <c r="L116"/>
  <c r="L115"/>
  <c r="L114"/>
  <c r="L113"/>
  <c r="L112"/>
  <c r="L111"/>
  <c r="L110"/>
  <c r="L108"/>
  <c r="L105"/>
  <c r="L104"/>
  <c r="L103"/>
  <c r="L102"/>
  <c r="L101"/>
  <c r="L100"/>
  <c r="L99"/>
  <c r="L98"/>
  <c r="L95"/>
  <c r="L92"/>
  <c r="L91"/>
  <c r="L90"/>
  <c r="L89"/>
  <c r="L88"/>
  <c r="L85"/>
  <c r="L84"/>
  <c r="L82"/>
  <c r="L81"/>
  <c r="L80"/>
  <c r="L79"/>
  <c r="L78"/>
  <c r="L77"/>
  <c r="L76"/>
  <c r="L75"/>
  <c r="L74"/>
  <c r="L73"/>
  <c r="L72"/>
  <c r="L71"/>
  <c r="L70"/>
  <c r="L69"/>
  <c r="L68"/>
  <c r="L64"/>
  <c r="L63"/>
  <c r="L61"/>
  <c r="L60"/>
  <c r="L58"/>
  <c r="L57"/>
  <c r="L56"/>
  <c r="L53"/>
  <c r="L50"/>
  <c r="L47"/>
  <c r="L46"/>
  <c r="L44"/>
  <c r="L43"/>
  <c r="L42"/>
  <c r="L41"/>
  <c r="L40"/>
  <c r="L39"/>
  <c r="L38"/>
  <c r="L37"/>
  <c r="L35"/>
  <c r="L30"/>
  <c r="L29"/>
  <c r="L27"/>
  <c r="L26"/>
  <c r="L25"/>
  <c r="L18"/>
  <c r="L17"/>
  <c r="L16"/>
  <c r="L14"/>
  <c r="L12"/>
  <c r="L11"/>
  <c r="L1008"/>
  <c r="L1007"/>
  <c r="L1005"/>
  <c r="L1004"/>
  <c r="L1003"/>
  <c r="L1002"/>
  <c r="L1001"/>
  <c r="L1000"/>
  <c r="L999"/>
  <c r="L998"/>
  <c r="L997"/>
  <c r="L996"/>
  <c r="L995"/>
  <c r="L994"/>
  <c r="L993"/>
  <c r="L981"/>
  <c r="L980"/>
  <c r="L978"/>
  <c r="L977"/>
  <c r="L976"/>
  <c r="L975"/>
  <c r="L974"/>
  <c r="L973"/>
  <c r="L972"/>
  <c r="L971"/>
  <c r="L969"/>
  <c r="L968"/>
  <c r="L967"/>
  <c r="L965"/>
  <c r="L963"/>
  <c r="L959"/>
  <c r="L958"/>
  <c r="L954"/>
  <c r="L953"/>
  <c r="L952"/>
  <c r="L951"/>
  <c r="L950"/>
  <c r="L949"/>
  <c r="L948"/>
  <c r="L947"/>
  <c r="L946"/>
  <c r="L945"/>
  <c r="L944"/>
  <c r="L943"/>
  <c r="L942"/>
  <c r="L941"/>
  <c r="L940"/>
  <c r="L921"/>
  <c r="L920"/>
  <c r="L916"/>
  <c r="L911"/>
  <c r="L904"/>
  <c r="L900"/>
  <c r="L899"/>
  <c r="L898"/>
  <c r="L897"/>
  <c r="L896"/>
  <c r="L895"/>
  <c r="L894"/>
  <c r="L893"/>
  <c r="L892"/>
  <c r="L891"/>
  <c r="L890"/>
  <c r="L889"/>
  <c r="L887"/>
  <c r="L886"/>
  <c r="L885"/>
  <c r="L881"/>
  <c r="L880"/>
  <c r="L870"/>
  <c r="L860"/>
  <c r="L853"/>
  <c r="L850"/>
  <c r="L849"/>
  <c r="L848"/>
  <c r="L841"/>
  <c r="L838"/>
  <c r="L837"/>
  <c r="L835"/>
  <c r="L832"/>
  <c r="L831"/>
  <c r="L829"/>
  <c r="L825"/>
  <c r="L824"/>
  <c r="L813"/>
  <c r="L812"/>
  <c r="L809"/>
  <c r="L808"/>
  <c r="L807"/>
  <c r="L806"/>
  <c r="L795"/>
  <c r="L793"/>
  <c r="L792"/>
  <c r="L790"/>
  <c r="L789"/>
  <c r="L782"/>
  <c r="L769"/>
  <c r="L764"/>
  <c r="L763"/>
  <c r="L761"/>
  <c r="L759"/>
  <c r="L757"/>
  <c r="L754"/>
  <c r="L753"/>
  <c r="L750"/>
  <c r="L749"/>
  <c r="L748"/>
  <c r="L747"/>
  <c r="L746"/>
  <c r="L741"/>
  <c r="L740"/>
  <c r="L739"/>
  <c r="L738"/>
  <c r="L737"/>
  <c r="L736"/>
  <c r="L735"/>
  <c r="L734"/>
  <c r="L733"/>
  <c r="L732"/>
  <c r="L731"/>
  <c r="L730"/>
  <c r="L729"/>
  <c r="L727"/>
  <c r="L722"/>
  <c r="L716"/>
  <c r="L715"/>
  <c r="L709"/>
  <c r="L707"/>
  <c r="L705"/>
  <c r="L704"/>
  <c r="L703"/>
  <c r="L701"/>
  <c r="L700"/>
  <c r="L699"/>
  <c r="L698"/>
  <c r="L694"/>
  <c r="L685"/>
  <c r="L684"/>
  <c r="L680"/>
  <c r="L677"/>
  <c r="L676"/>
  <c r="L675"/>
  <c r="L671"/>
  <c r="L670"/>
  <c r="L668"/>
  <c r="L667"/>
  <c r="L666"/>
  <c r="L657"/>
  <c r="L656"/>
  <c r="L655"/>
  <c r="L654"/>
  <c r="L653"/>
  <c r="L652"/>
  <c r="L650"/>
  <c r="L649"/>
  <c r="L647"/>
  <c r="L646"/>
  <c r="L634"/>
  <c r="L633"/>
  <c r="L630"/>
  <c r="L623"/>
  <c r="L622"/>
  <c r="L612"/>
  <c r="L611"/>
  <c r="L609"/>
  <c r="L606"/>
  <c r="L605"/>
  <c r="L604"/>
  <c r="L603"/>
  <c r="L602"/>
  <c r="L601"/>
  <c r="L599"/>
  <c r="L598"/>
  <c r="L597"/>
  <c r="L592"/>
  <c r="L591"/>
  <c r="L584"/>
  <c r="L579"/>
  <c r="L578"/>
  <c r="L574"/>
  <c r="L573"/>
  <c r="L572"/>
  <c r="L570"/>
  <c r="L569"/>
  <c r="L562"/>
  <c r="L560"/>
  <c r="L552"/>
  <c r="L551"/>
  <c r="L550"/>
  <c r="L549"/>
  <c r="L544"/>
  <c r="L543"/>
  <c r="L536"/>
  <c r="L519"/>
  <c r="L518"/>
  <c r="L517"/>
  <c r="L516"/>
  <c r="L515"/>
  <c r="L509"/>
  <c r="L508"/>
  <c r="L506"/>
  <c r="L505"/>
  <c r="L504"/>
  <c r="L503"/>
  <c r="L502"/>
  <c r="L492"/>
  <c r="L482"/>
  <c r="L476"/>
  <c r="L475"/>
  <c r="L442"/>
  <c r="L441"/>
  <c r="L439"/>
  <c r="L432"/>
  <c r="L431"/>
  <c r="L429"/>
  <c r="L424"/>
  <c r="L421"/>
  <c r="L420"/>
  <c r="L419"/>
  <c r="L418"/>
  <c r="L417"/>
  <c r="L416"/>
  <c r="L415"/>
  <c r="L414"/>
  <c r="L411"/>
  <c r="L409"/>
  <c r="L404"/>
  <c r="L403"/>
  <c r="L402"/>
  <c r="L387"/>
  <c r="L386"/>
  <c r="L381"/>
  <c r="L379"/>
  <c r="L378"/>
  <c r="L377"/>
  <c r="L376"/>
  <c r="L375"/>
  <c r="L374"/>
  <c r="L373"/>
  <c r="L372"/>
  <c r="L370"/>
  <c r="L369"/>
  <c r="L368"/>
  <c r="L367"/>
  <c r="L366"/>
  <c r="L365"/>
  <c r="L364"/>
  <c r="L362"/>
  <c r="L361"/>
  <c r="L359"/>
  <c r="L358"/>
  <c r="L354"/>
  <c r="L353"/>
  <c r="L352"/>
  <c r="L351"/>
  <c r="L350"/>
  <c r="L341"/>
  <c r="L340"/>
  <c r="L339"/>
  <c r="L336"/>
  <c r="L335"/>
  <c r="L334"/>
  <c r="L333"/>
  <c r="L327"/>
  <c r="L326"/>
  <c r="L323"/>
  <c r="L322"/>
  <c r="L321"/>
  <c r="L315"/>
  <c r="L314"/>
  <c r="L312"/>
  <c r="L311"/>
  <c r="L310"/>
  <c r="L302"/>
  <c r="L301"/>
  <c r="L300"/>
  <c r="L299"/>
  <c r="L298"/>
  <c r="L297"/>
  <c r="L285"/>
  <c r="L280"/>
  <c r="L277"/>
  <c r="L276"/>
  <c r="L275"/>
  <c r="L274"/>
  <c r="L271"/>
  <c r="L269"/>
  <c r="L268"/>
  <c r="L267"/>
  <c r="L263"/>
  <c r="L253"/>
  <c r="L252"/>
  <c r="L243"/>
  <c r="L241"/>
  <c r="L240"/>
  <c r="L239"/>
  <c r="L238"/>
  <c r="L219"/>
  <c r="L214"/>
  <c r="L213"/>
  <c r="L211"/>
  <c r="L210"/>
  <c r="L208"/>
  <c r="L207"/>
  <c r="L202"/>
  <c r="L198"/>
  <c r="L196"/>
  <c r="L193"/>
  <c r="L192"/>
  <c r="L191"/>
  <c r="L190"/>
  <c r="L187"/>
  <c r="L180"/>
  <c r="L176"/>
  <c r="L175"/>
  <c r="L174"/>
  <c r="L173"/>
  <c r="L170"/>
  <c r="L166"/>
  <c r="L165"/>
  <c r="L164"/>
  <c r="L162"/>
  <c r="L157"/>
  <c r="L156"/>
  <c r="L151"/>
  <c r="L148"/>
  <c r="L147"/>
  <c r="L146"/>
  <c r="L143"/>
  <c r="L142"/>
  <c r="L141"/>
  <c r="L140"/>
  <c r="L139"/>
  <c r="L137"/>
  <c r="L130"/>
  <c r="L119"/>
  <c r="L109"/>
  <c r="L107"/>
  <c r="L106"/>
  <c r="L97"/>
  <c r="L96"/>
  <c r="L94"/>
  <c r="L93"/>
  <c r="L87"/>
  <c r="L86"/>
  <c r="L83"/>
  <c r="L67"/>
  <c r="L66"/>
  <c r="L65"/>
  <c r="L62"/>
  <c r="L59"/>
  <c r="L55"/>
  <c r="L54"/>
  <c r="L52"/>
  <c r="L51"/>
  <c r="L49"/>
  <c r="L48"/>
  <c r="L45"/>
  <c r="L36"/>
  <c r="L34"/>
  <c r="L33"/>
  <c r="L32"/>
  <c r="L31"/>
  <c r="L28"/>
  <c r="L24"/>
  <c r="L23"/>
  <c r="L22"/>
  <c r="L21"/>
  <c r="L20"/>
  <c r="L19"/>
  <c r="L15"/>
  <c r="L13"/>
  <c r="L10"/>
  <c r="L9"/>
  <c r="Z10"/>
  <c r="AG10" s="1"/>
  <c r="Z11"/>
  <c r="Z12"/>
  <c r="Z13"/>
  <c r="Z14"/>
  <c r="Z15"/>
  <c r="AG15" s="1"/>
  <c r="Z16"/>
  <c r="AG16" s="1"/>
  <c r="Z17"/>
  <c r="AG17" s="1"/>
  <c r="Z18"/>
  <c r="AG18" s="1"/>
  <c r="Z19"/>
  <c r="Z20"/>
  <c r="AG20" s="1"/>
  <c r="Z21"/>
  <c r="AG21" s="1"/>
  <c r="Z22"/>
  <c r="Z23"/>
  <c r="AG23" s="1"/>
  <c r="Z24"/>
  <c r="AG24" s="1"/>
  <c r="Z25"/>
  <c r="AG25" s="1"/>
  <c r="Z26"/>
  <c r="Z27"/>
  <c r="AG27" s="1"/>
  <c r="Z28"/>
  <c r="Z29"/>
  <c r="Z30"/>
  <c r="AG30" s="1"/>
  <c r="Z31"/>
  <c r="AG31" s="1"/>
  <c r="Z32"/>
  <c r="AG32" s="1"/>
  <c r="Z33"/>
  <c r="AG33" s="1"/>
  <c r="Z34"/>
  <c r="AG34" s="1"/>
  <c r="Z35"/>
  <c r="AG35" s="1"/>
  <c r="Z36"/>
  <c r="AG36" s="1"/>
  <c r="Z37"/>
  <c r="AG37" s="1"/>
  <c r="Z38"/>
  <c r="AG38" s="1"/>
  <c r="Z39"/>
  <c r="AG39" s="1"/>
  <c r="Z40"/>
  <c r="AG40" s="1"/>
  <c r="Z41"/>
  <c r="AG41" s="1"/>
  <c r="Z42"/>
  <c r="AG42" s="1"/>
  <c r="Z43"/>
  <c r="AG43" s="1"/>
  <c r="Z44"/>
  <c r="Z45"/>
  <c r="Z46"/>
  <c r="AG46" s="1"/>
  <c r="Z47"/>
  <c r="AG47" s="1"/>
  <c r="Z48"/>
  <c r="AG48" s="1"/>
  <c r="Z49"/>
  <c r="AG49" s="1"/>
  <c r="Z50"/>
  <c r="AG50" s="1"/>
  <c r="Z51"/>
  <c r="AG51" s="1"/>
  <c r="Z52"/>
  <c r="AG52" s="1"/>
  <c r="Z53"/>
  <c r="AG53" s="1"/>
  <c r="Z54"/>
  <c r="AG54" s="1"/>
  <c r="Z55"/>
  <c r="AG55" s="1"/>
  <c r="Z56"/>
  <c r="AG56" s="1"/>
  <c r="Z57"/>
  <c r="AG57" s="1"/>
  <c r="Z58"/>
  <c r="AG58" s="1"/>
  <c r="Z59"/>
  <c r="AG59" s="1"/>
  <c r="Z60"/>
  <c r="AG60" s="1"/>
  <c r="Z61"/>
  <c r="AG61" s="1"/>
  <c r="Z62"/>
  <c r="AG62" s="1"/>
  <c r="Z63"/>
  <c r="AG63" s="1"/>
  <c r="Z64"/>
  <c r="AG64" s="1"/>
  <c r="Z65"/>
  <c r="AG65" s="1"/>
  <c r="Z66"/>
  <c r="AG66" s="1"/>
  <c r="Z67"/>
  <c r="AG67" s="1"/>
  <c r="Z68"/>
  <c r="AG68" s="1"/>
  <c r="Z69"/>
  <c r="AG69" s="1"/>
  <c r="Z70"/>
  <c r="Z71"/>
  <c r="AG71" s="1"/>
  <c r="Z72"/>
  <c r="AG72" s="1"/>
  <c r="Z73"/>
  <c r="AG73" s="1"/>
  <c r="Z74"/>
  <c r="AG74" s="1"/>
  <c r="Z75"/>
  <c r="AG75" s="1"/>
  <c r="Z76"/>
  <c r="AG76" s="1"/>
  <c r="Z77"/>
  <c r="AG77" s="1"/>
  <c r="Z78"/>
  <c r="AG78" s="1"/>
  <c r="Z79"/>
  <c r="Z80"/>
  <c r="Z81"/>
  <c r="AG81" s="1"/>
  <c r="Z82"/>
  <c r="AG82" s="1"/>
  <c r="Z83"/>
  <c r="AG83" s="1"/>
  <c r="Z84"/>
  <c r="Z85"/>
  <c r="AG85" s="1"/>
  <c r="Z86"/>
  <c r="AG86" s="1"/>
  <c r="Z87"/>
  <c r="AG87" s="1"/>
  <c r="Z88"/>
  <c r="AG88" s="1"/>
  <c r="Z89"/>
  <c r="AG89" s="1"/>
  <c r="Z90"/>
  <c r="AG90" s="1"/>
  <c r="Z91"/>
  <c r="AG91" s="1"/>
  <c r="Z92"/>
  <c r="Z93"/>
  <c r="Z94"/>
  <c r="AG94" s="1"/>
  <c r="Z95"/>
  <c r="AG95" s="1"/>
  <c r="Z96"/>
  <c r="AG96" s="1"/>
  <c r="Z97"/>
  <c r="AG97" s="1"/>
  <c r="Z98"/>
  <c r="AG98" s="1"/>
  <c r="Z99"/>
  <c r="AG99" s="1"/>
  <c r="Z100"/>
  <c r="AG100" s="1"/>
  <c r="Z101"/>
  <c r="AG101" s="1"/>
  <c r="Z102"/>
  <c r="AG102" s="1"/>
  <c r="Z103"/>
  <c r="AG103" s="1"/>
  <c r="Z104"/>
  <c r="AG104" s="1"/>
  <c r="Z105"/>
  <c r="AG105" s="1"/>
  <c r="Z106"/>
  <c r="AG106" s="1"/>
  <c r="Z107"/>
  <c r="AG107" s="1"/>
  <c r="Z108"/>
  <c r="AG108" s="1"/>
  <c r="Z109"/>
  <c r="AG109" s="1"/>
  <c r="Z110"/>
  <c r="AG110" s="1"/>
  <c r="Z111"/>
  <c r="Z112"/>
  <c r="AG112" s="1"/>
  <c r="Z113"/>
  <c r="AG113" s="1"/>
  <c r="Z114"/>
  <c r="Z115"/>
  <c r="Z116"/>
  <c r="AG116" s="1"/>
  <c r="Z117"/>
  <c r="AG117" s="1"/>
  <c r="Z118"/>
  <c r="AG118" s="1"/>
  <c r="Z119"/>
  <c r="Z120"/>
  <c r="AG120" s="1"/>
  <c r="Z121"/>
  <c r="Z122"/>
  <c r="AG122" s="1"/>
  <c r="Z123"/>
  <c r="AG123" s="1"/>
  <c r="Z124"/>
  <c r="AG124" s="1"/>
  <c r="Z125"/>
  <c r="AG125" s="1"/>
  <c r="Z126"/>
  <c r="AG126" s="1"/>
  <c r="Z127"/>
  <c r="AG127" s="1"/>
  <c r="Z128"/>
  <c r="AG128" s="1"/>
  <c r="Z129"/>
  <c r="AG129" s="1"/>
  <c r="Z130"/>
  <c r="AG130" s="1"/>
  <c r="Z131"/>
  <c r="AG131" s="1"/>
  <c r="Z132"/>
  <c r="AG132" s="1"/>
  <c r="Z133"/>
  <c r="AG133" s="1"/>
  <c r="Z134"/>
  <c r="AG134" s="1"/>
  <c r="Z135"/>
  <c r="AG135" s="1"/>
  <c r="Z136"/>
  <c r="AG136" s="1"/>
  <c r="Z137"/>
  <c r="AG137" s="1"/>
  <c r="Z138"/>
  <c r="AG138" s="1"/>
  <c r="Z139"/>
  <c r="AG139" s="1"/>
  <c r="Z140"/>
  <c r="AG140" s="1"/>
  <c r="Z141"/>
  <c r="AG141" s="1"/>
  <c r="Z142"/>
  <c r="AG142" s="1"/>
  <c r="Z143"/>
  <c r="AG143" s="1"/>
  <c r="Z144"/>
  <c r="AG144" s="1"/>
  <c r="Z145"/>
  <c r="AG145" s="1"/>
  <c r="Z146"/>
  <c r="Z147"/>
  <c r="AG147" s="1"/>
  <c r="Z148"/>
  <c r="Z149"/>
  <c r="Z150"/>
  <c r="Z151"/>
  <c r="AG151" s="1"/>
  <c r="Z152"/>
  <c r="AG152" s="1"/>
  <c r="Z153"/>
  <c r="AG153" s="1"/>
  <c r="Z154"/>
  <c r="Z155"/>
  <c r="AG155" s="1"/>
  <c r="Z156"/>
  <c r="Z157"/>
  <c r="AG157" s="1"/>
  <c r="Z158"/>
  <c r="AG158" s="1"/>
  <c r="Z159"/>
  <c r="Z160"/>
  <c r="Z161"/>
  <c r="AG161" s="1"/>
  <c r="Z162"/>
  <c r="AG162" s="1"/>
  <c r="Z163"/>
  <c r="Z164"/>
  <c r="AG164" s="1"/>
  <c r="Z165"/>
  <c r="AG165" s="1"/>
  <c r="Z166"/>
  <c r="AG166" s="1"/>
  <c r="Z167"/>
  <c r="AG167" s="1"/>
  <c r="Z168"/>
  <c r="AG168" s="1"/>
  <c r="Z169"/>
  <c r="AG169" s="1"/>
  <c r="Z170"/>
  <c r="AG170" s="1"/>
  <c r="Z171"/>
  <c r="AG171" s="1"/>
  <c r="Z172"/>
  <c r="AG172" s="1"/>
  <c r="Z173"/>
  <c r="AG173" s="1"/>
  <c r="Z174"/>
  <c r="AG174" s="1"/>
  <c r="Z175"/>
  <c r="AG175" s="1"/>
  <c r="Z176"/>
  <c r="AG176" s="1"/>
  <c r="Z177"/>
  <c r="AG177" s="1"/>
  <c r="Z178"/>
  <c r="AG178" s="1"/>
  <c r="Z179"/>
  <c r="Z180"/>
  <c r="Z181"/>
  <c r="Z182"/>
  <c r="AG182" s="1"/>
  <c r="Z183"/>
  <c r="AG183" s="1"/>
  <c r="Z184"/>
  <c r="AG184" s="1"/>
  <c r="Z185"/>
  <c r="AG185" s="1"/>
  <c r="Z186"/>
  <c r="Z187"/>
  <c r="Z188"/>
  <c r="Z189"/>
  <c r="AG189" s="1"/>
  <c r="Z190"/>
  <c r="Z191"/>
  <c r="Z192"/>
  <c r="Z193"/>
  <c r="Z194"/>
  <c r="AG194" s="1"/>
  <c r="Z195"/>
  <c r="AG195" s="1"/>
  <c r="Z196"/>
  <c r="AG196" s="1"/>
  <c r="Z197"/>
  <c r="Z198"/>
  <c r="AG198" s="1"/>
  <c r="Z199"/>
  <c r="Z200"/>
  <c r="Z201"/>
  <c r="AG201" s="1"/>
  <c r="Z202"/>
  <c r="AG202" s="1"/>
  <c r="Z203"/>
  <c r="AG203" s="1"/>
  <c r="Z204"/>
  <c r="AG204" s="1"/>
  <c r="Z205"/>
  <c r="Z206"/>
  <c r="AG206" s="1"/>
  <c r="Z207"/>
  <c r="AG207" s="1"/>
  <c r="Z208"/>
  <c r="AG208" s="1"/>
  <c r="Z209"/>
  <c r="AG209" s="1"/>
  <c r="Z210"/>
  <c r="AG210" s="1"/>
  <c r="Z211"/>
  <c r="AG211" s="1"/>
  <c r="Z212"/>
  <c r="AG212" s="1"/>
  <c r="Z213"/>
  <c r="AG213" s="1"/>
  <c r="Z214"/>
  <c r="AG214" s="1"/>
  <c r="Z215"/>
  <c r="Z216"/>
  <c r="Z217"/>
  <c r="AG217" s="1"/>
  <c r="Z218"/>
  <c r="Z219"/>
  <c r="Z220"/>
  <c r="AG220" s="1"/>
  <c r="Z221"/>
  <c r="AG221" s="1"/>
  <c r="Z222"/>
  <c r="AG222" s="1"/>
  <c r="Z223"/>
  <c r="AG223" s="1"/>
  <c r="Z224"/>
  <c r="AG224" s="1"/>
  <c r="Z225"/>
  <c r="AG225" s="1"/>
  <c r="Z226"/>
  <c r="AG226" s="1"/>
  <c r="Z227"/>
  <c r="AG227" s="1"/>
  <c r="Z228"/>
  <c r="AG228" s="1"/>
  <c r="Z229"/>
  <c r="AG229" s="1"/>
  <c r="Z230"/>
  <c r="AG230" s="1"/>
  <c r="Z231"/>
  <c r="AG231" s="1"/>
  <c r="Z232"/>
  <c r="AG232" s="1"/>
  <c r="Z233"/>
  <c r="AG233" s="1"/>
  <c r="Z234"/>
  <c r="AG234" s="1"/>
  <c r="Z235"/>
  <c r="AG235" s="1"/>
  <c r="Z236"/>
  <c r="AG236" s="1"/>
  <c r="Z237"/>
  <c r="AG237" s="1"/>
  <c r="Z238"/>
  <c r="AG238" s="1"/>
  <c r="Z239"/>
  <c r="AG239" s="1"/>
  <c r="Z240"/>
  <c r="AG240" s="1"/>
  <c r="Z241"/>
  <c r="Z242"/>
  <c r="Z243"/>
  <c r="AG243" s="1"/>
  <c r="Z244"/>
  <c r="AG244" s="1"/>
  <c r="Z245"/>
  <c r="AG245" s="1"/>
  <c r="Z246"/>
  <c r="AG246" s="1"/>
  <c r="Z247"/>
  <c r="AG247" s="1"/>
  <c r="Z248"/>
  <c r="AG248" s="1"/>
  <c r="Z249"/>
  <c r="AG249" s="1"/>
  <c r="Z250"/>
  <c r="AG250" s="1"/>
  <c r="Z251"/>
  <c r="AG251" s="1"/>
  <c r="Z252"/>
  <c r="AG252" s="1"/>
  <c r="Z253"/>
  <c r="AG253" s="1"/>
  <c r="Z254"/>
  <c r="AG254" s="1"/>
  <c r="Z255"/>
  <c r="AG255" s="1"/>
  <c r="Z256"/>
  <c r="AG256" s="1"/>
  <c r="Z257"/>
  <c r="AG257" s="1"/>
  <c r="Z258"/>
  <c r="AG258" s="1"/>
  <c r="Z259"/>
  <c r="AG259" s="1"/>
  <c r="Z260"/>
  <c r="AG260" s="1"/>
  <c r="Z261"/>
  <c r="AG261" s="1"/>
  <c r="Z262"/>
  <c r="AG262" s="1"/>
  <c r="Z263"/>
  <c r="Z264"/>
  <c r="Z265"/>
  <c r="Z266"/>
  <c r="AG266" s="1"/>
  <c r="Z267"/>
  <c r="Z268"/>
  <c r="Z269"/>
  <c r="Z270"/>
  <c r="AG270" s="1"/>
  <c r="Z271"/>
  <c r="AG271" s="1"/>
  <c r="Z272"/>
  <c r="AG272" s="1"/>
  <c r="Z273"/>
  <c r="AG273" s="1"/>
  <c r="Z274"/>
  <c r="AG274" s="1"/>
  <c r="Z275"/>
  <c r="AG275" s="1"/>
  <c r="Z276"/>
  <c r="AG276" s="1"/>
  <c r="Z277"/>
  <c r="AG277" s="1"/>
  <c r="Z278"/>
  <c r="AG278" s="1"/>
  <c r="Z279"/>
  <c r="AG279" s="1"/>
  <c r="Z280"/>
  <c r="AG280" s="1"/>
  <c r="Z281"/>
  <c r="AG281" s="1"/>
  <c r="Z282"/>
  <c r="AG282" s="1"/>
  <c r="Z283"/>
  <c r="AG283" s="1"/>
  <c r="Z284"/>
  <c r="Z285"/>
  <c r="AG285" s="1"/>
  <c r="Z286"/>
  <c r="AG286" s="1"/>
  <c r="Z287"/>
  <c r="Z288"/>
  <c r="AG288" s="1"/>
  <c r="Z289"/>
  <c r="AG289" s="1"/>
  <c r="Z290"/>
  <c r="AG290" s="1"/>
  <c r="Z291"/>
  <c r="Z292"/>
  <c r="Z293"/>
  <c r="AG293" s="1"/>
  <c r="Z294"/>
  <c r="AG294" s="1"/>
  <c r="Z295"/>
  <c r="AG295" s="1"/>
  <c r="Z296"/>
  <c r="AG296" s="1"/>
  <c r="Z297"/>
  <c r="AG297" s="1"/>
  <c r="Z298"/>
  <c r="AG298" s="1"/>
  <c r="Z299"/>
  <c r="AG299" s="1"/>
  <c r="Z300"/>
  <c r="AG300" s="1"/>
  <c r="Z301"/>
  <c r="AG301" s="1"/>
  <c r="Z302"/>
  <c r="AG302" s="1"/>
  <c r="Z303"/>
  <c r="AG303" s="1"/>
  <c r="Z304"/>
  <c r="AG304" s="1"/>
  <c r="Z305"/>
  <c r="AG305" s="1"/>
  <c r="Z306"/>
  <c r="AG306" s="1"/>
  <c r="Z307"/>
  <c r="AG307" s="1"/>
  <c r="Z308"/>
  <c r="AG308" s="1"/>
  <c r="Z309"/>
  <c r="AG309" s="1"/>
  <c r="Z310"/>
  <c r="AG310" s="1"/>
  <c r="Z311"/>
  <c r="AG311" s="1"/>
  <c r="Z312"/>
  <c r="AG312" s="1"/>
  <c r="Z313"/>
  <c r="AG313" s="1"/>
  <c r="Z314"/>
  <c r="AG314" s="1"/>
  <c r="Z315"/>
  <c r="AG315" s="1"/>
  <c r="Z316"/>
  <c r="AG316" s="1"/>
  <c r="Z317"/>
  <c r="AG317" s="1"/>
  <c r="Z318"/>
  <c r="AG318" s="1"/>
  <c r="Z319"/>
  <c r="AG319" s="1"/>
  <c r="Z320"/>
  <c r="AG320" s="1"/>
  <c r="Z321"/>
  <c r="AG321" s="1"/>
  <c r="Z322"/>
  <c r="AG322" s="1"/>
  <c r="Z323"/>
  <c r="AG323" s="1"/>
  <c r="Z324"/>
  <c r="AG324" s="1"/>
  <c r="Z325"/>
  <c r="AG325" s="1"/>
  <c r="Z326"/>
  <c r="AG326" s="1"/>
  <c r="Z327"/>
  <c r="AG327" s="1"/>
  <c r="Z328"/>
  <c r="Z329"/>
  <c r="AG329" s="1"/>
  <c r="Z330"/>
  <c r="AG330" s="1"/>
  <c r="Z331"/>
  <c r="AG331" s="1"/>
  <c r="Z332"/>
  <c r="AG332" s="1"/>
  <c r="Z333"/>
  <c r="AG333" s="1"/>
  <c r="Z334"/>
  <c r="AG334" s="1"/>
  <c r="Z335"/>
  <c r="AG335" s="1"/>
  <c r="Z336"/>
  <c r="AG336" s="1"/>
  <c r="Z337"/>
  <c r="AG337" s="1"/>
  <c r="Z338"/>
  <c r="AG338" s="1"/>
  <c r="Z339"/>
  <c r="Z340"/>
  <c r="AG340" s="1"/>
  <c r="Z341"/>
  <c r="Z342"/>
  <c r="AG342" s="1"/>
  <c r="Z343"/>
  <c r="Z344"/>
  <c r="Z345"/>
  <c r="AG345" s="1"/>
  <c r="Z346"/>
  <c r="AG346" s="1"/>
  <c r="Z347"/>
  <c r="AG347" s="1"/>
  <c r="Z348"/>
  <c r="AG348" s="1"/>
  <c r="Z349"/>
  <c r="AG349" s="1"/>
  <c r="Z350"/>
  <c r="AG350" s="1"/>
  <c r="Z351"/>
  <c r="AG351" s="1"/>
  <c r="Z352"/>
  <c r="Z353"/>
  <c r="AG353" s="1"/>
  <c r="Z354"/>
  <c r="AG354" s="1"/>
  <c r="Z355"/>
  <c r="AG355" s="1"/>
  <c r="Z356"/>
  <c r="AG356" s="1"/>
  <c r="Z357"/>
  <c r="AG357" s="1"/>
  <c r="Z358"/>
  <c r="AG358" s="1"/>
  <c r="Z359"/>
  <c r="AG359" s="1"/>
  <c r="Z360"/>
  <c r="AG360" s="1"/>
  <c r="Z361"/>
  <c r="AG361" s="1"/>
  <c r="Z362"/>
  <c r="AG362" s="1"/>
  <c r="Z363"/>
  <c r="AG363" s="1"/>
  <c r="Z364"/>
  <c r="AG364" s="1"/>
  <c r="Z365"/>
  <c r="AG365" s="1"/>
  <c r="Z366"/>
  <c r="AG366" s="1"/>
  <c r="Z367"/>
  <c r="AG367" s="1"/>
  <c r="Z368"/>
  <c r="AG368" s="1"/>
  <c r="Z369"/>
  <c r="AG369" s="1"/>
  <c r="Z370"/>
  <c r="AG370" s="1"/>
  <c r="Z371"/>
  <c r="AG371" s="1"/>
  <c r="Z372"/>
  <c r="AG372" s="1"/>
  <c r="Z373"/>
  <c r="AG373" s="1"/>
  <c r="Z374"/>
  <c r="AG374" s="1"/>
  <c r="Z375"/>
  <c r="AG375" s="1"/>
  <c r="Z376"/>
  <c r="Z377"/>
  <c r="AG377" s="1"/>
  <c r="Z378"/>
  <c r="AG378" s="1"/>
  <c r="Z379"/>
  <c r="AG379" s="1"/>
  <c r="Z380"/>
  <c r="AG380" s="1"/>
  <c r="Z381"/>
  <c r="AG381" s="1"/>
  <c r="Z382"/>
  <c r="AG382" s="1"/>
  <c r="Z383"/>
  <c r="AG383" s="1"/>
  <c r="Z384"/>
  <c r="AG384" s="1"/>
  <c r="Z385"/>
  <c r="AG385" s="1"/>
  <c r="Z386"/>
  <c r="Z387"/>
  <c r="Z388"/>
  <c r="Z389"/>
  <c r="AG389" s="1"/>
  <c r="Z390"/>
  <c r="AG390" s="1"/>
  <c r="Z391"/>
  <c r="AG391" s="1"/>
  <c r="Z392"/>
  <c r="AG392" s="1"/>
  <c r="Z393"/>
  <c r="AG393" s="1"/>
  <c r="Z394"/>
  <c r="AG394" s="1"/>
  <c r="Z395"/>
  <c r="AG395" s="1"/>
  <c r="Z396"/>
  <c r="AG396" s="1"/>
  <c r="Z397"/>
  <c r="AG397" s="1"/>
  <c r="Z398"/>
  <c r="AG398" s="1"/>
  <c r="Z399"/>
  <c r="AG399" s="1"/>
  <c r="Z400"/>
  <c r="AG400" s="1"/>
  <c r="Z401"/>
  <c r="AG401" s="1"/>
  <c r="Z402"/>
  <c r="AG402" s="1"/>
  <c r="Z403"/>
  <c r="AG403" s="1"/>
  <c r="Z404"/>
  <c r="AG404" s="1"/>
  <c r="Z405"/>
  <c r="Z406"/>
  <c r="AG406" s="1"/>
  <c r="Z407"/>
  <c r="AG407" s="1"/>
  <c r="Z408"/>
  <c r="AG408" s="1"/>
  <c r="Z409"/>
  <c r="AG409" s="1"/>
  <c r="Z410"/>
  <c r="Z411"/>
  <c r="AG411" s="1"/>
  <c r="Z412"/>
  <c r="Z413"/>
  <c r="AG413" s="1"/>
  <c r="Z414"/>
  <c r="Z415"/>
  <c r="AG415" s="1"/>
  <c r="Z416"/>
  <c r="AG416" s="1"/>
  <c r="Z417"/>
  <c r="AG417" s="1"/>
  <c r="Z418"/>
  <c r="AG418" s="1"/>
  <c r="Z419"/>
  <c r="AG419" s="1"/>
  <c r="Z420"/>
  <c r="Z421"/>
  <c r="AG421" s="1"/>
  <c r="Z422"/>
  <c r="AG422" s="1"/>
  <c r="Z423"/>
  <c r="AG423" s="1"/>
  <c r="Z424"/>
  <c r="AG424" s="1"/>
  <c r="Z425"/>
  <c r="AG425" s="1"/>
  <c r="Z426"/>
  <c r="AG426" s="1"/>
  <c r="Z427"/>
  <c r="AG427" s="1"/>
  <c r="Z428"/>
  <c r="AG428" s="1"/>
  <c r="Z429"/>
  <c r="Z430"/>
  <c r="Z431"/>
  <c r="AG431" s="1"/>
  <c r="Z432"/>
  <c r="Z433"/>
  <c r="AG433" s="1"/>
  <c r="Z434"/>
  <c r="AG434" s="1"/>
  <c r="Z435"/>
  <c r="AG435" s="1"/>
  <c r="Z436"/>
  <c r="AG436" s="1"/>
  <c r="Z437"/>
  <c r="AG437" s="1"/>
  <c r="Z438"/>
  <c r="AG438" s="1"/>
  <c r="Z439"/>
  <c r="AG439" s="1"/>
  <c r="Z440"/>
  <c r="AG440" s="1"/>
  <c r="Z441"/>
  <c r="AG441" s="1"/>
  <c r="Z442"/>
  <c r="AG442" s="1"/>
  <c r="Z443"/>
  <c r="AG443" s="1"/>
  <c r="Z444"/>
  <c r="AG444" s="1"/>
  <c r="Z445"/>
  <c r="AG445" s="1"/>
  <c r="Z446"/>
  <c r="AG446" s="1"/>
  <c r="Z447"/>
  <c r="AG447" s="1"/>
  <c r="Z448"/>
  <c r="AG448" s="1"/>
  <c r="Z449"/>
  <c r="AG449" s="1"/>
  <c r="Z450"/>
  <c r="AG450" s="1"/>
  <c r="Z451"/>
  <c r="AG451" s="1"/>
  <c r="Z452"/>
  <c r="AG452" s="1"/>
  <c r="Z453"/>
  <c r="AG453" s="1"/>
  <c r="Z454"/>
  <c r="AG454" s="1"/>
  <c r="Z455"/>
  <c r="AG455" s="1"/>
  <c r="Z456"/>
  <c r="AG456" s="1"/>
  <c r="Z457"/>
  <c r="AG457" s="1"/>
  <c r="Z458"/>
  <c r="AG458" s="1"/>
  <c r="Z459"/>
  <c r="AG459" s="1"/>
  <c r="Z460"/>
  <c r="AG460" s="1"/>
  <c r="Z461"/>
  <c r="AG461" s="1"/>
  <c r="Z462"/>
  <c r="AG462" s="1"/>
  <c r="Z463"/>
  <c r="AG463" s="1"/>
  <c r="Z464"/>
  <c r="AG464" s="1"/>
  <c r="Z465"/>
  <c r="AG465" s="1"/>
  <c r="Z466"/>
  <c r="AG466" s="1"/>
  <c r="Z467"/>
  <c r="AG467" s="1"/>
  <c r="Z468"/>
  <c r="AG468" s="1"/>
  <c r="Z469"/>
  <c r="AG469" s="1"/>
  <c r="Z470"/>
  <c r="AG470" s="1"/>
  <c r="Z471"/>
  <c r="AG471" s="1"/>
  <c r="Z472"/>
  <c r="AG472" s="1"/>
  <c r="Z473"/>
  <c r="AG473" s="1"/>
  <c r="Z474"/>
  <c r="AG474" s="1"/>
  <c r="Z475"/>
  <c r="AG475" s="1"/>
  <c r="Z476"/>
  <c r="AG476" s="1"/>
  <c r="Z477"/>
  <c r="Z478"/>
  <c r="Z479"/>
  <c r="AG479" s="1"/>
  <c r="Z480"/>
  <c r="AG480" s="1"/>
  <c r="Z481"/>
  <c r="AG481" s="1"/>
  <c r="Z482"/>
  <c r="AG482" s="1"/>
  <c r="Z483"/>
  <c r="Z484"/>
  <c r="Z485"/>
  <c r="Z486"/>
  <c r="Z487"/>
  <c r="AG487" s="1"/>
  <c r="Z488"/>
  <c r="AG488" s="1"/>
  <c r="Z489"/>
  <c r="AG489" s="1"/>
  <c r="Z490"/>
  <c r="AG490" s="1"/>
  <c r="Z491"/>
  <c r="Z492"/>
  <c r="AG492" s="1"/>
  <c r="Z493"/>
  <c r="AG493" s="1"/>
  <c r="Z494"/>
  <c r="Z495"/>
  <c r="Z496"/>
  <c r="AG496" s="1"/>
  <c r="Z497"/>
  <c r="AG497" s="1"/>
  <c r="Z498"/>
  <c r="AG498" s="1"/>
  <c r="Z499"/>
  <c r="AG499" s="1"/>
  <c r="Z500"/>
  <c r="AG500" s="1"/>
  <c r="Z501"/>
  <c r="AG501" s="1"/>
  <c r="Z502"/>
  <c r="Z503"/>
  <c r="Z504"/>
  <c r="AG504" s="1"/>
  <c r="Z505"/>
  <c r="AG505" s="1"/>
  <c r="Z506"/>
  <c r="AG506" s="1"/>
  <c r="Z507"/>
  <c r="AG507" s="1"/>
  <c r="Z508"/>
  <c r="AG508" s="1"/>
  <c r="Z509"/>
  <c r="AG509" s="1"/>
  <c r="Z510"/>
  <c r="AG510" s="1"/>
  <c r="Z511"/>
  <c r="AG511" s="1"/>
  <c r="Z512"/>
  <c r="AG512" s="1"/>
  <c r="Z513"/>
  <c r="AG513" s="1"/>
  <c r="Z514"/>
  <c r="AG514" s="1"/>
  <c r="Z515"/>
  <c r="AG515" s="1"/>
  <c r="Z516"/>
  <c r="AG516" s="1"/>
  <c r="Z517"/>
  <c r="AG517" s="1"/>
  <c r="Z518"/>
  <c r="AG518" s="1"/>
  <c r="Z519"/>
  <c r="AG519" s="1"/>
  <c r="Z520"/>
  <c r="AG520" s="1"/>
  <c r="Z521"/>
  <c r="AG521" s="1"/>
  <c r="Z522"/>
  <c r="Z523"/>
  <c r="AG523" s="1"/>
  <c r="Z524"/>
  <c r="AG524" s="1"/>
  <c r="Z525"/>
  <c r="AG525" s="1"/>
  <c r="Z526"/>
  <c r="AG526" s="1"/>
  <c r="Z527"/>
  <c r="AG527" s="1"/>
  <c r="Z528"/>
  <c r="AG528" s="1"/>
  <c r="Z529"/>
  <c r="AG529" s="1"/>
  <c r="Z530"/>
  <c r="AG530" s="1"/>
  <c r="Z531"/>
  <c r="AG531" s="1"/>
  <c r="Z532"/>
  <c r="AG532" s="1"/>
  <c r="Z533"/>
  <c r="AG533" s="1"/>
  <c r="Z534"/>
  <c r="AG534" s="1"/>
  <c r="Z535"/>
  <c r="AG535" s="1"/>
  <c r="Z536"/>
  <c r="AG536" s="1"/>
  <c r="Z537"/>
  <c r="AG537" s="1"/>
  <c r="Z538"/>
  <c r="AG538" s="1"/>
  <c r="Z539"/>
  <c r="AG539" s="1"/>
  <c r="Z540"/>
  <c r="AG540" s="1"/>
  <c r="Z541"/>
  <c r="AG541" s="1"/>
  <c r="Z542"/>
  <c r="AG542" s="1"/>
  <c r="Z543"/>
  <c r="AG543" s="1"/>
  <c r="Z544"/>
  <c r="AG544" s="1"/>
  <c r="Z545"/>
  <c r="AG545" s="1"/>
  <c r="Z546"/>
  <c r="AG546" s="1"/>
  <c r="Z547"/>
  <c r="AG547" s="1"/>
  <c r="Z548"/>
  <c r="AG548" s="1"/>
  <c r="Z549"/>
  <c r="Z550"/>
  <c r="AG550" s="1"/>
  <c r="Z551"/>
  <c r="AG551" s="1"/>
  <c r="Z552"/>
  <c r="AG552" s="1"/>
  <c r="Z553"/>
  <c r="AG553" s="1"/>
  <c r="Z554"/>
  <c r="AG554" s="1"/>
  <c r="Z555"/>
  <c r="AG555" s="1"/>
  <c r="Z556"/>
  <c r="AG556" s="1"/>
  <c r="Z557"/>
  <c r="AG557" s="1"/>
  <c r="Z558"/>
  <c r="AG558" s="1"/>
  <c r="Z559"/>
  <c r="AG559" s="1"/>
  <c r="Z560"/>
  <c r="AG560" s="1"/>
  <c r="Z561"/>
  <c r="AG561" s="1"/>
  <c r="Z562"/>
  <c r="AG562" s="1"/>
  <c r="Z563"/>
  <c r="AG563" s="1"/>
  <c r="Z564"/>
  <c r="AG564" s="1"/>
  <c r="Z565"/>
  <c r="AG565" s="1"/>
  <c r="Z566"/>
  <c r="AG566" s="1"/>
  <c r="Z567"/>
  <c r="AG567" s="1"/>
  <c r="Z568"/>
  <c r="AG568" s="1"/>
  <c r="Z569"/>
  <c r="AG569" s="1"/>
  <c r="Z570"/>
  <c r="AG570" s="1"/>
  <c r="Z571"/>
  <c r="AG571" s="1"/>
  <c r="Z572"/>
  <c r="AG572" s="1"/>
  <c r="Z573"/>
  <c r="AG573" s="1"/>
  <c r="Z574"/>
  <c r="AG574" s="1"/>
  <c r="Z575"/>
  <c r="AG575" s="1"/>
  <c r="Z576"/>
  <c r="AG576" s="1"/>
  <c r="Z577"/>
  <c r="AG577" s="1"/>
  <c r="Z578"/>
  <c r="AG578" s="1"/>
  <c r="Z579"/>
  <c r="AG579" s="1"/>
  <c r="Z580"/>
  <c r="AG580" s="1"/>
  <c r="Z581"/>
  <c r="AG581" s="1"/>
  <c r="Z582"/>
  <c r="AG582" s="1"/>
  <c r="Z583"/>
  <c r="AG583" s="1"/>
  <c r="Z584"/>
  <c r="AG584" s="1"/>
  <c r="Z585"/>
  <c r="AG585" s="1"/>
  <c r="Z586"/>
  <c r="AG586" s="1"/>
  <c r="Z587"/>
  <c r="AG587" s="1"/>
  <c r="Z588"/>
  <c r="AG588" s="1"/>
  <c r="Z589"/>
  <c r="AG589" s="1"/>
  <c r="Z590"/>
  <c r="AG590" s="1"/>
  <c r="Z591"/>
  <c r="AG591" s="1"/>
  <c r="Z592"/>
  <c r="AG592" s="1"/>
  <c r="Z593"/>
  <c r="AG593" s="1"/>
  <c r="Z594"/>
  <c r="AG594" s="1"/>
  <c r="Z595"/>
  <c r="AG595" s="1"/>
  <c r="Z596"/>
  <c r="AG596" s="1"/>
  <c r="Z597"/>
  <c r="AG597" s="1"/>
  <c r="Z598"/>
  <c r="AG598" s="1"/>
  <c r="Z599"/>
  <c r="AG599" s="1"/>
  <c r="Z600"/>
  <c r="AG600" s="1"/>
  <c r="Z601"/>
  <c r="AG601" s="1"/>
  <c r="Z602"/>
  <c r="AG602" s="1"/>
  <c r="Z603"/>
  <c r="AG603" s="1"/>
  <c r="Z604"/>
  <c r="AG604" s="1"/>
  <c r="Z605"/>
  <c r="AG605" s="1"/>
  <c r="Z606"/>
  <c r="AG606" s="1"/>
  <c r="Z607"/>
  <c r="AG607" s="1"/>
  <c r="Z608"/>
  <c r="AG608" s="1"/>
  <c r="Z609"/>
  <c r="AG609" s="1"/>
  <c r="Z610"/>
  <c r="AG610" s="1"/>
  <c r="Z611"/>
  <c r="Z612"/>
  <c r="AG612" s="1"/>
  <c r="Z613"/>
  <c r="AG613" s="1"/>
  <c r="Z614"/>
  <c r="AG614" s="1"/>
  <c r="Z615"/>
  <c r="AG615" s="1"/>
  <c r="Z616"/>
  <c r="AG616" s="1"/>
  <c r="Z617"/>
  <c r="Z618"/>
  <c r="AG618" s="1"/>
  <c r="Z619"/>
  <c r="AG619" s="1"/>
  <c r="Z620"/>
  <c r="AG620" s="1"/>
  <c r="Z621"/>
  <c r="AG621" s="1"/>
  <c r="Z622"/>
  <c r="AG622" s="1"/>
  <c r="Z623"/>
  <c r="AG623" s="1"/>
  <c r="Z624"/>
  <c r="AG624" s="1"/>
  <c r="Z625"/>
  <c r="AG625" s="1"/>
  <c r="Z626"/>
  <c r="AG626" s="1"/>
  <c r="Z627"/>
  <c r="AG627" s="1"/>
  <c r="Z628"/>
  <c r="Z629"/>
  <c r="AG629" s="1"/>
  <c r="Z630"/>
  <c r="AG630" s="1"/>
  <c r="Z631"/>
  <c r="AG631" s="1"/>
  <c r="Z632"/>
  <c r="AG632" s="1"/>
  <c r="Z633"/>
  <c r="AG633" s="1"/>
  <c r="Z634"/>
  <c r="AG634" s="1"/>
  <c r="Z635"/>
  <c r="AG635" s="1"/>
  <c r="Z636"/>
  <c r="AG636" s="1"/>
  <c r="Z637"/>
  <c r="AG637" s="1"/>
  <c r="Z638"/>
  <c r="AG638" s="1"/>
  <c r="Z639"/>
  <c r="AG639" s="1"/>
  <c r="Z640"/>
  <c r="AG640" s="1"/>
  <c r="Z641"/>
  <c r="AG641" s="1"/>
  <c r="Z642"/>
  <c r="AG642" s="1"/>
  <c r="Z643"/>
  <c r="AG643" s="1"/>
  <c r="Z644"/>
  <c r="AG644" s="1"/>
  <c r="Z645"/>
  <c r="AG645" s="1"/>
  <c r="Z646"/>
  <c r="AG646" s="1"/>
  <c r="Z647"/>
  <c r="AG647" s="1"/>
  <c r="Z648"/>
  <c r="AG648" s="1"/>
  <c r="Z649"/>
  <c r="AG649" s="1"/>
  <c r="Z650"/>
  <c r="AG650" s="1"/>
  <c r="Z651"/>
  <c r="AG651" s="1"/>
  <c r="Z652"/>
  <c r="AG652" s="1"/>
  <c r="Z653"/>
  <c r="AG653" s="1"/>
  <c r="Z654"/>
  <c r="AG654" s="1"/>
  <c r="Z655"/>
  <c r="Z656"/>
  <c r="AG656" s="1"/>
  <c r="Z657"/>
  <c r="AG657" s="1"/>
  <c r="Z658"/>
  <c r="AG658" s="1"/>
  <c r="Z659"/>
  <c r="Z660"/>
  <c r="AG660" s="1"/>
  <c r="Z661"/>
  <c r="AG661" s="1"/>
  <c r="Z662"/>
  <c r="AG662" s="1"/>
  <c r="Z663"/>
  <c r="AG663" s="1"/>
  <c r="Z664"/>
  <c r="AG664" s="1"/>
  <c r="Z665"/>
  <c r="Z666"/>
  <c r="Z667"/>
  <c r="AG667" s="1"/>
  <c r="Z668"/>
  <c r="AG668" s="1"/>
  <c r="Z669"/>
  <c r="AG669" s="1"/>
  <c r="Z670"/>
  <c r="Z671"/>
  <c r="AG671" s="1"/>
  <c r="Z672"/>
  <c r="AG672" s="1"/>
  <c r="Z673"/>
  <c r="AG673" s="1"/>
  <c r="Z674"/>
  <c r="AG674" s="1"/>
  <c r="Z675"/>
  <c r="AG675" s="1"/>
  <c r="Z676"/>
  <c r="AG676" s="1"/>
  <c r="Z677"/>
  <c r="AG677" s="1"/>
  <c r="Z678"/>
  <c r="AG678" s="1"/>
  <c r="Z679"/>
  <c r="AG679" s="1"/>
  <c r="Z680"/>
  <c r="AG680" s="1"/>
  <c r="Z681"/>
  <c r="AG681" s="1"/>
  <c r="Z682"/>
  <c r="Z683"/>
  <c r="AG683" s="1"/>
  <c r="Z684"/>
  <c r="AG684" s="1"/>
  <c r="Z685"/>
  <c r="Z686"/>
  <c r="AG686" s="1"/>
  <c r="Z687"/>
  <c r="AG687" s="1"/>
  <c r="Z688"/>
  <c r="AG688" s="1"/>
  <c r="Z689"/>
  <c r="AG689" s="1"/>
  <c r="Z690"/>
  <c r="AG690" s="1"/>
  <c r="Z691"/>
  <c r="AG691" s="1"/>
  <c r="Z692"/>
  <c r="AG692" s="1"/>
  <c r="Z693"/>
  <c r="AG693" s="1"/>
  <c r="Z694"/>
  <c r="AG694" s="1"/>
  <c r="Z695"/>
  <c r="AG695" s="1"/>
  <c r="Z696"/>
  <c r="AG696" s="1"/>
  <c r="Z697"/>
  <c r="AG697" s="1"/>
  <c r="Z698"/>
  <c r="AG698" s="1"/>
  <c r="Z699"/>
  <c r="AG699" s="1"/>
  <c r="Z700"/>
  <c r="AG700" s="1"/>
  <c r="Z701"/>
  <c r="AG701" s="1"/>
  <c r="Z702"/>
  <c r="AG702" s="1"/>
  <c r="Z703"/>
  <c r="AG703" s="1"/>
  <c r="Z704"/>
  <c r="AG704" s="1"/>
  <c r="Z705"/>
  <c r="Z706"/>
  <c r="AG706" s="1"/>
  <c r="Z707"/>
  <c r="AG707" s="1"/>
  <c r="Z708"/>
  <c r="AG708" s="1"/>
  <c r="Z709"/>
  <c r="AG709" s="1"/>
  <c r="Z710"/>
  <c r="AG710" s="1"/>
  <c r="Z711"/>
  <c r="AG711" s="1"/>
  <c r="Z712"/>
  <c r="AG712" s="1"/>
  <c r="Z713"/>
  <c r="AG713" s="1"/>
  <c r="Z714"/>
  <c r="AG714" s="1"/>
  <c r="Z715"/>
  <c r="AG715" s="1"/>
  <c r="Z716"/>
  <c r="AG716" s="1"/>
  <c r="Z717"/>
  <c r="AG717" s="1"/>
  <c r="Z718"/>
  <c r="AG718" s="1"/>
  <c r="Z719"/>
  <c r="AG719" s="1"/>
  <c r="Z720"/>
  <c r="AG720" s="1"/>
  <c r="Z721"/>
  <c r="AG721" s="1"/>
  <c r="Z722"/>
  <c r="AG722" s="1"/>
  <c r="Z723"/>
  <c r="AG723" s="1"/>
  <c r="Z724"/>
  <c r="AG724" s="1"/>
  <c r="Z725"/>
  <c r="AG725" s="1"/>
  <c r="Z726"/>
  <c r="AG726" s="1"/>
  <c r="Z727"/>
  <c r="AG727" s="1"/>
  <c r="Z728"/>
  <c r="AG728" s="1"/>
  <c r="Z729"/>
  <c r="AG729" s="1"/>
  <c r="Z730"/>
  <c r="AG730" s="1"/>
  <c r="Z731"/>
  <c r="AG731" s="1"/>
  <c r="Z732"/>
  <c r="AG732" s="1"/>
  <c r="Z733"/>
  <c r="AG733" s="1"/>
  <c r="Z734"/>
  <c r="AG734" s="1"/>
  <c r="Z735"/>
  <c r="AG735" s="1"/>
  <c r="Z736"/>
  <c r="AG736" s="1"/>
  <c r="Z737"/>
  <c r="AG737" s="1"/>
  <c r="Z738"/>
  <c r="AG738" s="1"/>
  <c r="Z739"/>
  <c r="AG739" s="1"/>
  <c r="Z740"/>
  <c r="AG740" s="1"/>
  <c r="Z741"/>
  <c r="AG741" s="1"/>
  <c r="Z742"/>
  <c r="AG742" s="1"/>
  <c r="Z743"/>
  <c r="AG743" s="1"/>
  <c r="Z744"/>
  <c r="AG744" s="1"/>
  <c r="Z745"/>
  <c r="AG745" s="1"/>
  <c r="Z746"/>
  <c r="AG746" s="1"/>
  <c r="Z747"/>
  <c r="AG747" s="1"/>
  <c r="Z748"/>
  <c r="AG748" s="1"/>
  <c r="Z749"/>
  <c r="AG749" s="1"/>
  <c r="Z750"/>
  <c r="AG750" s="1"/>
  <c r="Z751"/>
  <c r="AG751" s="1"/>
  <c r="Z752"/>
  <c r="AG752" s="1"/>
  <c r="Z753"/>
  <c r="AG753" s="1"/>
  <c r="Z754"/>
  <c r="AG754" s="1"/>
  <c r="Z755"/>
  <c r="AG755" s="1"/>
  <c r="Z756"/>
  <c r="AG756" s="1"/>
  <c r="Z757"/>
  <c r="AG757" s="1"/>
  <c r="Z758"/>
  <c r="AG758" s="1"/>
  <c r="Z759"/>
  <c r="AG759" s="1"/>
  <c r="Z760"/>
  <c r="AG760" s="1"/>
  <c r="Z761"/>
  <c r="AG761" s="1"/>
  <c r="Z762"/>
  <c r="AG762" s="1"/>
  <c r="Z763"/>
  <c r="AG763" s="1"/>
  <c r="Z764"/>
  <c r="AG764" s="1"/>
  <c r="Z765"/>
  <c r="AG765" s="1"/>
  <c r="Z766"/>
  <c r="AG766" s="1"/>
  <c r="Z767"/>
  <c r="AG767" s="1"/>
  <c r="Z768"/>
  <c r="AG768" s="1"/>
  <c r="Z769"/>
  <c r="AG769" s="1"/>
  <c r="Z770"/>
  <c r="AG770" s="1"/>
  <c r="Z771"/>
  <c r="AG771" s="1"/>
  <c r="Z772"/>
  <c r="AG772" s="1"/>
  <c r="Z773"/>
  <c r="AG773" s="1"/>
  <c r="Z774"/>
  <c r="AG774" s="1"/>
  <c r="Z775"/>
  <c r="AG775" s="1"/>
  <c r="Z776"/>
  <c r="AG776" s="1"/>
  <c r="Z777"/>
  <c r="AG777" s="1"/>
  <c r="Z778"/>
  <c r="AG778" s="1"/>
  <c r="Z779"/>
  <c r="AG779" s="1"/>
  <c r="Z780"/>
  <c r="AG780" s="1"/>
  <c r="Z781"/>
  <c r="AG781" s="1"/>
  <c r="Z782"/>
  <c r="AG782" s="1"/>
  <c r="Z783"/>
  <c r="AG783" s="1"/>
  <c r="Z784"/>
  <c r="AG784" s="1"/>
  <c r="Z785"/>
  <c r="AG785" s="1"/>
  <c r="Z786"/>
  <c r="AG786" s="1"/>
  <c r="Z787"/>
  <c r="AG787" s="1"/>
  <c r="Z788"/>
  <c r="AG788" s="1"/>
  <c r="Z789"/>
  <c r="AG789" s="1"/>
  <c r="Z790"/>
  <c r="AG790" s="1"/>
  <c r="Z791"/>
  <c r="AG791" s="1"/>
  <c r="Z792"/>
  <c r="AG792" s="1"/>
  <c r="Z793"/>
  <c r="AG793" s="1"/>
  <c r="Z794"/>
  <c r="AG794" s="1"/>
  <c r="Z795"/>
  <c r="AG795" s="1"/>
  <c r="Z796"/>
  <c r="AG796" s="1"/>
  <c r="Z797"/>
  <c r="AG797" s="1"/>
  <c r="Z798"/>
  <c r="AG798" s="1"/>
  <c r="Z799"/>
  <c r="AG799" s="1"/>
  <c r="Z800"/>
  <c r="AG800" s="1"/>
  <c r="Z801"/>
  <c r="AG801" s="1"/>
  <c r="Z802"/>
  <c r="AG802" s="1"/>
  <c r="Z803"/>
  <c r="AG803" s="1"/>
  <c r="Z804"/>
  <c r="AG804" s="1"/>
  <c r="Z805"/>
  <c r="AG805" s="1"/>
  <c r="Z806"/>
  <c r="AG806" s="1"/>
  <c r="Z807"/>
  <c r="AG807" s="1"/>
  <c r="Z808"/>
  <c r="AG808" s="1"/>
  <c r="Z809"/>
  <c r="AG809" s="1"/>
  <c r="Z810"/>
  <c r="AG810" s="1"/>
  <c r="Z811"/>
  <c r="AG811" s="1"/>
  <c r="Z812"/>
  <c r="Z813"/>
  <c r="AG813" s="1"/>
  <c r="Z814"/>
  <c r="AG814" s="1"/>
  <c r="Z815"/>
  <c r="AG815" s="1"/>
  <c r="Z816"/>
  <c r="AG816" s="1"/>
  <c r="Z817"/>
  <c r="AG817" s="1"/>
  <c r="Z818"/>
  <c r="AG818" s="1"/>
  <c r="Z819"/>
  <c r="AG819" s="1"/>
  <c r="Z820"/>
  <c r="AG820" s="1"/>
  <c r="Z821"/>
  <c r="AG821" s="1"/>
  <c r="Z822"/>
  <c r="AG822" s="1"/>
  <c r="Z823"/>
  <c r="AG823" s="1"/>
  <c r="Z824"/>
  <c r="AG824" s="1"/>
  <c r="Z825"/>
  <c r="AG825" s="1"/>
  <c r="Z826"/>
  <c r="AG826" s="1"/>
  <c r="Z827"/>
  <c r="AG827" s="1"/>
  <c r="Z828"/>
  <c r="AG828" s="1"/>
  <c r="Z829"/>
  <c r="AG829" s="1"/>
  <c r="Z830"/>
  <c r="AG830" s="1"/>
  <c r="Z831"/>
  <c r="AG831" s="1"/>
  <c r="Z832"/>
  <c r="AG832" s="1"/>
  <c r="Z833"/>
  <c r="AG833" s="1"/>
  <c r="Z834"/>
  <c r="AG834" s="1"/>
  <c r="Z835"/>
  <c r="AG835" s="1"/>
  <c r="Z836"/>
  <c r="AG836" s="1"/>
  <c r="Z837"/>
  <c r="AG837" s="1"/>
  <c r="Z838"/>
  <c r="AG838" s="1"/>
  <c r="Z839"/>
  <c r="AG839" s="1"/>
  <c r="Z840"/>
  <c r="AG840" s="1"/>
  <c r="Z841"/>
  <c r="AG841" s="1"/>
  <c r="Z842"/>
  <c r="AG842" s="1"/>
  <c r="Z843"/>
  <c r="AG843" s="1"/>
  <c r="Z844"/>
  <c r="AG844" s="1"/>
  <c r="Z845"/>
  <c r="AG845" s="1"/>
  <c r="Z846"/>
  <c r="AG846" s="1"/>
  <c r="Z847"/>
  <c r="AG847" s="1"/>
  <c r="Z848"/>
  <c r="AG848" s="1"/>
  <c r="Z849"/>
  <c r="AG849" s="1"/>
  <c r="Z850"/>
  <c r="AG850" s="1"/>
  <c r="Z851"/>
  <c r="Z852"/>
  <c r="Z853"/>
  <c r="Z854"/>
  <c r="Z855"/>
  <c r="Z856"/>
  <c r="AG856" s="1"/>
  <c r="Z857"/>
  <c r="AG857" s="1"/>
  <c r="Z858"/>
  <c r="AG858" s="1"/>
  <c r="Z859"/>
  <c r="AG859" s="1"/>
  <c r="Z860"/>
  <c r="AG860" s="1"/>
  <c r="Z861"/>
  <c r="AG861" s="1"/>
  <c r="Z862"/>
  <c r="AG862" s="1"/>
  <c r="Z863"/>
  <c r="AG863" s="1"/>
  <c r="Z864"/>
  <c r="AG864" s="1"/>
  <c r="Z865"/>
  <c r="AG865" s="1"/>
  <c r="Z866"/>
  <c r="AG866" s="1"/>
  <c r="Z867"/>
  <c r="AG867" s="1"/>
  <c r="Z868"/>
  <c r="AG868" s="1"/>
  <c r="Z869"/>
  <c r="AG869" s="1"/>
  <c r="Z870"/>
  <c r="AG870" s="1"/>
  <c r="Z871"/>
  <c r="AG871" s="1"/>
  <c r="Z872"/>
  <c r="AG872" s="1"/>
  <c r="Z873"/>
  <c r="AG873" s="1"/>
  <c r="Z874"/>
  <c r="AG874" s="1"/>
  <c r="Z875"/>
  <c r="Z876"/>
  <c r="AG876" s="1"/>
  <c r="Z877"/>
  <c r="AG877" s="1"/>
  <c r="Z878"/>
  <c r="AG878" s="1"/>
  <c r="Z879"/>
  <c r="AG879" s="1"/>
  <c r="Z880"/>
  <c r="AG880" s="1"/>
  <c r="Z881"/>
  <c r="AG881" s="1"/>
  <c r="Z882"/>
  <c r="AG882" s="1"/>
  <c r="Z883"/>
  <c r="AG883" s="1"/>
  <c r="Z884"/>
  <c r="AG884" s="1"/>
  <c r="Z885"/>
  <c r="AG885" s="1"/>
  <c r="Z886"/>
  <c r="AG886" s="1"/>
  <c r="Z887"/>
  <c r="AG887" s="1"/>
  <c r="Z888"/>
  <c r="AG888" s="1"/>
  <c r="Z889"/>
  <c r="AG889" s="1"/>
  <c r="Z890"/>
  <c r="AG890" s="1"/>
  <c r="Z891"/>
  <c r="AG891" s="1"/>
  <c r="Z892"/>
  <c r="AG892" s="1"/>
  <c r="Z893"/>
  <c r="AG893" s="1"/>
  <c r="Z894"/>
  <c r="AG894" s="1"/>
  <c r="Z895"/>
  <c r="AG895" s="1"/>
  <c r="Z896"/>
  <c r="AG896" s="1"/>
  <c r="Z897"/>
  <c r="AG897" s="1"/>
  <c r="Z898"/>
  <c r="AG898" s="1"/>
  <c r="Z899"/>
  <c r="AG899" s="1"/>
  <c r="Z900"/>
  <c r="AG900" s="1"/>
  <c r="Z901"/>
  <c r="AG901" s="1"/>
  <c r="Z902"/>
  <c r="AG902" s="1"/>
  <c r="Z903"/>
  <c r="AG903" s="1"/>
  <c r="Z904"/>
  <c r="AG904" s="1"/>
  <c r="Z905"/>
  <c r="AG905" s="1"/>
  <c r="Z906"/>
  <c r="AG906" s="1"/>
  <c r="Z907"/>
  <c r="AG907" s="1"/>
  <c r="Z908"/>
  <c r="AG908" s="1"/>
  <c r="Z909"/>
  <c r="AG909" s="1"/>
  <c r="Z910"/>
  <c r="AG910" s="1"/>
  <c r="Z911"/>
  <c r="AG911" s="1"/>
  <c r="Z912"/>
  <c r="AG912" s="1"/>
  <c r="Z913"/>
  <c r="AG913" s="1"/>
  <c r="Z914"/>
  <c r="AG914" s="1"/>
  <c r="Z915"/>
  <c r="AG915" s="1"/>
  <c r="Z916"/>
  <c r="AG916" s="1"/>
  <c r="Z917"/>
  <c r="Z918"/>
  <c r="AG918" s="1"/>
  <c r="Z919"/>
  <c r="AG919" s="1"/>
  <c r="Z920"/>
  <c r="AG920" s="1"/>
  <c r="Z921"/>
  <c r="AG921" s="1"/>
  <c r="Z922"/>
  <c r="AG922" s="1"/>
  <c r="Z923"/>
  <c r="AG923" s="1"/>
  <c r="Z924"/>
  <c r="AG924" s="1"/>
  <c r="Z925"/>
  <c r="AG925" s="1"/>
  <c r="Z926"/>
  <c r="AG926" s="1"/>
  <c r="Z927"/>
  <c r="AG927" s="1"/>
  <c r="Z928"/>
  <c r="AG928" s="1"/>
  <c r="Z929"/>
  <c r="AG929" s="1"/>
  <c r="Z930"/>
  <c r="AG930" s="1"/>
  <c r="Z931"/>
  <c r="AG931" s="1"/>
  <c r="Z932"/>
  <c r="AG932" s="1"/>
  <c r="Z933"/>
  <c r="AG933" s="1"/>
  <c r="Z934"/>
  <c r="AG934" s="1"/>
  <c r="Z935"/>
  <c r="AG935" s="1"/>
  <c r="Z936"/>
  <c r="AG936" s="1"/>
  <c r="Z937"/>
  <c r="AG937" s="1"/>
  <c r="Z938"/>
  <c r="AG938" s="1"/>
  <c r="Z939"/>
  <c r="AG939" s="1"/>
  <c r="Z940"/>
  <c r="AG940" s="1"/>
  <c r="Z941"/>
  <c r="AG941" s="1"/>
  <c r="Z942"/>
  <c r="AG942" s="1"/>
  <c r="Z943"/>
  <c r="AG943" s="1"/>
  <c r="Z944"/>
  <c r="AG944" s="1"/>
  <c r="Z945"/>
  <c r="AG945" s="1"/>
  <c r="Z946"/>
  <c r="AG946" s="1"/>
  <c r="Z947"/>
  <c r="AG947" s="1"/>
  <c r="Z948"/>
  <c r="AG948" s="1"/>
  <c r="Z949"/>
  <c r="AG949" s="1"/>
  <c r="Z950"/>
  <c r="AG950" s="1"/>
  <c r="Z951"/>
  <c r="AG951" s="1"/>
  <c r="Z952"/>
  <c r="AG952" s="1"/>
  <c r="Z953"/>
  <c r="AG953" s="1"/>
  <c r="Z954"/>
  <c r="AG954" s="1"/>
  <c r="Z955"/>
  <c r="AG955" s="1"/>
  <c r="Z956"/>
  <c r="AG956" s="1"/>
  <c r="Z957"/>
  <c r="AG957" s="1"/>
  <c r="Z958"/>
  <c r="AG958" s="1"/>
  <c r="Z959"/>
  <c r="AG959" s="1"/>
  <c r="Z960"/>
  <c r="AG960" s="1"/>
  <c r="Z961"/>
  <c r="AG961" s="1"/>
  <c r="Z962"/>
  <c r="AG962" s="1"/>
  <c r="Z963"/>
  <c r="AG963" s="1"/>
  <c r="Z964"/>
  <c r="AG964" s="1"/>
  <c r="Z965"/>
  <c r="AG965" s="1"/>
  <c r="Z966"/>
  <c r="AG966" s="1"/>
  <c r="Z967"/>
  <c r="AG967" s="1"/>
  <c r="Z968"/>
  <c r="AG968" s="1"/>
  <c r="Z969"/>
  <c r="AG969" s="1"/>
  <c r="Z970"/>
  <c r="AG970" s="1"/>
  <c r="Z971"/>
  <c r="AG971" s="1"/>
  <c r="Z972"/>
  <c r="AG972" s="1"/>
  <c r="Z973"/>
  <c r="AG973" s="1"/>
  <c r="Z974"/>
  <c r="Z975"/>
  <c r="AG975" s="1"/>
  <c r="Z976"/>
  <c r="AG976" s="1"/>
  <c r="Z977"/>
  <c r="AG977" s="1"/>
  <c r="Z978"/>
  <c r="AG978" s="1"/>
  <c r="Z979"/>
  <c r="AG979" s="1"/>
  <c r="Z980"/>
  <c r="AG980" s="1"/>
  <c r="Z981"/>
  <c r="AG981" s="1"/>
  <c r="Z982"/>
  <c r="AG982" s="1"/>
  <c r="Z983"/>
  <c r="AG983" s="1"/>
  <c r="Z984"/>
  <c r="AG984" s="1"/>
  <c r="Z985"/>
  <c r="AG985" s="1"/>
  <c r="Z986"/>
  <c r="AG986" s="1"/>
  <c r="Z987"/>
  <c r="AG987" s="1"/>
  <c r="Z988"/>
  <c r="AG988" s="1"/>
  <c r="Z989"/>
  <c r="AG989" s="1"/>
  <c r="Z990"/>
  <c r="AG990" s="1"/>
  <c r="Z991"/>
  <c r="AG991" s="1"/>
  <c r="Z992"/>
  <c r="AG992" s="1"/>
  <c r="Z993"/>
  <c r="AG993" s="1"/>
  <c r="Z994"/>
  <c r="AG994" s="1"/>
  <c r="Z995"/>
  <c r="AG995" s="1"/>
  <c r="Z996"/>
  <c r="Z997"/>
  <c r="AG997" s="1"/>
  <c r="Z998"/>
  <c r="AG998" s="1"/>
  <c r="Z999"/>
  <c r="AG999" s="1"/>
  <c r="Z1000"/>
  <c r="AG1000" s="1"/>
  <c r="Z1001"/>
  <c r="AG1001" s="1"/>
  <c r="Z1002"/>
  <c r="AG1002" s="1"/>
  <c r="Z1003"/>
  <c r="AG1003" s="1"/>
  <c r="Z1004"/>
  <c r="AG1004" s="1"/>
  <c r="Z1005"/>
  <c r="AG1005" s="1"/>
  <c r="Z1006"/>
  <c r="AG1006" s="1"/>
  <c r="Z1007"/>
  <c r="AG1007" s="1"/>
  <c r="Z1008"/>
  <c r="AG1008" s="1"/>
  <c r="Z9"/>
  <c r="V10"/>
  <c r="AF10" s="1"/>
  <c r="V11"/>
  <c r="V12"/>
  <c r="V13"/>
  <c r="V14"/>
  <c r="V15"/>
  <c r="V16"/>
  <c r="AF16" s="1"/>
  <c r="V17"/>
  <c r="AF17" s="1"/>
  <c r="V18"/>
  <c r="AF18" s="1"/>
  <c r="V19"/>
  <c r="V20"/>
  <c r="V21"/>
  <c r="AF21" s="1"/>
  <c r="V22"/>
  <c r="V23"/>
  <c r="V24"/>
  <c r="AF24" s="1"/>
  <c r="V25"/>
  <c r="AF25" s="1"/>
  <c r="V26"/>
  <c r="V27"/>
  <c r="AF27" s="1"/>
  <c r="V28"/>
  <c r="V29"/>
  <c r="V30"/>
  <c r="AF30" s="1"/>
  <c r="V31"/>
  <c r="V32"/>
  <c r="AF32" s="1"/>
  <c r="V33"/>
  <c r="AF33" s="1"/>
  <c r="V34"/>
  <c r="V35"/>
  <c r="AF35" s="1"/>
  <c r="V36"/>
  <c r="AF36" s="1"/>
  <c r="V37"/>
  <c r="AF37" s="1"/>
  <c r="V38"/>
  <c r="AF38" s="1"/>
  <c r="V39"/>
  <c r="AF39" s="1"/>
  <c r="V40"/>
  <c r="AF40" s="1"/>
  <c r="V41"/>
  <c r="AF41" s="1"/>
  <c r="V42"/>
  <c r="AF42" s="1"/>
  <c r="V43"/>
  <c r="AF43" s="1"/>
  <c r="V44"/>
  <c r="V45"/>
  <c r="V46"/>
  <c r="V47"/>
  <c r="AF47" s="1"/>
  <c r="V48"/>
  <c r="V49"/>
  <c r="AF49" s="1"/>
  <c r="V50"/>
  <c r="AF50" s="1"/>
  <c r="V51"/>
  <c r="AF51" s="1"/>
  <c r="V52"/>
  <c r="AF52" s="1"/>
  <c r="V53"/>
  <c r="AF53" s="1"/>
  <c r="V54"/>
  <c r="AF54" s="1"/>
  <c r="V55"/>
  <c r="V56"/>
  <c r="AF56" s="1"/>
  <c r="V57"/>
  <c r="AF57" s="1"/>
  <c r="V58"/>
  <c r="AF58" s="1"/>
  <c r="V59"/>
  <c r="AF59" s="1"/>
  <c r="V60"/>
  <c r="AF60" s="1"/>
  <c r="V61"/>
  <c r="AF61" s="1"/>
  <c r="V62"/>
  <c r="V63"/>
  <c r="AF63" s="1"/>
  <c r="V64"/>
  <c r="AF64" s="1"/>
  <c r="V65"/>
  <c r="AF65" s="1"/>
  <c r="V66"/>
  <c r="V67"/>
  <c r="AF67" s="1"/>
  <c r="V68"/>
  <c r="AF68" s="1"/>
  <c r="V69"/>
  <c r="AF69" s="1"/>
  <c r="V70"/>
  <c r="V71"/>
  <c r="AF71" s="1"/>
  <c r="V72"/>
  <c r="AF72" s="1"/>
  <c r="V73"/>
  <c r="AF73" s="1"/>
  <c r="V74"/>
  <c r="AF74" s="1"/>
  <c r="V75"/>
  <c r="AF75" s="1"/>
  <c r="V76"/>
  <c r="AF76" s="1"/>
  <c r="V77"/>
  <c r="AF77" s="1"/>
  <c r="V78"/>
  <c r="AF78" s="1"/>
  <c r="V79"/>
  <c r="V80"/>
  <c r="V81"/>
  <c r="AF81" s="1"/>
  <c r="V82"/>
  <c r="AF82" s="1"/>
  <c r="V83"/>
  <c r="AF83" s="1"/>
  <c r="V84"/>
  <c r="V85"/>
  <c r="AF85" s="1"/>
  <c r="V86"/>
  <c r="AF86" s="1"/>
  <c r="V87"/>
  <c r="V88"/>
  <c r="AF88" s="1"/>
  <c r="V89"/>
  <c r="AF89" s="1"/>
  <c r="V90"/>
  <c r="AF90" s="1"/>
  <c r="V91"/>
  <c r="AF91" s="1"/>
  <c r="V92"/>
  <c r="V93"/>
  <c r="V94"/>
  <c r="V95"/>
  <c r="AF95" s="1"/>
  <c r="V96"/>
  <c r="AF96" s="1"/>
  <c r="V97"/>
  <c r="AF97" s="1"/>
  <c r="V98"/>
  <c r="AF98" s="1"/>
  <c r="V99"/>
  <c r="AF99" s="1"/>
  <c r="V100"/>
  <c r="AF100" s="1"/>
  <c r="V101"/>
  <c r="AF101" s="1"/>
  <c r="V102"/>
  <c r="AF102" s="1"/>
  <c r="V103"/>
  <c r="AF103" s="1"/>
  <c r="V104"/>
  <c r="AF104" s="1"/>
  <c r="V105"/>
  <c r="AF105" s="1"/>
  <c r="V106"/>
  <c r="AF106" s="1"/>
  <c r="V107"/>
  <c r="AF107" s="1"/>
  <c r="V108"/>
  <c r="AF108" s="1"/>
  <c r="V109"/>
  <c r="AF109" s="1"/>
  <c r="V110"/>
  <c r="AF110" s="1"/>
  <c r="V111"/>
  <c r="V112"/>
  <c r="AF112" s="1"/>
  <c r="V113"/>
  <c r="AF113" s="1"/>
  <c r="V114"/>
  <c r="V115"/>
  <c r="V116"/>
  <c r="AF116" s="1"/>
  <c r="V117"/>
  <c r="AF117" s="1"/>
  <c r="V118"/>
  <c r="AF118" s="1"/>
  <c r="V119"/>
  <c r="V120"/>
  <c r="AF120" s="1"/>
  <c r="V121"/>
  <c r="V122"/>
  <c r="AF122" s="1"/>
  <c r="V123"/>
  <c r="AF123" s="1"/>
  <c r="V124"/>
  <c r="AF124" s="1"/>
  <c r="V125"/>
  <c r="AF125" s="1"/>
  <c r="V126"/>
  <c r="AF126" s="1"/>
  <c r="V127"/>
  <c r="AF127" s="1"/>
  <c r="V128"/>
  <c r="AF128" s="1"/>
  <c r="V129"/>
  <c r="AF129" s="1"/>
  <c r="V130"/>
  <c r="AF130" s="1"/>
  <c r="V131"/>
  <c r="AF131" s="1"/>
  <c r="V132"/>
  <c r="AF132" s="1"/>
  <c r="V133"/>
  <c r="AF133" s="1"/>
  <c r="V134"/>
  <c r="AF134" s="1"/>
  <c r="V135"/>
  <c r="AF135" s="1"/>
  <c r="V136"/>
  <c r="AF136" s="1"/>
  <c r="V137"/>
  <c r="AF137" s="1"/>
  <c r="V138"/>
  <c r="AF138" s="1"/>
  <c r="V139"/>
  <c r="AF139" s="1"/>
  <c r="V140"/>
  <c r="AF140" s="1"/>
  <c r="V141"/>
  <c r="AF141" s="1"/>
  <c r="V142"/>
  <c r="AF142" s="1"/>
  <c r="V143"/>
  <c r="AF143" s="1"/>
  <c r="V144"/>
  <c r="AF144" s="1"/>
  <c r="V145"/>
  <c r="AF145" s="1"/>
  <c r="V146"/>
  <c r="V147"/>
  <c r="AF147" s="1"/>
  <c r="V148"/>
  <c r="V149"/>
  <c r="V150"/>
  <c r="V151"/>
  <c r="V152"/>
  <c r="AF152" s="1"/>
  <c r="V153"/>
  <c r="AF153" s="1"/>
  <c r="V154"/>
  <c r="V155"/>
  <c r="AF155" s="1"/>
  <c r="V156"/>
  <c r="V157"/>
  <c r="V158"/>
  <c r="AF158" s="1"/>
  <c r="V159"/>
  <c r="V160"/>
  <c r="V161"/>
  <c r="AF161" s="1"/>
  <c r="V162"/>
  <c r="AF162" s="1"/>
  <c r="V163"/>
  <c r="V164"/>
  <c r="AF164" s="1"/>
  <c r="V165"/>
  <c r="AF165" s="1"/>
  <c r="V166"/>
  <c r="AF166" s="1"/>
  <c r="V167"/>
  <c r="AF167" s="1"/>
  <c r="V168"/>
  <c r="AF168" s="1"/>
  <c r="V169"/>
  <c r="AF169" s="1"/>
  <c r="V170"/>
  <c r="AF170" s="1"/>
  <c r="V171"/>
  <c r="AF171" s="1"/>
  <c r="V172"/>
  <c r="AF172" s="1"/>
  <c r="V173"/>
  <c r="AF173" s="1"/>
  <c r="V174"/>
  <c r="V175"/>
  <c r="AF175" s="1"/>
  <c r="V176"/>
  <c r="AF176" s="1"/>
  <c r="V177"/>
  <c r="AF177" s="1"/>
  <c r="V178"/>
  <c r="AF178" s="1"/>
  <c r="V179"/>
  <c r="V180"/>
  <c r="V181"/>
  <c r="V182"/>
  <c r="AF182" s="1"/>
  <c r="V183"/>
  <c r="AF183" s="1"/>
  <c r="V184"/>
  <c r="AF184" s="1"/>
  <c r="V185"/>
  <c r="AF185" s="1"/>
  <c r="V186"/>
  <c r="V187"/>
  <c r="V188"/>
  <c r="V189"/>
  <c r="AF189" s="1"/>
  <c r="V190"/>
  <c r="V191"/>
  <c r="V192"/>
  <c r="V193"/>
  <c r="V194"/>
  <c r="AF194" s="1"/>
  <c r="V195"/>
  <c r="AF195" s="1"/>
  <c r="V196"/>
  <c r="AF196" s="1"/>
  <c r="V197"/>
  <c r="V198"/>
  <c r="V199"/>
  <c r="V200"/>
  <c r="V201"/>
  <c r="AF201" s="1"/>
  <c r="V202"/>
  <c r="AF202" s="1"/>
  <c r="V203"/>
  <c r="AF203" s="1"/>
  <c r="V204"/>
  <c r="AF204" s="1"/>
  <c r="V205"/>
  <c r="V206"/>
  <c r="AF206" s="1"/>
  <c r="V207"/>
  <c r="V208"/>
  <c r="V209"/>
  <c r="V210"/>
  <c r="AF210" s="1"/>
  <c r="V211"/>
  <c r="AF211" s="1"/>
  <c r="V212"/>
  <c r="AF212" s="1"/>
  <c r="V213"/>
  <c r="AF213" s="1"/>
  <c r="V214"/>
  <c r="AF214" s="1"/>
  <c r="V215"/>
  <c r="V216"/>
  <c r="V217"/>
  <c r="AF217" s="1"/>
  <c r="V218"/>
  <c r="V219"/>
  <c r="V220"/>
  <c r="AF220" s="1"/>
  <c r="V221"/>
  <c r="AF221" s="1"/>
  <c r="V222"/>
  <c r="AF222" s="1"/>
  <c r="V223"/>
  <c r="AF223" s="1"/>
  <c r="V224"/>
  <c r="AF224" s="1"/>
  <c r="V225"/>
  <c r="AF225" s="1"/>
  <c r="V226"/>
  <c r="AF226" s="1"/>
  <c r="V227"/>
  <c r="AF227" s="1"/>
  <c r="V228"/>
  <c r="AF228" s="1"/>
  <c r="V229"/>
  <c r="AF229" s="1"/>
  <c r="V230"/>
  <c r="AF230" s="1"/>
  <c r="V231"/>
  <c r="AF231" s="1"/>
  <c r="V232"/>
  <c r="AF232" s="1"/>
  <c r="V233"/>
  <c r="AF233" s="1"/>
  <c r="V234"/>
  <c r="AF234" s="1"/>
  <c r="V235"/>
  <c r="AF235" s="1"/>
  <c r="V236"/>
  <c r="AF236" s="1"/>
  <c r="V237"/>
  <c r="AF237" s="1"/>
  <c r="V238"/>
  <c r="V239"/>
  <c r="V240"/>
  <c r="V241"/>
  <c r="V242"/>
  <c r="V243"/>
  <c r="AF243" s="1"/>
  <c r="V244"/>
  <c r="AF244" s="1"/>
  <c r="V245"/>
  <c r="AF245" s="1"/>
  <c r="V246"/>
  <c r="AF246" s="1"/>
  <c r="V247"/>
  <c r="AF247" s="1"/>
  <c r="V248"/>
  <c r="AF248" s="1"/>
  <c r="V249"/>
  <c r="AF249" s="1"/>
  <c r="V250"/>
  <c r="AF250" s="1"/>
  <c r="V251"/>
  <c r="AF251" s="1"/>
  <c r="V252"/>
  <c r="AF252" s="1"/>
  <c r="V253"/>
  <c r="AF253" s="1"/>
  <c r="V254"/>
  <c r="AF254" s="1"/>
  <c r="V255"/>
  <c r="AF255" s="1"/>
  <c r="V256"/>
  <c r="AF256" s="1"/>
  <c r="V257"/>
  <c r="AF257" s="1"/>
  <c r="V258"/>
  <c r="AF258" s="1"/>
  <c r="V259"/>
  <c r="AF259" s="1"/>
  <c r="V260"/>
  <c r="AF260" s="1"/>
  <c r="V261"/>
  <c r="AF261" s="1"/>
  <c r="V262"/>
  <c r="AF262" s="1"/>
  <c r="V263"/>
  <c r="V264"/>
  <c r="V265"/>
  <c r="V266"/>
  <c r="V267"/>
  <c r="V268"/>
  <c r="V269"/>
  <c r="V270"/>
  <c r="AF270" s="1"/>
  <c r="V271"/>
  <c r="AF271" s="1"/>
  <c r="V272"/>
  <c r="AF272" s="1"/>
  <c r="V273"/>
  <c r="AF273" s="1"/>
  <c r="V274"/>
  <c r="AF274" s="1"/>
  <c r="V275"/>
  <c r="V276"/>
  <c r="AF276" s="1"/>
  <c r="V277"/>
  <c r="AF277" s="1"/>
  <c r="V278"/>
  <c r="AF278" s="1"/>
  <c r="V279"/>
  <c r="AF279" s="1"/>
  <c r="V280"/>
  <c r="AF280" s="1"/>
  <c r="V281"/>
  <c r="AF281" s="1"/>
  <c r="V282"/>
  <c r="AF282" s="1"/>
  <c r="V283"/>
  <c r="AF283" s="1"/>
  <c r="V284"/>
  <c r="V285"/>
  <c r="AF285" s="1"/>
  <c r="V286"/>
  <c r="AF286" s="1"/>
  <c r="V287"/>
  <c r="V288"/>
  <c r="AF288" s="1"/>
  <c r="V289"/>
  <c r="AF289" s="1"/>
  <c r="V290"/>
  <c r="AF290" s="1"/>
  <c r="V291"/>
  <c r="V292"/>
  <c r="V293"/>
  <c r="AF293" s="1"/>
  <c r="V294"/>
  <c r="AF294" s="1"/>
  <c r="V295"/>
  <c r="AF295" s="1"/>
  <c r="V296"/>
  <c r="AF296" s="1"/>
  <c r="V297"/>
  <c r="AF297" s="1"/>
  <c r="V298"/>
  <c r="AF298" s="1"/>
  <c r="V299"/>
  <c r="V300"/>
  <c r="AF300" s="1"/>
  <c r="V301"/>
  <c r="AF301" s="1"/>
  <c r="V302"/>
  <c r="AF302" s="1"/>
  <c r="V303"/>
  <c r="AF303" s="1"/>
  <c r="V304"/>
  <c r="AF304" s="1"/>
  <c r="V305"/>
  <c r="AF305" s="1"/>
  <c r="V306"/>
  <c r="AF306" s="1"/>
  <c r="V307"/>
  <c r="AF307" s="1"/>
  <c r="V308"/>
  <c r="AF308" s="1"/>
  <c r="V309"/>
  <c r="AF309" s="1"/>
  <c r="V310"/>
  <c r="AF310" s="1"/>
  <c r="V311"/>
  <c r="V312"/>
  <c r="AF312" s="1"/>
  <c r="V313"/>
  <c r="AF313" s="1"/>
  <c r="V314"/>
  <c r="AF314" s="1"/>
  <c r="V315"/>
  <c r="V316"/>
  <c r="AF316" s="1"/>
  <c r="V317"/>
  <c r="AF317" s="1"/>
  <c r="V318"/>
  <c r="AF318" s="1"/>
  <c r="V319"/>
  <c r="AF319" s="1"/>
  <c r="V320"/>
  <c r="AF320" s="1"/>
  <c r="V321"/>
  <c r="AF321" s="1"/>
  <c r="V322"/>
  <c r="AF322" s="1"/>
  <c r="V323"/>
  <c r="AF323" s="1"/>
  <c r="V324"/>
  <c r="AF324" s="1"/>
  <c r="V325"/>
  <c r="AF325" s="1"/>
  <c r="V326"/>
  <c r="AF326" s="1"/>
  <c r="V327"/>
  <c r="V328"/>
  <c r="V329"/>
  <c r="AF329" s="1"/>
  <c r="V330"/>
  <c r="AF330" s="1"/>
  <c r="V331"/>
  <c r="AF331" s="1"/>
  <c r="V332"/>
  <c r="AF332" s="1"/>
  <c r="V333"/>
  <c r="AF333" s="1"/>
  <c r="V334"/>
  <c r="AF334" s="1"/>
  <c r="V335"/>
  <c r="AF335" s="1"/>
  <c r="V336"/>
  <c r="AF336" s="1"/>
  <c r="V337"/>
  <c r="AF337" s="1"/>
  <c r="V338"/>
  <c r="AF338" s="1"/>
  <c r="V339"/>
  <c r="V340"/>
  <c r="AF340" s="1"/>
  <c r="V341"/>
  <c r="V342"/>
  <c r="AF342" s="1"/>
  <c r="V343"/>
  <c r="V344"/>
  <c r="V345"/>
  <c r="V346"/>
  <c r="AF346" s="1"/>
  <c r="V347"/>
  <c r="AF347" s="1"/>
  <c r="V348"/>
  <c r="AF348" s="1"/>
  <c r="V349"/>
  <c r="AF349" s="1"/>
  <c r="V350"/>
  <c r="V351"/>
  <c r="AF351" s="1"/>
  <c r="V352"/>
  <c r="V353"/>
  <c r="AF353" s="1"/>
  <c r="V354"/>
  <c r="V355"/>
  <c r="AF355" s="1"/>
  <c r="V356"/>
  <c r="AF356" s="1"/>
  <c r="V357"/>
  <c r="AF357" s="1"/>
  <c r="V358"/>
  <c r="AF358" s="1"/>
  <c r="V359"/>
  <c r="AF359" s="1"/>
  <c r="V360"/>
  <c r="AF360" s="1"/>
  <c r="V361"/>
  <c r="AF361" s="1"/>
  <c r="V362"/>
  <c r="V363"/>
  <c r="AF363" s="1"/>
  <c r="V364"/>
  <c r="AF364" s="1"/>
  <c r="V365"/>
  <c r="AF365" s="1"/>
  <c r="V366"/>
  <c r="AF366" s="1"/>
  <c r="V367"/>
  <c r="V368"/>
  <c r="AF368" s="1"/>
  <c r="V369"/>
  <c r="AF369" s="1"/>
  <c r="V370"/>
  <c r="AF370" s="1"/>
  <c r="V371"/>
  <c r="V372"/>
  <c r="AF372" s="1"/>
  <c r="V373"/>
  <c r="AF373" s="1"/>
  <c r="V374"/>
  <c r="AF374" s="1"/>
  <c r="V375"/>
  <c r="AF375" s="1"/>
  <c r="V376"/>
  <c r="V377"/>
  <c r="AF377" s="1"/>
  <c r="V378"/>
  <c r="AF378" s="1"/>
  <c r="V379"/>
  <c r="AF379" s="1"/>
  <c r="V380"/>
  <c r="AF380" s="1"/>
  <c r="V381"/>
  <c r="AF381" s="1"/>
  <c r="V382"/>
  <c r="V383"/>
  <c r="AF383" s="1"/>
  <c r="V384"/>
  <c r="AF384" s="1"/>
  <c r="V385"/>
  <c r="AF385" s="1"/>
  <c r="V386"/>
  <c r="V387"/>
  <c r="V388"/>
  <c r="V389"/>
  <c r="V390"/>
  <c r="AF390" s="1"/>
  <c r="V391"/>
  <c r="AF391" s="1"/>
  <c r="V392"/>
  <c r="AF392" s="1"/>
  <c r="V393"/>
  <c r="AF393" s="1"/>
  <c r="V394"/>
  <c r="AF394" s="1"/>
  <c r="V395"/>
  <c r="AF395" s="1"/>
  <c r="V396"/>
  <c r="AF396" s="1"/>
  <c r="V397"/>
  <c r="AF397" s="1"/>
  <c r="V398"/>
  <c r="AF398" s="1"/>
  <c r="V399"/>
  <c r="AF399" s="1"/>
  <c r="V400"/>
  <c r="AF400" s="1"/>
  <c r="V401"/>
  <c r="AF401" s="1"/>
  <c r="V402"/>
  <c r="AF402" s="1"/>
  <c r="V403"/>
  <c r="V404"/>
  <c r="AF404" s="1"/>
  <c r="V405"/>
  <c r="V406"/>
  <c r="AF406" s="1"/>
  <c r="V407"/>
  <c r="AF407" s="1"/>
  <c r="V408"/>
  <c r="AF408" s="1"/>
  <c r="V409"/>
  <c r="AF409" s="1"/>
  <c r="V410"/>
  <c r="V411"/>
  <c r="AF411" s="1"/>
  <c r="V412"/>
  <c r="V413"/>
  <c r="AF413" s="1"/>
  <c r="V414"/>
  <c r="V415"/>
  <c r="AF415" s="1"/>
  <c r="V416"/>
  <c r="AF416" s="1"/>
  <c r="V417"/>
  <c r="AF417" s="1"/>
  <c r="V418"/>
  <c r="V419"/>
  <c r="AF419" s="1"/>
  <c r="V420"/>
  <c r="V421"/>
  <c r="AF421" s="1"/>
  <c r="V422"/>
  <c r="AF422" s="1"/>
  <c r="V423"/>
  <c r="AF423" s="1"/>
  <c r="V424"/>
  <c r="AF424" s="1"/>
  <c r="V425"/>
  <c r="AF425" s="1"/>
  <c r="V426"/>
  <c r="AF426" s="1"/>
  <c r="V427"/>
  <c r="AF427" s="1"/>
  <c r="V428"/>
  <c r="AF428" s="1"/>
  <c r="V429"/>
  <c r="V430"/>
  <c r="V431"/>
  <c r="AF431" s="1"/>
  <c r="V432"/>
  <c r="V433"/>
  <c r="AF433" s="1"/>
  <c r="V434"/>
  <c r="AF434" s="1"/>
  <c r="V435"/>
  <c r="AF435" s="1"/>
  <c r="V436"/>
  <c r="AF436" s="1"/>
  <c r="V437"/>
  <c r="AF437" s="1"/>
  <c r="V438"/>
  <c r="AF438" s="1"/>
  <c r="V439"/>
  <c r="V440"/>
  <c r="AF440" s="1"/>
  <c r="V441"/>
  <c r="V442"/>
  <c r="AF442" s="1"/>
  <c r="V443"/>
  <c r="AF443" s="1"/>
  <c r="V444"/>
  <c r="AF444" s="1"/>
  <c r="V445"/>
  <c r="AF445" s="1"/>
  <c r="V446"/>
  <c r="AF446" s="1"/>
  <c r="V447"/>
  <c r="AF447" s="1"/>
  <c r="V448"/>
  <c r="AF448" s="1"/>
  <c r="V449"/>
  <c r="AF449" s="1"/>
  <c r="V450"/>
  <c r="AF450" s="1"/>
  <c r="V451"/>
  <c r="AF451" s="1"/>
  <c r="V452"/>
  <c r="AF452" s="1"/>
  <c r="V453"/>
  <c r="AF453" s="1"/>
  <c r="V454"/>
  <c r="AF454" s="1"/>
  <c r="V455"/>
  <c r="AF455" s="1"/>
  <c r="V456"/>
  <c r="AF456" s="1"/>
  <c r="V457"/>
  <c r="AF457" s="1"/>
  <c r="V458"/>
  <c r="AF458" s="1"/>
  <c r="V459"/>
  <c r="AF459" s="1"/>
  <c r="V460"/>
  <c r="AF460" s="1"/>
  <c r="V461"/>
  <c r="AF461" s="1"/>
  <c r="V462"/>
  <c r="AF462" s="1"/>
  <c r="V463"/>
  <c r="AF463" s="1"/>
  <c r="V464"/>
  <c r="AF464" s="1"/>
  <c r="V465"/>
  <c r="AF465" s="1"/>
  <c r="V466"/>
  <c r="AF466" s="1"/>
  <c r="V467"/>
  <c r="AF467" s="1"/>
  <c r="V468"/>
  <c r="AF468" s="1"/>
  <c r="V469"/>
  <c r="AF469" s="1"/>
  <c r="V470"/>
  <c r="AF470" s="1"/>
  <c r="V471"/>
  <c r="AF471" s="1"/>
  <c r="V472"/>
  <c r="AF472" s="1"/>
  <c r="V473"/>
  <c r="V474"/>
  <c r="AF474" s="1"/>
  <c r="V475"/>
  <c r="AF475" s="1"/>
  <c r="V476"/>
  <c r="AF476" s="1"/>
  <c r="V477"/>
  <c r="V478"/>
  <c r="V479"/>
  <c r="AF479" s="1"/>
  <c r="V480"/>
  <c r="AF480" s="1"/>
  <c r="V481"/>
  <c r="AF481" s="1"/>
  <c r="V482"/>
  <c r="V483"/>
  <c r="V484"/>
  <c r="V485"/>
  <c r="V486"/>
  <c r="V487"/>
  <c r="AF487" s="1"/>
  <c r="V488"/>
  <c r="AF488" s="1"/>
  <c r="V489"/>
  <c r="V490"/>
  <c r="AF490" s="1"/>
  <c r="V491"/>
  <c r="V492"/>
  <c r="V493"/>
  <c r="AF493" s="1"/>
  <c r="V494"/>
  <c r="V495"/>
  <c r="V496"/>
  <c r="AF496" s="1"/>
  <c r="V497"/>
  <c r="AF497" s="1"/>
  <c r="V498"/>
  <c r="AF498" s="1"/>
  <c r="V499"/>
  <c r="AF499" s="1"/>
  <c r="V500"/>
  <c r="AF500" s="1"/>
  <c r="V501"/>
  <c r="AF501" s="1"/>
  <c r="V502"/>
  <c r="V503"/>
  <c r="V504"/>
  <c r="AF504" s="1"/>
  <c r="V505"/>
  <c r="V506"/>
  <c r="V507"/>
  <c r="AF507" s="1"/>
  <c r="V508"/>
  <c r="AF508" s="1"/>
  <c r="V509"/>
  <c r="AF509" s="1"/>
  <c r="V510"/>
  <c r="AF510" s="1"/>
  <c r="V511"/>
  <c r="AF511" s="1"/>
  <c r="V512"/>
  <c r="AF512" s="1"/>
  <c r="V513"/>
  <c r="AF513" s="1"/>
  <c r="V514"/>
  <c r="AF514" s="1"/>
  <c r="V515"/>
  <c r="AF515" s="1"/>
  <c r="V516"/>
  <c r="AF516" s="1"/>
  <c r="V517"/>
  <c r="AF517" s="1"/>
  <c r="V518"/>
  <c r="AF518" s="1"/>
  <c r="V519"/>
  <c r="AF519" s="1"/>
  <c r="V520"/>
  <c r="AF520" s="1"/>
  <c r="V521"/>
  <c r="AF521" s="1"/>
  <c r="V522"/>
  <c r="V523"/>
  <c r="AF523" s="1"/>
  <c r="V524"/>
  <c r="AF524" s="1"/>
  <c r="V525"/>
  <c r="AF525" s="1"/>
  <c r="V526"/>
  <c r="AF526" s="1"/>
  <c r="V527"/>
  <c r="AF527" s="1"/>
  <c r="V528"/>
  <c r="AF528" s="1"/>
  <c r="V529"/>
  <c r="AF529" s="1"/>
  <c r="V530"/>
  <c r="AF530" s="1"/>
  <c r="V531"/>
  <c r="AF531" s="1"/>
  <c r="V532"/>
  <c r="AF532" s="1"/>
  <c r="V533"/>
  <c r="AF533" s="1"/>
  <c r="V534"/>
  <c r="AF534" s="1"/>
  <c r="V535"/>
  <c r="AF535" s="1"/>
  <c r="V536"/>
  <c r="AF536" s="1"/>
  <c r="V537"/>
  <c r="AF537" s="1"/>
  <c r="V538"/>
  <c r="AF538" s="1"/>
  <c r="V539"/>
  <c r="AF539" s="1"/>
  <c r="V540"/>
  <c r="AF540" s="1"/>
  <c r="V541"/>
  <c r="AF541" s="1"/>
  <c r="V542"/>
  <c r="AF542" s="1"/>
  <c r="V543"/>
  <c r="V544"/>
  <c r="AF544" s="1"/>
  <c r="V545"/>
  <c r="AF545" s="1"/>
  <c r="V546"/>
  <c r="AF546" s="1"/>
  <c r="V547"/>
  <c r="AF547" s="1"/>
  <c r="V548"/>
  <c r="AF548" s="1"/>
  <c r="V549"/>
  <c r="V550"/>
  <c r="AF550" s="1"/>
  <c r="V551"/>
  <c r="V552"/>
  <c r="AF552" s="1"/>
  <c r="V553"/>
  <c r="AF553" s="1"/>
  <c r="V554"/>
  <c r="AF554" s="1"/>
  <c r="V555"/>
  <c r="AF555" s="1"/>
  <c r="V556"/>
  <c r="AF556" s="1"/>
  <c r="V557"/>
  <c r="AF557" s="1"/>
  <c r="V558"/>
  <c r="AF558" s="1"/>
  <c r="V559"/>
  <c r="AF559" s="1"/>
  <c r="V560"/>
  <c r="AF560" s="1"/>
  <c r="V561"/>
  <c r="AF561" s="1"/>
  <c r="V562"/>
  <c r="AF562" s="1"/>
  <c r="V563"/>
  <c r="AF563" s="1"/>
  <c r="V564"/>
  <c r="AF564" s="1"/>
  <c r="V565"/>
  <c r="AF565" s="1"/>
  <c r="V566"/>
  <c r="AF566" s="1"/>
  <c r="V567"/>
  <c r="AF567" s="1"/>
  <c r="V568"/>
  <c r="AF568" s="1"/>
  <c r="V569"/>
  <c r="V570"/>
  <c r="AF570" s="1"/>
  <c r="V571"/>
  <c r="AF571" s="1"/>
  <c r="V572"/>
  <c r="AF572" s="1"/>
  <c r="V573"/>
  <c r="AF573" s="1"/>
  <c r="V574"/>
  <c r="AF574" s="1"/>
  <c r="V575"/>
  <c r="AF575" s="1"/>
  <c r="V576"/>
  <c r="AF576" s="1"/>
  <c r="V577"/>
  <c r="AF577" s="1"/>
  <c r="V578"/>
  <c r="AF578" s="1"/>
  <c r="V579"/>
  <c r="AF579" s="1"/>
  <c r="V580"/>
  <c r="AF580" s="1"/>
  <c r="V581"/>
  <c r="AF581" s="1"/>
  <c r="V582"/>
  <c r="AF582" s="1"/>
  <c r="V583"/>
  <c r="AF583" s="1"/>
  <c r="V584"/>
  <c r="AF584" s="1"/>
  <c r="V585"/>
  <c r="AF585" s="1"/>
  <c r="V586"/>
  <c r="AF586" s="1"/>
  <c r="V587"/>
  <c r="AF587" s="1"/>
  <c r="V588"/>
  <c r="AF588" s="1"/>
  <c r="V589"/>
  <c r="AF589" s="1"/>
  <c r="V590"/>
  <c r="AF590" s="1"/>
  <c r="V591"/>
  <c r="V592"/>
  <c r="AF592" s="1"/>
  <c r="V593"/>
  <c r="AF593" s="1"/>
  <c r="V594"/>
  <c r="AF594" s="1"/>
  <c r="V595"/>
  <c r="AF595" s="1"/>
  <c r="V596"/>
  <c r="AF596" s="1"/>
  <c r="V597"/>
  <c r="AF597" s="1"/>
  <c r="V598"/>
  <c r="AF598" s="1"/>
  <c r="V599"/>
  <c r="V600"/>
  <c r="AF600" s="1"/>
  <c r="V601"/>
  <c r="AF601" s="1"/>
  <c r="V602"/>
  <c r="AF602" s="1"/>
  <c r="V603"/>
  <c r="AF603" s="1"/>
  <c r="V604"/>
  <c r="AF604" s="1"/>
  <c r="V605"/>
  <c r="AF605" s="1"/>
  <c r="V606"/>
  <c r="AF606" s="1"/>
  <c r="V607"/>
  <c r="AF607" s="1"/>
  <c r="V608"/>
  <c r="AF608" s="1"/>
  <c r="V609"/>
  <c r="V610"/>
  <c r="V611"/>
  <c r="V612"/>
  <c r="AF612" s="1"/>
  <c r="V613"/>
  <c r="AF613" s="1"/>
  <c r="V614"/>
  <c r="AF614" s="1"/>
  <c r="V615"/>
  <c r="AF615" s="1"/>
  <c r="V616"/>
  <c r="AF616" s="1"/>
  <c r="V617"/>
  <c r="V618"/>
  <c r="AF618" s="1"/>
  <c r="V619"/>
  <c r="AF619" s="1"/>
  <c r="V620"/>
  <c r="AF620" s="1"/>
  <c r="V621"/>
  <c r="AF621" s="1"/>
  <c r="V622"/>
  <c r="V623"/>
  <c r="AF623" s="1"/>
  <c r="V624"/>
  <c r="AF624" s="1"/>
  <c r="V625"/>
  <c r="AF625" s="1"/>
  <c r="V626"/>
  <c r="AF626" s="1"/>
  <c r="V627"/>
  <c r="AF627" s="1"/>
  <c r="V628"/>
  <c r="V629"/>
  <c r="AF629" s="1"/>
  <c r="V630"/>
  <c r="AF630" s="1"/>
  <c r="V631"/>
  <c r="AF631" s="1"/>
  <c r="V632"/>
  <c r="AF632" s="1"/>
  <c r="V633"/>
  <c r="AF633" s="1"/>
  <c r="V634"/>
  <c r="AF634" s="1"/>
  <c r="V635"/>
  <c r="AF635" s="1"/>
  <c r="V636"/>
  <c r="AF636" s="1"/>
  <c r="V637"/>
  <c r="AF637" s="1"/>
  <c r="V638"/>
  <c r="AF638" s="1"/>
  <c r="V639"/>
  <c r="AF639" s="1"/>
  <c r="V640"/>
  <c r="AF640" s="1"/>
  <c r="V641"/>
  <c r="AF641" s="1"/>
  <c r="V642"/>
  <c r="AF642" s="1"/>
  <c r="V643"/>
  <c r="AF643" s="1"/>
  <c r="V644"/>
  <c r="AF644" s="1"/>
  <c r="V645"/>
  <c r="AF645" s="1"/>
  <c r="V646"/>
  <c r="AF646" s="1"/>
  <c r="V647"/>
  <c r="V648"/>
  <c r="AF648" s="1"/>
  <c r="V649"/>
  <c r="AF649" s="1"/>
  <c r="V650"/>
  <c r="AF650" s="1"/>
  <c r="V651"/>
  <c r="AF651" s="1"/>
  <c r="V652"/>
  <c r="AF652" s="1"/>
  <c r="V653"/>
  <c r="AF653" s="1"/>
  <c r="V654"/>
  <c r="AF654" s="1"/>
  <c r="V655"/>
  <c r="V656"/>
  <c r="V657"/>
  <c r="AF657" s="1"/>
  <c r="V658"/>
  <c r="AF658" s="1"/>
  <c r="V659"/>
  <c r="V660"/>
  <c r="AF660" s="1"/>
  <c r="V661"/>
  <c r="AF661" s="1"/>
  <c r="V662"/>
  <c r="AF662" s="1"/>
  <c r="V663"/>
  <c r="AF663" s="1"/>
  <c r="V664"/>
  <c r="AF664" s="1"/>
  <c r="V665"/>
  <c r="V666"/>
  <c r="V667"/>
  <c r="AF667" s="1"/>
  <c r="V668"/>
  <c r="AF668" s="1"/>
  <c r="V669"/>
  <c r="AF669" s="1"/>
  <c r="V670"/>
  <c r="V671"/>
  <c r="AF671" s="1"/>
  <c r="V672"/>
  <c r="AF672" s="1"/>
  <c r="V673"/>
  <c r="AF673" s="1"/>
  <c r="V674"/>
  <c r="AF674" s="1"/>
  <c r="V675"/>
  <c r="AF675" s="1"/>
  <c r="V676"/>
  <c r="AF676" s="1"/>
  <c r="V677"/>
  <c r="AF677" s="1"/>
  <c r="V678"/>
  <c r="AF678" s="1"/>
  <c r="V679"/>
  <c r="AF679" s="1"/>
  <c r="V680"/>
  <c r="AF680" s="1"/>
  <c r="V681"/>
  <c r="AF681" s="1"/>
  <c r="V682"/>
  <c r="V683"/>
  <c r="AF683" s="1"/>
  <c r="V684"/>
  <c r="AF684" s="1"/>
  <c r="V685"/>
  <c r="AF685" s="1"/>
  <c r="V686"/>
  <c r="AF686" s="1"/>
  <c r="V687"/>
  <c r="AF687" s="1"/>
  <c r="V688"/>
  <c r="AF688" s="1"/>
  <c r="V689"/>
  <c r="AF689" s="1"/>
  <c r="V690"/>
  <c r="AF690" s="1"/>
  <c r="V691"/>
  <c r="AF691" s="1"/>
  <c r="V692"/>
  <c r="AF692" s="1"/>
  <c r="V693"/>
  <c r="AF693" s="1"/>
  <c r="V694"/>
  <c r="AF694" s="1"/>
  <c r="V695"/>
  <c r="AF695" s="1"/>
  <c r="V696"/>
  <c r="AF696" s="1"/>
  <c r="V697"/>
  <c r="AF697" s="1"/>
  <c r="V698"/>
  <c r="V699"/>
  <c r="AF699" s="1"/>
  <c r="V700"/>
  <c r="AF700" s="1"/>
  <c r="V701"/>
  <c r="AF701" s="1"/>
  <c r="V702"/>
  <c r="AF702" s="1"/>
  <c r="V703"/>
  <c r="AF703" s="1"/>
  <c r="V704"/>
  <c r="AF704" s="1"/>
  <c r="V705"/>
  <c r="V706"/>
  <c r="AF706" s="1"/>
  <c r="V707"/>
  <c r="AF707" s="1"/>
  <c r="V708"/>
  <c r="AF708" s="1"/>
  <c r="V709"/>
  <c r="AF709" s="1"/>
  <c r="V710"/>
  <c r="AF710" s="1"/>
  <c r="V711"/>
  <c r="AF711" s="1"/>
  <c r="V712"/>
  <c r="AF712" s="1"/>
  <c r="V713"/>
  <c r="AF713" s="1"/>
  <c r="V714"/>
  <c r="V715"/>
  <c r="AF715" s="1"/>
  <c r="V716"/>
  <c r="AF716" s="1"/>
  <c r="V717"/>
  <c r="AF717" s="1"/>
  <c r="V718"/>
  <c r="AF718" s="1"/>
  <c r="V719"/>
  <c r="AF719" s="1"/>
  <c r="V720"/>
  <c r="AF720" s="1"/>
  <c r="V721"/>
  <c r="AF721" s="1"/>
  <c r="V722"/>
  <c r="AF722" s="1"/>
  <c r="V723"/>
  <c r="AF723" s="1"/>
  <c r="V724"/>
  <c r="AF724" s="1"/>
  <c r="V725"/>
  <c r="AF725" s="1"/>
  <c r="V726"/>
  <c r="AF726" s="1"/>
  <c r="V727"/>
  <c r="AF727" s="1"/>
  <c r="V728"/>
  <c r="AF728" s="1"/>
  <c r="V729"/>
  <c r="AF729" s="1"/>
  <c r="V730"/>
  <c r="AF730" s="1"/>
  <c r="V731"/>
  <c r="AF731" s="1"/>
  <c r="V732"/>
  <c r="AF732" s="1"/>
  <c r="V733"/>
  <c r="AF733" s="1"/>
  <c r="V734"/>
  <c r="AF734" s="1"/>
  <c r="V735"/>
  <c r="AF735" s="1"/>
  <c r="V736"/>
  <c r="AF736" s="1"/>
  <c r="V737"/>
  <c r="AF737" s="1"/>
  <c r="V738"/>
  <c r="AF738" s="1"/>
  <c r="V739"/>
  <c r="AF739" s="1"/>
  <c r="V740"/>
  <c r="AF740" s="1"/>
  <c r="V741"/>
  <c r="AF741" s="1"/>
  <c r="V742"/>
  <c r="AF742" s="1"/>
  <c r="V743"/>
  <c r="AF743" s="1"/>
  <c r="V744"/>
  <c r="AF744" s="1"/>
  <c r="V745"/>
  <c r="AF745" s="1"/>
  <c r="V746"/>
  <c r="AF746" s="1"/>
  <c r="V747"/>
  <c r="AF747" s="1"/>
  <c r="V748"/>
  <c r="AF748" s="1"/>
  <c r="V749"/>
  <c r="AF749" s="1"/>
  <c r="V750"/>
  <c r="AF750" s="1"/>
  <c r="V751"/>
  <c r="AF751" s="1"/>
  <c r="V752"/>
  <c r="AF752" s="1"/>
  <c r="V753"/>
  <c r="AF753" s="1"/>
  <c r="V754"/>
  <c r="AF754" s="1"/>
  <c r="V755"/>
  <c r="AF755" s="1"/>
  <c r="V756"/>
  <c r="AF756" s="1"/>
  <c r="V757"/>
  <c r="AF757" s="1"/>
  <c r="V758"/>
  <c r="AF758" s="1"/>
  <c r="V759"/>
  <c r="AF759" s="1"/>
  <c r="V760"/>
  <c r="AF760" s="1"/>
  <c r="V761"/>
  <c r="V762"/>
  <c r="AF762" s="1"/>
  <c r="V763"/>
  <c r="AF763" s="1"/>
  <c r="V764"/>
  <c r="AF764" s="1"/>
  <c r="V765"/>
  <c r="AF765" s="1"/>
  <c r="V766"/>
  <c r="AF766" s="1"/>
  <c r="V767"/>
  <c r="AF767" s="1"/>
  <c r="V768"/>
  <c r="AF768" s="1"/>
  <c r="V769"/>
  <c r="AF769" s="1"/>
  <c r="V770"/>
  <c r="AF770" s="1"/>
  <c r="V771"/>
  <c r="AF771" s="1"/>
  <c r="V772"/>
  <c r="AF772" s="1"/>
  <c r="V773"/>
  <c r="AF773" s="1"/>
  <c r="V774"/>
  <c r="AF774" s="1"/>
  <c r="V775"/>
  <c r="AF775" s="1"/>
  <c r="V776"/>
  <c r="AF776" s="1"/>
  <c r="V777"/>
  <c r="AF777" s="1"/>
  <c r="V778"/>
  <c r="AF778" s="1"/>
  <c r="V779"/>
  <c r="AF779" s="1"/>
  <c r="V780"/>
  <c r="AF780" s="1"/>
  <c r="V781"/>
  <c r="AF781" s="1"/>
  <c r="V782"/>
  <c r="AF782" s="1"/>
  <c r="V783"/>
  <c r="AF783" s="1"/>
  <c r="V784"/>
  <c r="AF784" s="1"/>
  <c r="V785"/>
  <c r="AF785" s="1"/>
  <c r="V786"/>
  <c r="AF786" s="1"/>
  <c r="V787"/>
  <c r="AF787" s="1"/>
  <c r="V788"/>
  <c r="AF788" s="1"/>
  <c r="V789"/>
  <c r="AF789" s="1"/>
  <c r="V790"/>
  <c r="AF790" s="1"/>
  <c r="V791"/>
  <c r="AF791" s="1"/>
  <c r="V792"/>
  <c r="AF792" s="1"/>
  <c r="V793"/>
  <c r="AF793" s="1"/>
  <c r="V794"/>
  <c r="AF794" s="1"/>
  <c r="V795"/>
  <c r="AF795" s="1"/>
  <c r="V796"/>
  <c r="AF796" s="1"/>
  <c r="V797"/>
  <c r="AF797" s="1"/>
  <c r="V798"/>
  <c r="AF798" s="1"/>
  <c r="V799"/>
  <c r="AF799" s="1"/>
  <c r="V800"/>
  <c r="AF800" s="1"/>
  <c r="V801"/>
  <c r="AF801" s="1"/>
  <c r="V802"/>
  <c r="AF802" s="1"/>
  <c r="V803"/>
  <c r="AF803" s="1"/>
  <c r="V804"/>
  <c r="AF804" s="1"/>
  <c r="V805"/>
  <c r="AF805" s="1"/>
  <c r="V806"/>
  <c r="AF806" s="1"/>
  <c r="V807"/>
  <c r="AF807" s="1"/>
  <c r="V808"/>
  <c r="AF808" s="1"/>
  <c r="V809"/>
  <c r="AF809" s="1"/>
  <c r="V810"/>
  <c r="AF810" s="1"/>
  <c r="V811"/>
  <c r="AF811" s="1"/>
  <c r="V812"/>
  <c r="V813"/>
  <c r="AF813" s="1"/>
  <c r="V814"/>
  <c r="AF814" s="1"/>
  <c r="V815"/>
  <c r="AF815" s="1"/>
  <c r="V816"/>
  <c r="AF816" s="1"/>
  <c r="V817"/>
  <c r="AF817" s="1"/>
  <c r="V818"/>
  <c r="AF818" s="1"/>
  <c r="V819"/>
  <c r="AF819" s="1"/>
  <c r="V820"/>
  <c r="AF820" s="1"/>
  <c r="V821"/>
  <c r="AF821" s="1"/>
  <c r="V822"/>
  <c r="AF822" s="1"/>
  <c r="V823"/>
  <c r="AF823" s="1"/>
  <c r="V824"/>
  <c r="AF824" s="1"/>
  <c r="V825"/>
  <c r="AF825" s="1"/>
  <c r="V826"/>
  <c r="AF826" s="1"/>
  <c r="V827"/>
  <c r="AF827" s="1"/>
  <c r="V828"/>
  <c r="AF828" s="1"/>
  <c r="V829"/>
  <c r="AF829" s="1"/>
  <c r="V830"/>
  <c r="AF830" s="1"/>
  <c r="V831"/>
  <c r="AF831" s="1"/>
  <c r="V832"/>
  <c r="AF832" s="1"/>
  <c r="V833"/>
  <c r="AF833" s="1"/>
  <c r="V834"/>
  <c r="AF834" s="1"/>
  <c r="V835"/>
  <c r="AF835" s="1"/>
  <c r="V836"/>
  <c r="AF836" s="1"/>
  <c r="V837"/>
  <c r="AF837" s="1"/>
  <c r="V838"/>
  <c r="AF838" s="1"/>
  <c r="V839"/>
  <c r="AF839" s="1"/>
  <c r="V840"/>
  <c r="AF840" s="1"/>
  <c r="V841"/>
  <c r="AF841" s="1"/>
  <c r="V842"/>
  <c r="AF842" s="1"/>
  <c r="V843"/>
  <c r="AF843" s="1"/>
  <c r="V844"/>
  <c r="AF844" s="1"/>
  <c r="V845"/>
  <c r="AF845" s="1"/>
  <c r="V846"/>
  <c r="AF846" s="1"/>
  <c r="V847"/>
  <c r="AF847" s="1"/>
  <c r="V848"/>
  <c r="AF848" s="1"/>
  <c r="V849"/>
  <c r="AF849" s="1"/>
  <c r="V850"/>
  <c r="AF850" s="1"/>
  <c r="V851"/>
  <c r="V852"/>
  <c r="V853"/>
  <c r="V854"/>
  <c r="V855"/>
  <c r="V856"/>
  <c r="AF856" s="1"/>
  <c r="V857"/>
  <c r="AF857" s="1"/>
  <c r="V858"/>
  <c r="AF858" s="1"/>
  <c r="V859"/>
  <c r="AF859" s="1"/>
  <c r="V860"/>
  <c r="V861"/>
  <c r="AF861" s="1"/>
  <c r="V862"/>
  <c r="AF862" s="1"/>
  <c r="V863"/>
  <c r="AF863" s="1"/>
  <c r="V864"/>
  <c r="AF864" s="1"/>
  <c r="V865"/>
  <c r="AF865" s="1"/>
  <c r="V866"/>
  <c r="AF866" s="1"/>
  <c r="V867"/>
  <c r="AF867" s="1"/>
  <c r="V868"/>
  <c r="AF868" s="1"/>
  <c r="V869"/>
  <c r="AF869" s="1"/>
  <c r="V870"/>
  <c r="AF870" s="1"/>
  <c r="V871"/>
  <c r="AF871" s="1"/>
  <c r="V872"/>
  <c r="AF872" s="1"/>
  <c r="V873"/>
  <c r="AF873" s="1"/>
  <c r="V874"/>
  <c r="AF874" s="1"/>
  <c r="V875"/>
  <c r="V876"/>
  <c r="AF876" s="1"/>
  <c r="V877"/>
  <c r="AF877" s="1"/>
  <c r="V878"/>
  <c r="AF878" s="1"/>
  <c r="V879"/>
  <c r="AF879" s="1"/>
  <c r="V880"/>
  <c r="AF880" s="1"/>
  <c r="V881"/>
  <c r="AF881" s="1"/>
  <c r="V882"/>
  <c r="AF882" s="1"/>
  <c r="V883"/>
  <c r="AF883" s="1"/>
  <c r="V884"/>
  <c r="AF884" s="1"/>
  <c r="V885"/>
  <c r="AF885" s="1"/>
  <c r="V886"/>
  <c r="AF886" s="1"/>
  <c r="V887"/>
  <c r="AF887" s="1"/>
  <c r="V888"/>
  <c r="AF888" s="1"/>
  <c r="V889"/>
  <c r="AF889" s="1"/>
  <c r="V890"/>
  <c r="AF890" s="1"/>
  <c r="V891"/>
  <c r="AF891" s="1"/>
  <c r="V892"/>
  <c r="AF892" s="1"/>
  <c r="V893"/>
  <c r="AF893" s="1"/>
  <c r="V894"/>
  <c r="AF894" s="1"/>
  <c r="V895"/>
  <c r="AF895" s="1"/>
  <c r="V896"/>
  <c r="AF896" s="1"/>
  <c r="V897"/>
  <c r="AF897" s="1"/>
  <c r="V898"/>
  <c r="AF898" s="1"/>
  <c r="V899"/>
  <c r="AF899" s="1"/>
  <c r="V900"/>
  <c r="AF900" s="1"/>
  <c r="V901"/>
  <c r="AF901" s="1"/>
  <c r="V902"/>
  <c r="AF902" s="1"/>
  <c r="V903"/>
  <c r="AF903" s="1"/>
  <c r="V904"/>
  <c r="AF904" s="1"/>
  <c r="V905"/>
  <c r="AF905" s="1"/>
  <c r="V906"/>
  <c r="AF906" s="1"/>
  <c r="V907"/>
  <c r="AF907" s="1"/>
  <c r="V908"/>
  <c r="AF908" s="1"/>
  <c r="V909"/>
  <c r="AF909" s="1"/>
  <c r="V910"/>
  <c r="AF910" s="1"/>
  <c r="V911"/>
  <c r="AF911" s="1"/>
  <c r="V912"/>
  <c r="AF912" s="1"/>
  <c r="V913"/>
  <c r="AF913" s="1"/>
  <c r="V914"/>
  <c r="AF914" s="1"/>
  <c r="V915"/>
  <c r="AF915" s="1"/>
  <c r="V916"/>
  <c r="AF916" s="1"/>
  <c r="V917"/>
  <c r="V918"/>
  <c r="AF918" s="1"/>
  <c r="V919"/>
  <c r="AF919" s="1"/>
  <c r="V920"/>
  <c r="AF920" s="1"/>
  <c r="V921"/>
  <c r="AF921" s="1"/>
  <c r="V922"/>
  <c r="AF922" s="1"/>
  <c r="V923"/>
  <c r="AF923" s="1"/>
  <c r="V924"/>
  <c r="AF924" s="1"/>
  <c r="V925"/>
  <c r="AF925" s="1"/>
  <c r="V926"/>
  <c r="AF926" s="1"/>
  <c r="V927"/>
  <c r="AF927" s="1"/>
  <c r="V928"/>
  <c r="AF928" s="1"/>
  <c r="V929"/>
  <c r="AF929" s="1"/>
  <c r="V930"/>
  <c r="AF930" s="1"/>
  <c r="V931"/>
  <c r="AF931" s="1"/>
  <c r="V932"/>
  <c r="AF932" s="1"/>
  <c r="V933"/>
  <c r="AF933" s="1"/>
  <c r="V934"/>
  <c r="AF934" s="1"/>
  <c r="V935"/>
  <c r="AF935" s="1"/>
  <c r="V936"/>
  <c r="AF936" s="1"/>
  <c r="V937"/>
  <c r="AF937" s="1"/>
  <c r="V938"/>
  <c r="AF938" s="1"/>
  <c r="V939"/>
  <c r="AF939" s="1"/>
  <c r="V940"/>
  <c r="AF940" s="1"/>
  <c r="V941"/>
  <c r="AF941" s="1"/>
  <c r="V942"/>
  <c r="AF942" s="1"/>
  <c r="V943"/>
  <c r="AF943" s="1"/>
  <c r="V944"/>
  <c r="AF944" s="1"/>
  <c r="V945"/>
  <c r="AF945" s="1"/>
  <c r="V946"/>
  <c r="AF946" s="1"/>
  <c r="V947"/>
  <c r="AF947" s="1"/>
  <c r="V948"/>
  <c r="AF948" s="1"/>
  <c r="V949"/>
  <c r="AF949" s="1"/>
  <c r="V950"/>
  <c r="AF950" s="1"/>
  <c r="V951"/>
  <c r="AF951" s="1"/>
  <c r="V952"/>
  <c r="AF952" s="1"/>
  <c r="V953"/>
  <c r="AF953" s="1"/>
  <c r="V954"/>
  <c r="AF954" s="1"/>
  <c r="V955"/>
  <c r="AF955" s="1"/>
  <c r="V956"/>
  <c r="AF956" s="1"/>
  <c r="V957"/>
  <c r="AF957" s="1"/>
  <c r="V958"/>
  <c r="AF958" s="1"/>
  <c r="V959"/>
  <c r="AF959" s="1"/>
  <c r="V960"/>
  <c r="AF960" s="1"/>
  <c r="V961"/>
  <c r="AF961" s="1"/>
  <c r="V962"/>
  <c r="AF962" s="1"/>
  <c r="V963"/>
  <c r="AF963" s="1"/>
  <c r="V964"/>
  <c r="AF964" s="1"/>
  <c r="V965"/>
  <c r="AF965" s="1"/>
  <c r="V966"/>
  <c r="AF966" s="1"/>
  <c r="V967"/>
  <c r="AF967" s="1"/>
  <c r="V968"/>
  <c r="AF968" s="1"/>
  <c r="V969"/>
  <c r="AF969" s="1"/>
  <c r="V970"/>
  <c r="AF970" s="1"/>
  <c r="V971"/>
  <c r="V972"/>
  <c r="V973"/>
  <c r="AF973" s="1"/>
  <c r="V974"/>
  <c r="V975"/>
  <c r="AF975" s="1"/>
  <c r="V976"/>
  <c r="AF976" s="1"/>
  <c r="V977"/>
  <c r="AF977" s="1"/>
  <c r="V978"/>
  <c r="AF978" s="1"/>
  <c r="V979"/>
  <c r="AF979" s="1"/>
  <c r="V980"/>
  <c r="AF980" s="1"/>
  <c r="V981"/>
  <c r="AF981" s="1"/>
  <c r="V982"/>
  <c r="AF982" s="1"/>
  <c r="V983"/>
  <c r="AF983" s="1"/>
  <c r="V984"/>
  <c r="AF984" s="1"/>
  <c r="V985"/>
  <c r="AF985" s="1"/>
  <c r="V986"/>
  <c r="AF986" s="1"/>
  <c r="V987"/>
  <c r="AF987" s="1"/>
  <c r="V988"/>
  <c r="AF988" s="1"/>
  <c r="V989"/>
  <c r="AF989" s="1"/>
  <c r="V990"/>
  <c r="AF990" s="1"/>
  <c r="V991"/>
  <c r="AF991" s="1"/>
  <c r="V992"/>
  <c r="AF992" s="1"/>
  <c r="V993"/>
  <c r="AF993" s="1"/>
  <c r="V994"/>
  <c r="AF994" s="1"/>
  <c r="V995"/>
  <c r="AF995" s="1"/>
  <c r="V996"/>
  <c r="V997"/>
  <c r="AF997" s="1"/>
  <c r="V998"/>
  <c r="AF998" s="1"/>
  <c r="V999"/>
  <c r="AF999" s="1"/>
  <c r="V1000"/>
  <c r="AF1000" s="1"/>
  <c r="V1001"/>
  <c r="AF1001" s="1"/>
  <c r="V1002"/>
  <c r="AF1002" s="1"/>
  <c r="V1003"/>
  <c r="AF1003" s="1"/>
  <c r="V1004"/>
  <c r="AF1004" s="1"/>
  <c r="V1005"/>
  <c r="AF1005" s="1"/>
  <c r="V1006"/>
  <c r="AF1006" s="1"/>
  <c r="V1007"/>
  <c r="AF1007" s="1"/>
  <c r="V1008"/>
  <c r="AF1008" s="1"/>
  <c r="V9"/>
  <c r="N1626" i="10" l="1"/>
  <c r="S1570"/>
  <c r="N1631"/>
  <c r="S1575"/>
  <c r="N1341"/>
  <c r="S1285"/>
  <c r="I1679"/>
  <c r="I1662"/>
  <c r="I1669"/>
  <c r="S1662"/>
  <c r="S1669"/>
  <c r="S1679"/>
  <c r="AF412" i="1"/>
  <c r="I1171" i="10"/>
  <c r="S1171"/>
  <c r="I700"/>
  <c r="S707"/>
  <c r="S700"/>
  <c r="S717"/>
  <c r="AF344" i="1"/>
  <c r="N996" i="10"/>
  <c r="N1013"/>
  <c r="AF292" i="1"/>
  <c r="X643" i="10"/>
  <c r="N1817"/>
  <c r="N1837"/>
  <c r="N1803"/>
  <c r="I1803"/>
  <c r="AF200" i="1"/>
  <c r="I774" i="10"/>
  <c r="S774"/>
  <c r="AF84" i="1"/>
  <c r="S1563" i="10"/>
  <c r="X1507"/>
  <c r="X1541"/>
  <c r="AF48" i="1"/>
  <c r="S1877" i="10"/>
  <c r="S22"/>
  <c r="N1933"/>
  <c r="I1877"/>
  <c r="N1877"/>
  <c r="N77"/>
  <c r="AF20" i="1"/>
  <c r="S1501" i="10"/>
  <c r="N1557"/>
  <c r="AG852" i="1"/>
  <c r="I1613" i="10"/>
  <c r="N1613"/>
  <c r="AG812" i="1"/>
  <c r="S725" i="10"/>
  <c r="AG412" i="1"/>
  <c r="I1169" i="10"/>
  <c r="S1169"/>
  <c r="S702"/>
  <c r="S715"/>
  <c r="AG352" i="1"/>
  <c r="N651" i="10"/>
  <c r="AG328" i="1"/>
  <c r="N1909" i="10"/>
  <c r="AG284" i="1"/>
  <c r="X799" i="10"/>
  <c r="AG84" i="1"/>
  <c r="X1539" i="10"/>
  <c r="V1845"/>
  <c r="V1846" s="1"/>
  <c r="V1697"/>
  <c r="V1698" s="1"/>
  <c r="V1623"/>
  <c r="V1624" s="1"/>
  <c r="V1549"/>
  <c r="V1550" s="1"/>
  <c r="U1623"/>
  <c r="U1401"/>
  <c r="U809"/>
  <c r="U1475"/>
  <c r="U288"/>
  <c r="U289" s="1"/>
  <c r="U140"/>
  <c r="U141" s="1"/>
  <c r="V436"/>
  <c r="V437" s="1"/>
  <c r="V1105"/>
  <c r="V1106" s="1"/>
  <c r="V1031"/>
  <c r="V1032" s="1"/>
  <c r="U436"/>
  <c r="U437" s="1"/>
  <c r="V362"/>
  <c r="V363" s="1"/>
  <c r="U1993"/>
  <c r="V1919"/>
  <c r="V1920" s="1"/>
  <c r="U1771"/>
  <c r="U1549"/>
  <c r="V1401"/>
  <c r="V1402" s="1"/>
  <c r="U883"/>
  <c r="V1253"/>
  <c r="V1254" s="1"/>
  <c r="V883"/>
  <c r="V884" s="1"/>
  <c r="U735"/>
  <c r="V510"/>
  <c r="V511" s="1"/>
  <c r="U1919"/>
  <c r="V1771"/>
  <c r="V1772" s="1"/>
  <c r="U1253"/>
  <c r="U1327"/>
  <c r="V1475"/>
  <c r="V1476" s="1"/>
  <c r="V1179"/>
  <c r="V1180" s="1"/>
  <c r="V587"/>
  <c r="V588" s="1"/>
  <c r="V735"/>
  <c r="V736" s="1"/>
  <c r="U362"/>
  <c r="U363" s="1"/>
  <c r="V288"/>
  <c r="V289" s="1"/>
  <c r="U587"/>
  <c r="V63"/>
  <c r="V64" s="1"/>
  <c r="U1845"/>
  <c r="V1993"/>
  <c r="V1994" s="1"/>
  <c r="U1697"/>
  <c r="V1327"/>
  <c r="V1328" s="1"/>
  <c r="U1179"/>
  <c r="U1031"/>
  <c r="V809"/>
  <c r="V810" s="1"/>
  <c r="U661"/>
  <c r="U63"/>
  <c r="V661"/>
  <c r="V662" s="1"/>
  <c r="U1105"/>
  <c r="V140"/>
  <c r="V141" s="1"/>
  <c r="U214"/>
  <c r="U215" s="1"/>
  <c r="V957"/>
  <c r="V958" s="1"/>
  <c r="U510"/>
  <c r="U511" s="1"/>
  <c r="U957"/>
  <c r="V214"/>
  <c r="V215" s="1"/>
  <c r="I1393"/>
  <c r="N1373"/>
  <c r="N1393"/>
  <c r="N1359"/>
  <c r="I1359"/>
  <c r="S1605"/>
  <c r="S1595"/>
  <c r="S1588"/>
  <c r="AF714" i="1"/>
  <c r="S1341" i="10"/>
  <c r="X1285"/>
  <c r="AF670" i="1"/>
  <c r="N1161" i="10"/>
  <c r="AF622" i="1"/>
  <c r="S1779" i="10"/>
  <c r="X1723"/>
  <c r="AF610" i="1"/>
  <c r="N1144" i="10"/>
  <c r="N1097"/>
  <c r="I1063"/>
  <c r="N1063"/>
  <c r="N1077"/>
  <c r="I1052"/>
  <c r="N1052"/>
  <c r="S1097"/>
  <c r="S1077"/>
  <c r="AF486" i="1"/>
  <c r="X1679" i="10"/>
  <c r="S1774"/>
  <c r="N1785"/>
  <c r="S1729"/>
  <c r="N1729"/>
  <c r="I1729"/>
  <c r="S1785"/>
  <c r="X1743"/>
  <c r="X1763"/>
  <c r="X1729"/>
  <c r="X1718"/>
  <c r="I983"/>
  <c r="N983"/>
  <c r="AF238" i="1"/>
  <c r="I1205" i="10"/>
  <c r="N1205"/>
  <c r="AF198" i="1"/>
  <c r="I1200" i="10"/>
  <c r="N1200"/>
  <c r="N1447"/>
  <c r="I1447"/>
  <c r="N1457"/>
  <c r="I1457"/>
  <c r="N1422"/>
  <c r="N1427"/>
  <c r="I1427"/>
  <c r="I1422"/>
  <c r="I626"/>
  <c r="I653"/>
  <c r="I633"/>
  <c r="S626"/>
  <c r="S633"/>
  <c r="S653"/>
  <c r="S886"/>
  <c r="X865"/>
  <c r="X855"/>
  <c r="X830"/>
  <c r="I865"/>
  <c r="I855"/>
  <c r="S855"/>
  <c r="S865"/>
  <c r="N830"/>
  <c r="S835"/>
  <c r="S830"/>
  <c r="N835"/>
  <c r="N891"/>
  <c r="I830"/>
  <c r="I835"/>
  <c r="N886"/>
  <c r="AF114" i="1"/>
  <c r="I949" i="10"/>
  <c r="S949"/>
  <c r="AF70" i="1"/>
  <c r="S1933" i="10"/>
  <c r="S77"/>
  <c r="X22"/>
  <c r="X55"/>
  <c r="X1877"/>
  <c r="X1911"/>
  <c r="AF46" i="1"/>
  <c r="N1884" i="10"/>
  <c r="I1891"/>
  <c r="I1884"/>
  <c r="I1901"/>
  <c r="S1891"/>
  <c r="S1884"/>
  <c r="S1901"/>
  <c r="S66"/>
  <c r="S1557"/>
  <c r="S71"/>
  <c r="S1552"/>
  <c r="X1521"/>
  <c r="X1531"/>
  <c r="X1496"/>
  <c r="X16"/>
  <c r="X1501"/>
  <c r="X45"/>
  <c r="X35"/>
  <c r="X11"/>
  <c r="S1603"/>
  <c r="S1590"/>
  <c r="AG682" i="1"/>
  <c r="N1317" i="10"/>
  <c r="N1294"/>
  <c r="N1307"/>
  <c r="AG486" i="1"/>
  <c r="X1677" i="10"/>
  <c r="S1973"/>
  <c r="S1960"/>
  <c r="AG242" i="1"/>
  <c r="I1983" i="10"/>
  <c r="X1983"/>
  <c r="N1455"/>
  <c r="I1455"/>
  <c r="N1442"/>
  <c r="I1442"/>
  <c r="AG150" i="1"/>
  <c r="X863" i="10"/>
  <c r="X850"/>
  <c r="AG70" i="1"/>
  <c r="X53" i="10"/>
  <c r="X1909"/>
  <c r="I1886"/>
  <c r="I1899"/>
  <c r="S1886"/>
  <c r="S1899"/>
  <c r="N1516"/>
  <c r="N1529"/>
  <c r="N31"/>
  <c r="N43"/>
  <c r="Q1866"/>
  <c r="L1940"/>
  <c r="Q1940"/>
  <c r="Q1792"/>
  <c r="L1644"/>
  <c r="L1866"/>
  <c r="Q1718"/>
  <c r="L1718"/>
  <c r="Q1644"/>
  <c r="Q1496"/>
  <c r="Q1570"/>
  <c r="L1792"/>
  <c r="L1496"/>
  <c r="L1422"/>
  <c r="K1644"/>
  <c r="Q1422"/>
  <c r="Q1348"/>
  <c r="Q1200"/>
  <c r="P1644"/>
  <c r="L1274"/>
  <c r="Q1274"/>
  <c r="L1570"/>
  <c r="L1052"/>
  <c r="L978"/>
  <c r="Q904"/>
  <c r="Q830"/>
  <c r="L1200"/>
  <c r="L1126"/>
  <c r="L1348"/>
  <c r="Q1126"/>
  <c r="L904"/>
  <c r="P534"/>
  <c r="Q534"/>
  <c r="L534"/>
  <c r="Q457"/>
  <c r="L309"/>
  <c r="Q309"/>
  <c r="L682"/>
  <c r="L830"/>
  <c r="L756"/>
  <c r="K534"/>
  <c r="Q682"/>
  <c r="L457"/>
  <c r="Q1052"/>
  <c r="Q383"/>
  <c r="L161"/>
  <c r="Q161"/>
  <c r="L11"/>
  <c r="L87"/>
  <c r="Q11"/>
  <c r="L608"/>
  <c r="Q608"/>
  <c r="K457"/>
  <c r="L235"/>
  <c r="Q87"/>
  <c r="Q978"/>
  <c r="Q756"/>
  <c r="P457"/>
  <c r="L383"/>
  <c r="Q235"/>
  <c r="K1718"/>
  <c r="P1866"/>
  <c r="K1348"/>
  <c r="K383"/>
  <c r="P1496"/>
  <c r="K1496"/>
  <c r="K309"/>
  <c r="K978"/>
  <c r="K1274"/>
  <c r="P161"/>
  <c r="K161"/>
  <c r="K682"/>
  <c r="P1792"/>
  <c r="P1200"/>
  <c r="K608"/>
  <c r="K235"/>
  <c r="P235"/>
  <c r="P1940"/>
  <c r="P1718"/>
  <c r="K904"/>
  <c r="P1348"/>
  <c r="K1126"/>
  <c r="P1422"/>
  <c r="P756"/>
  <c r="K756"/>
  <c r="K87"/>
  <c r="P1570"/>
  <c r="P1274"/>
  <c r="P830"/>
  <c r="K1866"/>
  <c r="P1126"/>
  <c r="P1052"/>
  <c r="K1052"/>
  <c r="P309"/>
  <c r="K1570"/>
  <c r="K1200"/>
  <c r="K1940"/>
  <c r="P904"/>
  <c r="K1422"/>
  <c r="P383"/>
  <c r="P87"/>
  <c r="K11"/>
  <c r="P11"/>
  <c r="P978"/>
  <c r="P682"/>
  <c r="K1792"/>
  <c r="P608"/>
  <c r="K830"/>
  <c r="K1983"/>
  <c r="L1983"/>
  <c r="K1911"/>
  <c r="K1912" s="1"/>
  <c r="K1917" s="1"/>
  <c r="K1985"/>
  <c r="K1761"/>
  <c r="L1911"/>
  <c r="L1909"/>
  <c r="K1909"/>
  <c r="L1837"/>
  <c r="L1615"/>
  <c r="L1835"/>
  <c r="K1763"/>
  <c r="L1763"/>
  <c r="K1689"/>
  <c r="K1690" s="1"/>
  <c r="K1695" s="1"/>
  <c r="L1689"/>
  <c r="K1835"/>
  <c r="L1761"/>
  <c r="K1687"/>
  <c r="L1985"/>
  <c r="K1837"/>
  <c r="K1613"/>
  <c r="K1541"/>
  <c r="L1539"/>
  <c r="K1465"/>
  <c r="L1465"/>
  <c r="L1687"/>
  <c r="L1541"/>
  <c r="K1539"/>
  <c r="L1467"/>
  <c r="L1468" s="1"/>
  <c r="L1473" s="1"/>
  <c r="K1393"/>
  <c r="K1391"/>
  <c r="L1171"/>
  <c r="K1245"/>
  <c r="K1467"/>
  <c r="K1615"/>
  <c r="K1616" s="1"/>
  <c r="K1621" s="1"/>
  <c r="L1317"/>
  <c r="K1317"/>
  <c r="K1243"/>
  <c r="L1319"/>
  <c r="L1243"/>
  <c r="K1097"/>
  <c r="K1095"/>
  <c r="K1021"/>
  <c r="L947"/>
  <c r="K947"/>
  <c r="K873"/>
  <c r="L1393"/>
  <c r="L1394" s="1"/>
  <c r="L1399" s="1"/>
  <c r="K1319"/>
  <c r="L1245"/>
  <c r="K1169"/>
  <c r="L1169"/>
  <c r="L1095"/>
  <c r="L1613"/>
  <c r="L1391"/>
  <c r="K1171"/>
  <c r="L949"/>
  <c r="L873"/>
  <c r="L801"/>
  <c r="K725"/>
  <c r="K577"/>
  <c r="L651"/>
  <c r="L579"/>
  <c r="L580" s="1"/>
  <c r="L585" s="1"/>
  <c r="L1097"/>
  <c r="L1023"/>
  <c r="K1023"/>
  <c r="K801"/>
  <c r="K727"/>
  <c r="L577"/>
  <c r="K653"/>
  <c r="K651"/>
  <c r="L502"/>
  <c r="L503" s="1"/>
  <c r="L508" s="1"/>
  <c r="L428"/>
  <c r="L429" s="1"/>
  <c r="L434" s="1"/>
  <c r="K352"/>
  <c r="L278"/>
  <c r="L204"/>
  <c r="L1021"/>
  <c r="K949"/>
  <c r="K875"/>
  <c r="K799"/>
  <c r="K502"/>
  <c r="K503" s="1"/>
  <c r="K508" s="1"/>
  <c r="L875"/>
  <c r="L725"/>
  <c r="K579"/>
  <c r="K500"/>
  <c r="L280"/>
  <c r="K206"/>
  <c r="K204"/>
  <c r="K53"/>
  <c r="L55"/>
  <c r="L727"/>
  <c r="L653"/>
  <c r="L426"/>
  <c r="L354"/>
  <c r="K280"/>
  <c r="K278"/>
  <c r="K55"/>
  <c r="L53"/>
  <c r="L352"/>
  <c r="L206"/>
  <c r="L500"/>
  <c r="K428"/>
  <c r="K354"/>
  <c r="L130"/>
  <c r="L132"/>
  <c r="K132"/>
  <c r="K130"/>
  <c r="K426"/>
  <c r="L799"/>
  <c r="V1835"/>
  <c r="U1761"/>
  <c r="V1763"/>
  <c r="V1764" s="1"/>
  <c r="V1769" s="1"/>
  <c r="U1909"/>
  <c r="U1613"/>
  <c r="V1911"/>
  <c r="U1317"/>
  <c r="V1245"/>
  <c r="V1021"/>
  <c r="U1615"/>
  <c r="U1616" s="1"/>
  <c r="U1621" s="1"/>
  <c r="V1023"/>
  <c r="V875"/>
  <c r="V876" s="1"/>
  <c r="V881" s="1"/>
  <c r="V577"/>
  <c r="U1245"/>
  <c r="V1171"/>
  <c r="V1172" s="1"/>
  <c r="V1177" s="1"/>
  <c r="V873"/>
  <c r="U799"/>
  <c r="U426"/>
  <c r="U1097"/>
  <c r="U725"/>
  <c r="V799"/>
  <c r="V53"/>
  <c r="V132"/>
  <c r="V1837"/>
  <c r="V1838" s="1"/>
  <c r="V1843" s="1"/>
  <c r="V1467"/>
  <c r="V1468" s="1"/>
  <c r="V1473" s="1"/>
  <c r="V1761"/>
  <c r="V1689"/>
  <c r="V1690" s="1"/>
  <c r="V1695" s="1"/>
  <c r="U1541"/>
  <c r="U1465"/>
  <c r="U1171"/>
  <c r="U1539"/>
  <c r="V801"/>
  <c r="V802" s="1"/>
  <c r="V807" s="1"/>
  <c r="V1319"/>
  <c r="V1391"/>
  <c r="V1243"/>
  <c r="V1097"/>
  <c r="U579"/>
  <c r="U132"/>
  <c r="V55"/>
  <c r="U875"/>
  <c r="V725"/>
  <c r="V500"/>
  <c r="V653"/>
  <c r="U280"/>
  <c r="V204"/>
  <c r="U1985"/>
  <c r="U1763"/>
  <c r="V1615"/>
  <c r="U1835"/>
  <c r="U1687"/>
  <c r="V1687"/>
  <c r="V1539"/>
  <c r="U1467"/>
  <c r="U1391"/>
  <c r="U1243"/>
  <c r="U1393"/>
  <c r="V1317"/>
  <c r="V949"/>
  <c r="V950" s="1"/>
  <c r="V955" s="1"/>
  <c r="V1393"/>
  <c r="V1394" s="1"/>
  <c r="V1399" s="1"/>
  <c r="V579"/>
  <c r="V580" s="1"/>
  <c r="V585" s="1"/>
  <c r="V947"/>
  <c r="U500"/>
  <c r="V352"/>
  <c r="U727"/>
  <c r="V727"/>
  <c r="V728" s="1"/>
  <c r="V733" s="1"/>
  <c r="V1169"/>
  <c r="U801"/>
  <c r="V428"/>
  <c r="V429" s="1"/>
  <c r="V434" s="1"/>
  <c r="U130"/>
  <c r="U55"/>
  <c r="V426"/>
  <c r="U206"/>
  <c r="U1983"/>
  <c r="U1911"/>
  <c r="U1912" s="1"/>
  <c r="U1917" s="1"/>
  <c r="V1983"/>
  <c r="V1909"/>
  <c r="V1541"/>
  <c r="V1985"/>
  <c r="V1986" s="1"/>
  <c r="V1991" s="1"/>
  <c r="U1837"/>
  <c r="U1689"/>
  <c r="V1613"/>
  <c r="V1465"/>
  <c r="U1095"/>
  <c r="U1319"/>
  <c r="U1169"/>
  <c r="V1095"/>
  <c r="U947"/>
  <c r="U873"/>
  <c r="U1023"/>
  <c r="U502"/>
  <c r="U503" s="1"/>
  <c r="U508" s="1"/>
  <c r="V354"/>
  <c r="U204"/>
  <c r="V206"/>
  <c r="U352"/>
  <c r="U651"/>
  <c r="U278"/>
  <c r="U1021"/>
  <c r="V280"/>
  <c r="U653"/>
  <c r="U654" s="1"/>
  <c r="U659" s="1"/>
  <c r="U949"/>
  <c r="V130"/>
  <c r="V651"/>
  <c r="U577"/>
  <c r="U428"/>
  <c r="U429" s="1"/>
  <c r="U434" s="1"/>
  <c r="U53"/>
  <c r="V278"/>
  <c r="V502"/>
  <c r="V503" s="1"/>
  <c r="V508" s="1"/>
  <c r="U354"/>
  <c r="V1563"/>
  <c r="V1859"/>
  <c r="U1785"/>
  <c r="U1637"/>
  <c r="V749"/>
  <c r="V823"/>
  <c r="U601"/>
  <c r="U823"/>
  <c r="V302"/>
  <c r="U154"/>
  <c r="U524"/>
  <c r="V154"/>
  <c r="V1119"/>
  <c r="V971"/>
  <c r="V1193"/>
  <c r="U450"/>
  <c r="U376"/>
  <c r="V1933"/>
  <c r="U2007"/>
  <c r="U1711"/>
  <c r="U1563"/>
  <c r="V1711"/>
  <c r="V1341"/>
  <c r="U1341"/>
  <c r="U1489"/>
  <c r="V897"/>
  <c r="V1045"/>
  <c r="V675"/>
  <c r="U749"/>
  <c r="U302"/>
  <c r="V77"/>
  <c r="V2007"/>
  <c r="V1637"/>
  <c r="V1267"/>
  <c r="V1489"/>
  <c r="V1415"/>
  <c r="U1119"/>
  <c r="U897"/>
  <c r="V228"/>
  <c r="U228"/>
  <c r="V601"/>
  <c r="V450"/>
  <c r="U1933"/>
  <c r="U1859"/>
  <c r="V1785"/>
  <c r="U1267"/>
  <c r="U1415"/>
  <c r="U1193"/>
  <c r="V376"/>
  <c r="U971"/>
  <c r="U675"/>
  <c r="V524"/>
  <c r="U1045"/>
  <c r="U77"/>
  <c r="Z1877"/>
  <c r="AA1985"/>
  <c r="AA1909"/>
  <c r="AA1877"/>
  <c r="AA1951"/>
  <c r="Z1911"/>
  <c r="Z1912" s="1"/>
  <c r="Z1917" s="1"/>
  <c r="AA1729"/>
  <c r="Z1465"/>
  <c r="AA1803"/>
  <c r="Z1393"/>
  <c r="Z1541"/>
  <c r="Z1542" s="1"/>
  <c r="Z1547" s="1"/>
  <c r="Z1467"/>
  <c r="Z1245"/>
  <c r="Z1246" s="1"/>
  <c r="Z1251" s="1"/>
  <c r="AA1433"/>
  <c r="AA1319"/>
  <c r="AA1320" s="1"/>
  <c r="AA1325" s="1"/>
  <c r="AA1169"/>
  <c r="AA1095"/>
  <c r="Z875"/>
  <c r="Z876" s="1"/>
  <c r="Z881" s="1"/>
  <c r="Z1063"/>
  <c r="AA1393"/>
  <c r="AA1394" s="1"/>
  <c r="AA1399" s="1"/>
  <c r="AA1137"/>
  <c r="Z1021"/>
  <c r="Z693"/>
  <c r="Z579"/>
  <c r="Z1097"/>
  <c r="Z1098" s="1"/>
  <c r="Z1103" s="1"/>
  <c r="AA727"/>
  <c r="Z426"/>
  <c r="AA280"/>
  <c r="Z767"/>
  <c r="Z651"/>
  <c r="AA651"/>
  <c r="Z1169"/>
  <c r="AA502"/>
  <c r="AA503" s="1"/>
  <c r="AA508" s="1"/>
  <c r="AA426"/>
  <c r="AA53"/>
  <c r="Z502"/>
  <c r="Z503" s="1"/>
  <c r="Z508" s="1"/>
  <c r="AA172"/>
  <c r="AA693"/>
  <c r="AA132"/>
  <c r="Z1983"/>
  <c r="Z1655"/>
  <c r="Z1803"/>
  <c r="Z1985"/>
  <c r="Z1986" s="1"/>
  <c r="Z1991" s="1"/>
  <c r="Z1835"/>
  <c r="Z1763"/>
  <c r="Z1581"/>
  <c r="AA1837"/>
  <c r="AA1687"/>
  <c r="Z1761"/>
  <c r="AA1581"/>
  <c r="Z1433"/>
  <c r="Z1391"/>
  <c r="AA1317"/>
  <c r="Z1613"/>
  <c r="AA1615"/>
  <c r="AA1616" s="1"/>
  <c r="AA1621" s="1"/>
  <c r="Z1285"/>
  <c r="Z1095"/>
  <c r="AA1245"/>
  <c r="AA1021"/>
  <c r="AA801"/>
  <c r="Z1137"/>
  <c r="AA1097"/>
  <c r="AA873"/>
  <c r="Z801"/>
  <c r="Z802" s="1"/>
  <c r="Z807" s="1"/>
  <c r="AA577"/>
  <c r="Z653"/>
  <c r="Z654" s="1"/>
  <c r="Z659" s="1"/>
  <c r="Z53"/>
  <c r="AA915"/>
  <c r="AA619"/>
  <c r="AA500"/>
  <c r="AA875"/>
  <c r="Z619"/>
  <c r="AA204"/>
  <c r="Z354"/>
  <c r="AA206"/>
  <c r="AA207" s="1"/>
  <c r="AA212" s="1"/>
  <c r="AA394"/>
  <c r="Z278"/>
  <c r="Z280"/>
  <c r="Z1689"/>
  <c r="Z1690" s="1"/>
  <c r="Z1695" s="1"/>
  <c r="AA1911"/>
  <c r="AA1912" s="1"/>
  <c r="AA1917" s="1"/>
  <c r="AA1763"/>
  <c r="AA1764" s="1"/>
  <c r="AA1769" s="1"/>
  <c r="AA1835"/>
  <c r="Z1507"/>
  <c r="AA1689"/>
  <c r="Z1317"/>
  <c r="AA1243"/>
  <c r="AA1541"/>
  <c r="AA1542" s="1"/>
  <c r="AA1547" s="1"/>
  <c r="AA1465"/>
  <c r="AA1391"/>
  <c r="AA1285"/>
  <c r="AA1023"/>
  <c r="AA1211"/>
  <c r="Z1171"/>
  <c r="Z1172" s="1"/>
  <c r="Z1177" s="1"/>
  <c r="AA579"/>
  <c r="AA580" s="1"/>
  <c r="AA585" s="1"/>
  <c r="AA947"/>
  <c r="AA545"/>
  <c r="Z577"/>
  <c r="AA428"/>
  <c r="AA429" s="1"/>
  <c r="AA434" s="1"/>
  <c r="Z320"/>
  <c r="Z130"/>
  <c r="AA98"/>
  <c r="Z22"/>
  <c r="Z1023"/>
  <c r="Z1024" s="1"/>
  <c r="Z1029" s="1"/>
  <c r="Z947"/>
  <c r="Z949"/>
  <c r="Z950" s="1"/>
  <c r="Z955" s="1"/>
  <c r="AA841"/>
  <c r="Z468"/>
  <c r="Z204"/>
  <c r="AA22"/>
  <c r="Z915"/>
  <c r="AA653"/>
  <c r="AA320"/>
  <c r="Z55"/>
  <c r="AA767"/>
  <c r="AA352"/>
  <c r="AA278"/>
  <c r="AA468"/>
  <c r="Z352"/>
  <c r="AA55"/>
  <c r="AA1983"/>
  <c r="Z1909"/>
  <c r="Z1837"/>
  <c r="AA1761"/>
  <c r="Z1951"/>
  <c r="Z1729"/>
  <c r="Z1615"/>
  <c r="Z1539"/>
  <c r="AA1655"/>
  <c r="Z1687"/>
  <c r="AA1539"/>
  <c r="Z1319"/>
  <c r="AA1613"/>
  <c r="AA1359"/>
  <c r="Z1359"/>
  <c r="Z1211"/>
  <c r="AA949"/>
  <c r="Z873"/>
  <c r="AA799"/>
  <c r="AA1467"/>
  <c r="AA1468" s="1"/>
  <c r="AA1473" s="1"/>
  <c r="Z1243"/>
  <c r="AA1507"/>
  <c r="Z727"/>
  <c r="Z728" s="1"/>
  <c r="Z733" s="1"/>
  <c r="Z725"/>
  <c r="AA989"/>
  <c r="AA725"/>
  <c r="Z394"/>
  <c r="AA1171"/>
  <c r="AA1063"/>
  <c r="Z799"/>
  <c r="Z989"/>
  <c r="AA246"/>
  <c r="Z172"/>
  <c r="Z246"/>
  <c r="Z500"/>
  <c r="AA354"/>
  <c r="Z206"/>
  <c r="Z207" s="1"/>
  <c r="Z212" s="1"/>
  <c r="Z98"/>
  <c r="Z132"/>
  <c r="Z133" s="1"/>
  <c r="Z138" s="1"/>
  <c r="Z428"/>
  <c r="Z841"/>
  <c r="Z545"/>
  <c r="AA130"/>
  <c r="I354"/>
  <c r="I280"/>
  <c r="I204"/>
  <c r="I500"/>
  <c r="I502"/>
  <c r="I426"/>
  <c r="I352"/>
  <c r="I206"/>
  <c r="I132"/>
  <c r="I278"/>
  <c r="I428"/>
  <c r="I130"/>
  <c r="S352"/>
  <c r="S502"/>
  <c r="S278"/>
  <c r="S428"/>
  <c r="S500"/>
  <c r="S132"/>
  <c r="S204"/>
  <c r="S206"/>
  <c r="S426"/>
  <c r="S354"/>
  <c r="S130"/>
  <c r="S280"/>
  <c r="N524"/>
  <c r="N450"/>
  <c r="S468"/>
  <c r="S394"/>
  <c r="S320"/>
  <c r="N154"/>
  <c r="S246"/>
  <c r="N228"/>
  <c r="S172"/>
  <c r="N302"/>
  <c r="N376"/>
  <c r="S98"/>
  <c r="X564"/>
  <c r="X544"/>
  <c r="I45"/>
  <c r="I35"/>
  <c r="I29"/>
  <c r="N1218"/>
  <c r="I1235"/>
  <c r="I1225"/>
  <c r="I1218"/>
  <c r="N29"/>
  <c r="S35"/>
  <c r="S1235"/>
  <c r="S1225"/>
  <c r="S45"/>
  <c r="S16"/>
  <c r="N66"/>
  <c r="S1205"/>
  <c r="S1200"/>
  <c r="S11"/>
  <c r="N71"/>
  <c r="N1256"/>
  <c r="N1261"/>
  <c r="S1415"/>
  <c r="S1404"/>
  <c r="X1348"/>
  <c r="X1359"/>
  <c r="X1373"/>
  <c r="X1383"/>
  <c r="AF853" i="1"/>
  <c r="I1570" i="10"/>
  <c r="N1570"/>
  <c r="N1575"/>
  <c r="I1575"/>
  <c r="AF761" i="1"/>
  <c r="N1193" i="10"/>
  <c r="S1137"/>
  <c r="AF705" i="1"/>
  <c r="S1837" i="10"/>
  <c r="AF665" i="1"/>
  <c r="N727" i="10"/>
  <c r="AF617" i="1"/>
  <c r="S1193" i="10"/>
  <c r="X1171"/>
  <c r="X1137"/>
  <c r="AF609" i="1"/>
  <c r="I1131" i="10"/>
  <c r="N1131"/>
  <c r="AF569" i="1"/>
  <c r="S1803" i="10"/>
  <c r="N1859"/>
  <c r="AF549" i="1"/>
  <c r="N1279" i="10"/>
  <c r="N1274"/>
  <c r="S1279"/>
  <c r="N1335"/>
  <c r="I1279"/>
  <c r="I1274"/>
  <c r="N1108"/>
  <c r="N1113"/>
  <c r="S1057"/>
  <c r="S1052"/>
  <c r="N1292"/>
  <c r="S1274"/>
  <c r="N1330"/>
  <c r="I1689"/>
  <c r="S1711"/>
  <c r="S1700"/>
  <c r="X1689"/>
  <c r="X1644"/>
  <c r="X1655"/>
  <c r="X1669"/>
  <c r="I1087"/>
  <c r="I1077"/>
  <c r="I1070"/>
  <c r="S1070"/>
  <c r="S1108"/>
  <c r="X1087"/>
  <c r="X1052"/>
  <c r="X1077"/>
  <c r="AF473" i="1"/>
  <c r="S619" i="10"/>
  <c r="N675"/>
  <c r="AF441" i="1"/>
  <c r="N1039" i="10"/>
  <c r="S983"/>
  <c r="S1039"/>
  <c r="X983"/>
  <c r="S1126"/>
  <c r="N1126"/>
  <c r="I1126"/>
  <c r="N1182"/>
  <c r="N1187"/>
  <c r="S1131"/>
  <c r="I1161"/>
  <c r="I1151"/>
  <c r="I1144"/>
  <c r="S1161"/>
  <c r="S1151"/>
  <c r="S1144"/>
  <c r="AF389" i="1"/>
  <c r="N700" i="10"/>
  <c r="S978"/>
  <c r="N1034"/>
  <c r="N595"/>
  <c r="N590"/>
  <c r="S559"/>
  <c r="S569"/>
  <c r="S534"/>
  <c r="S539"/>
  <c r="AF269" i="1"/>
  <c r="N1827" i="10"/>
  <c r="AF265" i="1"/>
  <c r="N1753" i="10"/>
  <c r="AF241" i="1"/>
  <c r="S791" i="10"/>
  <c r="N817"/>
  <c r="S761"/>
  <c r="AF209" i="1"/>
  <c r="N626" i="10"/>
  <c r="I791"/>
  <c r="S812"/>
  <c r="X791"/>
  <c r="X781"/>
  <c r="X756"/>
  <c r="N1366"/>
  <c r="I1366"/>
  <c r="I1383"/>
  <c r="I1373"/>
  <c r="S1373"/>
  <c r="S1383"/>
  <c r="S1359"/>
  <c r="S1348"/>
  <c r="N1415"/>
  <c r="N1404"/>
  <c r="S1483"/>
  <c r="S1478"/>
  <c r="X1447"/>
  <c r="X1427"/>
  <c r="X1457"/>
  <c r="X1422"/>
  <c r="AF181" i="1"/>
  <c r="I1013" i="10"/>
  <c r="S1013"/>
  <c r="N960"/>
  <c r="N965"/>
  <c r="S904"/>
  <c r="N909"/>
  <c r="S909"/>
  <c r="I909"/>
  <c r="AF149" i="1"/>
  <c r="I848" i="10"/>
  <c r="S848"/>
  <c r="AF121" i="1"/>
  <c r="S971" i="10"/>
  <c r="X949"/>
  <c r="X915"/>
  <c r="I801"/>
  <c r="N823"/>
  <c r="I781"/>
  <c r="N767"/>
  <c r="I767"/>
  <c r="S781"/>
  <c r="S767"/>
  <c r="S801"/>
  <c r="N756"/>
  <c r="S756"/>
  <c r="N812"/>
  <c r="I756"/>
  <c r="N1901"/>
  <c r="N1891"/>
  <c r="AF29" i="1"/>
  <c r="I1911" i="10"/>
  <c r="S1911"/>
  <c r="N1514"/>
  <c r="S1496"/>
  <c r="N1552"/>
  <c r="I31"/>
  <c r="I43"/>
  <c r="I1220"/>
  <c r="I1233"/>
  <c r="S1233"/>
  <c r="S31"/>
  <c r="S1220"/>
  <c r="S43"/>
  <c r="AG917" i="1"/>
  <c r="X1368" i="10"/>
  <c r="X1381"/>
  <c r="AG705" i="1"/>
  <c r="S1835" i="10"/>
  <c r="AG665" i="1"/>
  <c r="N725" i="10"/>
  <c r="AG617" i="1"/>
  <c r="X1169" i="10"/>
  <c r="AG485" i="1"/>
  <c r="I1687" i="10"/>
  <c r="X1687"/>
  <c r="X1664"/>
  <c r="I1072"/>
  <c r="I1085"/>
  <c r="X1072"/>
  <c r="X1085"/>
  <c r="I1146"/>
  <c r="I1159"/>
  <c r="S1146"/>
  <c r="S1159"/>
  <c r="S567"/>
  <c r="S554"/>
  <c r="AG269" i="1"/>
  <c r="N1825" i="10"/>
  <c r="AG265" i="1"/>
  <c r="N1751" i="10"/>
  <c r="AG241" i="1"/>
  <c r="S789" i="10"/>
  <c r="AG205" i="1"/>
  <c r="I789" i="10"/>
  <c r="X789"/>
  <c r="X776"/>
  <c r="I1381"/>
  <c r="I1368"/>
  <c r="S1368"/>
  <c r="S1381"/>
  <c r="AG193" i="1"/>
  <c r="X1442" i="10"/>
  <c r="X1455"/>
  <c r="AG181" i="1"/>
  <c r="I1011" i="10"/>
  <c r="S1011"/>
  <c r="AG121" i="1"/>
  <c r="X947" i="10"/>
  <c r="I799"/>
  <c r="I776"/>
  <c r="S776"/>
  <c r="S799"/>
  <c r="N1899"/>
  <c r="N1886"/>
  <c r="AG29" i="1"/>
  <c r="I1909" i="10"/>
  <c r="S1909"/>
  <c r="L1814"/>
  <c r="K1740"/>
  <c r="L1740"/>
  <c r="K1592"/>
  <c r="L1444"/>
  <c r="L1445" s="1"/>
  <c r="K1370"/>
  <c r="K1222"/>
  <c r="K1148"/>
  <c r="L1148"/>
  <c r="L778"/>
  <c r="L630"/>
  <c r="L405"/>
  <c r="L406" s="1"/>
  <c r="K479"/>
  <c r="L331"/>
  <c r="L109"/>
  <c r="K31"/>
  <c r="L31"/>
  <c r="K1810"/>
  <c r="K1811" s="1"/>
  <c r="L1958"/>
  <c r="L1965"/>
  <c r="L1901"/>
  <c r="L1899"/>
  <c r="K1962"/>
  <c r="L1888"/>
  <c r="L1592"/>
  <c r="L1518"/>
  <c r="L1370"/>
  <c r="K1296"/>
  <c r="L926"/>
  <c r="K852"/>
  <c r="J852" s="1"/>
  <c r="L852"/>
  <c r="K704"/>
  <c r="K556"/>
  <c r="L479"/>
  <c r="L480" s="1"/>
  <c r="K257"/>
  <c r="K183"/>
  <c r="K32"/>
  <c r="K1975"/>
  <c r="L1973"/>
  <c r="K1919"/>
  <c r="L1919"/>
  <c r="L1920" s="1"/>
  <c r="L1886"/>
  <c r="K1901"/>
  <c r="L1845"/>
  <c r="L1846" s="1"/>
  <c r="L1827"/>
  <c r="K1827"/>
  <c r="K1751"/>
  <c r="K1738"/>
  <c r="L1751"/>
  <c r="L1753"/>
  <c r="K1666"/>
  <c r="K1518"/>
  <c r="L1222"/>
  <c r="K1000"/>
  <c r="L556"/>
  <c r="L557" s="1"/>
  <c r="K405"/>
  <c r="L257"/>
  <c r="K1960"/>
  <c r="K1965"/>
  <c r="L1993"/>
  <c r="L1994" s="1"/>
  <c r="K1891"/>
  <c r="L1743"/>
  <c r="L1962"/>
  <c r="K1814"/>
  <c r="J1814" s="1"/>
  <c r="L1666"/>
  <c r="L1296"/>
  <c r="L1000"/>
  <c r="K630"/>
  <c r="K109"/>
  <c r="K1973"/>
  <c r="L1975"/>
  <c r="L1074"/>
  <c r="Q1958"/>
  <c r="Q1959" s="1"/>
  <c r="K1993"/>
  <c r="L1960"/>
  <c r="Q2001"/>
  <c r="K1884"/>
  <c r="K1885" s="1"/>
  <c r="L1884"/>
  <c r="Q1884"/>
  <c r="K1886"/>
  <c r="Q1848"/>
  <c r="L1810"/>
  <c r="Q1810"/>
  <c r="K1812"/>
  <c r="K1753"/>
  <c r="L1738"/>
  <c r="K1669"/>
  <c r="K1670" s="1"/>
  <c r="K1888"/>
  <c r="K1074"/>
  <c r="J1074" s="1"/>
  <c r="L183"/>
  <c r="K1899"/>
  <c r="L1825"/>
  <c r="Q1845"/>
  <c r="Q1846" s="1"/>
  <c r="L1812"/>
  <c r="K1845"/>
  <c r="Q1736"/>
  <c r="L1771"/>
  <c r="L1772" s="1"/>
  <c r="L1736"/>
  <c r="P1736"/>
  <c r="P1737" s="1"/>
  <c r="L1664"/>
  <c r="P1700"/>
  <c r="Q1700"/>
  <c r="Q1662"/>
  <c r="Q1663" s="1"/>
  <c r="Q1631"/>
  <c r="L1529"/>
  <c r="K1623"/>
  <c r="K1590"/>
  <c r="K1549"/>
  <c r="L1531"/>
  <c r="Q1549"/>
  <c r="Q1550" s="1"/>
  <c r="Q1514"/>
  <c r="K1516"/>
  <c r="K1455"/>
  <c r="K1457"/>
  <c r="Q1483"/>
  <c r="L1455"/>
  <c r="L1457"/>
  <c r="P1475"/>
  <c r="P1440"/>
  <c r="K926"/>
  <c r="K778"/>
  <c r="K331"/>
  <c r="L32"/>
  <c r="L33" s="1"/>
  <c r="K1958"/>
  <c r="K1959" s="1"/>
  <c r="L1891"/>
  <c r="P1919"/>
  <c r="L1817"/>
  <c r="K1817"/>
  <c r="K1771"/>
  <c r="K1743"/>
  <c r="Q1771"/>
  <c r="Q1772" s="1"/>
  <c r="P1771"/>
  <c r="Q1774"/>
  <c r="Q1775" s="1"/>
  <c r="Q1776" s="1"/>
  <c r="K1662"/>
  <c r="K1663" s="1"/>
  <c r="K1679"/>
  <c r="L1662"/>
  <c r="P1705"/>
  <c r="L1677"/>
  <c r="Q1705"/>
  <c r="Q1623"/>
  <c r="Q1624" s="1"/>
  <c r="Q1588"/>
  <c r="Q1626"/>
  <c r="L1605"/>
  <c r="K1444"/>
  <c r="J1444" s="1"/>
  <c r="L704"/>
  <c r="Q1996"/>
  <c r="P1884"/>
  <c r="P1885" s="1"/>
  <c r="K1825"/>
  <c r="K1736"/>
  <c r="K1737" s="1"/>
  <c r="L1595"/>
  <c r="K1664"/>
  <c r="L1697"/>
  <c r="L1698" s="1"/>
  <c r="P1697"/>
  <c r="K1595"/>
  <c r="K1529"/>
  <c r="P1514"/>
  <c r="Q1552"/>
  <c r="Q1440"/>
  <c r="Q1441" s="1"/>
  <c r="K1677"/>
  <c r="Q1697"/>
  <c r="Q1698" s="1"/>
  <c r="L1590"/>
  <c r="L1603"/>
  <c r="K1588"/>
  <c r="K1589" s="1"/>
  <c r="P1588"/>
  <c r="P1589" s="1"/>
  <c r="K1521"/>
  <c r="P1549"/>
  <c r="L1521"/>
  <c r="K1531"/>
  <c r="Q1478"/>
  <c r="L1442"/>
  <c r="L1401"/>
  <c r="L1402" s="1"/>
  <c r="L1366"/>
  <c r="L1373"/>
  <c r="L1381"/>
  <c r="Q1401"/>
  <c r="Q1402" s="1"/>
  <c r="L1309"/>
  <c r="L1292"/>
  <c r="K1327"/>
  <c r="K1292"/>
  <c r="K1294"/>
  <c r="Q1327"/>
  <c r="Q1328" s="1"/>
  <c r="Q1335"/>
  <c r="L1179"/>
  <c r="L1180" s="1"/>
  <c r="P1253"/>
  <c r="K1697"/>
  <c r="L1623"/>
  <c r="L1624" s="1"/>
  <c r="L1588"/>
  <c r="P1623"/>
  <c r="K1605"/>
  <c r="K1514"/>
  <c r="L1516"/>
  <c r="K1475"/>
  <c r="K1442"/>
  <c r="L1447"/>
  <c r="K1225"/>
  <c r="K1383"/>
  <c r="K1368"/>
  <c r="L1368"/>
  <c r="K1307"/>
  <c r="L1327"/>
  <c r="L1328" s="1"/>
  <c r="L1294"/>
  <c r="P1327"/>
  <c r="L1233"/>
  <c r="L1549"/>
  <c r="L1550" s="1"/>
  <c r="K1440"/>
  <c r="L1475"/>
  <c r="L1476" s="1"/>
  <c r="K1381"/>
  <c r="L1383"/>
  <c r="Q1409"/>
  <c r="Q1366"/>
  <c r="Q1292"/>
  <c r="Q1253"/>
  <c r="Q1254" s="1"/>
  <c r="L1253"/>
  <c r="L1254" s="1"/>
  <c r="P1218"/>
  <c r="K1151"/>
  <c r="K1253"/>
  <c r="L1144"/>
  <c r="P1662"/>
  <c r="K1603"/>
  <c r="L1440"/>
  <c r="L1441" s="1"/>
  <c r="K1373"/>
  <c r="L1218"/>
  <c r="P1401"/>
  <c r="L1307"/>
  <c r="P1292"/>
  <c r="Q1256"/>
  <c r="Q1257" s="1"/>
  <c r="Q1258" s="1"/>
  <c r="L1220"/>
  <c r="K1235"/>
  <c r="K1233"/>
  <c r="Q1187"/>
  <c r="Q1144"/>
  <c r="Q1145" s="1"/>
  <c r="K1146"/>
  <c r="Q1105"/>
  <c r="Q1106" s="1"/>
  <c r="L1105"/>
  <c r="L1106" s="1"/>
  <c r="L1085"/>
  <c r="L1077"/>
  <c r="K1087"/>
  <c r="K1077"/>
  <c r="P996"/>
  <c r="P997" s="1"/>
  <c r="K1011"/>
  <c r="K1013"/>
  <c r="L922"/>
  <c r="Q965"/>
  <c r="K929"/>
  <c r="K848"/>
  <c r="K849" s="1"/>
  <c r="L863"/>
  <c r="K809"/>
  <c r="K781"/>
  <c r="P774"/>
  <c r="Q809"/>
  <c r="Q810" s="1"/>
  <c r="Q812"/>
  <c r="Q813" s="1"/>
  <c r="Q814" s="1"/>
  <c r="L1669"/>
  <c r="L1679"/>
  <c r="L1514"/>
  <c r="Q1557"/>
  <c r="Q1475"/>
  <c r="Q1476" s="1"/>
  <c r="K1366"/>
  <c r="K1367" s="1"/>
  <c r="P1366"/>
  <c r="P1367" s="1"/>
  <c r="K1299"/>
  <c r="Q1218"/>
  <c r="K1220"/>
  <c r="K1218"/>
  <c r="Q1182"/>
  <c r="L1146"/>
  <c r="P1179"/>
  <c r="P1144"/>
  <c r="P1145" s="1"/>
  <c r="K1159"/>
  <c r="P1105"/>
  <c r="P1070"/>
  <c r="Q1108"/>
  <c r="Q1113"/>
  <c r="K1085"/>
  <c r="K1072"/>
  <c r="K1447"/>
  <c r="K1401"/>
  <c r="Q1404"/>
  <c r="L1299"/>
  <c r="K1309"/>
  <c r="Q1330"/>
  <c r="Q1261"/>
  <c r="L1235"/>
  <c r="K1144"/>
  <c r="K1145" s="1"/>
  <c r="L1159"/>
  <c r="L1072"/>
  <c r="L998"/>
  <c r="L1011"/>
  <c r="L939"/>
  <c r="P957"/>
  <c r="K855"/>
  <c r="Q960"/>
  <c r="Q961" s="1"/>
  <c r="Q962" s="1"/>
  <c r="P848"/>
  <c r="P849" s="1"/>
  <c r="Q848"/>
  <c r="K865"/>
  <c r="K776"/>
  <c r="L774"/>
  <c r="K554"/>
  <c r="L717"/>
  <c r="P735"/>
  <c r="P700"/>
  <c r="P701" s="1"/>
  <c r="Q587"/>
  <c r="Q588" s="1"/>
  <c r="Q743"/>
  <c r="P626"/>
  <c r="P627" s="1"/>
  <c r="P552"/>
  <c r="L559"/>
  <c r="L633"/>
  <c r="K559"/>
  <c r="Q661"/>
  <c r="Q662" s="1"/>
  <c r="K641"/>
  <c r="L1225"/>
  <c r="L1161"/>
  <c r="K1161"/>
  <c r="L1151"/>
  <c r="L1070"/>
  <c r="L1031"/>
  <c r="L1032" s="1"/>
  <c r="L996"/>
  <c r="Q1034"/>
  <c r="L937"/>
  <c r="L924"/>
  <c r="P922"/>
  <c r="P923" s="1"/>
  <c r="K939"/>
  <c r="P883"/>
  <c r="K850"/>
  <c r="L789"/>
  <c r="L855"/>
  <c r="K774"/>
  <c r="K775" s="1"/>
  <c r="L791"/>
  <c r="Q774"/>
  <c r="Q775" s="1"/>
  <c r="K789"/>
  <c r="K569"/>
  <c r="K735"/>
  <c r="K715"/>
  <c r="K552"/>
  <c r="L715"/>
  <c r="Q738"/>
  <c r="Q739" s="1"/>
  <c r="Q740" s="1"/>
  <c r="P595"/>
  <c r="P587"/>
  <c r="L643"/>
  <c r="L554"/>
  <c r="K587"/>
  <c r="K492"/>
  <c r="L492"/>
  <c r="Q513"/>
  <c r="L401"/>
  <c r="L402" s="1"/>
  <c r="K436"/>
  <c r="K437" s="1"/>
  <c r="K403"/>
  <c r="L403"/>
  <c r="K362"/>
  <c r="K363" s="1"/>
  <c r="K334"/>
  <c r="K344"/>
  <c r="Q362"/>
  <c r="Q363" s="1"/>
  <c r="L362"/>
  <c r="L363" s="1"/>
  <c r="L342"/>
  <c r="L327"/>
  <c r="K253"/>
  <c r="K254" s="1"/>
  <c r="K255"/>
  <c r="Q288"/>
  <c r="Q289" s="1"/>
  <c r="L140"/>
  <c r="L141" s="1"/>
  <c r="L186"/>
  <c r="L107"/>
  <c r="Q214"/>
  <c r="Q215" s="1"/>
  <c r="Q143"/>
  <c r="P179"/>
  <c r="K179"/>
  <c r="K1179"/>
  <c r="Q1070"/>
  <c r="Q1071" s="1"/>
  <c r="K1105"/>
  <c r="K1031"/>
  <c r="K1003"/>
  <c r="Q1039"/>
  <c r="Q996"/>
  <c r="K998"/>
  <c r="L929"/>
  <c r="Q957"/>
  <c r="Q958" s="1"/>
  <c r="K957"/>
  <c r="K924"/>
  <c r="L865"/>
  <c r="Q891"/>
  <c r="L848"/>
  <c r="Q886"/>
  <c r="L809"/>
  <c r="L810" s="1"/>
  <c r="L776"/>
  <c r="P809"/>
  <c r="Q700"/>
  <c r="K717"/>
  <c r="L735"/>
  <c r="L736" s="1"/>
  <c r="L702"/>
  <c r="L707"/>
  <c r="Q595"/>
  <c r="P590"/>
  <c r="L628"/>
  <c r="L569"/>
  <c r="L552"/>
  <c r="L553" s="1"/>
  <c r="L626"/>
  <c r="K643"/>
  <c r="Q664"/>
  <c r="Q665" s="1"/>
  <c r="Q666" s="1"/>
  <c r="Q626"/>
  <c r="Q627" s="1"/>
  <c r="K661"/>
  <c r="K633"/>
  <c r="K628"/>
  <c r="Q552"/>
  <c r="Q553" s="1"/>
  <c r="K567"/>
  <c r="K490"/>
  <c r="L510"/>
  <c r="L511" s="1"/>
  <c r="L482"/>
  <c r="P401"/>
  <c r="P402" s="1"/>
  <c r="K482"/>
  <c r="L436"/>
  <c r="L437" s="1"/>
  <c r="Q1179"/>
  <c r="Q1180" s="1"/>
  <c r="L1087"/>
  <c r="K1070"/>
  <c r="K1071" s="1"/>
  <c r="L1013"/>
  <c r="L1003"/>
  <c r="K996"/>
  <c r="K997" s="1"/>
  <c r="L781"/>
  <c r="K700"/>
  <c r="K701" s="1"/>
  <c r="K475"/>
  <c r="K476" s="1"/>
  <c r="Q510"/>
  <c r="Q511" s="1"/>
  <c r="Q475"/>
  <c r="Q476" s="1"/>
  <c r="Q518"/>
  <c r="L408"/>
  <c r="K416"/>
  <c r="Q436"/>
  <c r="Q437" s="1"/>
  <c r="K327"/>
  <c r="K329"/>
  <c r="Q365"/>
  <c r="Q370"/>
  <c r="L344"/>
  <c r="L288"/>
  <c r="L289" s="1"/>
  <c r="L194"/>
  <c r="L179"/>
  <c r="Q179"/>
  <c r="P214"/>
  <c r="P215" s="1"/>
  <c r="K107"/>
  <c r="K29"/>
  <c r="L29"/>
  <c r="K112"/>
  <c r="K122"/>
  <c r="K45"/>
  <c r="Q71"/>
  <c r="P1031"/>
  <c r="Q1031"/>
  <c r="Q1032" s="1"/>
  <c r="K937"/>
  <c r="K707"/>
  <c r="K702"/>
  <c r="L661"/>
  <c r="L662" s="1"/>
  <c r="Q669"/>
  <c r="K477"/>
  <c r="L490"/>
  <c r="P510"/>
  <c r="P511" s="1"/>
  <c r="K408"/>
  <c r="K418"/>
  <c r="P436"/>
  <c r="P437" s="1"/>
  <c r="L418"/>
  <c r="Q439"/>
  <c r="K120"/>
  <c r="K268"/>
  <c r="K105"/>
  <c r="L329"/>
  <c r="P362"/>
  <c r="P363" s="1"/>
  <c r="K140"/>
  <c r="K141" s="1"/>
  <c r="K194"/>
  <c r="L270"/>
  <c r="P288"/>
  <c r="P289" s="1"/>
  <c r="L260"/>
  <c r="L214"/>
  <c r="L215" s="1"/>
  <c r="L112"/>
  <c r="L122"/>
  <c r="Q217"/>
  <c r="Q222"/>
  <c r="Q105"/>
  <c r="L105"/>
  <c r="P105"/>
  <c r="K181"/>
  <c r="K186"/>
  <c r="K63"/>
  <c r="L63"/>
  <c r="L64" s="1"/>
  <c r="L43"/>
  <c r="L45"/>
  <c r="Q29"/>
  <c r="P29"/>
  <c r="P140"/>
  <c r="P141" s="1"/>
  <c r="K35"/>
  <c r="Q63"/>
  <c r="Q64" s="1"/>
  <c r="K43"/>
  <c r="P63"/>
  <c r="L334"/>
  <c r="Q291"/>
  <c r="K288"/>
  <c r="K289" s="1"/>
  <c r="K196"/>
  <c r="Q148"/>
  <c r="Q66"/>
  <c r="K922"/>
  <c r="L883"/>
  <c r="L884" s="1"/>
  <c r="K863"/>
  <c r="K791"/>
  <c r="L700"/>
  <c r="P661"/>
  <c r="L641"/>
  <c r="L587"/>
  <c r="L588" s="1"/>
  <c r="K626"/>
  <c r="K627" s="1"/>
  <c r="Q590"/>
  <c r="Q401"/>
  <c r="Q402" s="1"/>
  <c r="P513"/>
  <c r="P475"/>
  <c r="P476" s="1"/>
  <c r="L475"/>
  <c r="L476" s="1"/>
  <c r="K270"/>
  <c r="P327"/>
  <c r="Q253"/>
  <c r="K260"/>
  <c r="L255"/>
  <c r="P253"/>
  <c r="P254" s="1"/>
  <c r="L253"/>
  <c r="L196"/>
  <c r="L120"/>
  <c r="K214"/>
  <c r="K215" s="1"/>
  <c r="L416"/>
  <c r="Q444"/>
  <c r="K401"/>
  <c r="K402" s="1"/>
  <c r="K342"/>
  <c r="Q327"/>
  <c r="Q296"/>
  <c r="L35"/>
  <c r="L957"/>
  <c r="L958" s="1"/>
  <c r="Q922"/>
  <c r="L850"/>
  <c r="Q883"/>
  <c r="Q884" s="1"/>
  <c r="K883"/>
  <c r="Q817"/>
  <c r="Q735"/>
  <c r="Q736" s="1"/>
  <c r="L567"/>
  <c r="K510"/>
  <c r="K511" s="1"/>
  <c r="L477"/>
  <c r="P518"/>
  <c r="L268"/>
  <c r="L181"/>
  <c r="Q140"/>
  <c r="Q141" s="1"/>
  <c r="Q1919"/>
  <c r="Q1920" s="1"/>
  <c r="Q1853"/>
  <c r="Q1779"/>
  <c r="P1993"/>
  <c r="Q1993"/>
  <c r="Q1994" s="1"/>
  <c r="Q1922"/>
  <c r="Q1923" s="1"/>
  <c r="Q1924" s="1"/>
  <c r="P1845"/>
  <c r="P1958"/>
  <c r="Q1927"/>
  <c r="P1810"/>
  <c r="P1811" s="1"/>
  <c r="U1899"/>
  <c r="U1666"/>
  <c r="V183"/>
  <c r="V1940"/>
  <c r="U1973"/>
  <c r="U1812"/>
  <c r="U479"/>
  <c r="U480" s="1"/>
  <c r="V1891"/>
  <c r="V1812"/>
  <c r="U1592"/>
  <c r="V704"/>
  <c r="U556"/>
  <c r="U1825"/>
  <c r="V926"/>
  <c r="U1644"/>
  <c r="V1501"/>
  <c r="V1592"/>
  <c r="U1975"/>
  <c r="V1797"/>
  <c r="V1718"/>
  <c r="V1590"/>
  <c r="V257"/>
  <c r="V1455"/>
  <c r="U1669"/>
  <c r="V1496"/>
  <c r="V1447"/>
  <c r="U1442"/>
  <c r="V1274"/>
  <c r="V1225"/>
  <c r="U1457"/>
  <c r="U1455"/>
  <c r="V1677"/>
  <c r="V1279"/>
  <c r="U1146"/>
  <c r="V865"/>
  <c r="U863"/>
  <c r="U1447"/>
  <c r="V1205"/>
  <c r="U1151"/>
  <c r="V1151"/>
  <c r="V1087"/>
  <c r="V1442"/>
  <c r="U1307"/>
  <c r="U1159"/>
  <c r="U929"/>
  <c r="V939"/>
  <c r="U789"/>
  <c r="V756"/>
  <c r="U715"/>
  <c r="V643"/>
  <c r="U1003"/>
  <c r="U554"/>
  <c r="U534"/>
  <c r="V628"/>
  <c r="V567"/>
  <c r="U628"/>
  <c r="V490"/>
  <c r="V383"/>
  <c r="U122"/>
  <c r="V166"/>
  <c r="V909"/>
  <c r="V863"/>
  <c r="U776"/>
  <c r="V613"/>
  <c r="U539"/>
  <c r="U492"/>
  <c r="U939"/>
  <c r="U457"/>
  <c r="U416"/>
  <c r="U334"/>
  <c r="V16"/>
  <c r="V31"/>
  <c r="U35"/>
  <c r="U344"/>
  <c r="U196"/>
  <c r="V87"/>
  <c r="V1871"/>
  <c r="U1962"/>
  <c r="U630"/>
  <c r="V1945"/>
  <c r="U1753"/>
  <c r="V1074"/>
  <c r="U405"/>
  <c r="V1825"/>
  <c r="V1666"/>
  <c r="U704"/>
  <c r="U1960"/>
  <c r="V1792"/>
  <c r="V1664"/>
  <c r="V1605"/>
  <c r="V1296"/>
  <c r="U331"/>
  <c r="V1827"/>
  <c r="U1738"/>
  <c r="U1679"/>
  <c r="V1516"/>
  <c r="U1516"/>
  <c r="V1383"/>
  <c r="U1294"/>
  <c r="V1161"/>
  <c r="V1649"/>
  <c r="U1649"/>
  <c r="U1603"/>
  <c r="V1521"/>
  <c r="U1381"/>
  <c r="U1233"/>
  <c r="V1307"/>
  <c r="V1595"/>
  <c r="V1368"/>
  <c r="U1225"/>
  <c r="V1159"/>
  <c r="V998"/>
  <c r="U791"/>
  <c r="U1605"/>
  <c r="U1309"/>
  <c r="V1146"/>
  <c r="U1011"/>
  <c r="U924"/>
  <c r="U641"/>
  <c r="V776"/>
  <c r="U569"/>
  <c r="V608"/>
  <c r="V633"/>
  <c r="U1161"/>
  <c r="V1072"/>
  <c r="V1003"/>
  <c r="V904"/>
  <c r="V850"/>
  <c r="V781"/>
  <c r="V782" s="1"/>
  <c r="U707"/>
  <c r="U559"/>
  <c r="V482"/>
  <c r="U482"/>
  <c r="U255"/>
  <c r="V196"/>
  <c r="U107"/>
  <c r="U1087"/>
  <c r="V1052"/>
  <c r="V1013"/>
  <c r="U855"/>
  <c r="V539"/>
  <c r="U477"/>
  <c r="V388"/>
  <c r="V983"/>
  <c r="V924"/>
  <c r="V462"/>
  <c r="V329"/>
  <c r="V186"/>
  <c r="U31"/>
  <c r="U408"/>
  <c r="V255"/>
  <c r="V161"/>
  <c r="U1886"/>
  <c r="U1814"/>
  <c r="U1518"/>
  <c r="U1074"/>
  <c r="T1074" s="1"/>
  <c r="U1891"/>
  <c r="V1644"/>
  <c r="V1888"/>
  <c r="V1889" s="1"/>
  <c r="U852"/>
  <c r="U1827"/>
  <c r="V1370"/>
  <c r="V1371" s="1"/>
  <c r="U1751"/>
  <c r="V1753"/>
  <c r="V630"/>
  <c r="V631" s="1"/>
  <c r="U1664"/>
  <c r="V1570"/>
  <c r="V1457"/>
  <c r="U1148"/>
  <c r="V109"/>
  <c r="U1901"/>
  <c r="V1723"/>
  <c r="U109"/>
  <c r="U110" s="1"/>
  <c r="V1901"/>
  <c r="U1529"/>
  <c r="V1422"/>
  <c r="V1348"/>
  <c r="U1590"/>
  <c r="U1531"/>
  <c r="V1353"/>
  <c r="V1679"/>
  <c r="U1072"/>
  <c r="V1011"/>
  <c r="U865"/>
  <c r="V1529"/>
  <c r="U1368"/>
  <c r="U1383"/>
  <c r="V1233"/>
  <c r="V1057"/>
  <c r="V1575"/>
  <c r="V1309"/>
  <c r="U781"/>
  <c r="V687"/>
  <c r="V1077"/>
  <c r="U850"/>
  <c r="U702"/>
  <c r="V559"/>
  <c r="V342"/>
  <c r="V240"/>
  <c r="V112"/>
  <c r="V978"/>
  <c r="V309"/>
  <c r="V641"/>
  <c r="V492"/>
  <c r="V403"/>
  <c r="U1013"/>
  <c r="V715"/>
  <c r="V477"/>
  <c r="U403"/>
  <c r="V120"/>
  <c r="U45"/>
  <c r="V314"/>
  <c r="V1740"/>
  <c r="V1148"/>
  <c r="V1149" s="1"/>
  <c r="V778"/>
  <c r="V779" s="1"/>
  <c r="V331"/>
  <c r="V1973"/>
  <c r="V1814"/>
  <c r="V1815" s="1"/>
  <c r="V1518"/>
  <c r="V1519" s="1"/>
  <c r="V852"/>
  <c r="V853" s="1"/>
  <c r="U257"/>
  <c r="V1866"/>
  <c r="V1743"/>
  <c r="V1669"/>
  <c r="U1370"/>
  <c r="V1975"/>
  <c r="U1965"/>
  <c r="V1886"/>
  <c r="V1222"/>
  <c r="U32"/>
  <c r="V1817"/>
  <c r="U1743"/>
  <c r="V1738"/>
  <c r="V1603"/>
  <c r="U1521"/>
  <c r="V1751"/>
  <c r="V405"/>
  <c r="V406" s="1"/>
  <c r="V32"/>
  <c r="V33" s="1"/>
  <c r="U1817"/>
  <c r="U1677"/>
  <c r="V1381"/>
  <c r="U1235"/>
  <c r="V1294"/>
  <c r="V1220"/>
  <c r="U1220"/>
  <c r="V1427"/>
  <c r="V1373"/>
  <c r="U1299"/>
  <c r="V1531"/>
  <c r="V1299"/>
  <c r="V1235"/>
  <c r="V1085"/>
  <c r="U937"/>
  <c r="V761"/>
  <c r="V682"/>
  <c r="V1200"/>
  <c r="U1077"/>
  <c r="U1595"/>
  <c r="U1373"/>
  <c r="U1374" s="1"/>
  <c r="V1131"/>
  <c r="U1085"/>
  <c r="V937"/>
  <c r="U717"/>
  <c r="V707"/>
  <c r="U643"/>
  <c r="V1126"/>
  <c r="V929"/>
  <c r="V717"/>
  <c r="V554"/>
  <c r="U633"/>
  <c r="U462"/>
  <c r="U329"/>
  <c r="V260"/>
  <c r="V268"/>
  <c r="U194"/>
  <c r="V835"/>
  <c r="V855"/>
  <c r="V789"/>
  <c r="V534"/>
  <c r="U998"/>
  <c r="V408"/>
  <c r="V270"/>
  <c r="U270"/>
  <c r="U112"/>
  <c r="V35"/>
  <c r="V11"/>
  <c r="U342"/>
  <c r="V235"/>
  <c r="V181"/>
  <c r="V43"/>
  <c r="V334"/>
  <c r="U120"/>
  <c r="V830"/>
  <c r="V569"/>
  <c r="V418"/>
  <c r="U186"/>
  <c r="V122"/>
  <c r="V416"/>
  <c r="U490"/>
  <c r="U418"/>
  <c r="U260"/>
  <c r="V107"/>
  <c r="U43"/>
  <c r="V92"/>
  <c r="V45"/>
  <c r="V791"/>
  <c r="V457"/>
  <c r="U181"/>
  <c r="U268"/>
  <c r="V194"/>
  <c r="U567"/>
  <c r="V344"/>
  <c r="V702"/>
  <c r="P370"/>
  <c r="P2001"/>
  <c r="U1940"/>
  <c r="U1718"/>
  <c r="P960"/>
  <c r="U904"/>
  <c r="P365"/>
  <c r="U309"/>
  <c r="P1187"/>
  <c r="P1182"/>
  <c r="U1052"/>
  <c r="P444"/>
  <c r="U1422"/>
  <c r="P812"/>
  <c r="U92"/>
  <c r="P1034"/>
  <c r="U1279"/>
  <c r="U166"/>
  <c r="P1848"/>
  <c r="P1853"/>
  <c r="P1261"/>
  <c r="P291"/>
  <c r="U613"/>
  <c r="U240"/>
  <c r="U1871"/>
  <c r="V1899"/>
  <c r="V1444"/>
  <c r="V1445" s="1"/>
  <c r="U183"/>
  <c r="U184" s="1"/>
  <c r="U1222"/>
  <c r="V1965"/>
  <c r="U1000"/>
  <c r="V479"/>
  <c r="V480" s="1"/>
  <c r="U1740"/>
  <c r="T1740" s="1"/>
  <c r="P71"/>
  <c r="U314"/>
  <c r="P1774"/>
  <c r="U1723"/>
  <c r="U1131"/>
  <c r="P1113"/>
  <c r="P1478"/>
  <c r="P439"/>
  <c r="U383"/>
  <c r="U388"/>
  <c r="P143"/>
  <c r="P1039"/>
  <c r="U1570"/>
  <c r="P1409"/>
  <c r="P1335"/>
  <c r="P217"/>
  <c r="P743"/>
  <c r="U1797"/>
  <c r="U1205"/>
  <c r="U235"/>
  <c r="P891"/>
  <c r="U1444"/>
  <c r="T1444" s="1"/>
  <c r="U1296"/>
  <c r="V1000"/>
  <c r="V1001" s="1"/>
  <c r="U778"/>
  <c r="V1962"/>
  <c r="U1501"/>
  <c r="P1779"/>
  <c r="P965"/>
  <c r="P1922"/>
  <c r="U1126"/>
  <c r="P1108"/>
  <c r="P1483"/>
  <c r="P1256"/>
  <c r="U87"/>
  <c r="U978"/>
  <c r="P1626"/>
  <c r="P1631"/>
  <c r="U1575"/>
  <c r="P1404"/>
  <c r="U1348"/>
  <c r="P1330"/>
  <c r="P222"/>
  <c r="U1274"/>
  <c r="U687"/>
  <c r="U1792"/>
  <c r="P669"/>
  <c r="U830"/>
  <c r="P1927"/>
  <c r="U926"/>
  <c r="V556"/>
  <c r="V557" s="1"/>
  <c r="U1888"/>
  <c r="P1557"/>
  <c r="U16"/>
  <c r="P1996"/>
  <c r="U1945"/>
  <c r="U909"/>
  <c r="U1866"/>
  <c r="P1552"/>
  <c r="U1496"/>
  <c r="U1057"/>
  <c r="U1427"/>
  <c r="P817"/>
  <c r="P148"/>
  <c r="U756"/>
  <c r="U761"/>
  <c r="P66"/>
  <c r="U1200"/>
  <c r="U11"/>
  <c r="U983"/>
  <c r="U1353"/>
  <c r="U161"/>
  <c r="P738"/>
  <c r="U682"/>
  <c r="P664"/>
  <c r="P296"/>
  <c r="U608"/>
  <c r="P886"/>
  <c r="U835"/>
  <c r="V1960"/>
  <c r="L36" i="8"/>
  <c r="L1877" i="10"/>
  <c r="Q1877"/>
  <c r="L1951"/>
  <c r="Q1951"/>
  <c r="L1803"/>
  <c r="Q1803"/>
  <c r="L1729"/>
  <c r="L1581"/>
  <c r="Q1729"/>
  <c r="P1909"/>
  <c r="P1763"/>
  <c r="P1764" s="1"/>
  <c r="P1769" s="1"/>
  <c r="K1581"/>
  <c r="Q1655"/>
  <c r="P1689"/>
  <c r="P1613"/>
  <c r="L1507"/>
  <c r="P1541"/>
  <c r="Q1433"/>
  <c r="P1655"/>
  <c r="Q1837"/>
  <c r="P1837"/>
  <c r="P1761"/>
  <c r="Q1687"/>
  <c r="P1615"/>
  <c r="P1616" s="1"/>
  <c r="P1621" s="1"/>
  <c r="P1835"/>
  <c r="Q1761"/>
  <c r="Q1763"/>
  <c r="P1581"/>
  <c r="Q1539"/>
  <c r="Q1541"/>
  <c r="Q1542" s="1"/>
  <c r="Q1547" s="1"/>
  <c r="P1465"/>
  <c r="P1687"/>
  <c r="K1655"/>
  <c r="Q1689"/>
  <c r="Q1690" s="1"/>
  <c r="Q1695" s="1"/>
  <c r="L1433"/>
  <c r="K1433"/>
  <c r="P1467"/>
  <c r="P1393"/>
  <c r="Q1243"/>
  <c r="Q1245"/>
  <c r="Q1246" s="1"/>
  <c r="Q1251" s="1"/>
  <c r="Q1615"/>
  <c r="Q1507"/>
  <c r="Q1465"/>
  <c r="P1433"/>
  <c r="P1391"/>
  <c r="Q1391"/>
  <c r="P1319"/>
  <c r="P1320" s="1"/>
  <c r="P1325" s="1"/>
  <c r="L1359"/>
  <c r="Q1317"/>
  <c r="L1211"/>
  <c r="Q1613"/>
  <c r="Q1393"/>
  <c r="Q1394" s="1"/>
  <c r="Q1399" s="1"/>
  <c r="Q1359"/>
  <c r="K1211"/>
  <c r="Q1285"/>
  <c r="K1063"/>
  <c r="P1137"/>
  <c r="Q1063"/>
  <c r="Q1023"/>
  <c r="Q1024" s="1"/>
  <c r="Q1029" s="1"/>
  <c r="Q989"/>
  <c r="P949"/>
  <c r="Q915"/>
  <c r="L841"/>
  <c r="Q873"/>
  <c r="L767"/>
  <c r="P799"/>
  <c r="Q801"/>
  <c r="Q802" s="1"/>
  <c r="Q807" s="1"/>
  <c r="Q1581"/>
  <c r="P1539"/>
  <c r="L1285"/>
  <c r="P1317"/>
  <c r="Q1319"/>
  <c r="Q1169"/>
  <c r="P1243"/>
  <c r="Q1171"/>
  <c r="Q1172" s="1"/>
  <c r="Q1177" s="1"/>
  <c r="K1137"/>
  <c r="L1137"/>
  <c r="L1063"/>
  <c r="L1655"/>
  <c r="Q1467"/>
  <c r="Q1468" s="1"/>
  <c r="Q1473" s="1"/>
  <c r="P1245"/>
  <c r="Q1211"/>
  <c r="P1211"/>
  <c r="Q1137"/>
  <c r="P1063"/>
  <c r="Q1021"/>
  <c r="Q841"/>
  <c r="P767"/>
  <c r="Q799"/>
  <c r="L693"/>
  <c r="Q545"/>
  <c r="Q653"/>
  <c r="Q654" s="1"/>
  <c r="Q659" s="1"/>
  <c r="P1171"/>
  <c r="P1095"/>
  <c r="Q1097"/>
  <c r="Q1098" s="1"/>
  <c r="Q1103" s="1"/>
  <c r="P947"/>
  <c r="Q947"/>
  <c r="P873"/>
  <c r="Q767"/>
  <c r="P725"/>
  <c r="Q727"/>
  <c r="Q728" s="1"/>
  <c r="Q733" s="1"/>
  <c r="P651"/>
  <c r="L619"/>
  <c r="Q619"/>
  <c r="Q394"/>
  <c r="P500"/>
  <c r="P502"/>
  <c r="P503" s="1"/>
  <c r="P508" s="1"/>
  <c r="P278"/>
  <c r="Q280"/>
  <c r="Q206"/>
  <c r="Q172"/>
  <c r="P204"/>
  <c r="Q98"/>
  <c r="P1169"/>
  <c r="L989"/>
  <c r="P1023"/>
  <c r="Q949"/>
  <c r="Q950" s="1"/>
  <c r="Q955" s="1"/>
  <c r="L915"/>
  <c r="P875"/>
  <c r="P876" s="1"/>
  <c r="P881" s="1"/>
  <c r="Q875"/>
  <c r="Q725"/>
  <c r="P727"/>
  <c r="P728" s="1"/>
  <c r="P733" s="1"/>
  <c r="Q693"/>
  <c r="P577"/>
  <c r="K468"/>
  <c r="Q502"/>
  <c r="Q503" s="1"/>
  <c r="Q508" s="1"/>
  <c r="P468"/>
  <c r="P1097"/>
  <c r="Q1095"/>
  <c r="K767"/>
  <c r="P579"/>
  <c r="L545"/>
  <c r="Q579"/>
  <c r="Q580" s="1"/>
  <c r="Q585" s="1"/>
  <c r="Q651"/>
  <c r="L320"/>
  <c r="Q320"/>
  <c r="P354"/>
  <c r="Q278"/>
  <c r="Q130"/>
  <c r="P280"/>
  <c r="Q132"/>
  <c r="Q133" s="1"/>
  <c r="Q138" s="1"/>
  <c r="Q55"/>
  <c r="P801"/>
  <c r="Q468"/>
  <c r="Q426"/>
  <c r="Q352"/>
  <c r="Q354"/>
  <c r="L172"/>
  <c r="P206"/>
  <c r="P55"/>
  <c r="P53"/>
  <c r="Q53"/>
  <c r="Q428"/>
  <c r="Q429" s="1"/>
  <c r="Q434" s="1"/>
  <c r="P426"/>
  <c r="P1021"/>
  <c r="Q577"/>
  <c r="L468"/>
  <c r="K394"/>
  <c r="P352"/>
  <c r="P394"/>
  <c r="L394"/>
  <c r="L246"/>
  <c r="Q246"/>
  <c r="L98"/>
  <c r="Q204"/>
  <c r="P428"/>
  <c r="P132"/>
  <c r="P133" s="1"/>
  <c r="P138" s="1"/>
  <c r="L22"/>
  <c r="P653"/>
  <c r="P545"/>
  <c r="K545"/>
  <c r="Q500"/>
  <c r="P130"/>
  <c r="Q22"/>
  <c r="Q1911"/>
  <c r="P1985"/>
  <c r="P1911"/>
  <c r="P1912" s="1"/>
  <c r="P1917" s="1"/>
  <c r="Q1909"/>
  <c r="Q1983"/>
  <c r="Q1985"/>
  <c r="Q1986" s="1"/>
  <c r="Q1991" s="1"/>
  <c r="Q1835"/>
  <c r="P1983"/>
  <c r="P1951"/>
  <c r="K1729"/>
  <c r="P320"/>
  <c r="P1359"/>
  <c r="K693"/>
  <c r="K1285"/>
  <c r="P841"/>
  <c r="K1507"/>
  <c r="P98"/>
  <c r="P1877"/>
  <c r="K1877"/>
  <c r="K22"/>
  <c r="K1359"/>
  <c r="K989"/>
  <c r="K246"/>
  <c r="K619"/>
  <c r="K841"/>
  <c r="K98"/>
  <c r="P1729"/>
  <c r="P22"/>
  <c r="P693"/>
  <c r="P1285"/>
  <c r="P989"/>
  <c r="P246"/>
  <c r="K915"/>
  <c r="P1507"/>
  <c r="P1803"/>
  <c r="K1951"/>
  <c r="K320"/>
  <c r="K172"/>
  <c r="P172"/>
  <c r="P619"/>
  <c r="P915"/>
  <c r="K1803"/>
  <c r="L1945"/>
  <c r="Q1871"/>
  <c r="Q1797"/>
  <c r="Q1723"/>
  <c r="Q1945"/>
  <c r="L1871"/>
  <c r="L1797"/>
  <c r="Q1649"/>
  <c r="Q1575"/>
  <c r="L1575"/>
  <c r="L1723"/>
  <c r="L1501"/>
  <c r="L1427"/>
  <c r="Q1501"/>
  <c r="Q1353"/>
  <c r="Q1279"/>
  <c r="Q1205"/>
  <c r="K1649"/>
  <c r="L1649"/>
  <c r="Q1427"/>
  <c r="L1279"/>
  <c r="L1353"/>
  <c r="L1205"/>
  <c r="Q1057"/>
  <c r="L1131"/>
  <c r="L983"/>
  <c r="L835"/>
  <c r="Q1131"/>
  <c r="P1649"/>
  <c r="Q983"/>
  <c r="Q835"/>
  <c r="L539"/>
  <c r="L613"/>
  <c r="Q909"/>
  <c r="Q687"/>
  <c r="Q613"/>
  <c r="K539"/>
  <c r="Q388"/>
  <c r="L92"/>
  <c r="L1057"/>
  <c r="P539"/>
  <c r="Q462"/>
  <c r="L388"/>
  <c r="L909"/>
  <c r="L761"/>
  <c r="P462"/>
  <c r="Q314"/>
  <c r="Q240"/>
  <c r="Q166"/>
  <c r="L16"/>
  <c r="Q16"/>
  <c r="Q761"/>
  <c r="L687"/>
  <c r="Q539"/>
  <c r="L166"/>
  <c r="L314"/>
  <c r="Q92"/>
  <c r="L462"/>
  <c r="K462"/>
  <c r="L240"/>
  <c r="K1945"/>
  <c r="K1427"/>
  <c r="K388"/>
  <c r="P909"/>
  <c r="K1131"/>
  <c r="K1205"/>
  <c r="P92"/>
  <c r="P16"/>
  <c r="K16"/>
  <c r="K983"/>
  <c r="K1575"/>
  <c r="P240"/>
  <c r="P835"/>
  <c r="K835"/>
  <c r="P1871"/>
  <c r="P687"/>
  <c r="P1723"/>
  <c r="P1131"/>
  <c r="K761"/>
  <c r="K314"/>
  <c r="P1353"/>
  <c r="K1279"/>
  <c r="P166"/>
  <c r="K613"/>
  <c r="K240"/>
  <c r="K687"/>
  <c r="P388"/>
  <c r="P1205"/>
  <c r="K92"/>
  <c r="P983"/>
  <c r="P1279"/>
  <c r="K1797"/>
  <c r="P1797"/>
  <c r="P613"/>
  <c r="P1945"/>
  <c r="K1723"/>
  <c r="P1427"/>
  <c r="K909"/>
  <c r="K1057"/>
  <c r="P1057"/>
  <c r="P761"/>
  <c r="P1501"/>
  <c r="K1501"/>
  <c r="P314"/>
  <c r="P1575"/>
  <c r="K1353"/>
  <c r="K166"/>
  <c r="K1871"/>
  <c r="Q1962"/>
  <c r="Q1963" s="1"/>
  <c r="P1518"/>
  <c r="Q1148"/>
  <c r="Q1149" s="1"/>
  <c r="Q331"/>
  <c r="Q332" s="1"/>
  <c r="P1960"/>
  <c r="Q1891"/>
  <c r="Q1817"/>
  <c r="P1812"/>
  <c r="Q1753"/>
  <c r="P1743"/>
  <c r="P1744" s="1"/>
  <c r="Q1677"/>
  <c r="P1962"/>
  <c r="P1148"/>
  <c r="Q479"/>
  <c r="Q480" s="1"/>
  <c r="P183"/>
  <c r="P1753"/>
  <c r="Q1669"/>
  <c r="P1679"/>
  <c r="Q1590"/>
  <c r="Q1595"/>
  <c r="P1603"/>
  <c r="P1457"/>
  <c r="P1521"/>
  <c r="Q1529"/>
  <c r="P1455"/>
  <c r="P1888"/>
  <c r="P852"/>
  <c r="Q109"/>
  <c r="Q110" s="1"/>
  <c r="P1817"/>
  <c r="Q1743"/>
  <c r="P1677"/>
  <c r="P1605"/>
  <c r="P1531"/>
  <c r="P1595"/>
  <c r="P1814"/>
  <c r="Q1740"/>
  <c r="Q1741" s="1"/>
  <c r="Q1370"/>
  <c r="Q1371" s="1"/>
  <c r="Q926"/>
  <c r="P1975"/>
  <c r="Q1899"/>
  <c r="P1899"/>
  <c r="Q1825"/>
  <c r="Q1751"/>
  <c r="P1738"/>
  <c r="Q1605"/>
  <c r="Q1603"/>
  <c r="Q1455"/>
  <c r="P1664"/>
  <c r="Q1531"/>
  <c r="Q1447"/>
  <c r="Q1457"/>
  <c r="P1442"/>
  <c r="P1233"/>
  <c r="P1751"/>
  <c r="P1669"/>
  <c r="Q1679"/>
  <c r="P1590"/>
  <c r="Q1521"/>
  <c r="P1529"/>
  <c r="P1516"/>
  <c r="Q1516"/>
  <c r="Q1442"/>
  <c r="P1383"/>
  <c r="Q1381"/>
  <c r="P1309"/>
  <c r="P1447"/>
  <c r="P1373"/>
  <c r="P1294"/>
  <c r="P1299"/>
  <c r="Q1233"/>
  <c r="P1368"/>
  <c r="Q1299"/>
  <c r="Q1220"/>
  <c r="P1235"/>
  <c r="Q1151"/>
  <c r="P1146"/>
  <c r="P1072"/>
  <c r="P1077"/>
  <c r="Q1087"/>
  <c r="P1013"/>
  <c r="Q1013"/>
  <c r="P939"/>
  <c r="P850"/>
  <c r="Q865"/>
  <c r="Q781"/>
  <c r="P781"/>
  <c r="Q1383"/>
  <c r="Q1373"/>
  <c r="P1307"/>
  <c r="Q1309"/>
  <c r="Q1235"/>
  <c r="Q1003"/>
  <c r="Q1072"/>
  <c r="Q1664"/>
  <c r="P1381"/>
  <c r="Q1368"/>
  <c r="Q1294"/>
  <c r="Q1307"/>
  <c r="Q1225"/>
  <c r="P1220"/>
  <c r="P1159"/>
  <c r="Q1146"/>
  <c r="Q1085"/>
  <c r="Q1077"/>
  <c r="P1011"/>
  <c r="Q1011"/>
  <c r="P929"/>
  <c r="Q929"/>
  <c r="Q855"/>
  <c r="P791"/>
  <c r="Q776"/>
  <c r="Q554"/>
  <c r="Q702"/>
  <c r="Q707"/>
  <c r="P633"/>
  <c r="P559"/>
  <c r="Q643"/>
  <c r="Q559"/>
  <c r="Q1161"/>
  <c r="Q1159"/>
  <c r="P1087"/>
  <c r="P1085"/>
  <c r="P1003"/>
  <c r="Q998"/>
  <c r="Q939"/>
  <c r="P924"/>
  <c r="P855"/>
  <c r="P776"/>
  <c r="P789"/>
  <c r="Q717"/>
  <c r="P707"/>
  <c r="P708" s="1"/>
  <c r="P628"/>
  <c r="Q628"/>
  <c r="Q633"/>
  <c r="Q569"/>
  <c r="Q482"/>
  <c r="P490"/>
  <c r="P408"/>
  <c r="Q408"/>
  <c r="Q409" s="1"/>
  <c r="P418"/>
  <c r="Q329"/>
  <c r="Q334"/>
  <c r="P344"/>
  <c r="Q270"/>
  <c r="P268"/>
  <c r="Q268"/>
  <c r="Q196"/>
  <c r="Q122"/>
  <c r="Q194"/>
  <c r="P196"/>
  <c r="P998"/>
  <c r="Q924"/>
  <c r="Q789"/>
  <c r="P715"/>
  <c r="P717"/>
  <c r="P641"/>
  <c r="P567"/>
  <c r="Q490"/>
  <c r="P482"/>
  <c r="Q492"/>
  <c r="P492"/>
  <c r="P477"/>
  <c r="P1225"/>
  <c r="P1161"/>
  <c r="P1151"/>
  <c r="P865"/>
  <c r="Q850"/>
  <c r="Q863"/>
  <c r="Q791"/>
  <c r="Q715"/>
  <c r="P643"/>
  <c r="P329"/>
  <c r="P416"/>
  <c r="Q416"/>
  <c r="P270"/>
  <c r="Q260"/>
  <c r="Q120"/>
  <c r="P120"/>
  <c r="P43"/>
  <c r="Q43"/>
  <c r="P31"/>
  <c r="Q31"/>
  <c r="P702"/>
  <c r="P554"/>
  <c r="P334"/>
  <c r="P403"/>
  <c r="Q403"/>
  <c r="P255"/>
  <c r="Q255"/>
  <c r="Q107"/>
  <c r="Q112"/>
  <c r="P186"/>
  <c r="P181"/>
  <c r="Q45"/>
  <c r="P194"/>
  <c r="P107"/>
  <c r="Q35"/>
  <c r="P45"/>
  <c r="P342"/>
  <c r="Q181"/>
  <c r="Q937"/>
  <c r="P863"/>
  <c r="P569"/>
  <c r="Q567"/>
  <c r="Q641"/>
  <c r="Q418"/>
  <c r="Q344"/>
  <c r="Q186"/>
  <c r="Q342"/>
  <c r="P260"/>
  <c r="P112"/>
  <c r="P35"/>
  <c r="P937"/>
  <c r="Q477"/>
  <c r="P122"/>
  <c r="P1901"/>
  <c r="P331"/>
  <c r="Q630"/>
  <c r="Q631" s="1"/>
  <c r="P1740"/>
  <c r="P1827"/>
  <c r="Q1296"/>
  <c r="Q1297" s="1"/>
  <c r="Q1444"/>
  <c r="Q1445" s="1"/>
  <c r="Q1000"/>
  <c r="P32"/>
  <c r="P1973"/>
  <c r="Q1960"/>
  <c r="P1825"/>
  <c r="Q1222"/>
  <c r="P1074"/>
  <c r="Q556"/>
  <c r="Q557" s="1"/>
  <c r="Q257"/>
  <c r="Q1886"/>
  <c r="P1886"/>
  <c r="P479"/>
  <c r="P480" s="1"/>
  <c r="Q852"/>
  <c r="Q853" s="1"/>
  <c r="P1444"/>
  <c r="O1444" s="1"/>
  <c r="Q778"/>
  <c r="Q779" s="1"/>
  <c r="P1370"/>
  <c r="Q1814"/>
  <c r="Q1965"/>
  <c r="Q1966" s="1"/>
  <c r="Q1827"/>
  <c r="Q1666"/>
  <c r="Q1667" s="1"/>
  <c r="P1296"/>
  <c r="P926"/>
  <c r="O926" s="1"/>
  <c r="P556"/>
  <c r="Q1812"/>
  <c r="Q405"/>
  <c r="Q406" s="1"/>
  <c r="P1592"/>
  <c r="Q1975"/>
  <c r="P778"/>
  <c r="P1222"/>
  <c r="P1891"/>
  <c r="Q1592"/>
  <c r="Q1593" s="1"/>
  <c r="Q1074"/>
  <c r="Q1075" s="1"/>
  <c r="P704"/>
  <c r="P405"/>
  <c r="Q183"/>
  <c r="Q1738"/>
  <c r="Q32"/>
  <c r="Q33" s="1"/>
  <c r="P630"/>
  <c r="P1000"/>
  <c r="P1666"/>
  <c r="P1965"/>
  <c r="Q1518"/>
  <c r="P109"/>
  <c r="Q1973"/>
  <c r="Q1901"/>
  <c r="Q1888"/>
  <c r="Q1889" s="1"/>
  <c r="Q704"/>
  <c r="P257"/>
  <c r="I479"/>
  <c r="I405"/>
  <c r="I109"/>
  <c r="I331"/>
  <c r="I257"/>
  <c r="I107"/>
  <c r="I183"/>
  <c r="N513"/>
  <c r="I510"/>
  <c r="I490"/>
  <c r="I475"/>
  <c r="I477"/>
  <c r="I416"/>
  <c r="I401"/>
  <c r="I408"/>
  <c r="I122"/>
  <c r="N105"/>
  <c r="N179"/>
  <c r="I327"/>
  <c r="I140"/>
  <c r="I181"/>
  <c r="I179"/>
  <c r="I194"/>
  <c r="I492"/>
  <c r="N475"/>
  <c r="I342"/>
  <c r="I403"/>
  <c r="N288"/>
  <c r="N327"/>
  <c r="N510"/>
  <c r="I436"/>
  <c r="I418"/>
  <c r="I288"/>
  <c r="N140"/>
  <c r="I344"/>
  <c r="I334"/>
  <c r="I255"/>
  <c r="I253"/>
  <c r="I112"/>
  <c r="I196"/>
  <c r="I120"/>
  <c r="I105"/>
  <c r="I329"/>
  <c r="N214"/>
  <c r="N436"/>
  <c r="N253"/>
  <c r="N362"/>
  <c r="I260"/>
  <c r="I186"/>
  <c r="I270"/>
  <c r="I214"/>
  <c r="I268"/>
  <c r="I362"/>
  <c r="N518"/>
  <c r="I482"/>
  <c r="N401"/>
  <c r="S342"/>
  <c r="S268"/>
  <c r="S255"/>
  <c r="S181"/>
  <c r="S405"/>
  <c r="S109"/>
  <c r="T109" s="1"/>
  <c r="S490"/>
  <c r="S416"/>
  <c r="S270"/>
  <c r="S479"/>
  <c r="S344"/>
  <c r="S112"/>
  <c r="S257"/>
  <c r="S120"/>
  <c r="S482"/>
  <c r="S457"/>
  <c r="S418"/>
  <c r="S329"/>
  <c r="S186"/>
  <c r="S477"/>
  <c r="S194"/>
  <c r="S122"/>
  <c r="S107"/>
  <c r="S403"/>
  <c r="S334"/>
  <c r="S492"/>
  <c r="S196"/>
  <c r="S408"/>
  <c r="S260"/>
  <c r="S462"/>
  <c r="N217"/>
  <c r="S314"/>
  <c r="N365"/>
  <c r="N143"/>
  <c r="S87"/>
  <c r="S235"/>
  <c r="S331"/>
  <c r="S183"/>
  <c r="N370"/>
  <c r="S309"/>
  <c r="N444"/>
  <c r="S388"/>
  <c r="S383"/>
  <c r="N148"/>
  <c r="S92"/>
  <c r="N222"/>
  <c r="S161"/>
  <c r="N439"/>
  <c r="S166"/>
  <c r="N291"/>
  <c r="N296"/>
  <c r="S240"/>
  <c r="I748"/>
  <c r="I741"/>
  <c r="I742" s="1"/>
  <c r="X1653"/>
  <c r="X1654" s="1"/>
  <c r="X765"/>
  <c r="X565"/>
  <c r="X584"/>
  <c r="I227"/>
  <c r="K301"/>
  <c r="K227"/>
  <c r="X1619"/>
  <c r="X550"/>
  <c r="K1192"/>
  <c r="I294"/>
  <c r="I295" s="1"/>
  <c r="K449"/>
  <c r="I1266"/>
  <c r="I1259"/>
  <c r="I1260" s="1"/>
  <c r="AA528"/>
  <c r="AA526"/>
  <c r="AA529" s="1"/>
  <c r="AA525"/>
  <c r="X303"/>
  <c r="X304" s="1"/>
  <c r="Y302"/>
  <c r="X525"/>
  <c r="X528"/>
  <c r="Y524"/>
  <c r="X526"/>
  <c r="Y749"/>
  <c r="X750"/>
  <c r="X753" s="1"/>
  <c r="AA74"/>
  <c r="AA75" s="1"/>
  <c r="AA76" s="1"/>
  <c r="AA72"/>
  <c r="AA73" s="1"/>
  <c r="Z149"/>
  <c r="Z150" s="1"/>
  <c r="Z151"/>
  <c r="Z292"/>
  <c r="Z293" s="1"/>
  <c r="X438"/>
  <c r="Y439"/>
  <c r="X440"/>
  <c r="X441" s="1"/>
  <c r="Z303"/>
  <c r="Z304" s="1"/>
  <c r="Z306"/>
  <c r="Z307" s="1"/>
  <c r="Z440"/>
  <c r="Z441" s="1"/>
  <c r="Z968"/>
  <c r="Z966"/>
  <c r="Z967" s="1"/>
  <c r="X514"/>
  <c r="X516"/>
  <c r="X512"/>
  <c r="X515"/>
  <c r="Y513"/>
  <c r="X670"/>
  <c r="X671" s="1"/>
  <c r="Y669"/>
  <c r="X672"/>
  <c r="X673" s="1"/>
  <c r="AA746"/>
  <c r="AA744"/>
  <c r="AA745" s="1"/>
  <c r="X1035"/>
  <c r="X1036" s="1"/>
  <c r="X1033"/>
  <c r="Y1034"/>
  <c r="Z1264"/>
  <c r="Z1265" s="1"/>
  <c r="Z1262"/>
  <c r="Z1263" s="1"/>
  <c r="Z144"/>
  <c r="Z145" s="1"/>
  <c r="X218"/>
  <c r="X219" s="1"/>
  <c r="X216"/>
  <c r="Y217"/>
  <c r="X371"/>
  <c r="X372" s="1"/>
  <c r="Y370"/>
  <c r="X373"/>
  <c r="X374" s="1"/>
  <c r="AA452"/>
  <c r="AA455" s="1"/>
  <c r="AA451"/>
  <c r="AA454" s="1"/>
  <c r="AA442" s="1"/>
  <c r="AA676"/>
  <c r="AA679" s="1"/>
  <c r="X452"/>
  <c r="X455" s="1"/>
  <c r="X451"/>
  <c r="X454" s="1"/>
  <c r="Y450"/>
  <c r="AA739"/>
  <c r="AA740" s="1"/>
  <c r="X885"/>
  <c r="X887"/>
  <c r="X888" s="1"/>
  <c r="Y886"/>
  <c r="AA1042"/>
  <c r="AA1043" s="1"/>
  <c r="AA1040"/>
  <c r="AA1041"/>
  <c r="AA1194"/>
  <c r="AA1195" s="1"/>
  <c r="AA1197"/>
  <c r="AA1198" s="1"/>
  <c r="AA602"/>
  <c r="AA603"/>
  <c r="AA606" s="1"/>
  <c r="AA605"/>
  <c r="AA961"/>
  <c r="AA962" s="1"/>
  <c r="Z1268"/>
  <c r="Z1271" s="1"/>
  <c r="X898"/>
  <c r="X899" s="1"/>
  <c r="Y897"/>
  <c r="AA820"/>
  <c r="AA818"/>
  <c r="AA819"/>
  <c r="AA968"/>
  <c r="AA967"/>
  <c r="AA966"/>
  <c r="X968"/>
  <c r="Y965"/>
  <c r="X966"/>
  <c r="X967" s="1"/>
  <c r="Y1039"/>
  <c r="X1040"/>
  <c r="X1041" s="1"/>
  <c r="X1042"/>
  <c r="X1043" s="1"/>
  <c r="Y1341"/>
  <c r="X1342"/>
  <c r="X1345" s="1"/>
  <c r="Y1261"/>
  <c r="X1264"/>
  <c r="X1262"/>
  <c r="X1263" s="1"/>
  <c r="Z1342"/>
  <c r="Z1343" s="1"/>
  <c r="Z1345"/>
  <c r="AA1553"/>
  <c r="AA1554"/>
  <c r="AA1556" s="1"/>
  <c r="AA1555"/>
  <c r="Z1412"/>
  <c r="Z1413" s="1"/>
  <c r="Z1410"/>
  <c r="Z1411" s="1"/>
  <c r="AA1564"/>
  <c r="AA1567"/>
  <c r="AA1565"/>
  <c r="AA1568" s="1"/>
  <c r="Z1338"/>
  <c r="Z1336"/>
  <c r="Z1337" s="1"/>
  <c r="X1416"/>
  <c r="X1417" s="1"/>
  <c r="Y1415"/>
  <c r="X1419"/>
  <c r="X1420" s="1"/>
  <c r="X1331"/>
  <c r="X1332" s="1"/>
  <c r="Y1330"/>
  <c r="X1329"/>
  <c r="Z1715"/>
  <c r="Z1703" s="1"/>
  <c r="Z1712"/>
  <c r="Z1713"/>
  <c r="AA1632"/>
  <c r="AA1633"/>
  <c r="AA1634"/>
  <c r="AA1635" s="1"/>
  <c r="AA1636" s="1"/>
  <c r="AA1639"/>
  <c r="AA1638"/>
  <c r="AA1641"/>
  <c r="X1699"/>
  <c r="Y1700"/>
  <c r="X1701"/>
  <c r="X1702" s="1"/>
  <c r="AA1923"/>
  <c r="AA1924" s="1"/>
  <c r="Z1558"/>
  <c r="Z1559" s="1"/>
  <c r="Z1560"/>
  <c r="AA1701"/>
  <c r="AA1702" s="1"/>
  <c r="X1995"/>
  <c r="Y1996"/>
  <c r="X1997"/>
  <c r="X1998" s="1"/>
  <c r="X1849"/>
  <c r="X1850" s="1"/>
  <c r="X1847"/>
  <c r="Y1848"/>
  <c r="AA2008"/>
  <c r="AA2011" s="1"/>
  <c r="AA2009"/>
  <c r="AA1860"/>
  <c r="AA1863" s="1"/>
  <c r="X1116"/>
  <c r="X1117" s="1"/>
  <c r="X1118" s="1"/>
  <c r="X1114"/>
  <c r="X1115" s="1"/>
  <c r="Y1113"/>
  <c r="Z1934"/>
  <c r="Z1937" s="1"/>
  <c r="Z1935"/>
  <c r="Z1938" s="1"/>
  <c r="X538"/>
  <c r="Y536"/>
  <c r="K1333"/>
  <c r="K1334" s="1"/>
  <c r="AF996" i="1"/>
  <c r="N1383" i="10"/>
  <c r="AF852" i="1"/>
  <c r="N1615" i="10"/>
  <c r="I1615"/>
  <c r="AF812" i="1"/>
  <c r="S727" i="10"/>
  <c r="I693"/>
  <c r="N749"/>
  <c r="N693"/>
  <c r="S693"/>
  <c r="AF492" i="1"/>
  <c r="S1187" i="10"/>
  <c r="X1131"/>
  <c r="AF420" i="1"/>
  <c r="N1951" i="10"/>
  <c r="N2007"/>
  <c r="S1985"/>
  <c r="I1951"/>
  <c r="S1951"/>
  <c r="AF352" i="1"/>
  <c r="N653" i="10"/>
  <c r="N619"/>
  <c r="I619"/>
  <c r="AF240" i="1"/>
  <c r="S1261" i="10"/>
  <c r="X1205"/>
  <c r="AF216" i="1"/>
  <c r="I1837" i="10"/>
  <c r="S1859"/>
  <c r="X1837"/>
  <c r="X1803"/>
  <c r="N1467"/>
  <c r="I1433"/>
  <c r="N1433"/>
  <c r="I1467"/>
  <c r="AF156" i="1"/>
  <c r="N949" i="10"/>
  <c r="I915"/>
  <c r="N904"/>
  <c r="N915"/>
  <c r="I904"/>
  <c r="AF148" i="1"/>
  <c r="I875" i="10"/>
  <c r="S875"/>
  <c r="N897"/>
  <c r="N841"/>
  <c r="I841"/>
  <c r="S841"/>
  <c r="AF92" i="1"/>
  <c r="X1235" i="10"/>
  <c r="I1245"/>
  <c r="S1218"/>
  <c r="S1267"/>
  <c r="S1256"/>
  <c r="X1245"/>
  <c r="X1211"/>
  <c r="X1200"/>
  <c r="X1225"/>
  <c r="S1922"/>
  <c r="X1901"/>
  <c r="X1891"/>
  <c r="X1866"/>
  <c r="I55"/>
  <c r="I1541"/>
  <c r="S1541"/>
  <c r="S55"/>
  <c r="AG420" i="1"/>
  <c r="S1983" i="10"/>
  <c r="AG344" i="1"/>
  <c r="N1011" i="10"/>
  <c r="AG292" i="1"/>
  <c r="X641" i="10"/>
  <c r="N1812"/>
  <c r="N1835"/>
  <c r="AG216" i="1"/>
  <c r="I1835" i="10"/>
  <c r="X1835"/>
  <c r="AG188" i="1"/>
  <c r="S641" i="10"/>
  <c r="AG156" i="1"/>
  <c r="N947" i="10"/>
  <c r="AG148" i="1"/>
  <c r="I873" i="10"/>
  <c r="S873"/>
  <c r="AG92" i="1"/>
  <c r="X1233" i="10"/>
  <c r="AG80" i="1"/>
  <c r="I1243" i="10"/>
  <c r="X1220"/>
  <c r="X1243"/>
  <c r="AG12" i="1"/>
  <c r="I53" i="10"/>
  <c r="I1539"/>
  <c r="S1539"/>
  <c r="S53"/>
  <c r="S436"/>
  <c r="S510"/>
  <c r="S362"/>
  <c r="S140"/>
  <c r="S214"/>
  <c r="S288"/>
  <c r="S370"/>
  <c r="S148"/>
  <c r="S296"/>
  <c r="S291"/>
  <c r="S518"/>
  <c r="S222"/>
  <c r="S444"/>
  <c r="S143"/>
  <c r="S513"/>
  <c r="S439"/>
  <c r="S365"/>
  <c r="S217"/>
  <c r="X257"/>
  <c r="X490"/>
  <c r="X186"/>
  <c r="X112"/>
  <c r="X342"/>
  <c r="X181"/>
  <c r="X87"/>
  <c r="X240"/>
  <c r="X479"/>
  <c r="X405"/>
  <c r="X457"/>
  <c r="X270"/>
  <c r="X122"/>
  <c r="X235"/>
  <c r="X344"/>
  <c r="X120"/>
  <c r="X166"/>
  <c r="X403"/>
  <c r="X196"/>
  <c r="X109"/>
  <c r="X183"/>
  <c r="X388"/>
  <c r="X314"/>
  <c r="X260"/>
  <c r="X268"/>
  <c r="X309"/>
  <c r="X492"/>
  <c r="X107"/>
  <c r="X334"/>
  <c r="X194"/>
  <c r="X408"/>
  <c r="X418"/>
  <c r="X331"/>
  <c r="X329"/>
  <c r="X482"/>
  <c r="X383"/>
  <c r="X92"/>
  <c r="X255"/>
  <c r="X477"/>
  <c r="X416"/>
  <c r="X462"/>
  <c r="X161"/>
  <c r="S154"/>
  <c r="S228"/>
  <c r="S376"/>
  <c r="S524"/>
  <c r="S450"/>
  <c r="S302"/>
  <c r="X500"/>
  <c r="X394"/>
  <c r="X206"/>
  <c r="X426"/>
  <c r="X130"/>
  <c r="X428"/>
  <c r="X320"/>
  <c r="X502"/>
  <c r="X98"/>
  <c r="X278"/>
  <c r="X246"/>
  <c r="X172"/>
  <c r="X204"/>
  <c r="X132"/>
  <c r="X354"/>
  <c r="X468"/>
  <c r="X352"/>
  <c r="X280"/>
  <c r="L754"/>
  <c r="L741"/>
  <c r="L742" s="1"/>
  <c r="L35" i="8"/>
  <c r="I1037" i="10"/>
  <c r="I1038" s="1"/>
  <c r="Z676"/>
  <c r="Z677" s="1"/>
  <c r="Z78"/>
  <c r="Z79" s="1"/>
  <c r="Z371"/>
  <c r="Z372" s="1"/>
  <c r="Z373"/>
  <c r="X591"/>
  <c r="X589"/>
  <c r="Y590"/>
  <c r="X592"/>
  <c r="Z155"/>
  <c r="Z158" s="1"/>
  <c r="X144"/>
  <c r="X145" s="1"/>
  <c r="X142"/>
  <c r="Y143"/>
  <c r="X223"/>
  <c r="X224" s="1"/>
  <c r="Y222"/>
  <c r="X225"/>
  <c r="AA377"/>
  <c r="AA378" s="1"/>
  <c r="X663"/>
  <c r="Y664"/>
  <c r="X665"/>
  <c r="X666" s="1"/>
  <c r="AA1046"/>
  <c r="AA1049" s="1"/>
  <c r="AA1047"/>
  <c r="AA1050" s="1"/>
  <c r="AA67"/>
  <c r="AA68" s="1"/>
  <c r="X377"/>
  <c r="X380" s="1"/>
  <c r="Y376"/>
  <c r="Z451"/>
  <c r="Z452" s="1"/>
  <c r="Z454"/>
  <c r="Z521"/>
  <c r="Z522" s="1"/>
  <c r="Z523" s="1"/>
  <c r="Z519"/>
  <c r="Z520"/>
  <c r="X598"/>
  <c r="X597"/>
  <c r="Y595"/>
  <c r="X596"/>
  <c r="X599" s="1"/>
  <c r="AA813"/>
  <c r="AA814" s="1"/>
  <c r="AA1120"/>
  <c r="AA1123" s="1"/>
  <c r="AA1121"/>
  <c r="AA1124" s="1"/>
  <c r="X72"/>
  <c r="X73" s="1"/>
  <c r="X74"/>
  <c r="X75" s="1"/>
  <c r="X69" s="1"/>
  <c r="X70" s="1"/>
  <c r="Y71"/>
  <c r="AA149"/>
  <c r="AA151"/>
  <c r="AA150"/>
  <c r="Y296"/>
  <c r="X299"/>
  <c r="X300" s="1"/>
  <c r="X301" s="1"/>
  <c r="X297"/>
  <c r="X298" s="1"/>
  <c r="AA366"/>
  <c r="AA367" s="1"/>
  <c r="AA516"/>
  <c r="AA515"/>
  <c r="AA514"/>
  <c r="AA591"/>
  <c r="AA592"/>
  <c r="AA598"/>
  <c r="AA596"/>
  <c r="AA597"/>
  <c r="X602"/>
  <c r="Y601"/>
  <c r="X605"/>
  <c r="X593" s="1"/>
  <c r="X603"/>
  <c r="Z898"/>
  <c r="Z901" s="1"/>
  <c r="Y1119"/>
  <c r="X1120"/>
  <c r="X1121" s="1"/>
  <c r="X1123"/>
  <c r="X1111" s="1"/>
  <c r="Z602"/>
  <c r="Z605"/>
  <c r="Z603"/>
  <c r="X811"/>
  <c r="X813"/>
  <c r="X814" s="1"/>
  <c r="Y812"/>
  <c r="Z1040"/>
  <c r="Z1041" s="1"/>
  <c r="Z1042"/>
  <c r="AA1268"/>
  <c r="AA1269" s="1"/>
  <c r="Z1035"/>
  <c r="Z1036" s="1"/>
  <c r="AA1416"/>
  <c r="AA1417" s="1"/>
  <c r="AA1420" s="1"/>
  <c r="AA1419"/>
  <c r="AA1407" s="1"/>
  <c r="Y891"/>
  <c r="X894"/>
  <c r="X892"/>
  <c r="X893" s="1"/>
  <c r="Z961"/>
  <c r="Z962" s="1"/>
  <c r="Y971"/>
  <c r="X972"/>
  <c r="X973" s="1"/>
  <c r="AA1183"/>
  <c r="AA1184" s="1"/>
  <c r="Z1331"/>
  <c r="Z1332" s="1"/>
  <c r="Y1256"/>
  <c r="X1257"/>
  <c r="X1258" s="1"/>
  <c r="X1255"/>
  <c r="AA1338"/>
  <c r="AA1336"/>
  <c r="AA1337" s="1"/>
  <c r="Z1564"/>
  <c r="Z1565" s="1"/>
  <c r="Z1567"/>
  <c r="Z1568" s="1"/>
  <c r="AA1493"/>
  <c r="AA1490"/>
  <c r="AA1491"/>
  <c r="AA1494" s="1"/>
  <c r="X1564"/>
  <c r="X1567" s="1"/>
  <c r="Y1563"/>
  <c r="AA1331"/>
  <c r="AA1332" s="1"/>
  <c r="Z1416"/>
  <c r="Z1419" s="1"/>
  <c r="Z1417"/>
  <c r="Z1420" s="1"/>
  <c r="AA1560"/>
  <c r="AA1558"/>
  <c r="AA1559"/>
  <c r="X1712"/>
  <c r="X1713" s="1"/>
  <c r="Y1711"/>
  <c r="X1715"/>
  <c r="X1716" s="1"/>
  <c r="Z1632"/>
  <c r="Z1633" s="1"/>
  <c r="Z1634"/>
  <c r="Z1635" s="1"/>
  <c r="Z1786"/>
  <c r="Z1789" s="1"/>
  <c r="Z1787"/>
  <c r="Z1790" s="1"/>
  <c r="Z1930"/>
  <c r="Z1928"/>
  <c r="Z1929" s="1"/>
  <c r="Y1557"/>
  <c r="X1560"/>
  <c r="X1561" s="1"/>
  <c r="X1555" s="1"/>
  <c r="X1558"/>
  <c r="X1559" s="1"/>
  <c r="AA1775"/>
  <c r="AA1776" s="1"/>
  <c r="AA1786"/>
  <c r="AA1787" s="1"/>
  <c r="AA2003"/>
  <c r="AA2004"/>
  <c r="AA2002"/>
  <c r="Y1779"/>
  <c r="X1780"/>
  <c r="X1781" s="1"/>
  <c r="X1782"/>
  <c r="Z1854"/>
  <c r="Z1855" s="1"/>
  <c r="Z1856"/>
  <c r="Z2008"/>
  <c r="Z2009" s="1"/>
  <c r="X1856"/>
  <c r="X1857" s="1"/>
  <c r="X1851" s="1"/>
  <c r="X1852" s="1"/>
  <c r="Y1853"/>
  <c r="X1854"/>
  <c r="X1855" s="1"/>
  <c r="X1934"/>
  <c r="X1937" s="1"/>
  <c r="X1935"/>
  <c r="X1938" s="1"/>
  <c r="Y1933"/>
  <c r="X67"/>
  <c r="X68" s="1"/>
  <c r="Y66"/>
  <c r="X65"/>
  <c r="X78"/>
  <c r="X79" s="1"/>
  <c r="X81"/>
  <c r="X82" s="1"/>
  <c r="Y77"/>
  <c r="Y589"/>
  <c r="X618"/>
  <c r="X1398"/>
  <c r="X1400" s="1"/>
  <c r="AF971" i="1"/>
  <c r="I1348" i="10"/>
  <c r="S1353"/>
  <c r="N1348"/>
  <c r="N1409"/>
  <c r="S1409"/>
  <c r="X1353"/>
  <c r="S1626"/>
  <c r="S1637"/>
  <c r="X1605"/>
  <c r="X1595"/>
  <c r="X1570"/>
  <c r="X1581"/>
  <c r="AF855" i="1"/>
  <c r="S1615" i="10"/>
  <c r="I1588"/>
  <c r="N1605"/>
  <c r="I1605"/>
  <c r="I1595"/>
  <c r="N1595"/>
  <c r="N1588"/>
  <c r="N707"/>
  <c r="N717"/>
  <c r="S1335"/>
  <c r="S1330"/>
  <c r="X1279"/>
  <c r="X1274"/>
  <c r="X1309"/>
  <c r="X1299"/>
  <c r="N1137"/>
  <c r="N1151"/>
  <c r="I1137"/>
  <c r="N1171"/>
  <c r="N1087"/>
  <c r="I1057"/>
  <c r="N1057"/>
  <c r="AF495" i="1"/>
  <c r="S1087" i="10"/>
  <c r="S1182"/>
  <c r="X1126"/>
  <c r="X1151"/>
  <c r="X1161"/>
  <c r="I1292"/>
  <c r="I1309"/>
  <c r="I1299"/>
  <c r="S1299"/>
  <c r="S1309"/>
  <c r="S1292"/>
  <c r="S989"/>
  <c r="N1045"/>
  <c r="I717"/>
  <c r="I707"/>
  <c r="I687"/>
  <c r="S687"/>
  <c r="S738"/>
  <c r="N738"/>
  <c r="S682"/>
  <c r="S743"/>
  <c r="N682"/>
  <c r="N743"/>
  <c r="N687"/>
  <c r="I682"/>
  <c r="X707"/>
  <c r="X682"/>
  <c r="X687"/>
  <c r="X717"/>
  <c r="AF371" i="1"/>
  <c r="N1810" i="10"/>
  <c r="AF343" i="1"/>
  <c r="S1045" i="10"/>
  <c r="X1023"/>
  <c r="X989"/>
  <c r="I559"/>
  <c r="N534"/>
  <c r="I569"/>
  <c r="N559"/>
  <c r="I539"/>
  <c r="N569"/>
  <c r="N539"/>
  <c r="I534"/>
  <c r="AF315" i="1"/>
  <c r="N971" i="10"/>
  <c r="S915"/>
  <c r="AF299" i="1"/>
  <c r="I1211" i="10"/>
  <c r="N1211"/>
  <c r="S1211"/>
  <c r="N1267"/>
  <c r="S664"/>
  <c r="S675"/>
  <c r="X633"/>
  <c r="X619"/>
  <c r="X608"/>
  <c r="X653"/>
  <c r="S1034"/>
  <c r="X978"/>
  <c r="X1013"/>
  <c r="X1003"/>
  <c r="N791"/>
  <c r="N781"/>
  <c r="N761"/>
  <c r="I761"/>
  <c r="I1753"/>
  <c r="I1743"/>
  <c r="S1743"/>
  <c r="S1753"/>
  <c r="N1723"/>
  <c r="N1718"/>
  <c r="N1779"/>
  <c r="I1723"/>
  <c r="I1718"/>
  <c r="N1774"/>
  <c r="S1723"/>
  <c r="S1718"/>
  <c r="N1797"/>
  <c r="S1792"/>
  <c r="I1797"/>
  <c r="N1792"/>
  <c r="N1853"/>
  <c r="N1848"/>
  <c r="I1792"/>
  <c r="S1797"/>
  <c r="S1853"/>
  <c r="X1797"/>
  <c r="I1827"/>
  <c r="I1817"/>
  <c r="I1810"/>
  <c r="S1810"/>
  <c r="S1848"/>
  <c r="X1827"/>
  <c r="X1792"/>
  <c r="X1817"/>
  <c r="AF199" i="1"/>
  <c r="S1245" i="10"/>
  <c r="S1457"/>
  <c r="S1447"/>
  <c r="S1427"/>
  <c r="N1478"/>
  <c r="N1483"/>
  <c r="S1422"/>
  <c r="I643"/>
  <c r="N643"/>
  <c r="N633"/>
  <c r="I608"/>
  <c r="N613"/>
  <c r="I613"/>
  <c r="N608"/>
  <c r="I1003"/>
  <c r="I996"/>
  <c r="I1023"/>
  <c r="S1003"/>
  <c r="S1023"/>
  <c r="S996"/>
  <c r="I1958"/>
  <c r="I1965"/>
  <c r="I1975"/>
  <c r="S1958"/>
  <c r="S1996"/>
  <c r="X1975"/>
  <c r="X1940"/>
  <c r="X1965"/>
  <c r="N848"/>
  <c r="N875"/>
  <c r="N855"/>
  <c r="AF151" i="1"/>
  <c r="S891" i="10"/>
  <c r="X835"/>
  <c r="S965"/>
  <c r="X909"/>
  <c r="S960"/>
  <c r="X929"/>
  <c r="X939"/>
  <c r="X904"/>
  <c r="I929"/>
  <c r="I922"/>
  <c r="I939"/>
  <c r="S939"/>
  <c r="S929"/>
  <c r="S922"/>
  <c r="N1225"/>
  <c r="N1235"/>
  <c r="AF31" i="1"/>
  <c r="I1871" i="10"/>
  <c r="N1871"/>
  <c r="AF23" i="1"/>
  <c r="I1501" i="10"/>
  <c r="I16"/>
  <c r="N1501"/>
  <c r="N16"/>
  <c r="N1541"/>
  <c r="N55"/>
  <c r="N22"/>
  <c r="N1507"/>
  <c r="I1507"/>
  <c r="I22"/>
  <c r="AF15" i="1"/>
  <c r="N11" i="10"/>
  <c r="I11"/>
  <c r="N1496"/>
  <c r="I1496"/>
  <c r="I1521"/>
  <c r="I1514"/>
  <c r="I1531"/>
  <c r="S1521"/>
  <c r="S1531"/>
  <c r="S1514"/>
  <c r="S29"/>
  <c r="AG875" i="1"/>
  <c r="X1590" i="10"/>
  <c r="X1603"/>
  <c r="AG855" i="1"/>
  <c r="S1613" i="10"/>
  <c r="N1590"/>
  <c r="I1603"/>
  <c r="I1590"/>
  <c r="N1603"/>
  <c r="N702"/>
  <c r="N715"/>
  <c r="AG655" i="1"/>
  <c r="X1307" i="10"/>
  <c r="X1294"/>
  <c r="N1146"/>
  <c r="N1169"/>
  <c r="AG503" i="1"/>
  <c r="N1085" i="10"/>
  <c r="AG495" i="1"/>
  <c r="S1085" i="10"/>
  <c r="AG491" i="1"/>
  <c r="X1159" i="10"/>
  <c r="X1146"/>
  <c r="I1307"/>
  <c r="I1294"/>
  <c r="S1307"/>
  <c r="S1294"/>
  <c r="I702"/>
  <c r="I715"/>
  <c r="X702"/>
  <c r="X715"/>
  <c r="AG343" i="1"/>
  <c r="X1021" i="10"/>
  <c r="I554"/>
  <c r="I567"/>
  <c r="N554"/>
  <c r="N567"/>
  <c r="AG291" i="1"/>
  <c r="X651" i="10"/>
  <c r="X628"/>
  <c r="AG287" i="1"/>
  <c r="X998" i="10"/>
  <c r="X1011"/>
  <c r="N776"/>
  <c r="N789"/>
  <c r="I1738"/>
  <c r="I1751"/>
  <c r="S1738"/>
  <c r="S1751"/>
  <c r="I1825"/>
  <c r="I1812"/>
  <c r="X1825"/>
  <c r="X1812"/>
  <c r="AG199" i="1"/>
  <c r="S1243" i="10"/>
  <c r="S1442"/>
  <c r="S1455"/>
  <c r="I641"/>
  <c r="N628"/>
  <c r="N641"/>
  <c r="I1021"/>
  <c r="I998"/>
  <c r="S998"/>
  <c r="S1021"/>
  <c r="I1973"/>
  <c r="I1960"/>
  <c r="X1973"/>
  <c r="X1960"/>
  <c r="N850"/>
  <c r="N873"/>
  <c r="AG115" i="1"/>
  <c r="X937" i="10"/>
  <c r="X924"/>
  <c r="I924"/>
  <c r="I937"/>
  <c r="S924"/>
  <c r="S937"/>
  <c r="N1220"/>
  <c r="N1233"/>
  <c r="AG19" i="1"/>
  <c r="N1539" i="10"/>
  <c r="N53"/>
  <c r="I1529"/>
  <c r="I1516"/>
  <c r="S1529"/>
  <c r="S1516"/>
  <c r="U1662"/>
  <c r="U1663" s="1"/>
  <c r="V1736"/>
  <c r="U1588"/>
  <c r="U1589" s="1"/>
  <c r="U1514"/>
  <c r="U1515" s="1"/>
  <c r="V1292"/>
  <c r="V1144"/>
  <c r="V1070"/>
  <c r="V774"/>
  <c r="U1144"/>
  <c r="U1145" s="1"/>
  <c r="U552"/>
  <c r="U327"/>
  <c r="V401"/>
  <c r="V402" s="1"/>
  <c r="U105"/>
  <c r="U106" s="1"/>
  <c r="V1884"/>
  <c r="V1662"/>
  <c r="V1810"/>
  <c r="U1366"/>
  <c r="U1367" s="1"/>
  <c r="U774"/>
  <c r="U775" s="1"/>
  <c r="U848"/>
  <c r="U849" s="1"/>
  <c r="V626"/>
  <c r="U700"/>
  <c r="U701" s="1"/>
  <c r="V29"/>
  <c r="V1958"/>
  <c r="U1218"/>
  <c r="U1219" s="1"/>
  <c r="U1292"/>
  <c r="U1293" s="1"/>
  <c r="V1218"/>
  <c r="U922"/>
  <c r="U1070"/>
  <c r="U1071" s="1"/>
  <c r="V996"/>
  <c r="U179"/>
  <c r="U180" s="1"/>
  <c r="V475"/>
  <c r="V476" s="1"/>
  <c r="U996"/>
  <c r="U997" s="1"/>
  <c r="V105"/>
  <c r="U1958"/>
  <c r="U1959" s="1"/>
  <c r="U1810"/>
  <c r="U1811" s="1"/>
  <c r="U1736"/>
  <c r="U1737" s="1"/>
  <c r="V1588"/>
  <c r="V1514"/>
  <c r="V1440"/>
  <c r="V1441" s="1"/>
  <c r="U1440"/>
  <c r="V1366"/>
  <c r="V552"/>
  <c r="V553" s="1"/>
  <c r="V700"/>
  <c r="U475"/>
  <c r="U476" s="1"/>
  <c r="U253"/>
  <c r="U254" s="1"/>
  <c r="V327"/>
  <c r="V848"/>
  <c r="U626"/>
  <c r="U627" s="1"/>
  <c r="V253"/>
  <c r="V922"/>
  <c r="U401"/>
  <c r="U402" s="1"/>
  <c r="V179"/>
  <c r="U29"/>
  <c r="U1884"/>
  <c r="U1885" s="1"/>
  <c r="AA1919"/>
  <c r="AA1920" s="1"/>
  <c r="Z1771"/>
  <c r="Z1993"/>
  <c r="Z1549"/>
  <c r="Z1697"/>
  <c r="AA1401"/>
  <c r="AA1402" s="1"/>
  <c r="Z1475"/>
  <c r="Z1105"/>
  <c r="AA957"/>
  <c r="AA958" s="1"/>
  <c r="Z809"/>
  <c r="Z1253"/>
  <c r="Z957"/>
  <c r="AA809"/>
  <c r="AA810" s="1"/>
  <c r="AA288"/>
  <c r="AA289" s="1"/>
  <c r="Z288"/>
  <c r="Z289" s="1"/>
  <c r="AA1031"/>
  <c r="AA1032" s="1"/>
  <c r="Z661"/>
  <c r="Z587"/>
  <c r="Z1845"/>
  <c r="AA1623"/>
  <c r="AA1624" s="1"/>
  <c r="AA1549"/>
  <c r="AA1550" s="1"/>
  <c r="Z1623"/>
  <c r="AA1105"/>
  <c r="AA1106" s="1"/>
  <c r="AA1253"/>
  <c r="AA1254" s="1"/>
  <c r="Z1401"/>
  <c r="Z63"/>
  <c r="AA510"/>
  <c r="AA511" s="1"/>
  <c r="AA436"/>
  <c r="AA437" s="1"/>
  <c r="AA214"/>
  <c r="AA215" s="1"/>
  <c r="AA362"/>
  <c r="AA363" s="1"/>
  <c r="Z362"/>
  <c r="Z363" s="1"/>
  <c r="AA1845"/>
  <c r="AA1846" s="1"/>
  <c r="Z1919"/>
  <c r="AA1771"/>
  <c r="AA1772" s="1"/>
  <c r="AA1475"/>
  <c r="AA1476" s="1"/>
  <c r="AA1179"/>
  <c r="AA1180" s="1"/>
  <c r="Z1327"/>
  <c r="AA1327"/>
  <c r="AA1328" s="1"/>
  <c r="Z883"/>
  <c r="Z1179"/>
  <c r="AA661"/>
  <c r="AA662" s="1"/>
  <c r="Z214"/>
  <c r="Z215" s="1"/>
  <c r="AA883"/>
  <c r="AA884" s="1"/>
  <c r="AA1993"/>
  <c r="AA1994" s="1"/>
  <c r="AA1697"/>
  <c r="AA1698" s="1"/>
  <c r="Z1031"/>
  <c r="AA735"/>
  <c r="AA736" s="1"/>
  <c r="Z140"/>
  <c r="Z141" s="1"/>
  <c r="AA140"/>
  <c r="AA141" s="1"/>
  <c r="AA587"/>
  <c r="AA588" s="1"/>
  <c r="Z436"/>
  <c r="Z437" s="1"/>
  <c r="Z735"/>
  <c r="Z510"/>
  <c r="Z511" s="1"/>
  <c r="AA63"/>
  <c r="AA64" s="1"/>
  <c r="S327"/>
  <c r="S253"/>
  <c r="S179"/>
  <c r="S401"/>
  <c r="S475"/>
  <c r="S105"/>
  <c r="X140"/>
  <c r="X288"/>
  <c r="X436"/>
  <c r="X362"/>
  <c r="X510"/>
  <c r="X214"/>
  <c r="N457"/>
  <c r="I457"/>
  <c r="I161"/>
  <c r="N235"/>
  <c r="I235"/>
  <c r="N309"/>
  <c r="I309"/>
  <c r="I383"/>
  <c r="N383"/>
  <c r="N87"/>
  <c r="I87"/>
  <c r="N161"/>
  <c r="N502"/>
  <c r="N500"/>
  <c r="N468"/>
  <c r="N132"/>
  <c r="I394"/>
  <c r="I468"/>
  <c r="N354"/>
  <c r="N278"/>
  <c r="N204"/>
  <c r="N206"/>
  <c r="N352"/>
  <c r="N130"/>
  <c r="N428"/>
  <c r="N394"/>
  <c r="N280"/>
  <c r="N426"/>
  <c r="N98"/>
  <c r="N320"/>
  <c r="N172"/>
  <c r="I172"/>
  <c r="I246"/>
  <c r="I98"/>
  <c r="I320"/>
  <c r="N246"/>
  <c r="N462"/>
  <c r="I462"/>
  <c r="I92"/>
  <c r="N388"/>
  <c r="N92"/>
  <c r="I166"/>
  <c r="I240"/>
  <c r="N240"/>
  <c r="N314"/>
  <c r="I314"/>
  <c r="I388"/>
  <c r="N166"/>
  <c r="I1716"/>
  <c r="I1703"/>
  <c r="I1704" s="1"/>
  <c r="X1061"/>
  <c r="X1062" s="1"/>
  <c r="I153"/>
  <c r="AA78"/>
  <c r="AA79" s="1"/>
  <c r="X151"/>
  <c r="X149"/>
  <c r="Y148"/>
  <c r="Z739"/>
  <c r="Z740" s="1"/>
  <c r="Z297"/>
  <c r="Z298" s="1"/>
  <c r="Z299"/>
  <c r="Z67"/>
  <c r="Z68" s="1"/>
  <c r="Y228"/>
  <c r="X229"/>
  <c r="X232" s="1"/>
  <c r="X230"/>
  <c r="X233" s="1"/>
  <c r="X155"/>
  <c r="X156" s="1"/>
  <c r="X158"/>
  <c r="X159" s="1"/>
  <c r="Y154"/>
  <c r="AA670"/>
  <c r="AA671" s="1"/>
  <c r="AA672"/>
  <c r="AA225"/>
  <c r="AA226" s="1"/>
  <c r="AA223"/>
  <c r="AA224" s="1"/>
  <c r="Z366"/>
  <c r="Z367" s="1"/>
  <c r="AA521"/>
  <c r="AA522" s="1"/>
  <c r="AA523" s="1"/>
  <c r="AA519"/>
  <c r="AA520"/>
  <c r="X1046"/>
  <c r="X1047" s="1"/>
  <c r="Y1045"/>
  <c r="Z526"/>
  <c r="Z529" s="1"/>
  <c r="Z528"/>
  <c r="Z525"/>
  <c r="Z591"/>
  <c r="Z592"/>
  <c r="Z824"/>
  <c r="Z827" s="1"/>
  <c r="Z825"/>
  <c r="Z828" s="1"/>
  <c r="Z1116"/>
  <c r="Z1114"/>
  <c r="Z1115" s="1"/>
  <c r="AA144"/>
  <c r="AA145"/>
  <c r="AA303"/>
  <c r="AA304" s="1"/>
  <c r="X292"/>
  <c r="X293" s="1"/>
  <c r="X290"/>
  <c r="Y291"/>
  <c r="Z516"/>
  <c r="Z515"/>
  <c r="Z514"/>
  <c r="Z598"/>
  <c r="Z596"/>
  <c r="Z597"/>
  <c r="X737"/>
  <c r="Y738"/>
  <c r="X739"/>
  <c r="X740" s="1"/>
  <c r="X818"/>
  <c r="X819" s="1"/>
  <c r="Y817"/>
  <c r="X820"/>
  <c r="X821" s="1"/>
  <c r="X822" s="1"/>
  <c r="AA972"/>
  <c r="AA973" s="1"/>
  <c r="Z1120"/>
  <c r="Z1123"/>
  <c r="Z1121"/>
  <c r="Z1124" s="1"/>
  <c r="Z665"/>
  <c r="Z666" s="1"/>
  <c r="Z818"/>
  <c r="Z819" s="1"/>
  <c r="Z820"/>
  <c r="Z821" s="1"/>
  <c r="Z815" s="1"/>
  <c r="Z816" s="1"/>
  <c r="X1107"/>
  <c r="X1109"/>
  <c r="X1110" s="1"/>
  <c r="Y1108"/>
  <c r="AA1190"/>
  <c r="AA1191" s="1"/>
  <c r="AA1192" s="1"/>
  <c r="AA1189"/>
  <c r="AA1188"/>
  <c r="AA1486"/>
  <c r="AA1484"/>
  <c r="AA1485"/>
  <c r="AA887"/>
  <c r="AA888" s="1"/>
  <c r="Y1187"/>
  <c r="X1190"/>
  <c r="X1188"/>
  <c r="X1189" s="1"/>
  <c r="AA1412"/>
  <c r="AA1410"/>
  <c r="AA1411" s="1"/>
  <c r="AA1257"/>
  <c r="AA1258" s="1"/>
  <c r="AA1406"/>
  <c r="AA1405"/>
  <c r="Y1705"/>
  <c r="X1706"/>
  <c r="X1707"/>
  <c r="X1708"/>
  <c r="X1709" s="1"/>
  <c r="X1710" s="1"/>
  <c r="X1479"/>
  <c r="X1480" s="1"/>
  <c r="Y1478"/>
  <c r="X1477"/>
  <c r="X1183"/>
  <c r="X1184" s="1"/>
  <c r="Y1182"/>
  <c r="X1181"/>
  <c r="Y1409"/>
  <c r="X1410"/>
  <c r="X1411" s="1"/>
  <c r="X1412"/>
  <c r="X1413" s="1"/>
  <c r="X1414" s="1"/>
  <c r="AA1479"/>
  <c r="AA1480"/>
  <c r="AA1482" s="1"/>
  <c r="AA1481"/>
  <c r="AA1629"/>
  <c r="AA1628"/>
  <c r="AA1627"/>
  <c r="Z1479"/>
  <c r="Z1480" s="1"/>
  <c r="AA1706"/>
  <c r="AA1708"/>
  <c r="AA1709" s="1"/>
  <c r="AA1703" s="1"/>
  <c r="AA1704" s="1"/>
  <c r="AA1707"/>
  <c r="Z1641"/>
  <c r="Z1638"/>
  <c r="Z1639" s="1"/>
  <c r="X1641"/>
  <c r="X1638"/>
  <c r="X1639" s="1"/>
  <c r="Y1637"/>
  <c r="Z1997"/>
  <c r="Z1998" s="1"/>
  <c r="X1634"/>
  <c r="Y1631"/>
  <c r="X1632"/>
  <c r="X1633" s="1"/>
  <c r="Z1860"/>
  <c r="Z1863" s="1"/>
  <c r="Y1922"/>
  <c r="X1923"/>
  <c r="X1924" s="1"/>
  <c r="X1921"/>
  <c r="Y1774"/>
  <c r="X1773"/>
  <c r="X1775"/>
  <c r="X1776" s="1"/>
  <c r="X2002"/>
  <c r="X2003" s="1"/>
  <c r="Y2001"/>
  <c r="X2004"/>
  <c r="AA1780"/>
  <c r="AA1781" s="1"/>
  <c r="AA1782"/>
  <c r="AA1783" s="1"/>
  <c r="X1930"/>
  <c r="X1928"/>
  <c r="X1929" s="1"/>
  <c r="Y1927"/>
  <c r="X585"/>
  <c r="X1621"/>
  <c r="X1622" s="1"/>
  <c r="X574"/>
  <c r="X576" s="1"/>
  <c r="AF972" i="1"/>
  <c r="N1353" i="10"/>
  <c r="I1353"/>
  <c r="I1319"/>
  <c r="S1319"/>
  <c r="AF432" i="1"/>
  <c r="S1763" i="10"/>
  <c r="AF376" i="1"/>
  <c r="N1489" i="10"/>
  <c r="S1433"/>
  <c r="S1489"/>
  <c r="X1467"/>
  <c r="X1433"/>
  <c r="AF328" i="1"/>
  <c r="N1911" i="10"/>
  <c r="AF284" i="1"/>
  <c r="S823" i="10"/>
  <c r="X767"/>
  <c r="X801"/>
  <c r="I1736"/>
  <c r="I1763"/>
  <c r="N1743"/>
  <c r="N1736"/>
  <c r="N1763"/>
  <c r="N664"/>
  <c r="N669"/>
  <c r="S613"/>
  <c r="S608"/>
  <c r="AF188" i="1"/>
  <c r="S643" i="10"/>
  <c r="N1003"/>
  <c r="N1023"/>
  <c r="N989"/>
  <c r="I989"/>
  <c r="N978"/>
  <c r="I978"/>
  <c r="AF160" i="1"/>
  <c r="N865" i="10"/>
  <c r="I1866"/>
  <c r="N1922"/>
  <c r="N1927"/>
  <c r="N1866"/>
  <c r="S1866"/>
  <c r="S1871"/>
  <c r="AG996" i="1"/>
  <c r="N1381" i="10"/>
  <c r="AG628" i="1"/>
  <c r="I1317" i="10"/>
  <c r="S1317"/>
  <c r="I1664"/>
  <c r="I1677"/>
  <c r="S1664"/>
  <c r="S1677"/>
  <c r="AG432" i="1"/>
  <c r="S1761" i="10"/>
  <c r="AG376" i="1"/>
  <c r="X1465" i="10"/>
  <c r="N1738"/>
  <c r="N1761"/>
  <c r="I1761"/>
  <c r="AG192" i="1"/>
  <c r="I1465" i="10"/>
  <c r="N1465"/>
  <c r="N998"/>
  <c r="N1021"/>
  <c r="AG160" i="1"/>
  <c r="N863" i="10"/>
  <c r="AG44" i="1"/>
  <c r="X1886" i="10"/>
  <c r="X1899"/>
  <c r="Q1933"/>
  <c r="Q1489"/>
  <c r="Q1785"/>
  <c r="Q1711"/>
  <c r="P1637"/>
  <c r="Q1637"/>
  <c r="Q1267"/>
  <c r="P1489"/>
  <c r="Q1415"/>
  <c r="P1711"/>
  <c r="Q1341"/>
  <c r="P1193"/>
  <c r="P1119"/>
  <c r="Q971"/>
  <c r="Q1563"/>
  <c r="P601"/>
  <c r="Q897"/>
  <c r="Q601"/>
  <c r="P450"/>
  <c r="Q1193"/>
  <c r="Q1119"/>
  <c r="P823"/>
  <c r="Q823"/>
  <c r="Q749"/>
  <c r="Q675"/>
  <c r="Q524"/>
  <c r="P524"/>
  <c r="Q302"/>
  <c r="Q154"/>
  <c r="Q77"/>
  <c r="Q1045"/>
  <c r="Q450"/>
  <c r="Q376"/>
  <c r="Q228"/>
  <c r="Q2007"/>
  <c r="Q1859"/>
  <c r="V1951"/>
  <c r="V1581"/>
  <c r="V1655"/>
  <c r="V1285"/>
  <c r="U468"/>
  <c r="V545"/>
  <c r="V394"/>
  <c r="V1507"/>
  <c r="U1433"/>
  <c r="U767"/>
  <c r="V1359"/>
  <c r="U1063"/>
  <c r="V1063"/>
  <c r="U394"/>
  <c r="V989"/>
  <c r="V915"/>
  <c r="V1729"/>
  <c r="V1211"/>
  <c r="V841"/>
  <c r="V693"/>
  <c r="V246"/>
  <c r="U1137"/>
  <c r="V767"/>
  <c r="V619"/>
  <c r="V98"/>
  <c r="V1803"/>
  <c r="V1877"/>
  <c r="U1655"/>
  <c r="U1581"/>
  <c r="V1433"/>
  <c r="V1137"/>
  <c r="U545"/>
  <c r="V172"/>
  <c r="V320"/>
  <c r="V468"/>
  <c r="V22"/>
  <c r="U1951"/>
  <c r="P1785"/>
  <c r="P1933"/>
  <c r="U693"/>
  <c r="P228"/>
  <c r="U1285"/>
  <c r="P675"/>
  <c r="U246"/>
  <c r="P971"/>
  <c r="P1267"/>
  <c r="U22"/>
  <c r="P1859"/>
  <c r="P2007"/>
  <c r="U1877"/>
  <c r="P1415"/>
  <c r="U172"/>
  <c r="P1045"/>
  <c r="U841"/>
  <c r="P77"/>
  <c r="P154"/>
  <c r="U98"/>
  <c r="U1211"/>
  <c r="U1507"/>
  <c r="U1729"/>
  <c r="P376"/>
  <c r="U1359"/>
  <c r="P897"/>
  <c r="U1803"/>
  <c r="U320"/>
  <c r="P749"/>
  <c r="P1341"/>
  <c r="U989"/>
  <c r="P302"/>
  <c r="U619"/>
  <c r="U915"/>
  <c r="P1563"/>
  <c r="N342"/>
  <c r="N492"/>
  <c r="N418"/>
  <c r="N403"/>
  <c r="N112"/>
  <c r="N186"/>
  <c r="N196"/>
  <c r="N329"/>
  <c r="N416"/>
  <c r="N344"/>
  <c r="N255"/>
  <c r="N334"/>
  <c r="N477"/>
  <c r="N490"/>
  <c r="N120"/>
  <c r="N181"/>
  <c r="N107"/>
  <c r="N268"/>
  <c r="N482"/>
  <c r="N408"/>
  <c r="N270"/>
  <c r="N194"/>
  <c r="N122"/>
  <c r="N260"/>
  <c r="N109"/>
  <c r="N479"/>
  <c r="N331"/>
  <c r="N183"/>
  <c r="N405"/>
  <c r="N257"/>
  <c r="AF698" i="1"/>
  <c r="N1285" i="10"/>
  <c r="I1285"/>
  <c r="AF682" i="1"/>
  <c r="N1319" i="10"/>
  <c r="N1309"/>
  <c r="N1299"/>
  <c r="AF522" i="1"/>
  <c r="I727" i="10"/>
  <c r="S749"/>
  <c r="X693"/>
  <c r="X727"/>
  <c r="AF506" i="1"/>
  <c r="N1119" i="10"/>
  <c r="S1063"/>
  <c r="AF482" i="1"/>
  <c r="S2001" i="10"/>
  <c r="X1945"/>
  <c r="AF478" i="1"/>
  <c r="I1097" i="10"/>
  <c r="S1119"/>
  <c r="X1097"/>
  <c r="X1063"/>
  <c r="AF430" i="1"/>
  <c r="X1753" i="10"/>
  <c r="S1965"/>
  <c r="N1940"/>
  <c r="N1945"/>
  <c r="N1996"/>
  <c r="S1940"/>
  <c r="I1945"/>
  <c r="I1940"/>
  <c r="N2001"/>
  <c r="S1945"/>
  <c r="S1975"/>
  <c r="AF410" i="1"/>
  <c r="S897" i="10"/>
  <c r="X841"/>
  <c r="X875"/>
  <c r="AF382" i="1"/>
  <c r="S1736" i="10"/>
  <c r="AF266" i="1"/>
  <c r="S1366" i="10"/>
  <c r="AF242" i="1"/>
  <c r="I1985" i="10"/>
  <c r="S2007"/>
  <c r="X1951"/>
  <c r="X1985"/>
  <c r="S1827"/>
  <c r="S1817"/>
  <c r="N922"/>
  <c r="N939"/>
  <c r="N929"/>
  <c r="AF94" i="1"/>
  <c r="N1563" i="10"/>
  <c r="S1507"/>
  <c r="AF62" i="1"/>
  <c r="S1927" i="10"/>
  <c r="X1871"/>
  <c r="N1531"/>
  <c r="N35"/>
  <c r="N1521"/>
  <c r="N45"/>
  <c r="I1391"/>
  <c r="N1391"/>
  <c r="N1368"/>
  <c r="AG670" i="1"/>
  <c r="N1159" i="10"/>
  <c r="AG522" i="1"/>
  <c r="I725" i="10"/>
  <c r="X725"/>
  <c r="N1072"/>
  <c r="N1095"/>
  <c r="S1072"/>
  <c r="S1095"/>
  <c r="AG478" i="1"/>
  <c r="I1095" i="10"/>
  <c r="X1095"/>
  <c r="AG430" i="1"/>
  <c r="X1751" i="10"/>
  <c r="AG410" i="1"/>
  <c r="X873" i="10"/>
  <c r="AG386" i="1"/>
  <c r="X1738" i="10"/>
  <c r="X1761"/>
  <c r="S1812"/>
  <c r="S1825"/>
  <c r="I651"/>
  <c r="I628"/>
  <c r="S651"/>
  <c r="S628"/>
  <c r="N937"/>
  <c r="N924"/>
  <c r="I850"/>
  <c r="I863"/>
  <c r="S850"/>
  <c r="S863"/>
  <c r="AG114" i="1"/>
  <c r="I947" i="10"/>
  <c r="S947"/>
  <c r="AG22" i="1"/>
  <c r="X1529" i="10"/>
  <c r="X1516"/>
  <c r="X43"/>
  <c r="X31"/>
  <c r="V1996"/>
  <c r="U1927"/>
  <c r="V1700"/>
  <c r="U1478"/>
  <c r="U1779"/>
  <c r="V1478"/>
  <c r="U1404"/>
  <c r="V1626"/>
  <c r="U1335"/>
  <c r="V1557"/>
  <c r="U1705"/>
  <c r="V1261"/>
  <c r="V965"/>
  <c r="U1552"/>
  <c r="V1108"/>
  <c r="V1034"/>
  <c r="V664"/>
  <c r="V444"/>
  <c r="V1182"/>
  <c r="V1039"/>
  <c r="V817"/>
  <c r="V513"/>
  <c r="U513"/>
  <c r="V891"/>
  <c r="V143"/>
  <c r="U370"/>
  <c r="V291"/>
  <c r="U444"/>
  <c r="V71"/>
  <c r="V812"/>
  <c r="V518"/>
  <c r="U595"/>
  <c r="U143"/>
  <c r="U291"/>
  <c r="U2001"/>
  <c r="V1927"/>
  <c r="V1779"/>
  <c r="V1483"/>
  <c r="V1705"/>
  <c r="V1631"/>
  <c r="V1552"/>
  <c r="V1256"/>
  <c r="U1256"/>
  <c r="U1257" s="1"/>
  <c r="U1258" s="1"/>
  <c r="U1483"/>
  <c r="U1261"/>
  <c r="V960"/>
  <c r="U669"/>
  <c r="V439"/>
  <c r="V440" s="1"/>
  <c r="V441" s="1"/>
  <c r="V148"/>
  <c r="U1039"/>
  <c r="U891"/>
  <c r="U71"/>
  <c r="U1996"/>
  <c r="V1922"/>
  <c r="V1774"/>
  <c r="V1775" s="1"/>
  <c r="V1776" s="1"/>
  <c r="U1853"/>
  <c r="U1557"/>
  <c r="U1848"/>
  <c r="V2001"/>
  <c r="V1853"/>
  <c r="U1631"/>
  <c r="V1409"/>
  <c r="V1330"/>
  <c r="V1331" s="1"/>
  <c r="V1332" s="1"/>
  <c r="U1330"/>
  <c r="V1187"/>
  <c r="V1404"/>
  <c r="U1034"/>
  <c r="U590"/>
  <c r="V743"/>
  <c r="U1108"/>
  <c r="U1109" s="1"/>
  <c r="U1110" s="1"/>
  <c r="U960"/>
  <c r="U439"/>
  <c r="V296"/>
  <c r="U1113"/>
  <c r="U965"/>
  <c r="V886"/>
  <c r="V669"/>
  <c r="U1187"/>
  <c r="V66"/>
  <c r="V365"/>
  <c r="V370"/>
  <c r="U222"/>
  <c r="U664"/>
  <c r="V222"/>
  <c r="V1848"/>
  <c r="U1774"/>
  <c r="U1700"/>
  <c r="U1626"/>
  <c r="U1922"/>
  <c r="U1409"/>
  <c r="U1182"/>
  <c r="U1183" s="1"/>
  <c r="U1184" s="1"/>
  <c r="V1335"/>
  <c r="V1113"/>
  <c r="U738"/>
  <c r="U817"/>
  <c r="U743"/>
  <c r="V590"/>
  <c r="U886"/>
  <c r="V738"/>
  <c r="V739" s="1"/>
  <c r="V740" s="1"/>
  <c r="U812"/>
  <c r="U813" s="1"/>
  <c r="U814" s="1"/>
  <c r="U365"/>
  <c r="U217"/>
  <c r="U518"/>
  <c r="U296"/>
  <c r="U66"/>
  <c r="U148"/>
  <c r="V217"/>
  <c r="V595"/>
  <c r="Z630"/>
  <c r="Z331"/>
  <c r="Z1886"/>
  <c r="Z1370"/>
  <c r="Z1074"/>
  <c r="Z32"/>
  <c r="Z1960"/>
  <c r="AA1973"/>
  <c r="Z1797"/>
  <c r="Z1817"/>
  <c r="AA1723"/>
  <c r="Z1814"/>
  <c r="Z926"/>
  <c r="Y926" s="1"/>
  <c r="AA1886"/>
  <c r="AA1817"/>
  <c r="Z704"/>
  <c r="AA1960"/>
  <c r="AA778"/>
  <c r="AA1222"/>
  <c r="AA1669"/>
  <c r="Z1603"/>
  <c r="AA1529"/>
  <c r="AA1603"/>
  <c r="Z1518"/>
  <c r="Z1866"/>
  <c r="AA1899"/>
  <c r="AA1753"/>
  <c r="AA1644"/>
  <c r="Z1649"/>
  <c r="Z852"/>
  <c r="Z1899"/>
  <c r="Z1422"/>
  <c r="Z1442"/>
  <c r="AA1649"/>
  <c r="AA1225"/>
  <c r="Z1664"/>
  <c r="Z1669"/>
  <c r="AA1233"/>
  <c r="AA1501"/>
  <c r="AA1235"/>
  <c r="Z1003"/>
  <c r="Z904"/>
  <c r="AA776"/>
  <c r="Z1373"/>
  <c r="Z1279"/>
  <c r="Z1447"/>
  <c r="AA1085"/>
  <c r="AA939"/>
  <c r="Z863"/>
  <c r="Z1011"/>
  <c r="Z717"/>
  <c r="Z534"/>
  <c r="Z492"/>
  <c r="Z161"/>
  <c r="AA120"/>
  <c r="Z122"/>
  <c r="AA937"/>
  <c r="Z855"/>
  <c r="Z856" s="1"/>
  <c r="Z707"/>
  <c r="AA490"/>
  <c r="Z1013"/>
  <c r="AA835"/>
  <c r="AA613"/>
  <c r="Z477"/>
  <c r="AA329"/>
  <c r="Z186"/>
  <c r="AA260"/>
  <c r="Z11"/>
  <c r="Z781"/>
  <c r="Z383"/>
  <c r="Z342"/>
  <c r="AA235"/>
  <c r="AA196"/>
  <c r="Z196"/>
  <c r="Z270"/>
  <c r="Z830"/>
  <c r="AA477"/>
  <c r="AA388"/>
  <c r="Z120"/>
  <c r="AA309"/>
  <c r="Z268"/>
  <c r="AA11"/>
  <c r="Z314"/>
  <c r="Z490"/>
  <c r="AA1962"/>
  <c r="AA1444"/>
  <c r="AA1445" s="1"/>
  <c r="AA1148"/>
  <c r="AA405"/>
  <c r="AA406" s="1"/>
  <c r="AA109"/>
  <c r="AA110" s="1"/>
  <c r="AA32"/>
  <c r="AA1965"/>
  <c r="AA1871"/>
  <c r="AA1666"/>
  <c r="AA630"/>
  <c r="AA1812"/>
  <c r="AA1901"/>
  <c r="AA1718"/>
  <c r="AA1743"/>
  <c r="AA1744" s="1"/>
  <c r="AA1370"/>
  <c r="AA852"/>
  <c r="AA183"/>
  <c r="AA184" s="1"/>
  <c r="Z1148"/>
  <c r="AA1814"/>
  <c r="AA1815" s="1"/>
  <c r="Z1753"/>
  <c r="Z1751"/>
  <c r="Z1965"/>
  <c r="AA1679"/>
  <c r="AA1296"/>
  <c r="AA1866"/>
  <c r="AA1751"/>
  <c r="Z1644"/>
  <c r="AA1590"/>
  <c r="Z556"/>
  <c r="Z1812"/>
  <c r="AA1570"/>
  <c r="Z1501"/>
  <c r="AA1442"/>
  <c r="Z1368"/>
  <c r="AA1383"/>
  <c r="AA1299"/>
  <c r="Z1220"/>
  <c r="Z1521"/>
  <c r="Z1455"/>
  <c r="AA1422"/>
  <c r="AA1427"/>
  <c r="AA1279"/>
  <c r="Z1381"/>
  <c r="Z1200"/>
  <c r="AA1077"/>
  <c r="Z1072"/>
  <c r="AA1087"/>
  <c r="AA855"/>
  <c r="Z929"/>
  <c r="Z776"/>
  <c r="AA1368"/>
  <c r="Z1307"/>
  <c r="Z1131"/>
  <c r="AA1072"/>
  <c r="AA1161"/>
  <c r="Z1159"/>
  <c r="AA1052"/>
  <c r="Z937"/>
  <c r="AA850"/>
  <c r="Z682"/>
  <c r="Z559"/>
  <c r="Z1235"/>
  <c r="AA1013"/>
  <c r="Z641"/>
  <c r="Z457"/>
  <c r="AA403"/>
  <c r="AA342"/>
  <c r="AA166"/>
  <c r="Z112"/>
  <c r="Z113" s="1"/>
  <c r="AA998"/>
  <c r="AA904"/>
  <c r="Z865"/>
  <c r="AA715"/>
  <c r="AA559"/>
  <c r="Z633"/>
  <c r="AA492"/>
  <c r="AA334"/>
  <c r="AA255"/>
  <c r="AA31"/>
  <c r="AA45"/>
  <c r="Z408"/>
  <c r="Z235"/>
  <c r="AA268"/>
  <c r="Z334"/>
  <c r="AA270"/>
  <c r="AA983"/>
  <c r="Z791"/>
  <c r="Z715"/>
  <c r="AA643"/>
  <c r="AA462"/>
  <c r="Z309"/>
  <c r="Z329"/>
  <c r="AA43"/>
  <c r="Z16"/>
  <c r="AA929"/>
  <c r="AA682"/>
  <c r="Z1740"/>
  <c r="Z405"/>
  <c r="Z1901"/>
  <c r="Z1940"/>
  <c r="Z1891"/>
  <c r="Z1296"/>
  <c r="AA926"/>
  <c r="AA704"/>
  <c r="AA479"/>
  <c r="AA480" s="1"/>
  <c r="Z1973"/>
  <c r="AA1891"/>
  <c r="Z1718"/>
  <c r="Z1723"/>
  <c r="AA1740"/>
  <c r="AA1074"/>
  <c r="Z257"/>
  <c r="AA1797"/>
  <c r="Z1888"/>
  <c r="Z1792"/>
  <c r="Z1444"/>
  <c r="AA257"/>
  <c r="AA1975"/>
  <c r="Z1743"/>
  <c r="Z1531"/>
  <c r="AA1605"/>
  <c r="AA1531"/>
  <c r="AA556"/>
  <c r="AA557" s="1"/>
  <c r="Z1827"/>
  <c r="AA1664"/>
  <c r="Z1679"/>
  <c r="Z1516"/>
  <c r="AA1595"/>
  <c r="Z1457"/>
  <c r="Z1605"/>
  <c r="Z1529"/>
  <c r="Z1427"/>
  <c r="AA1447"/>
  <c r="AA1353"/>
  <c r="Z1205"/>
  <c r="Z1570"/>
  <c r="AA1521"/>
  <c r="Z1383"/>
  <c r="AA1200"/>
  <c r="Z1348"/>
  <c r="Z1151"/>
  <c r="Z1087"/>
  <c r="AA909"/>
  <c r="AA717"/>
  <c r="Z789"/>
  <c r="AA1307"/>
  <c r="Z1146"/>
  <c r="Z1052"/>
  <c r="AA1003"/>
  <c r="Z1575"/>
  <c r="AA1457"/>
  <c r="Z1353"/>
  <c r="Z978"/>
  <c r="Z939"/>
  <c r="AA830"/>
  <c r="AA761"/>
  <c r="AA534"/>
  <c r="Z613"/>
  <c r="Z539"/>
  <c r="AA1205"/>
  <c r="Z761"/>
  <c r="AA756"/>
  <c r="Z687"/>
  <c r="Z482"/>
  <c r="Z416"/>
  <c r="Z87"/>
  <c r="AA194"/>
  <c r="AA16"/>
  <c r="AA789"/>
  <c r="AA687"/>
  <c r="Z569"/>
  <c r="AA569"/>
  <c r="AA641"/>
  <c r="AA457"/>
  <c r="AA482"/>
  <c r="AA539"/>
  <c r="Z643"/>
  <c r="AA314"/>
  <c r="Z344"/>
  <c r="AA122"/>
  <c r="AA35"/>
  <c r="Z462"/>
  <c r="AA383"/>
  <c r="Z388"/>
  <c r="Z166"/>
  <c r="Z255"/>
  <c r="AA186"/>
  <c r="AA416"/>
  <c r="AA92"/>
  <c r="Z567"/>
  <c r="Z403"/>
  <c r="AA181"/>
  <c r="AA702"/>
  <c r="AA1518"/>
  <c r="Z1222"/>
  <c r="Y1222" s="1"/>
  <c r="Z778"/>
  <c r="AA331"/>
  <c r="AA332" s="1"/>
  <c r="Z109"/>
  <c r="Z1945"/>
  <c r="AA1592"/>
  <c r="AA1593" s="1"/>
  <c r="Z479"/>
  <c r="Z480" s="1"/>
  <c r="AA1945"/>
  <c r="Z1871"/>
  <c r="AA1792"/>
  <c r="Z1962"/>
  <c r="Y1962" s="1"/>
  <c r="Z1592"/>
  <c r="Z183"/>
  <c r="Z184" s="1"/>
  <c r="Z1825"/>
  <c r="Z1000"/>
  <c r="AA1000"/>
  <c r="AA1001" s="1"/>
  <c r="AA1825"/>
  <c r="Z1738"/>
  <c r="AA1888"/>
  <c r="AA1889" s="1"/>
  <c r="AA1827"/>
  <c r="AA1677"/>
  <c r="Z1590"/>
  <c r="Z1496"/>
  <c r="Z1666"/>
  <c r="Z1975"/>
  <c r="Z1595"/>
  <c r="AA1940"/>
  <c r="AA1738"/>
  <c r="AA1575"/>
  <c r="AA1516"/>
  <c r="AA1348"/>
  <c r="AA1294"/>
  <c r="Z1274"/>
  <c r="AA1220"/>
  <c r="Z1677"/>
  <c r="AA1496"/>
  <c r="AA1146"/>
  <c r="AA1274"/>
  <c r="Z1294"/>
  <c r="Z1225"/>
  <c r="Z1226" s="1"/>
  <c r="AA1381"/>
  <c r="AA1373"/>
  <c r="AA1309"/>
  <c r="AA1126"/>
  <c r="Z1161"/>
  <c r="Z1085"/>
  <c r="AA978"/>
  <c r="AA865"/>
  <c r="AA863"/>
  <c r="Z1299"/>
  <c r="Z1233"/>
  <c r="Z1126"/>
  <c r="AA1159"/>
  <c r="Z1077"/>
  <c r="AA1011"/>
  <c r="AA1455"/>
  <c r="Z1309"/>
  <c r="AA1057"/>
  <c r="Z998"/>
  <c r="Z924"/>
  <c r="Z835"/>
  <c r="AA567"/>
  <c r="Z628"/>
  <c r="AA1131"/>
  <c r="AA924"/>
  <c r="AA791"/>
  <c r="AA781"/>
  <c r="Z608"/>
  <c r="Z554"/>
  <c r="Z240"/>
  <c r="AA112"/>
  <c r="Z194"/>
  <c r="Z45"/>
  <c r="Z43"/>
  <c r="AA1151"/>
  <c r="Z756"/>
  <c r="AA554"/>
  <c r="Z702"/>
  <c r="AA608"/>
  <c r="Z1057"/>
  <c r="AA707"/>
  <c r="AA408"/>
  <c r="AA240"/>
  <c r="Z92"/>
  <c r="Z107"/>
  <c r="Z850"/>
  <c r="Z260"/>
  <c r="Z181"/>
  <c r="AA87"/>
  <c r="Z35"/>
  <c r="AA344"/>
  <c r="AA161"/>
  <c r="Z909"/>
  <c r="AA633"/>
  <c r="Z418"/>
  <c r="AA107"/>
  <c r="AA418"/>
  <c r="Z31"/>
  <c r="Z983"/>
  <c r="AA628"/>
  <c r="I449"/>
  <c r="I442"/>
  <c r="I443" s="1"/>
  <c r="X766"/>
  <c r="K1118"/>
  <c r="Z447"/>
  <c r="Z445"/>
  <c r="Z446" s="1"/>
  <c r="Z229"/>
  <c r="Z232" s="1"/>
  <c r="Z230"/>
  <c r="Z233" s="1"/>
  <c r="AA447"/>
  <c r="AA445"/>
  <c r="AA446"/>
  <c r="Z750"/>
  <c r="Z751" s="1"/>
  <c r="AA371"/>
  <c r="AA372" s="1"/>
  <c r="AA373"/>
  <c r="Z74"/>
  <c r="Z75" s="1"/>
  <c r="Z72"/>
  <c r="Z73" s="1"/>
  <c r="AA299"/>
  <c r="AA300" s="1"/>
  <c r="AA297"/>
  <c r="AA298" s="1"/>
  <c r="Y444"/>
  <c r="X447"/>
  <c r="X445"/>
  <c r="X446" s="1"/>
  <c r="Y823"/>
  <c r="X824"/>
  <c r="X825" s="1"/>
  <c r="AA155"/>
  <c r="AA158" s="1"/>
  <c r="AA156"/>
  <c r="AA229"/>
  <c r="AA230" s="1"/>
  <c r="AA232"/>
  <c r="AA233" s="1"/>
  <c r="AA443"/>
  <c r="X676"/>
  <c r="X679" s="1"/>
  <c r="Y675"/>
  <c r="X519"/>
  <c r="X520"/>
  <c r="Y518"/>
  <c r="X521"/>
  <c r="X522" s="1"/>
  <c r="X366"/>
  <c r="X367" s="1"/>
  <c r="Y365"/>
  <c r="X364"/>
  <c r="Z744"/>
  <c r="Z745" s="1"/>
  <c r="Z746"/>
  <c r="AA894"/>
  <c r="AA895" s="1"/>
  <c r="AA892"/>
  <c r="AA893"/>
  <c r="Y1193"/>
  <c r="X1194"/>
  <c r="X1197" s="1"/>
  <c r="Z225"/>
  <c r="Z226" s="1"/>
  <c r="Z220" s="1"/>
  <c r="Z221" s="1"/>
  <c r="Z223"/>
  <c r="Z224" s="1"/>
  <c r="AA218"/>
  <c r="AA219" s="1"/>
  <c r="AA292"/>
  <c r="AA293" s="1"/>
  <c r="Z377"/>
  <c r="Z378" s="1"/>
  <c r="Z672"/>
  <c r="Z673" s="1"/>
  <c r="Z670"/>
  <c r="Z671" s="1"/>
  <c r="X744"/>
  <c r="X745" s="1"/>
  <c r="X746"/>
  <c r="Y743"/>
  <c r="AA824"/>
  <c r="AA825" s="1"/>
  <c r="AA827"/>
  <c r="AA828" s="1"/>
  <c r="Z972"/>
  <c r="Z973" s="1"/>
  <c r="Z975"/>
  <c r="Z976" s="1"/>
  <c r="Z1195"/>
  <c r="Z1198" s="1"/>
  <c r="Z1194"/>
  <c r="Z1197"/>
  <c r="AA750"/>
  <c r="AA751" s="1"/>
  <c r="AA898"/>
  <c r="AA899" s="1"/>
  <c r="AA1114"/>
  <c r="AA1115"/>
  <c r="AA1116"/>
  <c r="AA1117" s="1"/>
  <c r="AA1111" s="1"/>
  <c r="AA1112" s="1"/>
  <c r="Z1188"/>
  <c r="Z1189" s="1"/>
  <c r="Z1190"/>
  <c r="Z1191" s="1"/>
  <c r="Z1185" s="1"/>
  <c r="Z1186" s="1"/>
  <c r="Z1490"/>
  <c r="Z1491" s="1"/>
  <c r="Z1493"/>
  <c r="Z1494" s="1"/>
  <c r="Z894"/>
  <c r="Z892"/>
  <c r="Z893" s="1"/>
  <c r="X959"/>
  <c r="X961"/>
  <c r="X962" s="1"/>
  <c r="Y960"/>
  <c r="Z1046"/>
  <c r="Z1047" s="1"/>
  <c r="Z1049"/>
  <c r="Y1267"/>
  <c r="X1268"/>
  <c r="X1271" s="1"/>
  <c r="Y1552"/>
  <c r="X1553"/>
  <c r="X1554" s="1"/>
  <c r="X1551"/>
  <c r="X1336"/>
  <c r="X1337" s="1"/>
  <c r="X1338"/>
  <c r="X1339" s="1"/>
  <c r="X1333" s="1"/>
  <c r="X1334" s="1"/>
  <c r="Y1335"/>
  <c r="AA1342"/>
  <c r="AA1343" s="1"/>
  <c r="X1490"/>
  <c r="X1491"/>
  <c r="X1493"/>
  <c r="Y1489"/>
  <c r="AA1262"/>
  <c r="AA1263"/>
  <c r="AA1264"/>
  <c r="X1403"/>
  <c r="X1405"/>
  <c r="X1406" s="1"/>
  <c r="Y1406" s="1"/>
  <c r="Y1404"/>
  <c r="X1407"/>
  <c r="X1484"/>
  <c r="X1485" s="1"/>
  <c r="Y1483"/>
  <c r="X1486"/>
  <c r="Z1553"/>
  <c r="Z1554" s="1"/>
  <c r="Y1626"/>
  <c r="X1627"/>
  <c r="X1628" s="1"/>
  <c r="X1625"/>
  <c r="Z1780"/>
  <c r="Z1781" s="1"/>
  <c r="Z1782"/>
  <c r="Z1783" s="1"/>
  <c r="Z1777" s="1"/>
  <c r="Z1778" s="1"/>
  <c r="Z1708"/>
  <c r="Z1706"/>
  <c r="Z1707" s="1"/>
  <c r="AA1712"/>
  <c r="AA1713" s="1"/>
  <c r="AA1715"/>
  <c r="Z1486"/>
  <c r="Z1484"/>
  <c r="Z1485" s="1"/>
  <c r="Z1702"/>
  <c r="Z1704" s="1"/>
  <c r="Z1701"/>
  <c r="AA1934"/>
  <c r="AA1935" s="1"/>
  <c r="AA1937"/>
  <c r="AA1938" s="1"/>
  <c r="Y1859"/>
  <c r="X1860"/>
  <c r="X1863" s="1"/>
  <c r="AA1854"/>
  <c r="AA1855" s="1"/>
  <c r="AA1856"/>
  <c r="X2008"/>
  <c r="X2009" s="1"/>
  <c r="Y2007"/>
  <c r="Y1785"/>
  <c r="X1786"/>
  <c r="X1789" s="1"/>
  <c r="Z2004"/>
  <c r="Z2005" s="1"/>
  <c r="Z2002"/>
  <c r="Z2003" s="1"/>
  <c r="AA1930"/>
  <c r="AA1931" s="1"/>
  <c r="AA1925" s="1"/>
  <c r="AA1926" s="1"/>
  <c r="AA1929"/>
  <c r="AA1928"/>
  <c r="F146"/>
  <c r="F147" s="1"/>
  <c r="J145"/>
  <c r="AF656" i="1"/>
  <c r="AF628"/>
  <c r="AF192"/>
  <c r="AF12"/>
  <c r="AF19"/>
  <c r="J93" i="5"/>
  <c r="K155"/>
  <c r="J20"/>
  <c r="AF505" i="1"/>
  <c r="J88" i="5"/>
  <c r="AF489" i="1"/>
  <c r="J115" i="5"/>
  <c r="AF485" i="1"/>
  <c r="K160" i="5"/>
  <c r="AF477" i="1"/>
  <c r="K88" i="5"/>
  <c r="AF345" i="1"/>
  <c r="J79" i="5"/>
  <c r="AF341" i="1"/>
  <c r="J25" i="5"/>
  <c r="K21"/>
  <c r="AF193" i="1"/>
  <c r="K133" i="5"/>
  <c r="AF93" i="1"/>
  <c r="J52" i="5"/>
  <c r="K48"/>
  <c r="K11" i="4"/>
  <c r="K11" i="5"/>
  <c r="K101"/>
  <c r="K92"/>
  <c r="AG341" i="1"/>
  <c r="K20" i="5"/>
  <c r="K47"/>
  <c r="AG45" i="1"/>
  <c r="J182" i="5"/>
  <c r="L78" i="8"/>
  <c r="L42"/>
  <c r="K87"/>
  <c r="L32"/>
  <c r="J70" i="4"/>
  <c r="J52"/>
  <c r="J25"/>
  <c r="J34"/>
  <c r="J61"/>
  <c r="K30"/>
  <c r="K65"/>
  <c r="K66"/>
  <c r="K56"/>
  <c r="K39"/>
  <c r="K21"/>
  <c r="J43"/>
  <c r="K48"/>
  <c r="K47"/>
  <c r="K38"/>
  <c r="K29"/>
  <c r="K57"/>
  <c r="K20"/>
  <c r="L25"/>
  <c r="L26" s="1"/>
  <c r="Y145" i="10" s="1"/>
  <c r="L52" i="4"/>
  <c r="L53" s="1"/>
  <c r="L61"/>
  <c r="L62" s="1"/>
  <c r="L34"/>
  <c r="L35" s="1"/>
  <c r="L70"/>
  <c r="L71" s="1"/>
  <c r="L43"/>
  <c r="L44" s="1"/>
  <c r="L39"/>
  <c r="L66"/>
  <c r="L47"/>
  <c r="AF860" i="1"/>
  <c r="J151" i="5"/>
  <c r="AF484" i="1"/>
  <c r="K156" i="5"/>
  <c r="AF388" i="1"/>
  <c r="K39" i="5"/>
  <c r="AF268" i="1"/>
  <c r="J174" i="5"/>
  <c r="AF264" i="1"/>
  <c r="J165" i="5"/>
  <c r="AF208" i="1"/>
  <c r="J34" i="5"/>
  <c r="AF180" i="1"/>
  <c r="J75" i="5"/>
  <c r="AF80" i="1"/>
  <c r="K106" i="5"/>
  <c r="AF44" i="1"/>
  <c r="K187" i="5"/>
  <c r="AF28" i="1"/>
  <c r="J187" i="5"/>
  <c r="K38"/>
  <c r="AG268" i="1"/>
  <c r="J173" i="5"/>
  <c r="J164"/>
  <c r="J74"/>
  <c r="J29" i="4"/>
  <c r="J66"/>
  <c r="J21"/>
  <c r="J48"/>
  <c r="J47"/>
  <c r="J38"/>
  <c r="J30"/>
  <c r="J39"/>
  <c r="J56"/>
  <c r="J57"/>
  <c r="J20"/>
  <c r="J65"/>
  <c r="K61"/>
  <c r="K34"/>
  <c r="K52"/>
  <c r="K70"/>
  <c r="K71" s="1"/>
  <c r="K25"/>
  <c r="K43"/>
  <c r="L30"/>
  <c r="L21"/>
  <c r="L56"/>
  <c r="AF9" i="1"/>
  <c r="J16" i="4"/>
  <c r="K12"/>
  <c r="J16" i="5"/>
  <c r="J106"/>
  <c r="J107" s="1"/>
  <c r="K102"/>
  <c r="K12"/>
  <c r="AF917" i="1"/>
  <c r="K124" i="5"/>
  <c r="AF429" i="1"/>
  <c r="J97" i="5"/>
  <c r="AF405" i="1"/>
  <c r="K93" i="5"/>
  <c r="AF205" i="1"/>
  <c r="K52" i="5"/>
  <c r="AF197" i="1"/>
  <c r="J124" i="5"/>
  <c r="K120"/>
  <c r="AF157" i="1"/>
  <c r="J70" i="5"/>
  <c r="AF45" i="1"/>
  <c r="J183" i="5"/>
  <c r="AF13" i="1"/>
  <c r="J142" i="5"/>
  <c r="K119"/>
  <c r="AF875" i="1"/>
  <c r="K151" i="5"/>
  <c r="AF851" i="1"/>
  <c r="J147" i="5"/>
  <c r="AF659" i="1"/>
  <c r="J39" i="5"/>
  <c r="AF655" i="1"/>
  <c r="K115" i="5"/>
  <c r="J146"/>
  <c r="AG659" i="1"/>
  <c r="J38" i="5"/>
  <c r="AG611" i="1"/>
  <c r="J92" i="5"/>
  <c r="AG267" i="1"/>
  <c r="J47" i="5"/>
  <c r="K164"/>
  <c r="AG191" i="1"/>
  <c r="K128" i="5"/>
  <c r="J29"/>
  <c r="K74"/>
  <c r="AG159" i="1"/>
  <c r="J56" i="5"/>
  <c r="K65"/>
  <c r="J101"/>
  <c r="K137"/>
  <c r="L38" i="4"/>
  <c r="L29"/>
  <c r="L48"/>
  <c r="L41" i="8"/>
  <c r="AF491" i="1"/>
  <c r="K97" i="5"/>
  <c r="AF483" i="1"/>
  <c r="K111" i="5"/>
  <c r="AF387" i="1"/>
  <c r="J43" i="5"/>
  <c r="K43"/>
  <c r="AF339" i="1"/>
  <c r="J21" i="5"/>
  <c r="J22" s="1"/>
  <c r="J23" s="1"/>
  <c r="AF291" i="1"/>
  <c r="K34" i="5"/>
  <c r="AF287" i="1"/>
  <c r="K79" i="5"/>
  <c r="AF267" i="1"/>
  <c r="J48" i="5"/>
  <c r="AF263" i="1"/>
  <c r="J169" i="5"/>
  <c r="K165"/>
  <c r="AF219" i="1"/>
  <c r="J178" i="5"/>
  <c r="AF215" i="1"/>
  <c r="K178" i="5"/>
  <c r="AF191" i="1"/>
  <c r="J133" i="5"/>
  <c r="K129"/>
  <c r="J30"/>
  <c r="AF179" i="1"/>
  <c r="K75" i="5"/>
  <c r="AF163" i="1"/>
  <c r="K196" i="5"/>
  <c r="AF159" i="1"/>
  <c r="J57" i="5"/>
  <c r="AF115" i="1"/>
  <c r="K70" i="5"/>
  <c r="AF111" i="1"/>
  <c r="K66" i="5"/>
  <c r="AF79" i="1"/>
  <c r="J102" i="5"/>
  <c r="AF11" i="1"/>
  <c r="K138" i="5"/>
  <c r="K110"/>
  <c r="AF974" i="1"/>
  <c r="J120" i="5"/>
  <c r="AF854" i="1"/>
  <c r="K147" i="5"/>
  <c r="AF666" i="1"/>
  <c r="J111" i="5"/>
  <c r="AF502" i="1"/>
  <c r="J84" i="5"/>
  <c r="AF494" i="1"/>
  <c r="K84" i="5"/>
  <c r="J196"/>
  <c r="K192"/>
  <c r="AF386" i="1"/>
  <c r="K169" i="5"/>
  <c r="AF218" i="1"/>
  <c r="K174" i="5"/>
  <c r="AF190" i="1"/>
  <c r="J129" i="5"/>
  <c r="AF186" i="1"/>
  <c r="K30" i="5"/>
  <c r="AF154" i="1"/>
  <c r="J66" i="5"/>
  <c r="AF150" i="1"/>
  <c r="K61" i="5"/>
  <c r="K57"/>
  <c r="J61"/>
  <c r="AF26" i="1"/>
  <c r="K183" i="5"/>
  <c r="AF22" i="1"/>
  <c r="K16" i="4"/>
  <c r="K142" i="5"/>
  <c r="K16"/>
  <c r="AF14" i="1"/>
  <c r="J12" i="4"/>
  <c r="J138" i="5"/>
  <c r="J12"/>
  <c r="AG974" i="1"/>
  <c r="J119" i="5"/>
  <c r="AG854" i="1"/>
  <c r="K146" i="5"/>
  <c r="AG666" i="1"/>
  <c r="J110" i="5"/>
  <c r="J83"/>
  <c r="AG494" i="1"/>
  <c r="K83" i="5"/>
  <c r="K191"/>
  <c r="AG218" i="1"/>
  <c r="K173" i="5"/>
  <c r="J128"/>
  <c r="K29"/>
  <c r="AG154" i="1"/>
  <c r="J65" i="5"/>
  <c r="K56"/>
  <c r="K182"/>
  <c r="AG14" i="1"/>
  <c r="J11" i="4"/>
  <c r="J137" i="5"/>
  <c r="J11"/>
  <c r="L20" i="4"/>
  <c r="L57"/>
  <c r="L65"/>
  <c r="L31" i="8"/>
  <c r="L187" i="5"/>
  <c r="L188" s="1"/>
  <c r="L169"/>
  <c r="L170" s="1"/>
  <c r="L151"/>
  <c r="L152" s="1"/>
  <c r="L133"/>
  <c r="L134" s="1"/>
  <c r="L106"/>
  <c r="L107" s="1"/>
  <c r="L88"/>
  <c r="L89" s="1"/>
  <c r="L196"/>
  <c r="L197" s="1"/>
  <c r="L178"/>
  <c r="L179" s="1"/>
  <c r="L160"/>
  <c r="L161" s="1"/>
  <c r="L142"/>
  <c r="L143" s="1"/>
  <c r="L124"/>
  <c r="L125" s="1"/>
  <c r="L115"/>
  <c r="L116" s="1"/>
  <c r="L97"/>
  <c r="L98" s="1"/>
  <c r="L79"/>
  <c r="L80" s="1"/>
  <c r="L12"/>
  <c r="L83"/>
  <c r="L84"/>
  <c r="L102"/>
  <c r="L119"/>
  <c r="L137"/>
  <c r="L155"/>
  <c r="L173"/>
  <c r="L191"/>
  <c r="L101"/>
  <c r="L120"/>
  <c r="L138"/>
  <c r="L156"/>
  <c r="L174"/>
  <c r="L192"/>
  <c r="L75"/>
  <c r="L74"/>
  <c r="L92"/>
  <c r="L110"/>
  <c r="L129"/>
  <c r="L147"/>
  <c r="L165"/>
  <c r="L183"/>
  <c r="L93"/>
  <c r="L111"/>
  <c r="L128"/>
  <c r="L146"/>
  <c r="L164"/>
  <c r="L182"/>
  <c r="L70"/>
  <c r="L71" s="1"/>
  <c r="L61"/>
  <c r="L62" s="1"/>
  <c r="L52"/>
  <c r="L53" s="1"/>
  <c r="L43"/>
  <c r="L44" s="1"/>
  <c r="L34"/>
  <c r="L35" s="1"/>
  <c r="L25"/>
  <c r="L26" s="1"/>
  <c r="L16"/>
  <c r="L17" s="1"/>
  <c r="H9"/>
  <c r="L29"/>
  <c r="L38"/>
  <c r="L47"/>
  <c r="L56"/>
  <c r="L65"/>
  <c r="L20"/>
  <c r="L11"/>
  <c r="L30"/>
  <c r="L39"/>
  <c r="L48"/>
  <c r="L57"/>
  <c r="L66"/>
  <c r="H9" i="4"/>
  <c r="L16"/>
  <c r="L17" s="1"/>
  <c r="L11"/>
  <c r="L12"/>
  <c r="J34" i="3"/>
  <c r="J16"/>
  <c r="J25"/>
  <c r="AG219" i="1"/>
  <c r="AG119"/>
  <c r="AG79"/>
  <c r="AG502"/>
  <c r="AG414"/>
  <c r="AG853"/>
  <c r="AG685"/>
  <c r="AG549"/>
  <c r="AG429"/>
  <c r="AG149"/>
  <c r="AG13"/>
  <c r="AG187"/>
  <c r="AG388"/>
  <c r="AG264"/>
  <c r="AG200"/>
  <c r="L50" i="8" s="1"/>
  <c r="AG180" i="1"/>
  <c r="AG28"/>
  <c r="AG851"/>
  <c r="L84" i="8" s="1"/>
  <c r="AG483" i="1"/>
  <c r="AG387"/>
  <c r="AG339"/>
  <c r="AG263"/>
  <c r="AG215"/>
  <c r="AG179"/>
  <c r="AG163"/>
  <c r="AG111"/>
  <c r="AG11"/>
  <c r="AG186"/>
  <c r="L45" i="8" s="1"/>
  <c r="AG190" i="1"/>
  <c r="AG146"/>
  <c r="AG26"/>
  <c r="AG93"/>
  <c r="K51" i="8" s="1"/>
  <c r="AG9" i="1"/>
  <c r="AG477"/>
  <c r="AG405"/>
  <c r="AG197"/>
  <c r="I75" i="8" s="1"/>
  <c r="AG484" i="1"/>
  <c r="I87" i="8" s="1"/>
  <c r="J30" i="3"/>
  <c r="J20"/>
  <c r="J29"/>
  <c r="J21"/>
  <c r="AF647" i="1"/>
  <c r="AF611"/>
  <c r="AF599"/>
  <c r="AF591"/>
  <c r="AF551"/>
  <c r="AF543"/>
  <c r="AF503"/>
  <c r="K62" i="8" s="1"/>
  <c r="AF439" i="1"/>
  <c r="AF403"/>
  <c r="AF367"/>
  <c r="AF327"/>
  <c r="AF311"/>
  <c r="AF275"/>
  <c r="AF239"/>
  <c r="AF207"/>
  <c r="AF187"/>
  <c r="AF119"/>
  <c r="AF87"/>
  <c r="AF55"/>
  <c r="AF418"/>
  <c r="AF414"/>
  <c r="AF362"/>
  <c r="AF354"/>
  <c r="AF350"/>
  <c r="AF174"/>
  <c r="AF146"/>
  <c r="AF66"/>
  <c r="AF34"/>
  <c r="J11" i="3"/>
  <c r="J12"/>
  <c r="K8"/>
  <c r="L65" i="8" l="1"/>
  <c r="K157" i="5"/>
  <c r="K158" s="1"/>
  <c r="Z2006" i="10"/>
  <c r="AA1857"/>
  <c r="AA1851" s="1"/>
  <c r="AA1852" s="1"/>
  <c r="AA1716"/>
  <c r="Z1784"/>
  <c r="AA1345"/>
  <c r="AA1346" s="1"/>
  <c r="X1340"/>
  <c r="X1269"/>
  <c r="X1272" s="1"/>
  <c r="Z1050"/>
  <c r="AA1118"/>
  <c r="AA753"/>
  <c r="AA754" s="1"/>
  <c r="Z674"/>
  <c r="Z227"/>
  <c r="Z747"/>
  <c r="Y367"/>
  <c r="AA301"/>
  <c r="AA374"/>
  <c r="Z1961"/>
  <c r="Z1591"/>
  <c r="Z1295"/>
  <c r="Z1147"/>
  <c r="Z703"/>
  <c r="Z404"/>
  <c r="Z256"/>
  <c r="Z1813"/>
  <c r="Z1665"/>
  <c r="Z1369"/>
  <c r="Z1887"/>
  <c r="Z1739"/>
  <c r="Z1443"/>
  <c r="Z999"/>
  <c r="Z777"/>
  <c r="Z555"/>
  <c r="Z108"/>
  <c r="Z1073"/>
  <c r="Z925"/>
  <c r="Z851"/>
  <c r="Z182"/>
  <c r="Z1221"/>
  <c r="Z629"/>
  <c r="Z478"/>
  <c r="Z1517"/>
  <c r="Z330"/>
  <c r="Z34"/>
  <c r="Z38"/>
  <c r="Z39" s="1"/>
  <c r="AA634"/>
  <c r="Z36"/>
  <c r="Z858"/>
  <c r="Z859" s="1"/>
  <c r="Z854"/>
  <c r="Z860" s="1"/>
  <c r="AA409"/>
  <c r="AA410"/>
  <c r="Z705"/>
  <c r="Z710"/>
  <c r="Z711" s="1"/>
  <c r="Z706"/>
  <c r="Z44"/>
  <c r="Z48"/>
  <c r="Z49" s="1"/>
  <c r="Z241"/>
  <c r="Z242" s="1"/>
  <c r="Z243"/>
  <c r="Z244" s="1"/>
  <c r="AA793"/>
  <c r="AA792"/>
  <c r="AA568"/>
  <c r="AA572"/>
  <c r="AA573" s="1"/>
  <c r="AA1059"/>
  <c r="AA1058"/>
  <c r="AA1060"/>
  <c r="AA1061" s="1"/>
  <c r="AA1062" s="1"/>
  <c r="Z1079"/>
  <c r="Z1083" s="1"/>
  <c r="Z1078"/>
  <c r="Z1300"/>
  <c r="Z1090"/>
  <c r="Z1086"/>
  <c r="Z1091"/>
  <c r="AA1374"/>
  <c r="AA1329"/>
  <c r="AA1275"/>
  <c r="AA1276" s="1"/>
  <c r="AA1223"/>
  <c r="AA1224"/>
  <c r="AA1228"/>
  <c r="AA1229" s="1"/>
  <c r="AA1519"/>
  <c r="AA1520"/>
  <c r="AA1524"/>
  <c r="AA1525" s="1"/>
  <c r="Z1596"/>
  <c r="Z1597"/>
  <c r="Z1601" s="1"/>
  <c r="Z1594"/>
  <c r="Z1600" s="1"/>
  <c r="Z1598"/>
  <c r="Z1599" s="1"/>
  <c r="Z1742"/>
  <c r="Z1746"/>
  <c r="Z1747" s="1"/>
  <c r="Z1830"/>
  <c r="Z1831" s="1"/>
  <c r="Z1826"/>
  <c r="Z1832" s="1"/>
  <c r="AA1847"/>
  <c r="AA1793"/>
  <c r="AA1794" s="1"/>
  <c r="Z779"/>
  <c r="Y778"/>
  <c r="AA185"/>
  <c r="AA189"/>
  <c r="AA190" s="1"/>
  <c r="AA422"/>
  <c r="AA417"/>
  <c r="AA421"/>
  <c r="Z389"/>
  <c r="Z390" s="1"/>
  <c r="Z391"/>
  <c r="Z392" s="1"/>
  <c r="Z393" s="1"/>
  <c r="AA124"/>
  <c r="AA123"/>
  <c r="AA542"/>
  <c r="AA541"/>
  <c r="AA540"/>
  <c r="AA571"/>
  <c r="AA570"/>
  <c r="AA18"/>
  <c r="AA19"/>
  <c r="AA17"/>
  <c r="Z483"/>
  <c r="Z484"/>
  <c r="Z488" s="1"/>
  <c r="AA1206"/>
  <c r="AA1207"/>
  <c r="AA1208"/>
  <c r="AA1209" s="1"/>
  <c r="AA1210" s="1"/>
  <c r="AA762"/>
  <c r="AA763"/>
  <c r="AA764"/>
  <c r="Z1354"/>
  <c r="Z1355" s="1"/>
  <c r="Z1356"/>
  <c r="Z1357" s="1"/>
  <c r="Z1053"/>
  <c r="Z1054" s="1"/>
  <c r="Z1107"/>
  <c r="AA719"/>
  <c r="AA718"/>
  <c r="Z1403"/>
  <c r="Z1349"/>
  <c r="Z1350" s="1"/>
  <c r="Z1625"/>
  <c r="Z1571"/>
  <c r="Z1572" s="1"/>
  <c r="Z1428"/>
  <c r="Z1429" s="1"/>
  <c r="Z1430"/>
  <c r="Z1431" s="1"/>
  <c r="AA1596"/>
  <c r="Z1829"/>
  <c r="Z1828"/>
  <c r="Z1532"/>
  <c r="Z1533"/>
  <c r="Z1537" s="1"/>
  <c r="Z1445"/>
  <c r="Y1444"/>
  <c r="Z1719"/>
  <c r="Z1720" s="1"/>
  <c r="Z1773"/>
  <c r="AA705"/>
  <c r="Z1941"/>
  <c r="Z1942" s="1"/>
  <c r="Z1995"/>
  <c r="AA737"/>
  <c r="AA683"/>
  <c r="AA684" s="1"/>
  <c r="Z333"/>
  <c r="Z339" s="1"/>
  <c r="Z337"/>
  <c r="Z338"/>
  <c r="Z720"/>
  <c r="Z721" s="1"/>
  <c r="Z716"/>
  <c r="Z335"/>
  <c r="AA46"/>
  <c r="AA47"/>
  <c r="AA494"/>
  <c r="AA493"/>
  <c r="Z867"/>
  <c r="Z866"/>
  <c r="AA168"/>
  <c r="AA167"/>
  <c r="AA169"/>
  <c r="AA170" s="1"/>
  <c r="AA171" s="1"/>
  <c r="Z646"/>
  <c r="Z642"/>
  <c r="Z647"/>
  <c r="Z737"/>
  <c r="Z683"/>
  <c r="Z684" s="1"/>
  <c r="Z1164"/>
  <c r="Z1165" s="1"/>
  <c r="Z1160"/>
  <c r="Z1312"/>
  <c r="Z1313" s="1"/>
  <c r="Z1308"/>
  <c r="AA856"/>
  <c r="Z1255"/>
  <c r="Z1201"/>
  <c r="Z1202" s="1"/>
  <c r="AA1477"/>
  <c r="AA1423"/>
  <c r="AA1424" s="1"/>
  <c r="AA1300"/>
  <c r="Z1502"/>
  <c r="Z1503" s="1"/>
  <c r="Z1504"/>
  <c r="Z1505" s="1"/>
  <c r="Z1506" s="1"/>
  <c r="AA1598"/>
  <c r="AA1599" s="1"/>
  <c r="AA1594"/>
  <c r="AA1600" s="1"/>
  <c r="AA1297"/>
  <c r="Z1754"/>
  <c r="Z1755"/>
  <c r="Z1759" s="1"/>
  <c r="AA853"/>
  <c r="AA1902"/>
  <c r="AA1903"/>
  <c r="AA1907" s="1"/>
  <c r="AA1873"/>
  <c r="AA1872"/>
  <c r="AA1874"/>
  <c r="Z496"/>
  <c r="Z491"/>
  <c r="Z495"/>
  <c r="AA364"/>
  <c r="AA310"/>
  <c r="AA311" s="1"/>
  <c r="Z885"/>
  <c r="Z831"/>
  <c r="Z832" s="1"/>
  <c r="AA236"/>
  <c r="AA237" s="1"/>
  <c r="AA290"/>
  <c r="Z12"/>
  <c r="Z13" s="1"/>
  <c r="Z65"/>
  <c r="Z485"/>
  <c r="Z481"/>
  <c r="Z487" s="1"/>
  <c r="Z486"/>
  <c r="AA496"/>
  <c r="AA495"/>
  <c r="AA491"/>
  <c r="AA497" s="1"/>
  <c r="Z124"/>
  <c r="Z123"/>
  <c r="Z535"/>
  <c r="Z589"/>
  <c r="Z536"/>
  <c r="X533"/>
  <c r="AA941"/>
  <c r="AA945" s="1"/>
  <c r="AA940"/>
  <c r="Z1374"/>
  <c r="AA1237"/>
  <c r="AA1241" s="1"/>
  <c r="AA1236"/>
  <c r="Z1673"/>
  <c r="Z1668"/>
  <c r="Z1672"/>
  <c r="Z1477"/>
  <c r="Z1423"/>
  <c r="Z1424" s="1"/>
  <c r="AA1699"/>
  <c r="AA1645"/>
  <c r="AA1646" s="1"/>
  <c r="Z1519"/>
  <c r="Y1518"/>
  <c r="AA1670"/>
  <c r="Y704"/>
  <c r="Y1814"/>
  <c r="AA1978"/>
  <c r="AA1979" s="1"/>
  <c r="AA1974"/>
  <c r="Y1370"/>
  <c r="V598"/>
  <c r="V596"/>
  <c r="V597"/>
  <c r="U299"/>
  <c r="U297"/>
  <c r="U298" s="1"/>
  <c r="U746"/>
  <c r="U744"/>
  <c r="U745" s="1"/>
  <c r="V1338"/>
  <c r="V1337"/>
  <c r="V1336"/>
  <c r="U1627"/>
  <c r="U1628" s="1"/>
  <c r="V225"/>
  <c r="V223"/>
  <c r="V224"/>
  <c r="V366"/>
  <c r="V367" s="1"/>
  <c r="V887"/>
  <c r="V888" s="1"/>
  <c r="U440"/>
  <c r="U441" s="1"/>
  <c r="U591"/>
  <c r="U592"/>
  <c r="S589"/>
  <c r="U1331"/>
  <c r="U1332" s="1"/>
  <c r="V1855"/>
  <c r="V1854"/>
  <c r="V1856"/>
  <c r="V1857" s="1"/>
  <c r="U1856"/>
  <c r="U1854"/>
  <c r="U1855" s="1"/>
  <c r="U72"/>
  <c r="U73" s="1"/>
  <c r="U74"/>
  <c r="U75" s="1"/>
  <c r="U76" s="1"/>
  <c r="U1486"/>
  <c r="U1484"/>
  <c r="U1485" s="1"/>
  <c r="V1632"/>
  <c r="V1634"/>
  <c r="V1635" s="1"/>
  <c r="V1636" s="1"/>
  <c r="V1633"/>
  <c r="V1930"/>
  <c r="V1929"/>
  <c r="V1928"/>
  <c r="U598"/>
  <c r="U596"/>
  <c r="U597"/>
  <c r="T595"/>
  <c r="U447"/>
  <c r="U445"/>
  <c r="U446" s="1"/>
  <c r="V894"/>
  <c r="V893"/>
  <c r="V892"/>
  <c r="V1042"/>
  <c r="V1041"/>
  <c r="V1040"/>
  <c r="V1035"/>
  <c r="V1036" s="1"/>
  <c r="V1264"/>
  <c r="V1263"/>
  <c r="V1262"/>
  <c r="V1627"/>
  <c r="V1628" s="1"/>
  <c r="U1479"/>
  <c r="U1480" s="1"/>
  <c r="X1961"/>
  <c r="X1887"/>
  <c r="X1443"/>
  <c r="X851"/>
  <c r="X703"/>
  <c r="X404"/>
  <c r="X182"/>
  <c r="X1665"/>
  <c r="X1517"/>
  <c r="X1221"/>
  <c r="X1739"/>
  <c r="X1591"/>
  <c r="X1295"/>
  <c r="X1147"/>
  <c r="X999"/>
  <c r="X555"/>
  <c r="X108"/>
  <c r="X256"/>
  <c r="X1813"/>
  <c r="X777"/>
  <c r="X629"/>
  <c r="X478"/>
  <c r="X1369"/>
  <c r="X1073"/>
  <c r="X925"/>
  <c r="X330"/>
  <c r="X34"/>
  <c r="X38"/>
  <c r="Y31"/>
  <c r="X33"/>
  <c r="T863"/>
  <c r="S864"/>
  <c r="S868"/>
  <c r="N927"/>
  <c r="O924"/>
  <c r="N928"/>
  <c r="N934" s="1"/>
  <c r="N932"/>
  <c r="N933"/>
  <c r="I629"/>
  <c r="I25" i="13" s="1"/>
  <c r="L25" s="1"/>
  <c r="I631" i="10"/>
  <c r="I28" i="13" s="1"/>
  <c r="L28" s="1"/>
  <c r="I636" i="10"/>
  <c r="J628"/>
  <c r="I632"/>
  <c r="X1766"/>
  <c r="X1762"/>
  <c r="Y1761"/>
  <c r="I1096"/>
  <c r="I1100"/>
  <c r="I1101" s="1"/>
  <c r="J1095"/>
  <c r="O1095"/>
  <c r="N1096"/>
  <c r="N1100"/>
  <c r="N1396"/>
  <c r="N1397" s="1"/>
  <c r="O1391"/>
  <c r="N1392"/>
  <c r="N36"/>
  <c r="O35"/>
  <c r="O929"/>
  <c r="N930"/>
  <c r="S1828"/>
  <c r="T1827"/>
  <c r="S1829"/>
  <c r="I1986"/>
  <c r="I1991" s="1"/>
  <c r="J1985"/>
  <c r="S1735"/>
  <c r="S1737"/>
  <c r="S898"/>
  <c r="S899" s="1"/>
  <c r="S901"/>
  <c r="S902" s="1"/>
  <c r="T897"/>
  <c r="N2004"/>
  <c r="O2001"/>
  <c r="N2002"/>
  <c r="N2003" s="1"/>
  <c r="O1996"/>
  <c r="N1995"/>
  <c r="N1997"/>
  <c r="N1998" s="1"/>
  <c r="Y1753"/>
  <c r="X1755"/>
  <c r="X1754"/>
  <c r="S1120"/>
  <c r="S1121" s="1"/>
  <c r="T1119"/>
  <c r="S2004"/>
  <c r="S2005" s="1"/>
  <c r="S2006" s="1"/>
  <c r="S2002"/>
  <c r="S2003" s="1"/>
  <c r="T2001"/>
  <c r="I728"/>
  <c r="I733" s="1"/>
  <c r="J727"/>
  <c r="O1319"/>
  <c r="N1320"/>
  <c r="N1325" s="1"/>
  <c r="O331"/>
  <c r="N332"/>
  <c r="N123"/>
  <c r="O122"/>
  <c r="N124"/>
  <c r="N483"/>
  <c r="O482"/>
  <c r="N121"/>
  <c r="O120"/>
  <c r="N125"/>
  <c r="O255"/>
  <c r="N259"/>
  <c r="N263"/>
  <c r="O196"/>
  <c r="N197"/>
  <c r="N198"/>
  <c r="N419"/>
  <c r="N420"/>
  <c r="O418"/>
  <c r="U916"/>
  <c r="U919" s="1"/>
  <c r="U917"/>
  <c r="U920" s="1"/>
  <c r="P1342"/>
  <c r="P1345" s="1"/>
  <c r="P1343"/>
  <c r="P1346" s="1"/>
  <c r="P898"/>
  <c r="P899" s="1"/>
  <c r="P901"/>
  <c r="P902" s="1"/>
  <c r="U1508"/>
  <c r="U1511" s="1"/>
  <c r="U1509"/>
  <c r="U1512" s="1"/>
  <c r="P78"/>
  <c r="P81" s="1"/>
  <c r="P79"/>
  <c r="P82" s="1"/>
  <c r="P1416"/>
  <c r="P1419" s="1"/>
  <c r="P1417"/>
  <c r="P1420" s="1"/>
  <c r="U23"/>
  <c r="U24" s="1"/>
  <c r="U26"/>
  <c r="U27" s="1"/>
  <c r="P676"/>
  <c r="P679" s="1"/>
  <c r="P677"/>
  <c r="P680" s="1"/>
  <c r="P1934"/>
  <c r="P1935" s="1"/>
  <c r="P1937"/>
  <c r="V472"/>
  <c r="V469"/>
  <c r="V470"/>
  <c r="V1138"/>
  <c r="V1139" s="1"/>
  <c r="V1141"/>
  <c r="V1142" s="1"/>
  <c r="V1878"/>
  <c r="V1881" s="1"/>
  <c r="V769"/>
  <c r="V771"/>
  <c r="V768"/>
  <c r="V842"/>
  <c r="V845"/>
  <c r="V843"/>
  <c r="V846" s="1"/>
  <c r="V990"/>
  <c r="V991" s="1"/>
  <c r="V1360"/>
  <c r="V1363" s="1"/>
  <c r="V395"/>
  <c r="V396" s="1"/>
  <c r="V399" s="1"/>
  <c r="V398"/>
  <c r="V386" s="1"/>
  <c r="V1656"/>
  <c r="V1659"/>
  <c r="V1657"/>
  <c r="V1660" s="1"/>
  <c r="Q2008"/>
  <c r="Q2011" s="1"/>
  <c r="Q2009"/>
  <c r="Q2012" s="1"/>
  <c r="Q1046"/>
  <c r="Q1047" s="1"/>
  <c r="Q1049"/>
  <c r="Q1050" s="1"/>
  <c r="P526"/>
  <c r="P525"/>
  <c r="P528"/>
  <c r="Q824"/>
  <c r="Q827" s="1"/>
  <c r="Q825"/>
  <c r="P451"/>
  <c r="P452" s="1"/>
  <c r="P454"/>
  <c r="P455" s="1"/>
  <c r="Q1564"/>
  <c r="Q1565" s="1"/>
  <c r="Q1342"/>
  <c r="Q1343" s="1"/>
  <c r="Q1268"/>
  <c r="Q1271" s="1"/>
  <c r="Q1269"/>
  <c r="Q1786"/>
  <c r="Q1789" s="1"/>
  <c r="Y1886"/>
  <c r="X1890"/>
  <c r="X1894"/>
  <c r="X1889"/>
  <c r="N1026"/>
  <c r="N1022"/>
  <c r="O1021"/>
  <c r="X1466"/>
  <c r="X1470"/>
  <c r="Y1465"/>
  <c r="S1678"/>
  <c r="S1682"/>
  <c r="T1677"/>
  <c r="S1318"/>
  <c r="T1317"/>
  <c r="S1322"/>
  <c r="N1928"/>
  <c r="N1929" s="1"/>
  <c r="N1930"/>
  <c r="O1927"/>
  <c r="N990"/>
  <c r="N991" s="1"/>
  <c r="O989"/>
  <c r="N993"/>
  <c r="N994" s="1"/>
  <c r="O664"/>
  <c r="N665"/>
  <c r="N666" s="1"/>
  <c r="N663"/>
  <c r="I1764"/>
  <c r="I1769" s="1"/>
  <c r="J1763"/>
  <c r="S824"/>
  <c r="S825" s="1"/>
  <c r="S827"/>
  <c r="T823"/>
  <c r="X1434"/>
  <c r="X1437" s="1"/>
  <c r="Y1433"/>
  <c r="O1489"/>
  <c r="N1490"/>
  <c r="N1491" s="1"/>
  <c r="T1319"/>
  <c r="S1320"/>
  <c r="S1325" s="1"/>
  <c r="AA1784"/>
  <c r="Y1776"/>
  <c r="Y1924"/>
  <c r="Z1642"/>
  <c r="AA1630"/>
  <c r="AA1413"/>
  <c r="AA1414" s="1"/>
  <c r="AA1487"/>
  <c r="AA1488" s="1"/>
  <c r="Z822"/>
  <c r="Z599"/>
  <c r="Z593" s="1"/>
  <c r="Z594" s="1"/>
  <c r="AA306"/>
  <c r="AA307" s="1"/>
  <c r="AA673"/>
  <c r="AA667" s="1"/>
  <c r="AA668" s="1"/>
  <c r="X152"/>
  <c r="X146" s="1"/>
  <c r="X147" s="1"/>
  <c r="I317"/>
  <c r="J314"/>
  <c r="I315"/>
  <c r="I316" s="1"/>
  <c r="I169"/>
  <c r="I170" s="1"/>
  <c r="J166"/>
  <c r="I167"/>
  <c r="I168" s="1"/>
  <c r="I463"/>
  <c r="I464" s="1"/>
  <c r="I465"/>
  <c r="I466" s="1"/>
  <c r="I467" s="1"/>
  <c r="J462"/>
  <c r="I99"/>
  <c r="I102" s="1"/>
  <c r="I100"/>
  <c r="J98"/>
  <c r="O320"/>
  <c r="N321"/>
  <c r="N324" s="1"/>
  <c r="N322"/>
  <c r="N395"/>
  <c r="N398" s="1"/>
  <c r="O394"/>
  <c r="N396"/>
  <c r="N399" s="1"/>
  <c r="O206"/>
  <c r="N207"/>
  <c r="N212" s="1"/>
  <c r="I472"/>
  <c r="I469"/>
  <c r="J468"/>
  <c r="I470"/>
  <c r="N505"/>
  <c r="O500"/>
  <c r="N501"/>
  <c r="N506"/>
  <c r="N88"/>
  <c r="N89" s="1"/>
  <c r="O87"/>
  <c r="O142"/>
  <c r="N86"/>
  <c r="N310"/>
  <c r="N311" s="1"/>
  <c r="N308"/>
  <c r="O364"/>
  <c r="O309"/>
  <c r="J512"/>
  <c r="I456"/>
  <c r="I458"/>
  <c r="I459" s="1"/>
  <c r="J459" s="1"/>
  <c r="J457"/>
  <c r="X363"/>
  <c r="Y362"/>
  <c r="S106"/>
  <c r="S104"/>
  <c r="S254"/>
  <c r="S252"/>
  <c r="Z736"/>
  <c r="Y735"/>
  <c r="Z1180"/>
  <c r="Y1179"/>
  <c r="Z958"/>
  <c r="Y957"/>
  <c r="Z1106"/>
  <c r="Y1105"/>
  <c r="Z1550"/>
  <c r="Y1549"/>
  <c r="V923"/>
  <c r="V328"/>
  <c r="V1515"/>
  <c r="V1219"/>
  <c r="V30"/>
  <c r="V1885"/>
  <c r="U553"/>
  <c r="S551"/>
  <c r="V1145"/>
  <c r="V1737"/>
  <c r="I1517"/>
  <c r="I169" i="13" s="1"/>
  <c r="L169" s="1"/>
  <c r="I1519" i="10"/>
  <c r="I172" i="13" s="1"/>
  <c r="L172" s="1"/>
  <c r="I1524" i="10"/>
  <c r="J1516"/>
  <c r="I1520"/>
  <c r="S928"/>
  <c r="S932"/>
  <c r="T924"/>
  <c r="S927"/>
  <c r="X938"/>
  <c r="X942"/>
  <c r="X943" s="1"/>
  <c r="Y937"/>
  <c r="X1964"/>
  <c r="X1968"/>
  <c r="Y1960"/>
  <c r="X1963"/>
  <c r="S1022"/>
  <c r="T1021"/>
  <c r="S1026"/>
  <c r="S1027" s="1"/>
  <c r="O641"/>
  <c r="N642"/>
  <c r="N646"/>
  <c r="N647" s="1"/>
  <c r="S1446"/>
  <c r="T1442"/>
  <c r="S1450"/>
  <c r="S1445"/>
  <c r="X1826"/>
  <c r="X1830"/>
  <c r="Y1825"/>
  <c r="S1742"/>
  <c r="S1746"/>
  <c r="T1738"/>
  <c r="S1747"/>
  <c r="S1741"/>
  <c r="N779"/>
  <c r="N780"/>
  <c r="N784"/>
  <c r="O776"/>
  <c r="X636"/>
  <c r="X632"/>
  <c r="Y628"/>
  <c r="X631"/>
  <c r="N558"/>
  <c r="N557"/>
  <c r="O554"/>
  <c r="N562"/>
  <c r="I703"/>
  <c r="I37" i="13" s="1"/>
  <c r="L37" s="1"/>
  <c r="I705" i="10"/>
  <c r="I40" i="13" s="1"/>
  <c r="L40" s="1"/>
  <c r="I710" i="10"/>
  <c r="I706"/>
  <c r="J702"/>
  <c r="I1312"/>
  <c r="I1308"/>
  <c r="J1307"/>
  <c r="S1090"/>
  <c r="T1085"/>
  <c r="S1086"/>
  <c r="S1091"/>
  <c r="N1174"/>
  <c r="O1169"/>
  <c r="N1170"/>
  <c r="I1591"/>
  <c r="I181" i="13" s="1"/>
  <c r="L181" s="1"/>
  <c r="I1593" i="10"/>
  <c r="I184" i="13" s="1"/>
  <c r="L184" s="1"/>
  <c r="I1594" i="10"/>
  <c r="I1600" s="1"/>
  <c r="J1590"/>
  <c r="I1598"/>
  <c r="I1599" s="1"/>
  <c r="I182" i="13" s="1"/>
  <c r="I185" s="1"/>
  <c r="S30" i="10"/>
  <c r="S28"/>
  <c r="J1531"/>
  <c r="I1533"/>
  <c r="I1532"/>
  <c r="N1497"/>
  <c r="N1498" s="1"/>
  <c r="O1551"/>
  <c r="O1496"/>
  <c r="N1495"/>
  <c r="I23"/>
  <c r="I24" s="1"/>
  <c r="J22"/>
  <c r="I26"/>
  <c r="N56"/>
  <c r="N61" s="1"/>
  <c r="O55"/>
  <c r="I17"/>
  <c r="I18" s="1"/>
  <c r="I19"/>
  <c r="I20" s="1"/>
  <c r="J16"/>
  <c r="I1872"/>
  <c r="I1873" s="1"/>
  <c r="I1874"/>
  <c r="I1875" s="1"/>
  <c r="J1871"/>
  <c r="S921"/>
  <c r="S923"/>
  <c r="I921"/>
  <c r="I923"/>
  <c r="X930"/>
  <c r="Y929"/>
  <c r="X838"/>
  <c r="X839" s="1"/>
  <c r="X840" s="1"/>
  <c r="X836"/>
  <c r="X837" s="1"/>
  <c r="Y835"/>
  <c r="O875"/>
  <c r="N876"/>
  <c r="N881" s="1"/>
  <c r="X1977"/>
  <c r="X1976"/>
  <c r="Y1975"/>
  <c r="J1965"/>
  <c r="I1966"/>
  <c r="S1004"/>
  <c r="T1003"/>
  <c r="O663"/>
  <c r="O608"/>
  <c r="N609"/>
  <c r="N610" s="1"/>
  <c r="N607"/>
  <c r="O633"/>
  <c r="N634"/>
  <c r="O1483"/>
  <c r="N1486"/>
  <c r="N1484"/>
  <c r="N1485" s="1"/>
  <c r="S1459"/>
  <c r="S1458"/>
  <c r="T1457"/>
  <c r="X1793"/>
  <c r="X1794" s="1"/>
  <c r="Y1847"/>
  <c r="X1791"/>
  <c r="Y1792"/>
  <c r="I1809"/>
  <c r="I1811"/>
  <c r="S1856"/>
  <c r="S1854"/>
  <c r="S1855" s="1"/>
  <c r="T1853"/>
  <c r="O1853"/>
  <c r="N1856"/>
  <c r="N1854"/>
  <c r="N1855" s="1"/>
  <c r="N1800"/>
  <c r="N1801" s="1"/>
  <c r="O1797"/>
  <c r="N1798"/>
  <c r="N1799" s="1"/>
  <c r="J1718"/>
  <c r="I1717"/>
  <c r="I1719"/>
  <c r="I1720" s="1"/>
  <c r="J1773"/>
  <c r="N1726"/>
  <c r="N1724"/>
  <c r="N1725" s="1"/>
  <c r="O1723"/>
  <c r="I1755"/>
  <c r="I1754"/>
  <c r="J1753"/>
  <c r="N792"/>
  <c r="O791"/>
  <c r="N793"/>
  <c r="S1035"/>
  <c r="S1036" s="1"/>
  <c r="S1033"/>
  <c r="T1034"/>
  <c r="Y633"/>
  <c r="X634"/>
  <c r="T1211"/>
  <c r="S1212"/>
  <c r="S1215" s="1"/>
  <c r="T915"/>
  <c r="S916"/>
  <c r="S917" s="1"/>
  <c r="S919"/>
  <c r="N542"/>
  <c r="N541"/>
  <c r="N540"/>
  <c r="O539"/>
  <c r="I571"/>
  <c r="I570"/>
  <c r="J569"/>
  <c r="Y1023"/>
  <c r="X1024"/>
  <c r="X1029" s="1"/>
  <c r="Y707"/>
  <c r="X708"/>
  <c r="N681"/>
  <c r="O737"/>
  <c r="O682"/>
  <c r="N683"/>
  <c r="N684" s="1"/>
  <c r="S737"/>
  <c r="T738"/>
  <c r="S739"/>
  <c r="S740" s="1"/>
  <c r="I719"/>
  <c r="I718"/>
  <c r="J717"/>
  <c r="S1311"/>
  <c r="S1310"/>
  <c r="T1309"/>
  <c r="I1293"/>
  <c r="I1291"/>
  <c r="S1183"/>
  <c r="S1184" s="1"/>
  <c r="S1181"/>
  <c r="T1182"/>
  <c r="I1058"/>
  <c r="I1059" s="1"/>
  <c r="I1060"/>
  <c r="J1057"/>
  <c r="N1152"/>
  <c r="O1151"/>
  <c r="Y1274"/>
  <c r="Y1329"/>
  <c r="X1275"/>
  <c r="X1276" s="1"/>
  <c r="X1273"/>
  <c r="O717"/>
  <c r="N718"/>
  <c r="N719"/>
  <c r="I1596"/>
  <c r="J1595"/>
  <c r="S1616"/>
  <c r="S1621" s="1"/>
  <c r="T1615"/>
  <c r="X1596"/>
  <c r="Y1595"/>
  <c r="X1356"/>
  <c r="X1357" s="1"/>
  <c r="X1358" s="1"/>
  <c r="X1354"/>
  <c r="X1355" s="1"/>
  <c r="Y1353"/>
  <c r="S1354"/>
  <c r="S1355" s="1"/>
  <c r="T1353"/>
  <c r="S1356"/>
  <c r="Z2011"/>
  <c r="Z2012" s="1"/>
  <c r="X1783"/>
  <c r="X1777" s="1"/>
  <c r="X1778" s="1"/>
  <c r="AA2005"/>
  <c r="AA1999" s="1"/>
  <c r="AA2000" s="1"/>
  <c r="AA1561"/>
  <c r="AA1562" s="1"/>
  <c r="Y1258"/>
  <c r="AA1185"/>
  <c r="AA1186" s="1"/>
  <c r="X895"/>
  <c r="Z1043"/>
  <c r="Y814"/>
  <c r="Z899"/>
  <c r="Z902" s="1"/>
  <c r="AA599"/>
  <c r="AA593" s="1"/>
  <c r="AA594" s="1"/>
  <c r="AA517"/>
  <c r="AA152"/>
  <c r="X76"/>
  <c r="Z455"/>
  <c r="AA380"/>
  <c r="AA381" s="1"/>
  <c r="Y592"/>
  <c r="X594"/>
  <c r="Z374"/>
  <c r="Z679"/>
  <c r="Z680" s="1"/>
  <c r="Y468"/>
  <c r="X470"/>
  <c r="X469"/>
  <c r="X472"/>
  <c r="X173"/>
  <c r="X176" s="1"/>
  <c r="Y172"/>
  <c r="Y502"/>
  <c r="X503"/>
  <c r="X508" s="1"/>
  <c r="X431"/>
  <c r="Y426"/>
  <c r="X427"/>
  <c r="X432"/>
  <c r="T302"/>
  <c r="S303"/>
  <c r="S304" s="1"/>
  <c r="S306"/>
  <c r="T228"/>
  <c r="S229"/>
  <c r="S230" s="1"/>
  <c r="X417"/>
  <c r="X421"/>
  <c r="Y416"/>
  <c r="X382"/>
  <c r="Y438"/>
  <c r="X384"/>
  <c r="X385" s="1"/>
  <c r="Y383"/>
  <c r="Y418"/>
  <c r="X420"/>
  <c r="X419"/>
  <c r="X111"/>
  <c r="X115"/>
  <c r="Y107"/>
  <c r="Y260"/>
  <c r="X261"/>
  <c r="Y109"/>
  <c r="X110"/>
  <c r="X121"/>
  <c r="X125"/>
  <c r="Y120"/>
  <c r="X272"/>
  <c r="Y270"/>
  <c r="X271"/>
  <c r="X243"/>
  <c r="X244" s="1"/>
  <c r="Y240"/>
  <c r="X241"/>
  <c r="X242" s="1"/>
  <c r="X113"/>
  <c r="Y112"/>
  <c r="T217"/>
  <c r="S216"/>
  <c r="S218"/>
  <c r="S219" s="1"/>
  <c r="S144"/>
  <c r="S145" s="1"/>
  <c r="S142"/>
  <c r="T143"/>
  <c r="T291"/>
  <c r="S290"/>
  <c r="S292"/>
  <c r="S293" s="1"/>
  <c r="T288"/>
  <c r="S289"/>
  <c r="T510"/>
  <c r="S511"/>
  <c r="I1540"/>
  <c r="J1539"/>
  <c r="I1544"/>
  <c r="I1545" s="1"/>
  <c r="X1224"/>
  <c r="X1228"/>
  <c r="Y1220"/>
  <c r="X1223"/>
  <c r="N952"/>
  <c r="O947"/>
  <c r="N948"/>
  <c r="X1836"/>
  <c r="Y1835"/>
  <c r="X1840"/>
  <c r="X1841" s="1"/>
  <c r="N1815"/>
  <c r="N1816"/>
  <c r="N1820"/>
  <c r="O1812"/>
  <c r="N1821"/>
  <c r="S1542"/>
  <c r="S1547" s="1"/>
  <c r="T1541"/>
  <c r="Y1891"/>
  <c r="X1892"/>
  <c r="X1201"/>
  <c r="X1202" s="1"/>
  <c r="Y1200"/>
  <c r="Y1255"/>
  <c r="X1199"/>
  <c r="S1268"/>
  <c r="S1269" s="1"/>
  <c r="T1267"/>
  <c r="S1271"/>
  <c r="S1272" s="1"/>
  <c r="N898"/>
  <c r="N901" s="1"/>
  <c r="O897"/>
  <c r="J904"/>
  <c r="I903"/>
  <c r="I905"/>
  <c r="I906" s="1"/>
  <c r="J959"/>
  <c r="O949"/>
  <c r="N950"/>
  <c r="N955" s="1"/>
  <c r="I1434"/>
  <c r="I1435" s="1"/>
  <c r="J1433"/>
  <c r="I1437"/>
  <c r="I1438" s="1"/>
  <c r="S1860"/>
  <c r="S1861" s="1"/>
  <c r="T1859"/>
  <c r="S1863"/>
  <c r="S1262"/>
  <c r="S1263" s="1"/>
  <c r="S1264"/>
  <c r="S1265" s="1"/>
  <c r="T1261"/>
  <c r="N654"/>
  <c r="N659" s="1"/>
  <c r="O653"/>
  <c r="T1985"/>
  <c r="S1986"/>
  <c r="S1991" s="1"/>
  <c r="X1134"/>
  <c r="X1132"/>
  <c r="Y1131"/>
  <c r="N694"/>
  <c r="N695" s="1"/>
  <c r="O693"/>
  <c r="N1384"/>
  <c r="O1383"/>
  <c r="N1385"/>
  <c r="N1389" s="1"/>
  <c r="AA2012"/>
  <c r="Z1561"/>
  <c r="Z1555" s="1"/>
  <c r="Z1556" s="1"/>
  <c r="X1703"/>
  <c r="X1704" s="1"/>
  <c r="Z1339"/>
  <c r="Z1414"/>
  <c r="X1265"/>
  <c r="X1259" s="1"/>
  <c r="X1260" s="1"/>
  <c r="AA821"/>
  <c r="AA815" s="1"/>
  <c r="AA816" s="1"/>
  <c r="Z1269"/>
  <c r="Z1272" s="1"/>
  <c r="AA677"/>
  <c r="AA680" s="1"/>
  <c r="X368"/>
  <c r="X369" s="1"/>
  <c r="Z1266"/>
  <c r="Y1036"/>
  <c r="Z969"/>
  <c r="Z963" s="1"/>
  <c r="Z964" s="1"/>
  <c r="S169"/>
  <c r="S170" s="1"/>
  <c r="T166"/>
  <c r="S167"/>
  <c r="S168" s="1"/>
  <c r="S95"/>
  <c r="S93"/>
  <c r="S96" s="1"/>
  <c r="T92"/>
  <c r="N445"/>
  <c r="N446" s="1"/>
  <c r="O444"/>
  <c r="N447"/>
  <c r="N448" s="1"/>
  <c r="S332"/>
  <c r="T331"/>
  <c r="N366"/>
  <c r="N367" s="1"/>
  <c r="O365"/>
  <c r="N364"/>
  <c r="T260"/>
  <c r="S261"/>
  <c r="S262"/>
  <c r="S266" s="1"/>
  <c r="S337"/>
  <c r="S335"/>
  <c r="T334"/>
  <c r="S195"/>
  <c r="S199"/>
  <c r="T194"/>
  <c r="T418"/>
  <c r="S419"/>
  <c r="S420"/>
  <c r="S258"/>
  <c r="T257"/>
  <c r="T270"/>
  <c r="S272"/>
  <c r="S271"/>
  <c r="S406"/>
  <c r="T405"/>
  <c r="S343"/>
  <c r="T342"/>
  <c r="S347"/>
  <c r="S348"/>
  <c r="I363"/>
  <c r="J362"/>
  <c r="I187"/>
  <c r="J186"/>
  <c r="I30" i="12"/>
  <c r="N437" i="10"/>
  <c r="O436"/>
  <c r="I121"/>
  <c r="J120"/>
  <c r="I125"/>
  <c r="I256"/>
  <c r="I39" i="12"/>
  <c r="J255" i="10"/>
  <c r="I263"/>
  <c r="I259"/>
  <c r="I289"/>
  <c r="J288"/>
  <c r="N328"/>
  <c r="N326"/>
  <c r="N476"/>
  <c r="N474"/>
  <c r="I182"/>
  <c r="I28" i="12"/>
  <c r="I189" i="10"/>
  <c r="I185"/>
  <c r="I191" s="1"/>
  <c r="J181"/>
  <c r="N106"/>
  <c r="N104"/>
  <c r="I421"/>
  <c r="I417"/>
  <c r="J416"/>
  <c r="I511"/>
  <c r="J510"/>
  <c r="I258"/>
  <c r="J257"/>
  <c r="I480"/>
  <c r="J479"/>
  <c r="Q1903"/>
  <c r="Q1902"/>
  <c r="P1966"/>
  <c r="P1967"/>
  <c r="O704"/>
  <c r="O1222"/>
  <c r="P1297"/>
  <c r="O1296"/>
  <c r="Q1815"/>
  <c r="P1826"/>
  <c r="P1830"/>
  <c r="P1831" s="1"/>
  <c r="Q1001"/>
  <c r="O1740"/>
  <c r="P123"/>
  <c r="P124"/>
  <c r="P128" s="1"/>
  <c r="P113"/>
  <c r="Q345"/>
  <c r="Q346"/>
  <c r="Q350" s="1"/>
  <c r="P571"/>
  <c r="P570"/>
  <c r="P347"/>
  <c r="P348" s="1"/>
  <c r="P343"/>
  <c r="P349" s="1"/>
  <c r="P199"/>
  <c r="P200" s="1"/>
  <c r="P195"/>
  <c r="Q113"/>
  <c r="Q411"/>
  <c r="Q412"/>
  <c r="Q407"/>
  <c r="Q413" s="1"/>
  <c r="P705"/>
  <c r="P706"/>
  <c r="P712" s="1"/>
  <c r="P710"/>
  <c r="P711" s="1"/>
  <c r="P44"/>
  <c r="P48"/>
  <c r="P49" s="1"/>
  <c r="P272"/>
  <c r="P271"/>
  <c r="P645"/>
  <c r="P644"/>
  <c r="Q854"/>
  <c r="Q858"/>
  <c r="Q859" s="1"/>
  <c r="P1226"/>
  <c r="P483"/>
  <c r="P718"/>
  <c r="P719"/>
  <c r="P1006"/>
  <c r="P1007" s="1"/>
  <c r="P1002"/>
  <c r="Q198"/>
  <c r="Q202" s="1"/>
  <c r="Q197"/>
  <c r="P345"/>
  <c r="P346"/>
  <c r="Q571"/>
  <c r="Q570"/>
  <c r="P856"/>
  <c r="P1004"/>
  <c r="Q1163"/>
  <c r="Q1162"/>
  <c r="P634"/>
  <c r="Q784"/>
  <c r="Q780"/>
  <c r="Q785"/>
  <c r="P930"/>
  <c r="Q1091"/>
  <c r="Q1086"/>
  <c r="Q1090"/>
  <c r="Q1226"/>
  <c r="P1382"/>
  <c r="P1386"/>
  <c r="P1387" s="1"/>
  <c r="Q1236"/>
  <c r="Q1237"/>
  <c r="Q1384"/>
  <c r="Q1385"/>
  <c r="P858"/>
  <c r="P859" s="1"/>
  <c r="P854"/>
  <c r="P860" s="1"/>
  <c r="Q1088"/>
  <c r="Q1089"/>
  <c r="Q1153"/>
  <c r="Q1157" s="1"/>
  <c r="Q1152"/>
  <c r="P1376"/>
  <c r="P1377" s="1"/>
  <c r="P1372"/>
  <c r="P1374"/>
  <c r="P1375"/>
  <c r="P1384"/>
  <c r="P1385"/>
  <c r="P1534"/>
  <c r="P1535" s="1"/>
  <c r="P1530"/>
  <c r="P1670"/>
  <c r="P1671"/>
  <c r="Q1459"/>
  <c r="Q1463" s="1"/>
  <c r="Q1458"/>
  <c r="Q1460"/>
  <c r="Q1461"/>
  <c r="Q1456"/>
  <c r="Q1462" s="1"/>
  <c r="Q1464" s="1"/>
  <c r="Q1752"/>
  <c r="Q1756"/>
  <c r="Q1757" s="1"/>
  <c r="P1976"/>
  <c r="O1975"/>
  <c r="P1977"/>
  <c r="P1981" s="1"/>
  <c r="P1815"/>
  <c r="O1814"/>
  <c r="P1678"/>
  <c r="P1682"/>
  <c r="O1682" s="1"/>
  <c r="O1677"/>
  <c r="P1683"/>
  <c r="O852"/>
  <c r="P853"/>
  <c r="P1522"/>
  <c r="Q1598"/>
  <c r="Q1599" s="1"/>
  <c r="Q1594"/>
  <c r="P184"/>
  <c r="Q1678"/>
  <c r="Q1682"/>
  <c r="Q1683" s="1"/>
  <c r="Q1818"/>
  <c r="K169"/>
  <c r="K167"/>
  <c r="K168" s="1"/>
  <c r="K1504"/>
  <c r="K1502"/>
  <c r="K1503" s="1"/>
  <c r="K1060"/>
  <c r="K1058"/>
  <c r="K1059" s="1"/>
  <c r="P1948"/>
  <c r="P1946"/>
  <c r="P1947" s="1"/>
  <c r="P1280"/>
  <c r="P1281" s="1"/>
  <c r="P1282"/>
  <c r="P1283" s="1"/>
  <c r="P389"/>
  <c r="P390" s="1"/>
  <c r="P391"/>
  <c r="P392" s="1"/>
  <c r="P393" s="1"/>
  <c r="P169"/>
  <c r="P167"/>
  <c r="P168" s="1"/>
  <c r="K762"/>
  <c r="K763" s="1"/>
  <c r="K764"/>
  <c r="K765" s="1"/>
  <c r="K766" s="1"/>
  <c r="P1872"/>
  <c r="P1873" s="1"/>
  <c r="P1874"/>
  <c r="P1875" s="1"/>
  <c r="K1576"/>
  <c r="K1577" s="1"/>
  <c r="K1578"/>
  <c r="K1579" s="1"/>
  <c r="P95"/>
  <c r="P93"/>
  <c r="P94" s="1"/>
  <c r="K389"/>
  <c r="K390" s="1"/>
  <c r="K391"/>
  <c r="K392" s="1"/>
  <c r="K393" s="1"/>
  <c r="K465"/>
  <c r="K463"/>
  <c r="K464" s="1"/>
  <c r="L169"/>
  <c r="L167"/>
  <c r="L168"/>
  <c r="Q17"/>
  <c r="Q18"/>
  <c r="Q19"/>
  <c r="Q20" s="1"/>
  <c r="Q21" s="1"/>
  <c r="Q317"/>
  <c r="Q315"/>
  <c r="Q316"/>
  <c r="L389"/>
  <c r="L391"/>
  <c r="L390"/>
  <c r="L93"/>
  <c r="L94"/>
  <c r="L95"/>
  <c r="Q689"/>
  <c r="Q688"/>
  <c r="Q690"/>
  <c r="Q691" s="1"/>
  <c r="Q692" s="1"/>
  <c r="Q836"/>
  <c r="Q838"/>
  <c r="Q839" s="1"/>
  <c r="Q840" s="1"/>
  <c r="Q837"/>
  <c r="L838"/>
  <c r="L839" s="1"/>
  <c r="L840" s="1"/>
  <c r="L837"/>
  <c r="L836"/>
  <c r="L1208"/>
  <c r="L1209" s="1"/>
  <c r="L1207"/>
  <c r="L1206"/>
  <c r="L1651"/>
  <c r="L1650"/>
  <c r="L1652"/>
  <c r="L1653" s="1"/>
  <c r="L1654" s="1"/>
  <c r="Q1355"/>
  <c r="Q1356"/>
  <c r="Q1357" s="1"/>
  <c r="Q1358" s="1"/>
  <c r="Q1354"/>
  <c r="L1724"/>
  <c r="L1726"/>
  <c r="L1725"/>
  <c r="L1798"/>
  <c r="L1800"/>
  <c r="L1801" s="1"/>
  <c r="L1802" s="1"/>
  <c r="L1799"/>
  <c r="Q1799"/>
  <c r="Q1798"/>
  <c r="Q1800"/>
  <c r="Q1801" s="1"/>
  <c r="Q1802" s="1"/>
  <c r="P916"/>
  <c r="P917" s="1"/>
  <c r="P919"/>
  <c r="P920" s="1"/>
  <c r="K321"/>
  <c r="K324" s="1"/>
  <c r="K322"/>
  <c r="K325" s="1"/>
  <c r="K916"/>
  <c r="K917" s="1"/>
  <c r="P694"/>
  <c r="P695" s="1"/>
  <c r="P697"/>
  <c r="P698" s="1"/>
  <c r="K842"/>
  <c r="K843" s="1"/>
  <c r="K846" s="1"/>
  <c r="K845"/>
  <c r="K1360"/>
  <c r="K1361" s="1"/>
  <c r="P99"/>
  <c r="P100"/>
  <c r="P102"/>
  <c r="K694"/>
  <c r="K695" s="1"/>
  <c r="P1952"/>
  <c r="P1953" s="1"/>
  <c r="P1955"/>
  <c r="P1956" s="1"/>
  <c r="Q1984"/>
  <c r="Q1990" s="1"/>
  <c r="Q1992" s="1"/>
  <c r="Q1989"/>
  <c r="Q1988"/>
  <c r="Q1912"/>
  <c r="Q1917" s="1"/>
  <c r="K546"/>
  <c r="J545"/>
  <c r="K549"/>
  <c r="K547"/>
  <c r="K550" s="1"/>
  <c r="Q250"/>
  <c r="Q248"/>
  <c r="Q247"/>
  <c r="P353"/>
  <c r="P357"/>
  <c r="P358" s="1"/>
  <c r="P1026"/>
  <c r="P1027" s="1"/>
  <c r="P1022"/>
  <c r="P58"/>
  <c r="P59" s="1"/>
  <c r="P54"/>
  <c r="Q355"/>
  <c r="Q360" s="1"/>
  <c r="P802"/>
  <c r="P807" s="1"/>
  <c r="O801"/>
  <c r="Q131"/>
  <c r="Q137" s="1"/>
  <c r="Q139" s="1"/>
  <c r="Q135"/>
  <c r="Q136"/>
  <c r="L321"/>
  <c r="L322"/>
  <c r="L325" s="1"/>
  <c r="L324"/>
  <c r="P580"/>
  <c r="P585" s="1"/>
  <c r="O579"/>
  <c r="P469"/>
  <c r="P470"/>
  <c r="P472"/>
  <c r="Q694"/>
  <c r="Q697"/>
  <c r="Q695"/>
  <c r="L991"/>
  <c r="L993"/>
  <c r="L990"/>
  <c r="Q173"/>
  <c r="Q174"/>
  <c r="Q176"/>
  <c r="L621"/>
  <c r="L624" s="1"/>
  <c r="L623"/>
  <c r="L620"/>
  <c r="Q769"/>
  <c r="Q772" s="1"/>
  <c r="Q768"/>
  <c r="Q771"/>
  <c r="Q546"/>
  <c r="Q549"/>
  <c r="Q547"/>
  <c r="Q845"/>
  <c r="Q843"/>
  <c r="Q846" s="1"/>
  <c r="Q842"/>
  <c r="P1212"/>
  <c r="P1213" s="1"/>
  <c r="L1657"/>
  <c r="L1656"/>
  <c r="L1659"/>
  <c r="P1322"/>
  <c r="P1318"/>
  <c r="P1324" s="1"/>
  <c r="P1326" s="1"/>
  <c r="P1323"/>
  <c r="L843"/>
  <c r="L846" s="1"/>
  <c r="L842"/>
  <c r="L845"/>
  <c r="Q1287"/>
  <c r="Q1290" s="1"/>
  <c r="Q1286"/>
  <c r="Q1289"/>
  <c r="Q1618"/>
  <c r="Q1619" s="1"/>
  <c r="Q1614"/>
  <c r="Q1470"/>
  <c r="Q1466"/>
  <c r="Q1472" s="1"/>
  <c r="Q1474" s="1"/>
  <c r="Q1471"/>
  <c r="Q1249"/>
  <c r="Q1248"/>
  <c r="Q1244"/>
  <c r="Q1250" s="1"/>
  <c r="Q1252" s="1"/>
  <c r="L1435"/>
  <c r="L1434"/>
  <c r="L1437"/>
  <c r="L1438" s="1"/>
  <c r="P1470"/>
  <c r="P1471" s="1"/>
  <c r="P1466"/>
  <c r="Q1764"/>
  <c r="Q1769" s="1"/>
  <c r="Q1692"/>
  <c r="Q1693" s="1"/>
  <c r="Q1688"/>
  <c r="Q1694" s="1"/>
  <c r="Q1696" s="1"/>
  <c r="P1657"/>
  <c r="P1656"/>
  <c r="O1655"/>
  <c r="P1659"/>
  <c r="P1614"/>
  <c r="P1620" s="1"/>
  <c r="P1622" s="1"/>
  <c r="P1618"/>
  <c r="P1619" s="1"/>
  <c r="L1731"/>
  <c r="L1734" s="1"/>
  <c r="L1733"/>
  <c r="L1730"/>
  <c r="L1953"/>
  <c r="L1956" s="1"/>
  <c r="L1952"/>
  <c r="L1955"/>
  <c r="V1963"/>
  <c r="V1968"/>
  <c r="V1969" s="1"/>
  <c r="V1964"/>
  <c r="P297"/>
  <c r="P298" s="1"/>
  <c r="P299"/>
  <c r="P300" s="1"/>
  <c r="P301" s="1"/>
  <c r="U162"/>
  <c r="U163" s="1"/>
  <c r="U216"/>
  <c r="U1201"/>
  <c r="U1202" s="1"/>
  <c r="U1255"/>
  <c r="P151"/>
  <c r="P152" s="1"/>
  <c r="P153" s="1"/>
  <c r="P149"/>
  <c r="P150" s="1"/>
  <c r="U1551"/>
  <c r="U1497"/>
  <c r="U1498" s="1"/>
  <c r="U1946"/>
  <c r="U1947" s="1"/>
  <c r="U1948"/>
  <c r="U1889"/>
  <c r="T1888"/>
  <c r="U885"/>
  <c r="U831"/>
  <c r="U832" s="1"/>
  <c r="U1329"/>
  <c r="U1275"/>
  <c r="U1276" s="1"/>
  <c r="P1405"/>
  <c r="P1406" s="1"/>
  <c r="U979"/>
  <c r="U980" s="1"/>
  <c r="U1033"/>
  <c r="P1109"/>
  <c r="P1110" s="1"/>
  <c r="P1780"/>
  <c r="P1781" s="1"/>
  <c r="P1782"/>
  <c r="P1783" s="1"/>
  <c r="U236"/>
  <c r="U237" s="1"/>
  <c r="U290"/>
  <c r="P218"/>
  <c r="P219" s="1"/>
  <c r="P1042"/>
  <c r="P1040"/>
  <c r="P1041" s="1"/>
  <c r="P440"/>
  <c r="P441" s="1"/>
  <c r="U1724"/>
  <c r="U1725" s="1"/>
  <c r="U1726"/>
  <c r="U1727" s="1"/>
  <c r="U1223"/>
  <c r="T1222"/>
  <c r="U1874"/>
  <c r="U1872"/>
  <c r="U1873" s="1"/>
  <c r="P1264"/>
  <c r="P1265" s="1"/>
  <c r="P1262"/>
  <c r="P1263" s="1"/>
  <c r="U1282"/>
  <c r="U1280"/>
  <c r="U1281" s="1"/>
  <c r="U1477"/>
  <c r="U1423"/>
  <c r="U1424" s="1"/>
  <c r="P1190"/>
  <c r="P1188"/>
  <c r="P1189" s="1"/>
  <c r="P961"/>
  <c r="P962" s="1"/>
  <c r="P371"/>
  <c r="P372" s="1"/>
  <c r="P373"/>
  <c r="P374" s="1"/>
  <c r="V199"/>
  <c r="V200" s="1"/>
  <c r="V195"/>
  <c r="V792"/>
  <c r="V793"/>
  <c r="V111"/>
  <c r="V115"/>
  <c r="V116" s="1"/>
  <c r="V417"/>
  <c r="V422"/>
  <c r="V421"/>
  <c r="V571"/>
  <c r="V570"/>
  <c r="V44"/>
  <c r="V48"/>
  <c r="V49" s="1"/>
  <c r="V12"/>
  <c r="V13" s="1"/>
  <c r="V65"/>
  <c r="V271"/>
  <c r="V272"/>
  <c r="V794"/>
  <c r="V795" s="1"/>
  <c r="V790"/>
  <c r="V796" s="1"/>
  <c r="V269"/>
  <c r="V275" s="1"/>
  <c r="V273"/>
  <c r="V274" s="1"/>
  <c r="U634"/>
  <c r="V1127"/>
  <c r="V1128" s="1"/>
  <c r="V1181"/>
  <c r="V938"/>
  <c r="V942"/>
  <c r="V943" s="1"/>
  <c r="U1596"/>
  <c r="V762"/>
  <c r="V763"/>
  <c r="V764"/>
  <c r="V1300"/>
  <c r="V1428"/>
  <c r="V1429"/>
  <c r="V1430"/>
  <c r="U1236"/>
  <c r="U1237"/>
  <c r="U1241" s="1"/>
  <c r="V1604"/>
  <c r="V1608"/>
  <c r="V1609" s="1"/>
  <c r="U33"/>
  <c r="T32"/>
  <c r="V1976"/>
  <c r="V1977"/>
  <c r="V1867"/>
  <c r="V1868" s="1"/>
  <c r="V1921"/>
  <c r="V121"/>
  <c r="V125"/>
  <c r="V126" s="1"/>
  <c r="U1014"/>
  <c r="U1015"/>
  <c r="U1019" s="1"/>
  <c r="V310"/>
  <c r="V311" s="1"/>
  <c r="V364"/>
  <c r="V343"/>
  <c r="V347"/>
  <c r="V348" s="1"/>
  <c r="V1078"/>
  <c r="V1577"/>
  <c r="V1576"/>
  <c r="V1578"/>
  <c r="U1376"/>
  <c r="U1377" s="1"/>
  <c r="U1372"/>
  <c r="U1378" s="1"/>
  <c r="U1075"/>
  <c r="U1076"/>
  <c r="U1080"/>
  <c r="U1081" s="1"/>
  <c r="U1598"/>
  <c r="U1599" s="1"/>
  <c r="U1594"/>
  <c r="U1600" s="1"/>
  <c r="V1902"/>
  <c r="V1903"/>
  <c r="V110"/>
  <c r="U1668"/>
  <c r="U1672"/>
  <c r="U1673"/>
  <c r="V1699"/>
  <c r="V1647"/>
  <c r="V1646"/>
  <c r="V1645"/>
  <c r="U1815"/>
  <c r="T1814"/>
  <c r="U409"/>
  <c r="V463"/>
  <c r="V465"/>
  <c r="V466" s="1"/>
  <c r="V464"/>
  <c r="V467" s="1"/>
  <c r="U481"/>
  <c r="U485"/>
  <c r="U486" s="1"/>
  <c r="V1107"/>
  <c r="V1054"/>
  <c r="V1053"/>
  <c r="U258"/>
  <c r="U263"/>
  <c r="U264" s="1"/>
  <c r="U259"/>
  <c r="U708"/>
  <c r="V1004"/>
  <c r="V609"/>
  <c r="V610" s="1"/>
  <c r="V663"/>
  <c r="U928"/>
  <c r="U932"/>
  <c r="U933" s="1"/>
  <c r="U1606"/>
  <c r="U1607"/>
  <c r="U1226"/>
  <c r="U1227"/>
  <c r="U1231" s="1"/>
  <c r="U1234"/>
  <c r="U1240" s="1"/>
  <c r="U1238"/>
  <c r="U1239" s="1"/>
  <c r="U1650"/>
  <c r="U1652"/>
  <c r="U1653" s="1"/>
  <c r="U1647" s="1"/>
  <c r="U1651"/>
  <c r="T1649"/>
  <c r="V1385"/>
  <c r="V1384"/>
  <c r="U1741"/>
  <c r="U1746"/>
  <c r="U1747" s="1"/>
  <c r="U1742"/>
  <c r="V1606"/>
  <c r="V1607"/>
  <c r="T704"/>
  <c r="T1962"/>
  <c r="U346"/>
  <c r="U350" s="1"/>
  <c r="U345"/>
  <c r="U335"/>
  <c r="U494"/>
  <c r="U498" s="1"/>
  <c r="U493"/>
  <c r="V868"/>
  <c r="V869" s="1"/>
  <c r="V864"/>
  <c r="V438"/>
  <c r="V385"/>
  <c r="V384"/>
  <c r="V636"/>
  <c r="V637" s="1"/>
  <c r="V632"/>
  <c r="V644"/>
  <c r="V645"/>
  <c r="V940"/>
  <c r="V941"/>
  <c r="V1450"/>
  <c r="V1451"/>
  <c r="V1446"/>
  <c r="V1206"/>
  <c r="V1207"/>
  <c r="V1208"/>
  <c r="U1150"/>
  <c r="U1154"/>
  <c r="U1155" s="1"/>
  <c r="U1458"/>
  <c r="U1459"/>
  <c r="U1463" s="1"/>
  <c r="V1449"/>
  <c r="V1453" s="1"/>
  <c r="V1448"/>
  <c r="U1977"/>
  <c r="U1976"/>
  <c r="U1593"/>
  <c r="T1592"/>
  <c r="U1820"/>
  <c r="U1821" s="1"/>
  <c r="U1816"/>
  <c r="U1667"/>
  <c r="T1666"/>
  <c r="P1959"/>
  <c r="N1957"/>
  <c r="P1994"/>
  <c r="O1993"/>
  <c r="L481"/>
  <c r="L485"/>
  <c r="L486"/>
  <c r="Q818"/>
  <c r="Q820"/>
  <c r="Q819"/>
  <c r="Q923"/>
  <c r="Q328"/>
  <c r="L417"/>
  <c r="L422"/>
  <c r="L421"/>
  <c r="L254"/>
  <c r="Q254"/>
  <c r="L701"/>
  <c r="K923"/>
  <c r="K44"/>
  <c r="K48"/>
  <c r="K49" s="1"/>
  <c r="P30"/>
  <c r="P106"/>
  <c r="Q218"/>
  <c r="Q219" s="1"/>
  <c r="L261"/>
  <c r="K269"/>
  <c r="K273"/>
  <c r="K274" s="1"/>
  <c r="L496"/>
  <c r="L495"/>
  <c r="L491"/>
  <c r="K705"/>
  <c r="K706"/>
  <c r="K710"/>
  <c r="K711" s="1"/>
  <c r="P1032"/>
  <c r="O1031"/>
  <c r="K113"/>
  <c r="K337"/>
  <c r="K338" s="1"/>
  <c r="K333"/>
  <c r="L410"/>
  <c r="L414" s="1"/>
  <c r="L409"/>
  <c r="L1004"/>
  <c r="L484"/>
  <c r="L488" s="1"/>
  <c r="L483"/>
  <c r="Q598"/>
  <c r="Q596"/>
  <c r="Q597"/>
  <c r="K718"/>
  <c r="K719"/>
  <c r="L867"/>
  <c r="L866"/>
  <c r="L930"/>
  <c r="K1004"/>
  <c r="K1180"/>
  <c r="J1179"/>
  <c r="L343"/>
  <c r="L347"/>
  <c r="L348" s="1"/>
  <c r="K335"/>
  <c r="K494"/>
  <c r="K493"/>
  <c r="P588"/>
  <c r="O587"/>
  <c r="K553"/>
  <c r="I551"/>
  <c r="K794"/>
  <c r="K795" s="1"/>
  <c r="K790"/>
  <c r="L856"/>
  <c r="K941"/>
  <c r="K940"/>
  <c r="Q1035"/>
  <c r="Q1036" s="1"/>
  <c r="L1152"/>
  <c r="K642"/>
  <c r="K646"/>
  <c r="K647" s="1"/>
  <c r="L560"/>
  <c r="L561"/>
  <c r="L565" s="1"/>
  <c r="K558"/>
  <c r="K562"/>
  <c r="K563" s="1"/>
  <c r="Q849"/>
  <c r="P958"/>
  <c r="O957"/>
  <c r="L1075"/>
  <c r="L1076"/>
  <c r="L1080"/>
  <c r="L1081" s="1"/>
  <c r="Q1263"/>
  <c r="Q1262"/>
  <c r="Q1264"/>
  <c r="Q1405"/>
  <c r="Q1406" s="1"/>
  <c r="K1090"/>
  <c r="K1091" s="1"/>
  <c r="K1086"/>
  <c r="P1106"/>
  <c r="O1105"/>
  <c r="L1154"/>
  <c r="L1155" s="1"/>
  <c r="L1150"/>
  <c r="Q1219"/>
  <c r="L1670"/>
  <c r="K782"/>
  <c r="K930"/>
  <c r="K931"/>
  <c r="K935" s="1"/>
  <c r="K1012"/>
  <c r="K1016"/>
  <c r="K1017" s="1"/>
  <c r="L1078"/>
  <c r="K1150"/>
  <c r="K1154"/>
  <c r="K1155" s="1"/>
  <c r="K1237"/>
  <c r="K1236"/>
  <c r="L1312"/>
  <c r="L1313" s="1"/>
  <c r="L1308"/>
  <c r="K1254"/>
  <c r="J1253"/>
  <c r="L1384"/>
  <c r="L1385"/>
  <c r="K1385"/>
  <c r="K1384"/>
  <c r="K1476"/>
  <c r="J1475"/>
  <c r="P1624"/>
  <c r="O1623"/>
  <c r="P1254"/>
  <c r="O1253"/>
  <c r="K1302"/>
  <c r="K1303" s="1"/>
  <c r="K1298"/>
  <c r="L1310"/>
  <c r="L1311"/>
  <c r="L1367"/>
  <c r="K1532"/>
  <c r="K1533"/>
  <c r="P1515"/>
  <c r="K1830"/>
  <c r="K1831" s="1"/>
  <c r="K1826"/>
  <c r="L1663"/>
  <c r="P1772"/>
  <c r="O1771"/>
  <c r="K1818"/>
  <c r="K927"/>
  <c r="J926"/>
  <c r="L1456"/>
  <c r="L1460"/>
  <c r="L1461" s="1"/>
  <c r="K1524"/>
  <c r="K1525" s="1"/>
  <c r="K1520"/>
  <c r="K1550"/>
  <c r="J1549"/>
  <c r="Q1632"/>
  <c r="Q1634"/>
  <c r="Q1635" s="1"/>
  <c r="Q1633"/>
  <c r="L1667"/>
  <c r="L1668"/>
  <c r="L1672"/>
  <c r="L1673" s="1"/>
  <c r="Q1737"/>
  <c r="L1830"/>
  <c r="L1831" s="1"/>
  <c r="L1826"/>
  <c r="J1888"/>
  <c r="K1889"/>
  <c r="K1815"/>
  <c r="K1820"/>
  <c r="K1821" s="1"/>
  <c r="K1816"/>
  <c r="K1894"/>
  <c r="K1895" s="1"/>
  <c r="K1890"/>
  <c r="Q2004"/>
  <c r="Q2002"/>
  <c r="Q2003"/>
  <c r="K631"/>
  <c r="J630"/>
  <c r="J1518"/>
  <c r="K1519"/>
  <c r="K1746"/>
  <c r="K1747" s="1"/>
  <c r="K1742"/>
  <c r="K1920"/>
  <c r="J1919"/>
  <c r="K184"/>
  <c r="J704"/>
  <c r="J1296"/>
  <c r="K1297"/>
  <c r="L1889"/>
  <c r="L1966"/>
  <c r="K1961"/>
  <c r="K34"/>
  <c r="K1739"/>
  <c r="K1665"/>
  <c r="K1369"/>
  <c r="K1221"/>
  <c r="K1147"/>
  <c r="K851"/>
  <c r="K703"/>
  <c r="K629"/>
  <c r="K555"/>
  <c r="K404"/>
  <c r="K108"/>
  <c r="K1887"/>
  <c r="K1813"/>
  <c r="K1591"/>
  <c r="K1517"/>
  <c r="K1443"/>
  <c r="K1295"/>
  <c r="K1073"/>
  <c r="K999"/>
  <c r="K925"/>
  <c r="K330"/>
  <c r="K256"/>
  <c r="K478"/>
  <c r="K777"/>
  <c r="K182"/>
  <c r="K38"/>
  <c r="K39" s="1"/>
  <c r="K1149"/>
  <c r="J1148"/>
  <c r="J1592"/>
  <c r="K1593"/>
  <c r="S1914"/>
  <c r="S1910"/>
  <c r="T1909"/>
  <c r="N1900"/>
  <c r="N1905"/>
  <c r="N1904"/>
  <c r="O1899"/>
  <c r="I804"/>
  <c r="J799"/>
  <c r="I800"/>
  <c r="I1012"/>
  <c r="J1011"/>
  <c r="I1016"/>
  <c r="I1017" s="1"/>
  <c r="J1381"/>
  <c r="I1386"/>
  <c r="I1387" s="1"/>
  <c r="I1382"/>
  <c r="S568"/>
  <c r="S572"/>
  <c r="T567"/>
  <c r="I1149"/>
  <c r="I112" i="13" s="1"/>
  <c r="L112" s="1"/>
  <c r="J1146" i="10"/>
  <c r="I1150"/>
  <c r="I1154"/>
  <c r="J1154" s="1"/>
  <c r="I1075"/>
  <c r="I100" i="13" s="1"/>
  <c r="L100" s="1"/>
  <c r="I1076" i="10"/>
  <c r="I1080"/>
  <c r="J1072"/>
  <c r="X1376"/>
  <c r="X1372"/>
  <c r="Y1368"/>
  <c r="X1371"/>
  <c r="S1961"/>
  <c r="S1887"/>
  <c r="S1739"/>
  <c r="S1443"/>
  <c r="S1147"/>
  <c r="S999"/>
  <c r="S478"/>
  <c r="S404"/>
  <c r="S256"/>
  <c r="S1517"/>
  <c r="S1221"/>
  <c r="S1591"/>
  <c r="S1295"/>
  <c r="S851"/>
  <c r="S703"/>
  <c r="S108"/>
  <c r="S1665"/>
  <c r="S629"/>
  <c r="S555"/>
  <c r="S330"/>
  <c r="S1369"/>
  <c r="S925"/>
  <c r="S1813"/>
  <c r="S1073"/>
  <c r="S182"/>
  <c r="S777"/>
  <c r="S38"/>
  <c r="T31"/>
  <c r="S34"/>
  <c r="S39"/>
  <c r="S33"/>
  <c r="I44"/>
  <c r="I48"/>
  <c r="I49" s="1"/>
  <c r="J43"/>
  <c r="N1515"/>
  <c r="N1513"/>
  <c r="O1891"/>
  <c r="N1892"/>
  <c r="S755"/>
  <c r="S757"/>
  <c r="S758" s="1"/>
  <c r="T756"/>
  <c r="T811"/>
  <c r="T781"/>
  <c r="S782"/>
  <c r="O823"/>
  <c r="N824"/>
  <c r="N827" s="1"/>
  <c r="N825"/>
  <c r="N828" s="1"/>
  <c r="T971"/>
  <c r="S972"/>
  <c r="S973" s="1"/>
  <c r="S975"/>
  <c r="S976" s="1"/>
  <c r="T959"/>
  <c r="T904"/>
  <c r="S903"/>
  <c r="S905"/>
  <c r="S906" s="1"/>
  <c r="I1014"/>
  <c r="J1013"/>
  <c r="I1015"/>
  <c r="I1019" s="1"/>
  <c r="X1430"/>
  <c r="X1431" s="1"/>
  <c r="X1425" s="1"/>
  <c r="X1428"/>
  <c r="X1429" s="1"/>
  <c r="Y1427"/>
  <c r="N1405"/>
  <c r="N1406" s="1"/>
  <c r="N1403"/>
  <c r="O1404"/>
  <c r="T1383"/>
  <c r="S1385"/>
  <c r="S1384"/>
  <c r="I1367"/>
  <c r="I1365"/>
  <c r="X792"/>
  <c r="X793"/>
  <c r="X797" s="1"/>
  <c r="Y791"/>
  <c r="S560"/>
  <c r="T559"/>
  <c r="S979"/>
  <c r="S980" s="1"/>
  <c r="T1033"/>
  <c r="T978"/>
  <c r="S977"/>
  <c r="S1152"/>
  <c r="T1151"/>
  <c r="I1162"/>
  <c r="I1163"/>
  <c r="J1161"/>
  <c r="J1126"/>
  <c r="I1125"/>
  <c r="J1181"/>
  <c r="I1127"/>
  <c r="I1128" s="1"/>
  <c r="S1042"/>
  <c r="S1043" s="1"/>
  <c r="T1039"/>
  <c r="S1040"/>
  <c r="S1041" s="1"/>
  <c r="N676"/>
  <c r="N679" s="1"/>
  <c r="O675"/>
  <c r="N677"/>
  <c r="N680" s="1"/>
  <c r="X1053"/>
  <c r="X1054" s="1"/>
  <c r="Y1107"/>
  <c r="Y1052"/>
  <c r="X1051"/>
  <c r="I1069"/>
  <c r="I1071"/>
  <c r="Y1655"/>
  <c r="X1656"/>
  <c r="X1657" s="1"/>
  <c r="T1711"/>
  <c r="S1712"/>
  <c r="S1713" s="1"/>
  <c r="S1715"/>
  <c r="S1716" s="1"/>
  <c r="N1293"/>
  <c r="N1291"/>
  <c r="N1109"/>
  <c r="N1110" s="1"/>
  <c r="N1107"/>
  <c r="O1108"/>
  <c r="S1282"/>
  <c r="T1279"/>
  <c r="S1280"/>
  <c r="S1281" s="1"/>
  <c r="N1860"/>
  <c r="N1863" s="1"/>
  <c r="O1859"/>
  <c r="N1861"/>
  <c r="N1864" s="1"/>
  <c r="I1134"/>
  <c r="I1132"/>
  <c r="J1131"/>
  <c r="I1133"/>
  <c r="T1193"/>
  <c r="S1194"/>
  <c r="S1195" s="1"/>
  <c r="S1838"/>
  <c r="S1843" s="1"/>
  <c r="T1837"/>
  <c r="I1571"/>
  <c r="I1572" s="1"/>
  <c r="J1570"/>
  <c r="I1569"/>
  <c r="J1625"/>
  <c r="Y1359"/>
  <c r="X1360"/>
  <c r="X1363" s="1"/>
  <c r="X1361"/>
  <c r="X1364" s="1"/>
  <c r="N1262"/>
  <c r="N1263" s="1"/>
  <c r="N1264"/>
  <c r="O1261"/>
  <c r="S1201"/>
  <c r="S1202" s="1"/>
  <c r="T1255"/>
  <c r="T1200"/>
  <c r="S1199"/>
  <c r="T45"/>
  <c r="S46"/>
  <c r="S47"/>
  <c r="S51" s="1"/>
  <c r="N30"/>
  <c r="N28"/>
  <c r="N1219"/>
  <c r="N1217"/>
  <c r="N303"/>
  <c r="N306" s="1"/>
  <c r="O302"/>
  <c r="N155"/>
  <c r="N156" s="1"/>
  <c r="N158"/>
  <c r="N159" s="1"/>
  <c r="O154"/>
  <c r="O450"/>
  <c r="N451"/>
  <c r="N452" s="1"/>
  <c r="N454"/>
  <c r="N455" s="1"/>
  <c r="S355"/>
  <c r="S360" s="1"/>
  <c r="T354"/>
  <c r="S133"/>
  <c r="S138" s="1"/>
  <c r="T132"/>
  <c r="S503"/>
  <c r="S508" s="1"/>
  <c r="T502"/>
  <c r="I283"/>
  <c r="J278"/>
  <c r="I279"/>
  <c r="I285" s="1"/>
  <c r="I287" s="1"/>
  <c r="I427"/>
  <c r="J426"/>
  <c r="I431"/>
  <c r="I281"/>
  <c r="I286" s="1"/>
  <c r="J280"/>
  <c r="Z842"/>
  <c r="Z843" s="1"/>
  <c r="Z173"/>
  <c r="Z176" s="1"/>
  <c r="Z174"/>
  <c r="Z177" s="1"/>
  <c r="AA1064"/>
  <c r="AA1065" s="1"/>
  <c r="AA990"/>
  <c r="AA993" s="1"/>
  <c r="AA991"/>
  <c r="AA994" s="1"/>
  <c r="Z1249"/>
  <c r="Z1244"/>
  <c r="Z1250" s="1"/>
  <c r="Z1252" s="1"/>
  <c r="Z1248"/>
  <c r="AA950"/>
  <c r="AA955" s="1"/>
  <c r="AA1619"/>
  <c r="AA1618"/>
  <c r="AA1614"/>
  <c r="AA1620" s="1"/>
  <c r="AA1622" s="1"/>
  <c r="AA1656"/>
  <c r="AA1659" s="1"/>
  <c r="AA1657"/>
  <c r="AA1660" s="1"/>
  <c r="Z1952"/>
  <c r="Z1953" s="1"/>
  <c r="AA1984"/>
  <c r="AA1988"/>
  <c r="AA1989" s="1"/>
  <c r="AA283"/>
  <c r="AA284" s="1"/>
  <c r="AA279"/>
  <c r="AA321"/>
  <c r="AA324" s="1"/>
  <c r="AA322"/>
  <c r="AA325" s="1"/>
  <c r="Z209"/>
  <c r="Z205"/>
  <c r="Z211" s="1"/>
  <c r="Z213" s="1"/>
  <c r="Z210"/>
  <c r="Z952"/>
  <c r="Z953" s="1"/>
  <c r="Z948"/>
  <c r="Z954" s="1"/>
  <c r="Z956" s="1"/>
  <c r="Z131"/>
  <c r="Z137" s="1"/>
  <c r="Z139" s="1"/>
  <c r="Z135"/>
  <c r="Z136"/>
  <c r="AA546"/>
  <c r="AA547"/>
  <c r="AA549"/>
  <c r="AA537" s="1"/>
  <c r="AA1212"/>
  <c r="AA1213" s="1"/>
  <c r="AA1470"/>
  <c r="AA1466"/>
  <c r="AA1472" s="1"/>
  <c r="AA1474" s="1"/>
  <c r="AA1471"/>
  <c r="AA1690"/>
  <c r="AA1695" s="1"/>
  <c r="AA395"/>
  <c r="AA396" s="1"/>
  <c r="AA398"/>
  <c r="AA399" s="1"/>
  <c r="Z620"/>
  <c r="Z621" s="1"/>
  <c r="AA916"/>
  <c r="AA917" s="1"/>
  <c r="AA919"/>
  <c r="AA920" s="1"/>
  <c r="AA802"/>
  <c r="AA807" s="1"/>
  <c r="Z1286"/>
  <c r="Z1287" s="1"/>
  <c r="Z1397"/>
  <c r="Z1396"/>
  <c r="Z1392"/>
  <c r="Y1391"/>
  <c r="AA1688"/>
  <c r="AA1694" s="1"/>
  <c r="AA1696" s="1"/>
  <c r="AA1692"/>
  <c r="AA1693" s="1"/>
  <c r="Z1836"/>
  <c r="Z1840"/>
  <c r="Z1841" s="1"/>
  <c r="Z1984"/>
  <c r="Z1990" s="1"/>
  <c r="Z1992" s="1"/>
  <c r="Z1988"/>
  <c r="Z1989" s="1"/>
  <c r="Z1170"/>
  <c r="Z1176" s="1"/>
  <c r="Z1178" s="1"/>
  <c r="Z1174"/>
  <c r="Z1175"/>
  <c r="AA281"/>
  <c r="AA286" s="1"/>
  <c r="Z580"/>
  <c r="Z585" s="1"/>
  <c r="Y579"/>
  <c r="AA1170"/>
  <c r="AA1174"/>
  <c r="AA1175" s="1"/>
  <c r="Z1468"/>
  <c r="Z1473" s="1"/>
  <c r="Z1466"/>
  <c r="Z1470"/>
  <c r="Z1471" s="1"/>
  <c r="AA1878"/>
  <c r="AA1881" s="1"/>
  <c r="U78"/>
  <c r="U81" s="1"/>
  <c r="U79"/>
  <c r="U82" s="1"/>
  <c r="U972"/>
  <c r="U975" s="1"/>
  <c r="U1268"/>
  <c r="U1271" s="1"/>
  <c r="U1269"/>
  <c r="U1272" s="1"/>
  <c r="V451"/>
  <c r="V454" s="1"/>
  <c r="V452"/>
  <c r="U898"/>
  <c r="U899" s="1"/>
  <c r="U901"/>
  <c r="U902" s="1"/>
  <c r="V1268"/>
  <c r="V1269" s="1"/>
  <c r="U303"/>
  <c r="U306" s="1"/>
  <c r="U304"/>
  <c r="U307" s="1"/>
  <c r="V898"/>
  <c r="V899" s="1"/>
  <c r="V1712"/>
  <c r="V1713" s="1"/>
  <c r="V1715"/>
  <c r="V1716" s="1"/>
  <c r="V1934"/>
  <c r="V1937" s="1"/>
  <c r="V972"/>
  <c r="V973" s="1"/>
  <c r="V975"/>
  <c r="V976" s="1"/>
  <c r="U155"/>
  <c r="U156" s="1"/>
  <c r="V824"/>
  <c r="V825" s="1"/>
  <c r="V827"/>
  <c r="V828" s="1"/>
  <c r="V1860"/>
  <c r="V1863" s="1"/>
  <c r="V279"/>
  <c r="V283"/>
  <c r="V284" s="1"/>
  <c r="V652"/>
  <c r="V656"/>
  <c r="V657" s="1"/>
  <c r="V281"/>
  <c r="V286" s="1"/>
  <c r="U357"/>
  <c r="U358" s="1"/>
  <c r="U353"/>
  <c r="V1096"/>
  <c r="V1100"/>
  <c r="V1101" s="1"/>
  <c r="V1471"/>
  <c r="V1466"/>
  <c r="V1472" s="1"/>
  <c r="V1474" s="1"/>
  <c r="V1470"/>
  <c r="U56"/>
  <c r="U61" s="1"/>
  <c r="V1174"/>
  <c r="V1175" s="1"/>
  <c r="V1170"/>
  <c r="V1176" s="1"/>
  <c r="V1178" s="1"/>
  <c r="U506"/>
  <c r="U501"/>
  <c r="U507" s="1"/>
  <c r="U509" s="1"/>
  <c r="U505"/>
  <c r="U1396"/>
  <c r="U1397"/>
  <c r="U1392"/>
  <c r="T1391"/>
  <c r="U1688"/>
  <c r="U1692"/>
  <c r="U1693"/>
  <c r="T1687"/>
  <c r="U1986"/>
  <c r="U1991" s="1"/>
  <c r="V506"/>
  <c r="V501"/>
  <c r="V507" s="1"/>
  <c r="V509" s="1"/>
  <c r="V505"/>
  <c r="U133"/>
  <c r="U138" s="1"/>
  <c r="V1396"/>
  <c r="V1397" s="1"/>
  <c r="V1392"/>
  <c r="V1398" s="1"/>
  <c r="V1400" s="1"/>
  <c r="U1172"/>
  <c r="U1177" s="1"/>
  <c r="V1766"/>
  <c r="V1767" s="1"/>
  <c r="V1762"/>
  <c r="V1768" s="1"/>
  <c r="V1770" s="1"/>
  <c r="V58"/>
  <c r="V59" s="1"/>
  <c r="V54"/>
  <c r="U432"/>
  <c r="U431"/>
  <c r="U427"/>
  <c r="U433" s="1"/>
  <c r="U435" s="1"/>
  <c r="U1246"/>
  <c r="U1251" s="1"/>
  <c r="V1912"/>
  <c r="V1917" s="1"/>
  <c r="U1766"/>
  <c r="U1767" s="1"/>
  <c r="U1762"/>
  <c r="K131"/>
  <c r="K135"/>
  <c r="K136" s="1"/>
  <c r="K355"/>
  <c r="K360" s="1"/>
  <c r="L353"/>
  <c r="L357"/>
  <c r="L358" s="1"/>
  <c r="K281"/>
  <c r="K286" s="1"/>
  <c r="L728"/>
  <c r="L733" s="1"/>
  <c r="K207"/>
  <c r="K212" s="1"/>
  <c r="L730"/>
  <c r="L731" s="1"/>
  <c r="L726"/>
  <c r="K876"/>
  <c r="K881" s="1"/>
  <c r="L279"/>
  <c r="L283"/>
  <c r="L284" s="1"/>
  <c r="K656"/>
  <c r="K657" s="1"/>
  <c r="K652"/>
  <c r="K802"/>
  <c r="K807" s="1"/>
  <c r="L802"/>
  <c r="L807" s="1"/>
  <c r="L1396"/>
  <c r="L1397" s="1"/>
  <c r="L1392"/>
  <c r="L1398" s="1"/>
  <c r="L1400" s="1"/>
  <c r="K1170"/>
  <c r="K1174"/>
  <c r="K1175" s="1"/>
  <c r="K874"/>
  <c r="K878"/>
  <c r="K879" s="1"/>
  <c r="K1100"/>
  <c r="K1101" s="1"/>
  <c r="K1096"/>
  <c r="K1244"/>
  <c r="K1248"/>
  <c r="K1249" s="1"/>
  <c r="K1468"/>
  <c r="K1473" s="1"/>
  <c r="K1394"/>
  <c r="K1399" s="1"/>
  <c r="L1692"/>
  <c r="L1693" s="1"/>
  <c r="L1688"/>
  <c r="K1542"/>
  <c r="K1547" s="1"/>
  <c r="K1693"/>
  <c r="K1692"/>
  <c r="K1688"/>
  <c r="K1694" s="1"/>
  <c r="K1696" s="1"/>
  <c r="L1616"/>
  <c r="L1621" s="1"/>
  <c r="L1912"/>
  <c r="L1917" s="1"/>
  <c r="L1984"/>
  <c r="L1988"/>
  <c r="L1989" s="1"/>
  <c r="K1793"/>
  <c r="K1794" s="1"/>
  <c r="K1847"/>
  <c r="K12"/>
  <c r="K13" s="1"/>
  <c r="K65"/>
  <c r="P959"/>
  <c r="P905"/>
  <c r="P906" s="1"/>
  <c r="P310"/>
  <c r="P311"/>
  <c r="P364"/>
  <c r="K1921"/>
  <c r="I1921" s="1"/>
  <c r="K1867"/>
  <c r="K1868" s="1"/>
  <c r="K88"/>
  <c r="K89" s="1"/>
  <c r="K142"/>
  <c r="K1127"/>
  <c r="K1128" s="1"/>
  <c r="K1181"/>
  <c r="P1941"/>
  <c r="P1942" s="1"/>
  <c r="P1995"/>
  <c r="P1201"/>
  <c r="P1202" s="1"/>
  <c r="P1255"/>
  <c r="P162"/>
  <c r="P163" s="1"/>
  <c r="P216"/>
  <c r="K1551"/>
  <c r="K1497"/>
  <c r="K1498" s="1"/>
  <c r="P1867"/>
  <c r="P1868" s="1"/>
  <c r="P1921"/>
  <c r="P458"/>
  <c r="P459" s="1"/>
  <c r="P512"/>
  <c r="L236"/>
  <c r="L237"/>
  <c r="L238"/>
  <c r="L290"/>
  <c r="Q12"/>
  <c r="Q65"/>
  <c r="Q13"/>
  <c r="Q15" s="1"/>
  <c r="Q14"/>
  <c r="L162"/>
  <c r="L216"/>
  <c r="L163"/>
  <c r="L165" s="1"/>
  <c r="L164"/>
  <c r="Q685"/>
  <c r="Q737"/>
  <c r="Q683"/>
  <c r="Q684"/>
  <c r="Q686" s="1"/>
  <c r="L684"/>
  <c r="L685"/>
  <c r="L683"/>
  <c r="L737"/>
  <c r="L535"/>
  <c r="L536"/>
  <c r="L538" s="1"/>
  <c r="L589"/>
  <c r="L537"/>
  <c r="Q1128"/>
  <c r="Q1127"/>
  <c r="Q1181"/>
  <c r="Q1129"/>
  <c r="Q833"/>
  <c r="Q832"/>
  <c r="Q834" s="1"/>
  <c r="Q885"/>
  <c r="Q831"/>
  <c r="L1572"/>
  <c r="L1571"/>
  <c r="L1625"/>
  <c r="L1573"/>
  <c r="Q1202"/>
  <c r="Q1203"/>
  <c r="Q1255"/>
  <c r="Q1201"/>
  <c r="L1477"/>
  <c r="L1425"/>
  <c r="L1423"/>
  <c r="L1424"/>
  <c r="Q1497"/>
  <c r="Q1498"/>
  <c r="Q1500" s="1"/>
  <c r="Q1551"/>
  <c r="Q1499"/>
  <c r="L1921"/>
  <c r="L1867"/>
  <c r="L1869"/>
  <c r="L1868"/>
  <c r="L1941"/>
  <c r="L1995"/>
  <c r="L1943"/>
  <c r="L1942"/>
  <c r="N1530"/>
  <c r="N1534"/>
  <c r="N1535" s="1"/>
  <c r="O1529"/>
  <c r="I1904"/>
  <c r="I1900"/>
  <c r="J1899"/>
  <c r="I1905"/>
  <c r="I1443"/>
  <c r="I157" i="13" s="1"/>
  <c r="L157" s="1"/>
  <c r="I1445" i="10"/>
  <c r="I160" i="13" s="1"/>
  <c r="L160" s="1"/>
  <c r="J1442" i="10"/>
  <c r="I1446"/>
  <c r="I1450"/>
  <c r="X1984"/>
  <c r="Y1983"/>
  <c r="X1988"/>
  <c r="S1974"/>
  <c r="S1978"/>
  <c r="S1979" s="1"/>
  <c r="T1973"/>
  <c r="N1298"/>
  <c r="N1297"/>
  <c r="O1294"/>
  <c r="N1302"/>
  <c r="T1603"/>
  <c r="S1604"/>
  <c r="S1608"/>
  <c r="Y1501"/>
  <c r="X1502"/>
  <c r="X1503" s="1"/>
  <c r="X1504"/>
  <c r="X1505" s="1"/>
  <c r="Y1521"/>
  <c r="X1522"/>
  <c r="S65"/>
  <c r="T66"/>
  <c r="S67"/>
  <c r="S68" s="1"/>
  <c r="I1903"/>
  <c r="I1907" s="1"/>
  <c r="J1901"/>
  <c r="I1902"/>
  <c r="X23"/>
  <c r="X24" s="1"/>
  <c r="X26"/>
  <c r="Y22"/>
  <c r="T949"/>
  <c r="S950"/>
  <c r="S955" s="1"/>
  <c r="I838"/>
  <c r="I836"/>
  <c r="I837" s="1"/>
  <c r="J835"/>
  <c r="T830"/>
  <c r="S829"/>
  <c r="T885"/>
  <c r="S831"/>
  <c r="S832" s="1"/>
  <c r="S858"/>
  <c r="T855"/>
  <c r="S856"/>
  <c r="Y855"/>
  <c r="X856"/>
  <c r="T633"/>
  <c r="S634"/>
  <c r="I627"/>
  <c r="I625"/>
  <c r="O1477"/>
  <c r="O1422"/>
  <c r="N1421"/>
  <c r="N1423"/>
  <c r="N1424" s="1"/>
  <c r="N1448"/>
  <c r="O1447"/>
  <c r="N1206"/>
  <c r="N1207" s="1"/>
  <c r="N1208"/>
  <c r="O1205"/>
  <c r="I986"/>
  <c r="I987" s="1"/>
  <c r="I988" s="1"/>
  <c r="I984"/>
  <c r="I985" s="1"/>
  <c r="J983"/>
  <c r="X1744"/>
  <c r="Y1743"/>
  <c r="X1745"/>
  <c r="T1729"/>
  <c r="S1730"/>
  <c r="S1731" s="1"/>
  <c r="S1733"/>
  <c r="I1053"/>
  <c r="I1054" s="1"/>
  <c r="J1107"/>
  <c r="J1052"/>
  <c r="I1051"/>
  <c r="N1098"/>
  <c r="N1103" s="1"/>
  <c r="O1097"/>
  <c r="S1780"/>
  <c r="S1781" s="1"/>
  <c r="T1779"/>
  <c r="S1782"/>
  <c r="Y1285"/>
  <c r="X1286"/>
  <c r="X1289" s="1"/>
  <c r="S1596"/>
  <c r="T1595"/>
  <c r="O1393"/>
  <c r="N1394"/>
  <c r="N1399" s="1"/>
  <c r="U958"/>
  <c r="T957"/>
  <c r="U662"/>
  <c r="T661"/>
  <c r="U1328"/>
  <c r="T1327"/>
  <c r="U884"/>
  <c r="T883"/>
  <c r="U1624"/>
  <c r="T1623"/>
  <c r="I1170"/>
  <c r="I1174"/>
  <c r="J1169"/>
  <c r="I1175"/>
  <c r="N1618"/>
  <c r="O1618" s="1"/>
  <c r="O1613"/>
  <c r="N1614"/>
  <c r="N1619"/>
  <c r="S1502"/>
  <c r="S1503" s="1"/>
  <c r="S1506" s="1"/>
  <c r="S1504"/>
  <c r="S1505" s="1"/>
  <c r="T1501"/>
  <c r="J1877"/>
  <c r="I1878"/>
  <c r="I1881" s="1"/>
  <c r="I1869" s="1"/>
  <c r="I1879"/>
  <c r="I1882" s="1"/>
  <c r="I1804"/>
  <c r="I1805" s="1"/>
  <c r="J1803"/>
  <c r="X645"/>
  <c r="Y643"/>
  <c r="X644"/>
  <c r="I699"/>
  <c r="I701"/>
  <c r="S1680"/>
  <c r="T1679"/>
  <c r="S1681"/>
  <c r="J1699"/>
  <c r="I1663"/>
  <c r="I1661"/>
  <c r="S1576"/>
  <c r="S1577"/>
  <c r="S1578"/>
  <c r="S1579" s="1"/>
  <c r="T1575"/>
  <c r="X2011"/>
  <c r="X2012" s="1"/>
  <c r="AA1858"/>
  <c r="X1408"/>
  <c r="AA1265"/>
  <c r="AA896"/>
  <c r="X523"/>
  <c r="X677"/>
  <c r="X680" s="1"/>
  <c r="AA375"/>
  <c r="AA420"/>
  <c r="AA419"/>
  <c r="Z910"/>
  <c r="Z911" s="1"/>
  <c r="Z912"/>
  <c r="AA88"/>
  <c r="AA89"/>
  <c r="AA142"/>
  <c r="Z111"/>
  <c r="Z117" s="1"/>
  <c r="Z115"/>
  <c r="Z116" s="1"/>
  <c r="AA708"/>
  <c r="AA709"/>
  <c r="AA558"/>
  <c r="AA562"/>
  <c r="AA563"/>
  <c r="Z47"/>
  <c r="Z37" s="1"/>
  <c r="Z41" s="1"/>
  <c r="Z46"/>
  <c r="Z51" s="1"/>
  <c r="Z558"/>
  <c r="Z562"/>
  <c r="AA927"/>
  <c r="AA932"/>
  <c r="AA933" s="1"/>
  <c r="AA928"/>
  <c r="Z838"/>
  <c r="Z839" s="1"/>
  <c r="Z836"/>
  <c r="Z837" s="1"/>
  <c r="Z1310"/>
  <c r="Z1311"/>
  <c r="AA1164"/>
  <c r="AA1165" s="1"/>
  <c r="AA1160"/>
  <c r="AA864"/>
  <c r="AA868"/>
  <c r="AA869" s="1"/>
  <c r="Z1163"/>
  <c r="Z1167" s="1"/>
  <c r="Z1162"/>
  <c r="AA1382"/>
  <c r="AA1386"/>
  <c r="AA1387" s="1"/>
  <c r="AA1150"/>
  <c r="AA1154"/>
  <c r="AA1155" s="1"/>
  <c r="Z1275"/>
  <c r="Z1276" s="1"/>
  <c r="Z1329"/>
  <c r="AA1578"/>
  <c r="AA1577"/>
  <c r="AA1576"/>
  <c r="Z1977"/>
  <c r="Z1981" s="1"/>
  <c r="Z1976"/>
  <c r="AA1678"/>
  <c r="AA1682"/>
  <c r="AA1683" s="1"/>
  <c r="AA1830"/>
  <c r="AA1831" s="1"/>
  <c r="AA1826"/>
  <c r="Z1872"/>
  <c r="Z1873" s="1"/>
  <c r="Z1874"/>
  <c r="Z1946"/>
  <c r="Z1947" s="1"/>
  <c r="Z1948"/>
  <c r="Z406"/>
  <c r="Z411"/>
  <c r="Z412" s="1"/>
  <c r="Z407"/>
  <c r="AA187"/>
  <c r="AA384"/>
  <c r="AA385" s="1"/>
  <c r="AA386"/>
  <c r="AA438"/>
  <c r="Z346"/>
  <c r="Z350" s="1"/>
  <c r="Z345"/>
  <c r="AA483"/>
  <c r="AA484"/>
  <c r="Z571"/>
  <c r="Z575" s="1"/>
  <c r="Z570"/>
  <c r="Y569"/>
  <c r="AA199"/>
  <c r="AA200" s="1"/>
  <c r="AA195"/>
  <c r="Z688"/>
  <c r="Z689" s="1"/>
  <c r="Z690"/>
  <c r="Z691" s="1"/>
  <c r="Z542"/>
  <c r="Z540"/>
  <c r="Z543" s="1"/>
  <c r="Z541"/>
  <c r="Z544" s="1"/>
  <c r="Y539"/>
  <c r="AA885"/>
  <c r="AA831"/>
  <c r="AA832" s="1"/>
  <c r="AA1459"/>
  <c r="AA1463" s="1"/>
  <c r="AA1458"/>
  <c r="Z1150"/>
  <c r="Z1154"/>
  <c r="Z1155" s="1"/>
  <c r="AA910"/>
  <c r="AA911"/>
  <c r="AA912"/>
  <c r="AA1255"/>
  <c r="AA1201"/>
  <c r="AA1202" s="1"/>
  <c r="Z1208"/>
  <c r="Z1209" s="1"/>
  <c r="Z1206"/>
  <c r="Z1207" s="1"/>
  <c r="Z1530"/>
  <c r="Z1536" s="1"/>
  <c r="Z1538" s="1"/>
  <c r="Z1534"/>
  <c r="Z1535"/>
  <c r="Z1520"/>
  <c r="Z1524"/>
  <c r="Z1525" s="1"/>
  <c r="Z1744"/>
  <c r="Z1745"/>
  <c r="Z1749" s="1"/>
  <c r="Z1793"/>
  <c r="Z1794" s="1"/>
  <c r="Z1847"/>
  <c r="AA1892"/>
  <c r="AA1893"/>
  <c r="Z1902"/>
  <c r="Z1903"/>
  <c r="AA930"/>
  <c r="AA931"/>
  <c r="Z310"/>
  <c r="Z311" s="1"/>
  <c r="Z364"/>
  <c r="Z793"/>
  <c r="Z797" s="1"/>
  <c r="Z792"/>
  <c r="AA273"/>
  <c r="AA274" s="1"/>
  <c r="AA269"/>
  <c r="AA1961"/>
  <c r="AA1591"/>
  <c r="AA1295"/>
  <c r="AA34"/>
  <c r="AA1813"/>
  <c r="AA1665"/>
  <c r="AA1369"/>
  <c r="AA1887"/>
  <c r="AA1739"/>
  <c r="AA1443"/>
  <c r="AA1147"/>
  <c r="AA999"/>
  <c r="AA777"/>
  <c r="AA703"/>
  <c r="AA478"/>
  <c r="AA404"/>
  <c r="AA182"/>
  <c r="AA1517"/>
  <c r="AA1073"/>
  <c r="AA851"/>
  <c r="AA555"/>
  <c r="AA1221"/>
  <c r="AA925"/>
  <c r="AA256"/>
  <c r="AA629"/>
  <c r="AA330"/>
  <c r="AA108"/>
  <c r="AA38"/>
  <c r="AA39" s="1"/>
  <c r="Z634"/>
  <c r="Z635"/>
  <c r="AA959"/>
  <c r="AA905"/>
  <c r="AA906" s="1"/>
  <c r="AA347"/>
  <c r="AA348" s="1"/>
  <c r="AA343"/>
  <c r="AA1015"/>
  <c r="AA1014"/>
  <c r="AA858"/>
  <c r="AA859" s="1"/>
  <c r="AA854"/>
  <c r="AA860" s="1"/>
  <c r="AA1163"/>
  <c r="AA1162"/>
  <c r="AA1167" s="1"/>
  <c r="AA1371"/>
  <c r="AA1372"/>
  <c r="AA1378" s="1"/>
  <c r="AA1376"/>
  <c r="AA1377" s="1"/>
  <c r="AA1089"/>
  <c r="AA1088"/>
  <c r="Z1382"/>
  <c r="Z1386"/>
  <c r="Z1387" s="1"/>
  <c r="Z1460"/>
  <c r="Z1461" s="1"/>
  <c r="Z1456"/>
  <c r="AA1384"/>
  <c r="AA1388" s="1"/>
  <c r="AA1385"/>
  <c r="AA1625"/>
  <c r="AA1571"/>
  <c r="AA1572" s="1"/>
  <c r="Z1699"/>
  <c r="Z1645"/>
  <c r="Z1646" s="1"/>
  <c r="AA1681"/>
  <c r="AA1685" s="1"/>
  <c r="AA1680"/>
  <c r="AA1816"/>
  <c r="AA1820"/>
  <c r="AA1821" s="1"/>
  <c r="AA1966"/>
  <c r="AA1149"/>
  <c r="Z317"/>
  <c r="Z315"/>
  <c r="Z318" s="1"/>
  <c r="Z121"/>
  <c r="Z125"/>
  <c r="Z126"/>
  <c r="Z272"/>
  <c r="Z271"/>
  <c r="Z347"/>
  <c r="Z348" s="1"/>
  <c r="Z343"/>
  <c r="Z349" s="1"/>
  <c r="Z351" s="1"/>
  <c r="AA261"/>
  <c r="AA614"/>
  <c r="AA616"/>
  <c r="AA617" s="1"/>
  <c r="AA615"/>
  <c r="Z708"/>
  <c r="AA121"/>
  <c r="AA127" s="1"/>
  <c r="AA125"/>
  <c r="AA126" s="1"/>
  <c r="Z719"/>
  <c r="Z718"/>
  <c r="AA1086"/>
  <c r="AA1092" s="1"/>
  <c r="AA1090"/>
  <c r="AA1091" s="1"/>
  <c r="AA784"/>
  <c r="AA785" s="1"/>
  <c r="AA780"/>
  <c r="AA1503"/>
  <c r="AA1504"/>
  <c r="AA1505" s="1"/>
  <c r="AA1502"/>
  <c r="AA1226"/>
  <c r="AA1227"/>
  <c r="Z1904"/>
  <c r="Z1900"/>
  <c r="Z1905"/>
  <c r="AA1754"/>
  <c r="AA1755"/>
  <c r="AA1608"/>
  <c r="AA1609" s="1"/>
  <c r="AA1604"/>
  <c r="AA1818"/>
  <c r="AA1724"/>
  <c r="AA1726"/>
  <c r="AA1727" s="1"/>
  <c r="AA1725"/>
  <c r="Z1963"/>
  <c r="Z1964"/>
  <c r="Z1968"/>
  <c r="Z1969" s="1"/>
  <c r="Z1890"/>
  <c r="Z1894"/>
  <c r="Z1895" s="1"/>
  <c r="V218"/>
  <c r="V219" s="1"/>
  <c r="U520"/>
  <c r="U519"/>
  <c r="U521"/>
  <c r="U522" s="1"/>
  <c r="U523" s="1"/>
  <c r="U820"/>
  <c r="U821" s="1"/>
  <c r="U818"/>
  <c r="U819" s="1"/>
  <c r="T817"/>
  <c r="U1701"/>
  <c r="U1702"/>
  <c r="U665"/>
  <c r="U666" s="1"/>
  <c r="V67"/>
  <c r="V68" s="1"/>
  <c r="U968"/>
  <c r="U969" s="1"/>
  <c r="U963" s="1"/>
  <c r="U966"/>
  <c r="U967" s="1"/>
  <c r="U961"/>
  <c r="U962" s="1"/>
  <c r="U1035"/>
  <c r="U1036" s="1"/>
  <c r="V2004"/>
  <c r="V2002"/>
  <c r="V2003"/>
  <c r="U892"/>
  <c r="U893" s="1"/>
  <c r="U894"/>
  <c r="U672"/>
  <c r="U670"/>
  <c r="U671" s="1"/>
  <c r="T669"/>
  <c r="V1707"/>
  <c r="V1706"/>
  <c r="V1708"/>
  <c r="V1709" s="1"/>
  <c r="V1710" s="1"/>
  <c r="U2004"/>
  <c r="U2005" s="1"/>
  <c r="U2002"/>
  <c r="U2003" s="1"/>
  <c r="V519"/>
  <c r="V520"/>
  <c r="V521"/>
  <c r="V522" s="1"/>
  <c r="V292"/>
  <c r="V293" s="1"/>
  <c r="U516"/>
  <c r="U515"/>
  <c r="U514"/>
  <c r="V1183"/>
  <c r="V1184" s="1"/>
  <c r="V1109"/>
  <c r="V1110" s="1"/>
  <c r="U1706"/>
  <c r="U1707"/>
  <c r="U1708"/>
  <c r="U1709" s="1"/>
  <c r="U1703" s="1"/>
  <c r="T1705"/>
  <c r="U1405"/>
  <c r="U1406" s="1"/>
  <c r="V1701"/>
  <c r="V1702" s="1"/>
  <c r="V1703"/>
  <c r="V1704" s="1"/>
  <c r="X48"/>
  <c r="X44"/>
  <c r="Y43"/>
  <c r="X49"/>
  <c r="S952"/>
  <c r="S948"/>
  <c r="S954" s="1"/>
  <c r="S956" s="1"/>
  <c r="T947"/>
  <c r="S953"/>
  <c r="S854"/>
  <c r="T850"/>
  <c r="S853"/>
  <c r="N942"/>
  <c r="O937"/>
  <c r="N938"/>
  <c r="J651"/>
  <c r="I656"/>
  <c r="I652"/>
  <c r="X1746"/>
  <c r="Y1738"/>
  <c r="X1742"/>
  <c r="X1748" s="1"/>
  <c r="X1741"/>
  <c r="X1756"/>
  <c r="Y1751"/>
  <c r="X1752"/>
  <c r="X1758" s="1"/>
  <c r="N1076"/>
  <c r="N1075"/>
  <c r="O1072"/>
  <c r="N1080"/>
  <c r="N1160"/>
  <c r="N1164"/>
  <c r="O1159"/>
  <c r="I1392"/>
  <c r="I1396"/>
  <c r="J1391"/>
  <c r="N1532"/>
  <c r="N1536" s="1"/>
  <c r="N1533"/>
  <c r="O1531"/>
  <c r="T1507"/>
  <c r="S1508"/>
  <c r="S1509" s="1"/>
  <c r="N940"/>
  <c r="N941"/>
  <c r="O939"/>
  <c r="X1986"/>
  <c r="X1991" s="1"/>
  <c r="Y1985"/>
  <c r="I1941"/>
  <c r="J1995"/>
  <c r="J1940"/>
  <c r="I1939"/>
  <c r="I1942"/>
  <c r="N1948"/>
  <c r="N1946"/>
  <c r="N1947" s="1"/>
  <c r="O1945"/>
  <c r="I1098"/>
  <c r="I1103" s="1"/>
  <c r="J1097"/>
  <c r="Y727"/>
  <c r="X728"/>
  <c r="X733" s="1"/>
  <c r="N258"/>
  <c r="O257"/>
  <c r="N480"/>
  <c r="O479"/>
  <c r="N195"/>
  <c r="N199"/>
  <c r="N200" s="1"/>
  <c r="O194"/>
  <c r="N269"/>
  <c r="N273"/>
  <c r="N274" s="1"/>
  <c r="O268"/>
  <c r="N491"/>
  <c r="N495"/>
  <c r="N496" s="1"/>
  <c r="O490"/>
  <c r="O344"/>
  <c r="N345"/>
  <c r="N346"/>
  <c r="N350" s="1"/>
  <c r="N187"/>
  <c r="O186"/>
  <c r="N188"/>
  <c r="N192" s="1"/>
  <c r="N494"/>
  <c r="N498" s="1"/>
  <c r="O492"/>
  <c r="N493"/>
  <c r="U620"/>
  <c r="U623" s="1"/>
  <c r="U621"/>
  <c r="U624" s="1"/>
  <c r="P750"/>
  <c r="P753" s="1"/>
  <c r="U1360"/>
  <c r="U1361" s="1"/>
  <c r="U1363"/>
  <c r="U1212"/>
  <c r="U1215" s="1"/>
  <c r="U842"/>
  <c r="U845" s="1"/>
  <c r="U843"/>
  <c r="U1878"/>
  <c r="U1881" s="1"/>
  <c r="U1879"/>
  <c r="U1882" s="1"/>
  <c r="P1268"/>
  <c r="P1269" s="1"/>
  <c r="U1286"/>
  <c r="U1287" s="1"/>
  <c r="U1289"/>
  <c r="U1290" s="1"/>
  <c r="P1786"/>
  <c r="P1787" s="1"/>
  <c r="V321"/>
  <c r="V322" s="1"/>
  <c r="V1437"/>
  <c r="V1434"/>
  <c r="V1435" s="1"/>
  <c r="V1804"/>
  <c r="V1805" s="1"/>
  <c r="U1138"/>
  <c r="U1139" s="1"/>
  <c r="V1212"/>
  <c r="V1213" s="1"/>
  <c r="V1215"/>
  <c r="U395"/>
  <c r="U396" s="1"/>
  <c r="U768"/>
  <c r="U771" s="1"/>
  <c r="V546"/>
  <c r="V549"/>
  <c r="V547"/>
  <c r="V550" s="1"/>
  <c r="V1583"/>
  <c r="V1585"/>
  <c r="V1582"/>
  <c r="Q229"/>
  <c r="Q232" s="1"/>
  <c r="Q78"/>
  <c r="Q81" s="1"/>
  <c r="Q526"/>
  <c r="Q529" s="1"/>
  <c r="Q525"/>
  <c r="Q528"/>
  <c r="P824"/>
  <c r="P827" s="1"/>
  <c r="Q602"/>
  <c r="Q603"/>
  <c r="Q605"/>
  <c r="Q972"/>
  <c r="Q975" s="1"/>
  <c r="Q973"/>
  <c r="Q976" s="1"/>
  <c r="P1713"/>
  <c r="O1711"/>
  <c r="P1712"/>
  <c r="P1715"/>
  <c r="Q1638"/>
  <c r="Q1639" s="1"/>
  <c r="Q1641"/>
  <c r="Q1642" s="1"/>
  <c r="Q1493"/>
  <c r="Q1491"/>
  <c r="Q1494" s="1"/>
  <c r="Q1490"/>
  <c r="N1001"/>
  <c r="N1002"/>
  <c r="N1006"/>
  <c r="O998"/>
  <c r="J1761"/>
  <c r="I1762"/>
  <c r="I1768" s="1"/>
  <c r="I1770" s="1"/>
  <c r="I1766"/>
  <c r="S1668"/>
  <c r="S1672"/>
  <c r="S1673" s="1"/>
  <c r="T1664"/>
  <c r="S1667"/>
  <c r="J1317"/>
  <c r="I1322"/>
  <c r="I1318"/>
  <c r="S1872"/>
  <c r="S1873" s="1"/>
  <c r="S1874"/>
  <c r="T1871"/>
  <c r="N1923"/>
  <c r="N1924" s="1"/>
  <c r="N1921"/>
  <c r="O1922"/>
  <c r="I979"/>
  <c r="I980" s="1"/>
  <c r="I977"/>
  <c r="J978"/>
  <c r="J1033"/>
  <c r="N1024"/>
  <c r="N1029" s="1"/>
  <c r="O1023"/>
  <c r="S607"/>
  <c r="T663"/>
  <c r="T608"/>
  <c r="S609"/>
  <c r="S610" s="1"/>
  <c r="O1763"/>
  <c r="N1764"/>
  <c r="N1769" s="1"/>
  <c r="I1735"/>
  <c r="I1737"/>
  <c r="Y1467"/>
  <c r="X1468"/>
  <c r="X1473" s="1"/>
  <c r="I1320"/>
  <c r="I1325" s="1"/>
  <c r="J1319"/>
  <c r="X2005"/>
  <c r="X1999" s="1"/>
  <c r="X2000" s="1"/>
  <c r="Y1110"/>
  <c r="AA674"/>
  <c r="O314"/>
  <c r="N317"/>
  <c r="N315"/>
  <c r="N316" s="1"/>
  <c r="N95"/>
  <c r="N93"/>
  <c r="N96" s="1"/>
  <c r="O92"/>
  <c r="N465"/>
  <c r="O462"/>
  <c r="N463"/>
  <c r="N464" s="1"/>
  <c r="J246"/>
  <c r="I247"/>
  <c r="I250" s="1"/>
  <c r="I248"/>
  <c r="I251" s="1"/>
  <c r="N99"/>
  <c r="N100" s="1"/>
  <c r="O98"/>
  <c r="O428"/>
  <c r="N429"/>
  <c r="N434" s="1"/>
  <c r="N209"/>
  <c r="O204"/>
  <c r="N205"/>
  <c r="N211" s="1"/>
  <c r="N213" s="1"/>
  <c r="I395"/>
  <c r="I396" s="1"/>
  <c r="J394"/>
  <c r="O502"/>
  <c r="N503"/>
  <c r="N508" s="1"/>
  <c r="O383"/>
  <c r="O438"/>
  <c r="N382"/>
  <c r="N384"/>
  <c r="N385" s="1"/>
  <c r="I234"/>
  <c r="I236"/>
  <c r="I237" s="1"/>
  <c r="J235"/>
  <c r="J290"/>
  <c r="N458"/>
  <c r="N459" s="1"/>
  <c r="O459" s="1"/>
  <c r="N456"/>
  <c r="O512"/>
  <c r="O457"/>
  <c r="X437"/>
  <c r="Y436"/>
  <c r="S476"/>
  <c r="S474"/>
  <c r="S328"/>
  <c r="S326"/>
  <c r="Z884"/>
  <c r="Y883"/>
  <c r="Z1846"/>
  <c r="Y1845"/>
  <c r="Z1254"/>
  <c r="Y1253"/>
  <c r="Z1476"/>
  <c r="Y1475"/>
  <c r="Z1994"/>
  <c r="Y1993"/>
  <c r="U30"/>
  <c r="V254"/>
  <c r="V1367"/>
  <c r="V1589"/>
  <c r="V106"/>
  <c r="V997"/>
  <c r="V1293"/>
  <c r="I1534"/>
  <c r="J1529"/>
  <c r="I1530"/>
  <c r="I1536" s="1"/>
  <c r="N1234"/>
  <c r="O1233"/>
  <c r="N1238"/>
  <c r="N1239"/>
  <c r="I942"/>
  <c r="I938"/>
  <c r="J937"/>
  <c r="I943"/>
  <c r="X1974"/>
  <c r="X1980" s="1"/>
  <c r="X1978"/>
  <c r="Y1973"/>
  <c r="T998"/>
  <c r="S1006"/>
  <c r="S1007" s="1"/>
  <c r="S1002"/>
  <c r="S1008" s="1"/>
  <c r="S1001"/>
  <c r="N631"/>
  <c r="O628"/>
  <c r="N636"/>
  <c r="N632"/>
  <c r="N638" s="1"/>
  <c r="N637"/>
  <c r="S1244"/>
  <c r="S1250" s="1"/>
  <c r="S1252" s="1"/>
  <c r="T1243"/>
  <c r="S1248"/>
  <c r="S1249" s="1"/>
  <c r="I1813"/>
  <c r="I217" i="13" s="1"/>
  <c r="L217" s="1"/>
  <c r="I1815" i="10"/>
  <c r="I220" i="13" s="1"/>
  <c r="L220" s="1"/>
  <c r="I1820" i="10"/>
  <c r="I1821" s="1"/>
  <c r="I218" i="13" s="1"/>
  <c r="I221" s="1"/>
  <c r="I1816" i="10"/>
  <c r="I1822" s="1"/>
  <c r="J1812"/>
  <c r="I1756"/>
  <c r="I1757" s="1"/>
  <c r="I1752"/>
  <c r="I1758" s="1"/>
  <c r="J1751"/>
  <c r="X1012"/>
  <c r="X1016"/>
  <c r="X1017" s="1"/>
  <c r="Y1011"/>
  <c r="X656"/>
  <c r="X657" s="1"/>
  <c r="X652"/>
  <c r="Y651"/>
  <c r="I568"/>
  <c r="I574" s="1"/>
  <c r="I572"/>
  <c r="J567"/>
  <c r="Y715"/>
  <c r="X716"/>
  <c r="X720"/>
  <c r="S1302"/>
  <c r="T1294"/>
  <c r="S1298"/>
  <c r="S1297"/>
  <c r="X1150"/>
  <c r="X1154"/>
  <c r="Y1146"/>
  <c r="X1149"/>
  <c r="N1149"/>
  <c r="N1150"/>
  <c r="N1156" s="1"/>
  <c r="N1154"/>
  <c r="O1146"/>
  <c r="N716"/>
  <c r="N722" s="1"/>
  <c r="N720"/>
  <c r="O715"/>
  <c r="N721"/>
  <c r="I1608"/>
  <c r="I1604"/>
  <c r="J1603"/>
  <c r="X1604"/>
  <c r="Y1603"/>
  <c r="X1608"/>
  <c r="X1609"/>
  <c r="S1513"/>
  <c r="S1515"/>
  <c r="I1515"/>
  <c r="I1513"/>
  <c r="I12"/>
  <c r="I13" s="1"/>
  <c r="J13" s="1"/>
  <c r="J65"/>
  <c r="I10"/>
  <c r="J11"/>
  <c r="J1507"/>
  <c r="I1508"/>
  <c r="I1509" s="1"/>
  <c r="I1511"/>
  <c r="I1512" s="1"/>
  <c r="O1541"/>
  <c r="N1542"/>
  <c r="N1547" s="1"/>
  <c r="I1504"/>
  <c r="I1502"/>
  <c r="I1503" s="1"/>
  <c r="J1501"/>
  <c r="S930"/>
  <c r="T929"/>
  <c r="I930"/>
  <c r="J929"/>
  <c r="S959"/>
  <c r="T960"/>
  <c r="S961"/>
  <c r="S962" s="1"/>
  <c r="T891"/>
  <c r="S892"/>
  <c r="S893" s="1"/>
  <c r="S894"/>
  <c r="S895" s="1"/>
  <c r="S889" s="1"/>
  <c r="N849"/>
  <c r="N847"/>
  <c r="S1995"/>
  <c r="S1997"/>
  <c r="S1998" s="1"/>
  <c r="T1996"/>
  <c r="I1957"/>
  <c r="I1959"/>
  <c r="J1023"/>
  <c r="I1024"/>
  <c r="I1029" s="1"/>
  <c r="I616"/>
  <c r="I614"/>
  <c r="I615" s="1"/>
  <c r="J613"/>
  <c r="N644"/>
  <c r="N645"/>
  <c r="O643"/>
  <c r="N1479"/>
  <c r="N1480" s="1"/>
  <c r="O1478"/>
  <c r="N1477"/>
  <c r="T1245"/>
  <c r="S1246"/>
  <c r="S1251" s="1"/>
  <c r="X1828"/>
  <c r="Y1827"/>
  <c r="X1829"/>
  <c r="X1833" s="1"/>
  <c r="I1818"/>
  <c r="J1817"/>
  <c r="T1797"/>
  <c r="S1798"/>
  <c r="S1799" s="1"/>
  <c r="S1800"/>
  <c r="S1801" s="1"/>
  <c r="N1793"/>
  <c r="N1794" s="1"/>
  <c r="N1791"/>
  <c r="O1847"/>
  <c r="O1792"/>
  <c r="T1718"/>
  <c r="S1717"/>
  <c r="S1719"/>
  <c r="S1720" s="1"/>
  <c r="T1773"/>
  <c r="J1723"/>
  <c r="I1726"/>
  <c r="I1727" s="1"/>
  <c r="I1728" s="1"/>
  <c r="I1724"/>
  <c r="I1725" s="1"/>
  <c r="S1755"/>
  <c r="T1753"/>
  <c r="S1754"/>
  <c r="J761"/>
  <c r="I762"/>
  <c r="I763" s="1"/>
  <c r="I764"/>
  <c r="I765" s="1"/>
  <c r="I766" s="1"/>
  <c r="Y1003"/>
  <c r="X1004"/>
  <c r="Y653"/>
  <c r="X654"/>
  <c r="X659" s="1"/>
  <c r="T675"/>
  <c r="S676"/>
  <c r="S679" s="1"/>
  <c r="S667" s="1"/>
  <c r="S677"/>
  <c r="S680" s="1"/>
  <c r="N1212"/>
  <c r="N1215" s="1"/>
  <c r="O1211"/>
  <c r="N972"/>
  <c r="N973" s="1"/>
  <c r="O971"/>
  <c r="N975"/>
  <c r="N976" s="1"/>
  <c r="N571"/>
  <c r="O569"/>
  <c r="N570"/>
  <c r="N535"/>
  <c r="O589"/>
  <c r="O534"/>
  <c r="N533"/>
  <c r="N536"/>
  <c r="O536" s="1"/>
  <c r="S1046"/>
  <c r="S1049" s="1"/>
  <c r="T1045"/>
  <c r="S1047"/>
  <c r="S1050" s="1"/>
  <c r="X718"/>
  <c r="Y717"/>
  <c r="X719"/>
  <c r="J682"/>
  <c r="I681"/>
  <c r="J737"/>
  <c r="I683"/>
  <c r="I684" s="1"/>
  <c r="S744"/>
  <c r="S745" s="1"/>
  <c r="S746"/>
  <c r="S747" s="1"/>
  <c r="S748" s="1"/>
  <c r="T743"/>
  <c r="S690"/>
  <c r="S691" s="1"/>
  <c r="T687"/>
  <c r="S688"/>
  <c r="S689" s="1"/>
  <c r="N1046"/>
  <c r="N1049" s="1"/>
  <c r="O1045"/>
  <c r="T1299"/>
  <c r="S1300"/>
  <c r="X1163"/>
  <c r="X1162"/>
  <c r="Y1161"/>
  <c r="S1088"/>
  <c r="S1089"/>
  <c r="S1093" s="1"/>
  <c r="T1087"/>
  <c r="N1088"/>
  <c r="N1089"/>
  <c r="N1093" s="1"/>
  <c r="O1087"/>
  <c r="N1138"/>
  <c r="N1141" s="1"/>
  <c r="O1137"/>
  <c r="N1139"/>
  <c r="N1142" s="1"/>
  <c r="X1282"/>
  <c r="X1283" s="1"/>
  <c r="X1284" s="1"/>
  <c r="X1280"/>
  <c r="X1281" s="1"/>
  <c r="Y1279"/>
  <c r="N708"/>
  <c r="O707"/>
  <c r="I1607"/>
  <c r="J1605"/>
  <c r="I1606"/>
  <c r="X1606"/>
  <c r="X1610" s="1"/>
  <c r="Y1605"/>
  <c r="X1607"/>
  <c r="X1597" s="1"/>
  <c r="X1601" s="1"/>
  <c r="S1412"/>
  <c r="S1410"/>
  <c r="S1411" s="1"/>
  <c r="T1409"/>
  <c r="I1347"/>
  <c r="I1349"/>
  <c r="I1350" s="1"/>
  <c r="J1348"/>
  <c r="J1403"/>
  <c r="X1858"/>
  <c r="X1784"/>
  <c r="AA2006"/>
  <c r="Z1629"/>
  <c r="Z1630" s="1"/>
  <c r="X1112"/>
  <c r="X600"/>
  <c r="Y666"/>
  <c r="Z156"/>
  <c r="Z159" s="1"/>
  <c r="Y354"/>
  <c r="X355"/>
  <c r="X360" s="1"/>
  <c r="X247"/>
  <c r="X248" s="1"/>
  <c r="Y246"/>
  <c r="X321"/>
  <c r="X324" s="1"/>
  <c r="X322"/>
  <c r="X325" s="1"/>
  <c r="Y320"/>
  <c r="Y206"/>
  <c r="X207"/>
  <c r="X212" s="1"/>
  <c r="T450"/>
  <c r="S451"/>
  <c r="S454" s="1"/>
  <c r="S452"/>
  <c r="S455" s="1"/>
  <c r="S155"/>
  <c r="S156" s="1"/>
  <c r="S158"/>
  <c r="S159" s="1"/>
  <c r="T154"/>
  <c r="X481"/>
  <c r="Y477"/>
  <c r="X485"/>
  <c r="X486"/>
  <c r="Y482"/>
  <c r="X483"/>
  <c r="X487" s="1"/>
  <c r="X484"/>
  <c r="X488" s="1"/>
  <c r="X489" s="1"/>
  <c r="X409"/>
  <c r="Y408"/>
  <c r="X493"/>
  <c r="Y492"/>
  <c r="X494"/>
  <c r="Y314"/>
  <c r="X315"/>
  <c r="X316" s="1"/>
  <c r="X317"/>
  <c r="X318" s="1"/>
  <c r="X312" s="1"/>
  <c r="X198"/>
  <c r="Y196"/>
  <c r="X197"/>
  <c r="X346"/>
  <c r="X350" s="1"/>
  <c r="X345"/>
  <c r="Y344"/>
  <c r="X458"/>
  <c r="X459" s="1"/>
  <c r="Y459" s="1"/>
  <c r="Y457"/>
  <c r="X460"/>
  <c r="Y512"/>
  <c r="X456"/>
  <c r="X88"/>
  <c r="X89" s="1"/>
  <c r="Y87"/>
  <c r="X86"/>
  <c r="Y142"/>
  <c r="Y186"/>
  <c r="X187"/>
  <c r="X188"/>
  <c r="X192" s="1"/>
  <c r="S366"/>
  <c r="S367" s="1"/>
  <c r="T365"/>
  <c r="S364"/>
  <c r="T444"/>
  <c r="S445"/>
  <c r="S446" s="1"/>
  <c r="S447"/>
  <c r="S299"/>
  <c r="S297"/>
  <c r="S298" s="1"/>
  <c r="T296"/>
  <c r="S215"/>
  <c r="T214"/>
  <c r="T436"/>
  <c r="S437"/>
  <c r="I54"/>
  <c r="I58"/>
  <c r="I59"/>
  <c r="J53"/>
  <c r="I1248"/>
  <c r="I1249" s="1"/>
  <c r="J1243"/>
  <c r="I1244"/>
  <c r="T873"/>
  <c r="S878"/>
  <c r="S874"/>
  <c r="S880" s="1"/>
  <c r="S882" s="1"/>
  <c r="I1836"/>
  <c r="J1835"/>
  <c r="I1840"/>
  <c r="I1841"/>
  <c r="X646"/>
  <c r="Y641"/>
  <c r="X642"/>
  <c r="X648" s="1"/>
  <c r="S1984"/>
  <c r="S1990" s="1"/>
  <c r="S1992" s="1"/>
  <c r="T1983"/>
  <c r="S1988"/>
  <c r="S1989"/>
  <c r="I1542"/>
  <c r="I1547" s="1"/>
  <c r="J1541"/>
  <c r="X1903"/>
  <c r="X1893" s="1"/>
  <c r="X1897" s="1"/>
  <c r="X1902"/>
  <c r="Y1901"/>
  <c r="Y1211"/>
  <c r="X1212"/>
  <c r="X1213" s="1"/>
  <c r="X1215"/>
  <c r="S1219"/>
  <c r="S1217"/>
  <c r="S842"/>
  <c r="S843" s="1"/>
  <c r="T841"/>
  <c r="S845"/>
  <c r="S846" s="1"/>
  <c r="S876"/>
  <c r="S881" s="1"/>
  <c r="T875"/>
  <c r="O915"/>
  <c r="N916"/>
  <c r="N919" s="1"/>
  <c r="O1467"/>
  <c r="N1468"/>
  <c r="N1473" s="1"/>
  <c r="I1838"/>
  <c r="I1843" s="1"/>
  <c r="J1837"/>
  <c r="N2008"/>
  <c r="N2011" s="1"/>
  <c r="O2007"/>
  <c r="N2009"/>
  <c r="N2012" s="1"/>
  <c r="S1190"/>
  <c r="T1187"/>
  <c r="S1188"/>
  <c r="S1189" s="1"/>
  <c r="N750"/>
  <c r="N751" s="1"/>
  <c r="O749"/>
  <c r="I1616"/>
  <c r="I1621" s="1"/>
  <c r="J1615"/>
  <c r="Y1850"/>
  <c r="Z1562"/>
  <c r="Y1702"/>
  <c r="Z1407"/>
  <c r="Z1408" s="1"/>
  <c r="AA969"/>
  <c r="AA970" s="1"/>
  <c r="AA1044"/>
  <c r="Y888"/>
  <c r="Y219"/>
  <c r="Z1259"/>
  <c r="Z1260" s="1"/>
  <c r="X674"/>
  <c r="Y441"/>
  <c r="X529"/>
  <c r="X306"/>
  <c r="X294" s="1"/>
  <c r="X295" s="1"/>
  <c r="T240"/>
  <c r="S243"/>
  <c r="S241"/>
  <c r="S242" s="1"/>
  <c r="N438"/>
  <c r="N440"/>
  <c r="N441" s="1"/>
  <c r="O439"/>
  <c r="N442"/>
  <c r="N151"/>
  <c r="N149"/>
  <c r="N152" s="1"/>
  <c r="O148"/>
  <c r="S310"/>
  <c r="S311"/>
  <c r="S308"/>
  <c r="T364"/>
  <c r="T309"/>
  <c r="S236"/>
  <c r="S237" s="1"/>
  <c r="T235"/>
  <c r="T290"/>
  <c r="S234"/>
  <c r="S317"/>
  <c r="T314"/>
  <c r="S315"/>
  <c r="S316" s="1"/>
  <c r="T408"/>
  <c r="S409"/>
  <c r="S411"/>
  <c r="T403"/>
  <c r="S407"/>
  <c r="S413" s="1"/>
  <c r="S485"/>
  <c r="S481"/>
  <c r="T477"/>
  <c r="T457"/>
  <c r="S456"/>
  <c r="S458"/>
  <c r="S459" s="1"/>
  <c r="T512"/>
  <c r="S113"/>
  <c r="T112"/>
  <c r="S421"/>
  <c r="T416"/>
  <c r="S417"/>
  <c r="S423" s="1"/>
  <c r="S185"/>
  <c r="T181"/>
  <c r="S189"/>
  <c r="N402"/>
  <c r="N400"/>
  <c r="J268"/>
  <c r="I269"/>
  <c r="I273"/>
  <c r="J260"/>
  <c r="I261"/>
  <c r="I41" i="12"/>
  <c r="N215" i="10"/>
  <c r="O214"/>
  <c r="I197"/>
  <c r="J196"/>
  <c r="I198"/>
  <c r="I335"/>
  <c r="J334"/>
  <c r="I52" i="12"/>
  <c r="I420" i="10"/>
  <c r="I419"/>
  <c r="J418"/>
  <c r="N289"/>
  <c r="O288"/>
  <c r="I494"/>
  <c r="J492"/>
  <c r="I493"/>
  <c r="I141"/>
  <c r="J140"/>
  <c r="I124"/>
  <c r="J122"/>
  <c r="I123"/>
  <c r="I128" s="1"/>
  <c r="I478"/>
  <c r="I485"/>
  <c r="J477"/>
  <c r="I481"/>
  <c r="I72" i="12"/>
  <c r="N514" i="10"/>
  <c r="N515" s="1"/>
  <c r="O513"/>
  <c r="N512"/>
  <c r="J331"/>
  <c r="I332"/>
  <c r="P258"/>
  <c r="Q1978"/>
  <c r="Q1979" s="1"/>
  <c r="Q1974"/>
  <c r="P1667"/>
  <c r="O1666"/>
  <c r="Q1746"/>
  <c r="Q1747" s="1"/>
  <c r="Q1742"/>
  <c r="P779"/>
  <c r="O778"/>
  <c r="Q1816"/>
  <c r="Q1820"/>
  <c r="Q1821" s="1"/>
  <c r="P1371"/>
  <c r="O1370"/>
  <c r="Q1968"/>
  <c r="Q1969" s="1"/>
  <c r="Q1964"/>
  <c r="Q1970" s="1"/>
  <c r="Q481"/>
  <c r="Q486"/>
  <c r="Q485"/>
  <c r="P261"/>
  <c r="P262"/>
  <c r="Q419"/>
  <c r="Q420"/>
  <c r="P868"/>
  <c r="P869" s="1"/>
  <c r="P864"/>
  <c r="P46"/>
  <c r="P50" s="1"/>
  <c r="P47"/>
  <c r="P51" s="1"/>
  <c r="P52" s="1"/>
  <c r="Q46"/>
  <c r="Q47"/>
  <c r="Q111"/>
  <c r="Q117" s="1"/>
  <c r="Q115"/>
  <c r="Q116" s="1"/>
  <c r="P406"/>
  <c r="P407"/>
  <c r="P411"/>
  <c r="P412" s="1"/>
  <c r="Q1961"/>
  <c r="Q1887"/>
  <c r="Q1591"/>
  <c r="Q1443"/>
  <c r="Q999"/>
  <c r="Q777"/>
  <c r="Q555"/>
  <c r="Q1665"/>
  <c r="Q1221"/>
  <c r="Q1739"/>
  <c r="Q1295"/>
  <c r="Q1147"/>
  <c r="Q703"/>
  <c r="Q404"/>
  <c r="Q182"/>
  <c r="Q1369"/>
  <c r="Q925"/>
  <c r="Q330"/>
  <c r="Q256"/>
  <c r="Q1813"/>
  <c r="Q1517"/>
  <c r="Q851"/>
  <c r="Q108"/>
  <c r="Q1073"/>
  <c r="Q629"/>
  <c r="Q478"/>
  <c r="Q34"/>
  <c r="Q38"/>
  <c r="Q39"/>
  <c r="P121"/>
  <c r="P125"/>
  <c r="P126" s="1"/>
  <c r="Q417"/>
  <c r="Q423" s="1"/>
  <c r="Q421"/>
  <c r="Q422"/>
  <c r="Q716"/>
  <c r="Q720"/>
  <c r="Q721" s="1"/>
  <c r="P867"/>
  <c r="P866"/>
  <c r="P485"/>
  <c r="P481"/>
  <c r="P487" s="1"/>
  <c r="P486"/>
  <c r="Q491"/>
  <c r="Q496"/>
  <c r="Q495"/>
  <c r="P716"/>
  <c r="P722" s="1"/>
  <c r="P720"/>
  <c r="P721" s="1"/>
  <c r="P198"/>
  <c r="P197"/>
  <c r="Q273"/>
  <c r="Q274" s="1"/>
  <c r="Q269"/>
  <c r="Q335"/>
  <c r="Q336"/>
  <c r="Q340" s="1"/>
  <c r="P409"/>
  <c r="Q634"/>
  <c r="Q718"/>
  <c r="Q719"/>
  <c r="P927"/>
  <c r="P928"/>
  <c r="P934" s="1"/>
  <c r="P932"/>
  <c r="P933" s="1"/>
  <c r="P1090"/>
  <c r="P1091" s="1"/>
  <c r="P1086"/>
  <c r="Q560"/>
  <c r="Q561"/>
  <c r="Q565" s="1"/>
  <c r="Q708"/>
  <c r="P793"/>
  <c r="P797" s="1"/>
  <c r="P792"/>
  <c r="Q1016"/>
  <c r="Q1017" s="1"/>
  <c r="Q1012"/>
  <c r="Q1150"/>
  <c r="Q1156" s="1"/>
  <c r="Q1158" s="1"/>
  <c r="Q1154"/>
  <c r="Q1155"/>
  <c r="Q1308"/>
  <c r="Q1314" s="1"/>
  <c r="Q1312"/>
  <c r="Q1313" s="1"/>
  <c r="Q1668"/>
  <c r="Q1673"/>
  <c r="Q1672"/>
  <c r="Q1311"/>
  <c r="Q1310"/>
  <c r="P782"/>
  <c r="P941"/>
  <c r="P940"/>
  <c r="P1078"/>
  <c r="P1237"/>
  <c r="P1236"/>
  <c r="Q1238"/>
  <c r="Q1239" s="1"/>
  <c r="Q1234"/>
  <c r="Q1240" s="1"/>
  <c r="P1448"/>
  <c r="Q1451"/>
  <c r="Q1450"/>
  <c r="Q1446"/>
  <c r="Q1522"/>
  <c r="P1756"/>
  <c r="P1757" s="1"/>
  <c r="P1752"/>
  <c r="Q1448"/>
  <c r="Q1449"/>
  <c r="Q1608"/>
  <c r="Q1609" s="1"/>
  <c r="Q1604"/>
  <c r="Q1830"/>
  <c r="Q1831" s="1"/>
  <c r="Q1826"/>
  <c r="P1596"/>
  <c r="Q1744"/>
  <c r="O1888"/>
  <c r="P1889"/>
  <c r="P1459"/>
  <c r="P1449" s="1"/>
  <c r="P1453" s="1"/>
  <c r="P1458"/>
  <c r="P1463" s="1"/>
  <c r="P1680"/>
  <c r="O1679"/>
  <c r="P1681"/>
  <c r="P1685" s="1"/>
  <c r="Q1892"/>
  <c r="O1518"/>
  <c r="P1519"/>
  <c r="K1356"/>
  <c r="K1354"/>
  <c r="K1355" s="1"/>
  <c r="P1504"/>
  <c r="P1502"/>
  <c r="P1503" s="1"/>
  <c r="K912"/>
  <c r="K910"/>
  <c r="K911" s="1"/>
  <c r="P614"/>
  <c r="P615" s="1"/>
  <c r="P616"/>
  <c r="P617" s="1"/>
  <c r="P984"/>
  <c r="P985" s="1"/>
  <c r="P986"/>
  <c r="P987" s="1"/>
  <c r="K690"/>
  <c r="K688"/>
  <c r="K691" s="1"/>
  <c r="K689"/>
  <c r="K692" s="1"/>
  <c r="K1282"/>
  <c r="K1283" s="1"/>
  <c r="K1280"/>
  <c r="K1281" s="1"/>
  <c r="P1134"/>
  <c r="P1132"/>
  <c r="P1133" s="1"/>
  <c r="K836"/>
  <c r="K837" s="1"/>
  <c r="K838"/>
  <c r="K984"/>
  <c r="K985" s="1"/>
  <c r="K986"/>
  <c r="K987" s="1"/>
  <c r="K1206"/>
  <c r="K1207" s="1"/>
  <c r="K1208"/>
  <c r="K1430"/>
  <c r="K1428"/>
  <c r="K1429" s="1"/>
  <c r="L463"/>
  <c r="L464"/>
  <c r="L465"/>
  <c r="Q542"/>
  <c r="Q541"/>
  <c r="Q540"/>
  <c r="L18"/>
  <c r="L19"/>
  <c r="L17"/>
  <c r="L20" s="1"/>
  <c r="P463"/>
  <c r="P464" s="1"/>
  <c r="P465"/>
  <c r="P466" s="1"/>
  <c r="P467" s="1"/>
  <c r="Q465"/>
  <c r="Q466" s="1"/>
  <c r="Q464"/>
  <c r="Q463"/>
  <c r="Q389"/>
  <c r="Q391"/>
  <c r="Q392" s="1"/>
  <c r="Q390"/>
  <c r="Q911"/>
  <c r="Q910"/>
  <c r="Q912"/>
  <c r="Q913" s="1"/>
  <c r="Q914" s="1"/>
  <c r="Q985"/>
  <c r="Q986"/>
  <c r="Q984"/>
  <c r="L984"/>
  <c r="L985"/>
  <c r="L986"/>
  <c r="L1354"/>
  <c r="L1356"/>
  <c r="L1357" s="1"/>
  <c r="L1355"/>
  <c r="J1649"/>
  <c r="K1650"/>
  <c r="K1651" s="1"/>
  <c r="K1652"/>
  <c r="K1653" s="1"/>
  <c r="K1654" s="1"/>
  <c r="Q1502"/>
  <c r="Q1503"/>
  <c r="Q1504"/>
  <c r="L1578"/>
  <c r="L1576"/>
  <c r="L1577"/>
  <c r="L1873"/>
  <c r="L1874"/>
  <c r="L1872"/>
  <c r="Q1874"/>
  <c r="Q1872"/>
  <c r="Q1873"/>
  <c r="P620"/>
  <c r="P623" s="1"/>
  <c r="K1952"/>
  <c r="K1955" s="1"/>
  <c r="K1953"/>
  <c r="K1956" s="1"/>
  <c r="P247"/>
  <c r="P250" s="1"/>
  <c r="P23"/>
  <c r="P26" s="1"/>
  <c r="P24"/>
  <c r="P27" s="1"/>
  <c r="K620"/>
  <c r="K621" s="1"/>
  <c r="K23"/>
  <c r="K26" s="1"/>
  <c r="K24"/>
  <c r="K27" s="1"/>
  <c r="K1508"/>
  <c r="K1511" s="1"/>
  <c r="P1360"/>
  <c r="P1363" s="1"/>
  <c r="P1361"/>
  <c r="P1364" s="1"/>
  <c r="P1989"/>
  <c r="P1984"/>
  <c r="P1988"/>
  <c r="O1988" s="1"/>
  <c r="O1983"/>
  <c r="Q1914"/>
  <c r="Q1915" s="1"/>
  <c r="Q1910"/>
  <c r="Q1916" s="1"/>
  <c r="Q1918" s="1"/>
  <c r="Q26"/>
  <c r="Q24"/>
  <c r="Q27" s="1"/>
  <c r="Q23"/>
  <c r="P546"/>
  <c r="O545"/>
  <c r="P549"/>
  <c r="P547"/>
  <c r="P550" s="1"/>
  <c r="P429"/>
  <c r="P434" s="1"/>
  <c r="L248"/>
  <c r="L247"/>
  <c r="L250"/>
  <c r="L251" s="1"/>
  <c r="K395"/>
  <c r="K398" s="1"/>
  <c r="K396"/>
  <c r="K399" s="1"/>
  <c r="P431"/>
  <c r="P432" s="1"/>
  <c r="P427"/>
  <c r="P433" s="1"/>
  <c r="P435" s="1"/>
  <c r="P56"/>
  <c r="P61" s="1"/>
  <c r="Q357"/>
  <c r="Q358" s="1"/>
  <c r="Q353"/>
  <c r="Q359" s="1"/>
  <c r="Q361" s="1"/>
  <c r="Q56"/>
  <c r="Q61" s="1"/>
  <c r="Q283"/>
  <c r="Q284" s="1"/>
  <c r="Q279"/>
  <c r="Q652"/>
  <c r="Q658" s="1"/>
  <c r="Q660" s="1"/>
  <c r="Q656"/>
  <c r="Q657"/>
  <c r="K768"/>
  <c r="K769" s="1"/>
  <c r="K771"/>
  <c r="L919"/>
  <c r="L917"/>
  <c r="L916"/>
  <c r="P1170"/>
  <c r="P1174"/>
  <c r="P1175" s="1"/>
  <c r="Q207"/>
  <c r="Q212" s="1"/>
  <c r="P501"/>
  <c r="P507" s="1"/>
  <c r="P509" s="1"/>
  <c r="P505"/>
  <c r="P506"/>
  <c r="P656"/>
  <c r="P657" s="1"/>
  <c r="P652"/>
  <c r="P874"/>
  <c r="P880" s="1"/>
  <c r="P882" s="1"/>
  <c r="P879"/>
  <c r="P878"/>
  <c r="P1100"/>
  <c r="P1101" s="1"/>
  <c r="P1096"/>
  <c r="L697"/>
  <c r="L695"/>
  <c r="L694"/>
  <c r="Q1027"/>
  <c r="Q1022"/>
  <c r="Q1028" s="1"/>
  <c r="Q1030" s="1"/>
  <c r="Q1026"/>
  <c r="Q1213"/>
  <c r="Q1212"/>
  <c r="Q1215"/>
  <c r="L1064"/>
  <c r="L1067"/>
  <c r="L1065"/>
  <c r="L1068" s="1"/>
  <c r="O1243"/>
  <c r="P1248"/>
  <c r="P1244"/>
  <c r="L1289"/>
  <c r="L1287"/>
  <c r="L1290" s="1"/>
  <c r="L1286"/>
  <c r="P805"/>
  <c r="O799"/>
  <c r="P800"/>
  <c r="P806" s="1"/>
  <c r="P808" s="1"/>
  <c r="P804"/>
  <c r="Q916"/>
  <c r="Q919"/>
  <c r="Q917"/>
  <c r="Q920" s="1"/>
  <c r="Q1067"/>
  <c r="Q1064"/>
  <c r="Q1065"/>
  <c r="Q1068" s="1"/>
  <c r="K1212"/>
  <c r="K1215" s="1"/>
  <c r="L1213"/>
  <c r="L1215"/>
  <c r="L1212"/>
  <c r="Q1392"/>
  <c r="Q1398" s="1"/>
  <c r="Q1400" s="1"/>
  <c r="Q1396"/>
  <c r="Q1397" s="1"/>
  <c r="Q1509"/>
  <c r="Q1511"/>
  <c r="Q1508"/>
  <c r="P1394"/>
  <c r="P1399" s="1"/>
  <c r="Q1766"/>
  <c r="Q1767" s="1"/>
  <c r="Q1762"/>
  <c r="Q1768" s="1"/>
  <c r="Q1770" s="1"/>
  <c r="P1762"/>
  <c r="P1768" s="1"/>
  <c r="P1770" s="1"/>
  <c r="P1766"/>
  <c r="P1767" s="1"/>
  <c r="Q1434"/>
  <c r="Q1437"/>
  <c r="Q1435"/>
  <c r="P1690"/>
  <c r="P1695" s="1"/>
  <c r="O1689"/>
  <c r="P1910"/>
  <c r="P1916" s="1"/>
  <c r="P1918" s="1"/>
  <c r="P1914"/>
  <c r="P1915" s="1"/>
  <c r="Q1804"/>
  <c r="Q1807"/>
  <c r="Q1805"/>
  <c r="Q1808" s="1"/>
  <c r="Q1881"/>
  <c r="Q1878"/>
  <c r="Q1879"/>
  <c r="Q1882" s="1"/>
  <c r="U838"/>
  <c r="U839" s="1"/>
  <c r="U836"/>
  <c r="U837" s="1"/>
  <c r="P665"/>
  <c r="P666" s="1"/>
  <c r="P667"/>
  <c r="P668" s="1"/>
  <c r="U1356"/>
  <c r="U1357" s="1"/>
  <c r="U1354"/>
  <c r="U1355" s="1"/>
  <c r="P67"/>
  <c r="P68" s="1"/>
  <c r="P820"/>
  <c r="P818"/>
  <c r="P819" s="1"/>
  <c r="P1553"/>
  <c r="P1554" s="1"/>
  <c r="P1997"/>
  <c r="P1998" s="1"/>
  <c r="P670"/>
  <c r="P671" s="1"/>
  <c r="P672"/>
  <c r="P673" s="1"/>
  <c r="P674" s="1"/>
  <c r="P225"/>
  <c r="P223"/>
  <c r="P224" s="1"/>
  <c r="U1578"/>
  <c r="U1576"/>
  <c r="U1577" s="1"/>
  <c r="U88"/>
  <c r="U89" s="1"/>
  <c r="U142"/>
  <c r="U1127"/>
  <c r="U1128" s="1"/>
  <c r="U1181"/>
  <c r="U1504"/>
  <c r="U1502"/>
  <c r="U1503" s="1"/>
  <c r="U1297"/>
  <c r="T1296"/>
  <c r="U1208"/>
  <c r="U1206"/>
  <c r="U1207" s="1"/>
  <c r="P1336"/>
  <c r="P1337" s="1"/>
  <c r="P1338"/>
  <c r="P144"/>
  <c r="P145"/>
  <c r="P1479"/>
  <c r="P1480" s="1"/>
  <c r="P1775"/>
  <c r="P1776" s="1"/>
  <c r="U241"/>
  <c r="U242" s="1"/>
  <c r="U243"/>
  <c r="P1856"/>
  <c r="P1854"/>
  <c r="P1855" s="1"/>
  <c r="P1035"/>
  <c r="P1036" s="1"/>
  <c r="P447"/>
  <c r="P445"/>
  <c r="P446" s="1"/>
  <c r="U364"/>
  <c r="U310"/>
  <c r="U311" s="1"/>
  <c r="U1773"/>
  <c r="U1719"/>
  <c r="U1720" s="1"/>
  <c r="V705"/>
  <c r="V710"/>
  <c r="V711" s="1"/>
  <c r="V706"/>
  <c r="U269"/>
  <c r="U273"/>
  <c r="U274" s="1"/>
  <c r="V46"/>
  <c r="V47"/>
  <c r="V51" s="1"/>
  <c r="U261"/>
  <c r="V123"/>
  <c r="V127" s="1"/>
  <c r="V124"/>
  <c r="V128" s="1"/>
  <c r="V129" s="1"/>
  <c r="V833"/>
  <c r="V832"/>
  <c r="V834" s="1"/>
  <c r="V831"/>
  <c r="V885"/>
  <c r="V185"/>
  <c r="V189"/>
  <c r="V190" s="1"/>
  <c r="V36"/>
  <c r="V37"/>
  <c r="V41" s="1"/>
  <c r="V409"/>
  <c r="V410"/>
  <c r="V414" s="1"/>
  <c r="V856"/>
  <c r="V261"/>
  <c r="V262"/>
  <c r="V266" s="1"/>
  <c r="V558"/>
  <c r="V562"/>
  <c r="V563" s="1"/>
  <c r="U644"/>
  <c r="U645"/>
  <c r="U1090"/>
  <c r="U1091" s="1"/>
  <c r="U1086"/>
  <c r="U1078"/>
  <c r="U1079"/>
  <c r="U1083" s="1"/>
  <c r="U938"/>
  <c r="U942"/>
  <c r="U943" s="1"/>
  <c r="V1533"/>
  <c r="V1532"/>
  <c r="V1536" s="1"/>
  <c r="U1228"/>
  <c r="U1229" s="1"/>
  <c r="U1224"/>
  <c r="U1230" s="1"/>
  <c r="U1232" s="1"/>
  <c r="V1386"/>
  <c r="V1387" s="1"/>
  <c r="V1382"/>
  <c r="V1388" s="1"/>
  <c r="V1741"/>
  <c r="V1742"/>
  <c r="V1746"/>
  <c r="V1747" s="1"/>
  <c r="U1371"/>
  <c r="T1370"/>
  <c r="V1974"/>
  <c r="V1980" s="1"/>
  <c r="V1978"/>
  <c r="V1979" s="1"/>
  <c r="U406"/>
  <c r="U407"/>
  <c r="U413" s="1"/>
  <c r="U411"/>
  <c r="U412" s="1"/>
  <c r="V407"/>
  <c r="V413" s="1"/>
  <c r="V411"/>
  <c r="V412" s="1"/>
  <c r="V979"/>
  <c r="V980" s="1"/>
  <c r="V1033"/>
  <c r="V560"/>
  <c r="V561"/>
  <c r="V565" s="1"/>
  <c r="V690"/>
  <c r="V688"/>
  <c r="V689"/>
  <c r="V1058"/>
  <c r="V1059"/>
  <c r="V1060"/>
  <c r="V1530"/>
  <c r="V1534"/>
  <c r="V1535" s="1"/>
  <c r="V1680"/>
  <c r="V1681"/>
  <c r="V1403"/>
  <c r="V1349"/>
  <c r="V1350" s="1"/>
  <c r="U1149"/>
  <c r="T1148"/>
  <c r="U1829"/>
  <c r="U1828"/>
  <c r="U1892"/>
  <c r="U1890"/>
  <c r="U1896" s="1"/>
  <c r="U1894"/>
  <c r="U1895" s="1"/>
  <c r="U1961"/>
  <c r="U1887"/>
  <c r="U1443"/>
  <c r="U1295"/>
  <c r="U999"/>
  <c r="U777"/>
  <c r="U555"/>
  <c r="U256"/>
  <c r="U1665"/>
  <c r="U1517"/>
  <c r="U1739"/>
  <c r="U1591"/>
  <c r="U1147"/>
  <c r="U703"/>
  <c r="U404"/>
  <c r="U108"/>
  <c r="U182"/>
  <c r="U1073"/>
  <c r="U925"/>
  <c r="U629"/>
  <c r="U478"/>
  <c r="U330"/>
  <c r="U1813"/>
  <c r="U1369"/>
  <c r="U1221"/>
  <c r="U851"/>
  <c r="U34"/>
  <c r="U38"/>
  <c r="U39" s="1"/>
  <c r="V927"/>
  <c r="V928"/>
  <c r="V932"/>
  <c r="V933" s="1"/>
  <c r="V542"/>
  <c r="V543" s="1"/>
  <c r="V544" s="1"/>
  <c r="V540"/>
  <c r="V541"/>
  <c r="U1089"/>
  <c r="U1088"/>
  <c r="U1093" s="1"/>
  <c r="U483"/>
  <c r="U484"/>
  <c r="U488" s="1"/>
  <c r="V1075"/>
  <c r="V1080"/>
  <c r="V1081" s="1"/>
  <c r="V1076"/>
  <c r="V1082" s="1"/>
  <c r="U571"/>
  <c r="U570"/>
  <c r="U1012"/>
  <c r="U1018" s="1"/>
  <c r="U1020" s="1"/>
  <c r="U1016"/>
  <c r="U1017"/>
  <c r="U793"/>
  <c r="U792"/>
  <c r="V1376"/>
  <c r="V1377" s="1"/>
  <c r="V1372"/>
  <c r="U1386"/>
  <c r="U1387" s="1"/>
  <c r="U1382"/>
  <c r="V1652"/>
  <c r="V1651"/>
  <c r="V1650"/>
  <c r="U1524"/>
  <c r="U1525" s="1"/>
  <c r="U1520"/>
  <c r="V1829"/>
  <c r="V1828"/>
  <c r="V1668"/>
  <c r="V1672"/>
  <c r="V1673" s="1"/>
  <c r="V1667"/>
  <c r="U1755"/>
  <c r="U1754"/>
  <c r="V1873"/>
  <c r="V1874"/>
  <c r="V1872"/>
  <c r="U36"/>
  <c r="U421"/>
  <c r="U422" s="1"/>
  <c r="U417"/>
  <c r="U542"/>
  <c r="U543" s="1"/>
  <c r="U540"/>
  <c r="U541"/>
  <c r="V912"/>
  <c r="V910"/>
  <c r="V911"/>
  <c r="V491"/>
  <c r="V496"/>
  <c r="V495"/>
  <c r="U535"/>
  <c r="U589"/>
  <c r="U536"/>
  <c r="U716"/>
  <c r="U720"/>
  <c r="U721" s="1"/>
  <c r="U930"/>
  <c r="V1089"/>
  <c r="V1093" s="1"/>
  <c r="V1088"/>
  <c r="U1449"/>
  <c r="U1448"/>
  <c r="V1281"/>
  <c r="V1284" s="1"/>
  <c r="V1280"/>
  <c r="V1282"/>
  <c r="V1283" s="1"/>
  <c r="V1226"/>
  <c r="V1497"/>
  <c r="V1498" s="1"/>
  <c r="V1551"/>
  <c r="V1598"/>
  <c r="V1599" s="1"/>
  <c r="V1594"/>
  <c r="V1593"/>
  <c r="U1826"/>
  <c r="U1830"/>
  <c r="U1831" s="1"/>
  <c r="V1816"/>
  <c r="V1820"/>
  <c r="V1821" s="1"/>
  <c r="U1978"/>
  <c r="U1979" s="1"/>
  <c r="U1974"/>
  <c r="U1980" s="1"/>
  <c r="U1904"/>
  <c r="U1905" s="1"/>
  <c r="U1900"/>
  <c r="P1846"/>
  <c r="O1845"/>
  <c r="Q1780"/>
  <c r="Q1782"/>
  <c r="Q1783" s="1"/>
  <c r="Q1777" s="1"/>
  <c r="Q1778" s="1"/>
  <c r="Q1781"/>
  <c r="L189"/>
  <c r="L190" s="1"/>
  <c r="L185"/>
  <c r="K884"/>
  <c r="J883"/>
  <c r="K343"/>
  <c r="K347"/>
  <c r="K348"/>
  <c r="P328"/>
  <c r="P514"/>
  <c r="P515" s="1"/>
  <c r="K792"/>
  <c r="K793"/>
  <c r="Q67"/>
  <c r="Q68" s="1"/>
  <c r="Q292"/>
  <c r="Q293" s="1"/>
  <c r="Q30"/>
  <c r="J63"/>
  <c r="K64"/>
  <c r="L106"/>
  <c r="L124"/>
  <c r="L123"/>
  <c r="K121"/>
  <c r="K125"/>
  <c r="K126" s="1"/>
  <c r="K419"/>
  <c r="K420"/>
  <c r="K485"/>
  <c r="K486" s="1"/>
  <c r="K481"/>
  <c r="K708"/>
  <c r="Q73"/>
  <c r="Q72"/>
  <c r="Q74"/>
  <c r="L30"/>
  <c r="Q180"/>
  <c r="L346"/>
  <c r="L350" s="1"/>
  <c r="L345"/>
  <c r="K328"/>
  <c r="Q519"/>
  <c r="Q520"/>
  <c r="Q521"/>
  <c r="L1014"/>
  <c r="L1015"/>
  <c r="K636"/>
  <c r="K637" s="1"/>
  <c r="K632"/>
  <c r="L571"/>
  <c r="L570"/>
  <c r="L708"/>
  <c r="Q701"/>
  <c r="Q887"/>
  <c r="Q889"/>
  <c r="Q888"/>
  <c r="K928"/>
  <c r="K934" s="1"/>
  <c r="K936" s="1"/>
  <c r="K932"/>
  <c r="K933" s="1"/>
  <c r="K1002"/>
  <c r="K1008" s="1"/>
  <c r="K1006"/>
  <c r="K1007" s="1"/>
  <c r="K1032"/>
  <c r="J1031"/>
  <c r="K180"/>
  <c r="L111"/>
  <c r="L115"/>
  <c r="L116" s="1"/>
  <c r="K258"/>
  <c r="K263"/>
  <c r="K264" s="1"/>
  <c r="K259"/>
  <c r="K588"/>
  <c r="J587"/>
  <c r="P598"/>
  <c r="P599" s="1"/>
  <c r="P596"/>
  <c r="P597"/>
  <c r="K720"/>
  <c r="K721" s="1"/>
  <c r="K716"/>
  <c r="K722" s="1"/>
  <c r="L790"/>
  <c r="L794"/>
  <c r="L795" s="1"/>
  <c r="L997"/>
  <c r="K1163"/>
  <c r="K1167" s="1"/>
  <c r="K1162"/>
  <c r="P553"/>
  <c r="N551"/>
  <c r="L775"/>
  <c r="L940"/>
  <c r="L941"/>
  <c r="L945" s="1"/>
  <c r="L1164"/>
  <c r="L1165" s="1"/>
  <c r="L1160"/>
  <c r="Q1331"/>
  <c r="Q1332" s="1"/>
  <c r="K1402"/>
  <c r="J1401"/>
  <c r="Q1114"/>
  <c r="Q1115"/>
  <c r="Q1116"/>
  <c r="Q1117" s="1"/>
  <c r="K1164"/>
  <c r="K1165" s="1"/>
  <c r="K1160"/>
  <c r="K1166" s="1"/>
  <c r="Q1183"/>
  <c r="Q1184" s="1"/>
  <c r="K1300"/>
  <c r="Q1558"/>
  <c r="Q1560"/>
  <c r="Q1561" s="1"/>
  <c r="Q1559"/>
  <c r="Q1562" s="1"/>
  <c r="K810"/>
  <c r="J809"/>
  <c r="Q968"/>
  <c r="Q969" s="1"/>
  <c r="Q963" s="1"/>
  <c r="Q964" s="1"/>
  <c r="Q967"/>
  <c r="Q970" s="1"/>
  <c r="Q966"/>
  <c r="L1090"/>
  <c r="L1091" s="1"/>
  <c r="L1086"/>
  <c r="L1223"/>
  <c r="L1224"/>
  <c r="L1228"/>
  <c r="L1229"/>
  <c r="P1402"/>
  <c r="O1401"/>
  <c r="K1608"/>
  <c r="K1609" s="1"/>
  <c r="K1604"/>
  <c r="K1152"/>
  <c r="Q1293"/>
  <c r="K1382"/>
  <c r="K1388" s="1"/>
  <c r="K1386"/>
  <c r="K1387" s="1"/>
  <c r="L1234"/>
  <c r="L1238"/>
  <c r="L1239" s="1"/>
  <c r="K1312"/>
  <c r="K1313" s="1"/>
  <c r="K1308"/>
  <c r="K1226"/>
  <c r="L1524"/>
  <c r="L1525" s="1"/>
  <c r="L1520"/>
  <c r="L1526" s="1"/>
  <c r="L1589"/>
  <c r="K1293"/>
  <c r="L1522"/>
  <c r="K1678"/>
  <c r="K1684" s="1"/>
  <c r="K1682"/>
  <c r="K1683" s="1"/>
  <c r="K1534"/>
  <c r="K1535" s="1"/>
  <c r="K1530"/>
  <c r="K1536" s="1"/>
  <c r="K1668"/>
  <c r="K1674" s="1"/>
  <c r="K1672"/>
  <c r="K1673" s="1"/>
  <c r="L1606"/>
  <c r="L1607"/>
  <c r="Q1707"/>
  <c r="Q1708"/>
  <c r="Q1709" s="1"/>
  <c r="Q1710" s="1"/>
  <c r="Q1706"/>
  <c r="K1680"/>
  <c r="K1681"/>
  <c r="L1818"/>
  <c r="P1441"/>
  <c r="N1439"/>
  <c r="Q1486"/>
  <c r="Q1487" s="1"/>
  <c r="Q1481" s="1"/>
  <c r="Q1484"/>
  <c r="Q1485"/>
  <c r="Q1515"/>
  <c r="K1598"/>
  <c r="K1599" s="1"/>
  <c r="K1594"/>
  <c r="K1846"/>
  <c r="J1845"/>
  <c r="K1900"/>
  <c r="K1904"/>
  <c r="K1905" s="1"/>
  <c r="Q1811"/>
  <c r="Q1885"/>
  <c r="L1963"/>
  <c r="L1968"/>
  <c r="L1969" s="1"/>
  <c r="L1964"/>
  <c r="L1970" s="1"/>
  <c r="L1976"/>
  <c r="L1977"/>
  <c r="L1981" s="1"/>
  <c r="L1001"/>
  <c r="K1966"/>
  <c r="K1667"/>
  <c r="J1666"/>
  <c r="K1752"/>
  <c r="K1756"/>
  <c r="K1757" s="1"/>
  <c r="K1902"/>
  <c r="K1903"/>
  <c r="L1978"/>
  <c r="L1979" s="1"/>
  <c r="L1974"/>
  <c r="L1980" s="1"/>
  <c r="L853"/>
  <c r="L1371"/>
  <c r="J1962"/>
  <c r="L1959"/>
  <c r="L110"/>
  <c r="L631"/>
  <c r="J1222"/>
  <c r="L1741"/>
  <c r="J1909"/>
  <c r="I1914"/>
  <c r="I1910"/>
  <c r="T799"/>
  <c r="S804"/>
  <c r="S800"/>
  <c r="X948"/>
  <c r="Y947"/>
  <c r="X952"/>
  <c r="S1386"/>
  <c r="S1382"/>
  <c r="S1388" s="1"/>
  <c r="T1381"/>
  <c r="X780"/>
  <c r="Y776"/>
  <c r="X784"/>
  <c r="X785"/>
  <c r="X779"/>
  <c r="S790"/>
  <c r="S794"/>
  <c r="T789"/>
  <c r="S795"/>
  <c r="N1830"/>
  <c r="O1825"/>
  <c r="N1826"/>
  <c r="S1160"/>
  <c r="S1166" s="1"/>
  <c r="S1168" s="1"/>
  <c r="S1164"/>
  <c r="T1159"/>
  <c r="X1086"/>
  <c r="Y1085"/>
  <c r="X1090"/>
  <c r="Y1090" s="1"/>
  <c r="X1091"/>
  <c r="X1672"/>
  <c r="X1668"/>
  <c r="Y1664"/>
  <c r="X1667"/>
  <c r="X1174"/>
  <c r="X1170"/>
  <c r="Y1169"/>
  <c r="S1840"/>
  <c r="S1836"/>
  <c r="S1842" s="1"/>
  <c r="S1844" s="1"/>
  <c r="T1835"/>
  <c r="S1234"/>
  <c r="T1233"/>
  <c r="S1238"/>
  <c r="S1239"/>
  <c r="I33"/>
  <c r="I34"/>
  <c r="J31"/>
  <c r="I38"/>
  <c r="I1961"/>
  <c r="I241" i="13" s="1"/>
  <c r="L241" s="1"/>
  <c r="I1073" i="10"/>
  <c r="I97" i="13" s="1"/>
  <c r="L97" s="1"/>
  <c r="I1221" i="10"/>
  <c r="I121" i="13" s="1"/>
  <c r="L121" s="1"/>
  <c r="I1147" i="10"/>
  <c r="I109" i="13" s="1"/>
  <c r="L109" s="1"/>
  <c r="I851" i="10"/>
  <c r="I61" i="13" s="1"/>
  <c r="L61" s="1"/>
  <c r="S1912" i="10"/>
  <c r="S1917" s="1"/>
  <c r="T1911"/>
  <c r="N1903"/>
  <c r="N1902"/>
  <c r="N1906" s="1"/>
  <c r="O1901"/>
  <c r="O811"/>
  <c r="N757"/>
  <c r="N758" s="1"/>
  <c r="N755"/>
  <c r="O756"/>
  <c r="J767"/>
  <c r="I768"/>
  <c r="I771" s="1"/>
  <c r="I769"/>
  <c r="I772" s="1"/>
  <c r="I802"/>
  <c r="I807" s="1"/>
  <c r="J801"/>
  <c r="I912"/>
  <c r="I910"/>
  <c r="I911" s="1"/>
  <c r="J909"/>
  <c r="N966"/>
  <c r="N967" s="1"/>
  <c r="N968"/>
  <c r="N969" s="1"/>
  <c r="O965"/>
  <c r="X1448"/>
  <c r="Y1447"/>
  <c r="N1416"/>
  <c r="N1419" s="1"/>
  <c r="O1415"/>
  <c r="S1374"/>
  <c r="T1373"/>
  <c r="S1375"/>
  <c r="S1379" s="1"/>
  <c r="N1367"/>
  <c r="N1365"/>
  <c r="T812"/>
  <c r="S813"/>
  <c r="S814" s="1"/>
  <c r="S811"/>
  <c r="S764"/>
  <c r="T761"/>
  <c r="S762"/>
  <c r="S763" s="1"/>
  <c r="N1754"/>
  <c r="N1755"/>
  <c r="O1753"/>
  <c r="S542"/>
  <c r="S543" s="1"/>
  <c r="S537" s="1"/>
  <c r="T539"/>
  <c r="S540"/>
  <c r="S541" s="1"/>
  <c r="N591"/>
  <c r="N592" s="1"/>
  <c r="N589"/>
  <c r="O590"/>
  <c r="N701"/>
  <c r="N699"/>
  <c r="S1162"/>
  <c r="S1163"/>
  <c r="S1167" s="1"/>
  <c r="T1161"/>
  <c r="S1132"/>
  <c r="S1133" s="1"/>
  <c r="S1134"/>
  <c r="T1131"/>
  <c r="O1181"/>
  <c r="N1127"/>
  <c r="N1128" s="1"/>
  <c r="N1125"/>
  <c r="O1126"/>
  <c r="S984"/>
  <c r="S985" s="1"/>
  <c r="S986"/>
  <c r="T983"/>
  <c r="T619"/>
  <c r="S620"/>
  <c r="S621" s="1"/>
  <c r="S623"/>
  <c r="S624" s="1"/>
  <c r="X1089"/>
  <c r="X1088"/>
  <c r="X1092" s="1"/>
  <c r="Y1087"/>
  <c r="I1078"/>
  <c r="I1082" s="1"/>
  <c r="J1077"/>
  <c r="Y1699"/>
  <c r="X1643"/>
  <c r="Y1644"/>
  <c r="X1645"/>
  <c r="X1646" s="1"/>
  <c r="Y1646" s="1"/>
  <c r="I1690"/>
  <c r="I1695" s="1"/>
  <c r="J1689"/>
  <c r="S1053"/>
  <c r="S1054" s="1"/>
  <c r="T1107"/>
  <c r="T1052"/>
  <c r="S1051"/>
  <c r="I1273"/>
  <c r="J1329"/>
  <c r="I1275"/>
  <c r="I1276" s="1"/>
  <c r="J1274"/>
  <c r="N1273"/>
  <c r="N1275"/>
  <c r="N1276" s="1"/>
  <c r="O1274"/>
  <c r="O1329"/>
  <c r="S1804"/>
  <c r="S1807" s="1"/>
  <c r="T1803"/>
  <c r="I1578"/>
  <c r="I1576"/>
  <c r="I1577" s="1"/>
  <c r="J1575"/>
  <c r="Y1403"/>
  <c r="X1349"/>
  <c r="X1350" s="1"/>
  <c r="Y1350" s="1"/>
  <c r="Y1348"/>
  <c r="X1347"/>
  <c r="X1351"/>
  <c r="N1257"/>
  <c r="N1258" s="1"/>
  <c r="O1258" s="1"/>
  <c r="O1256"/>
  <c r="N1255"/>
  <c r="S1206"/>
  <c r="S1207" s="1"/>
  <c r="S1208"/>
  <c r="S1209" s="1"/>
  <c r="S1210" s="1"/>
  <c r="T1205"/>
  <c r="S1226"/>
  <c r="T1225"/>
  <c r="I1217"/>
  <c r="I1219"/>
  <c r="I30"/>
  <c r="I28"/>
  <c r="X566"/>
  <c r="S173"/>
  <c r="S176" s="1"/>
  <c r="S174"/>
  <c r="S177" s="1"/>
  <c r="T172"/>
  <c r="S321"/>
  <c r="S324" s="1"/>
  <c r="S322"/>
  <c r="S325" s="1"/>
  <c r="T320"/>
  <c r="N528"/>
  <c r="N525"/>
  <c r="N526"/>
  <c r="N529" s="1"/>
  <c r="O524"/>
  <c r="T426"/>
  <c r="S431"/>
  <c r="S427"/>
  <c r="S432"/>
  <c r="T500"/>
  <c r="S505"/>
  <c r="T505" s="1"/>
  <c r="S501"/>
  <c r="S507" s="1"/>
  <c r="S509" s="1"/>
  <c r="S506"/>
  <c r="S353"/>
  <c r="S359" s="1"/>
  <c r="S361" s="1"/>
  <c r="S357"/>
  <c r="T352"/>
  <c r="I133"/>
  <c r="I138" s="1"/>
  <c r="J132"/>
  <c r="I503"/>
  <c r="I508" s="1"/>
  <c r="J502"/>
  <c r="I355"/>
  <c r="I360" s="1"/>
  <c r="J354"/>
  <c r="Z429"/>
  <c r="Z434" s="1"/>
  <c r="AA355"/>
  <c r="AA360" s="1"/>
  <c r="AA247"/>
  <c r="AA250" s="1"/>
  <c r="AA1172"/>
  <c r="AA1177" s="1"/>
  <c r="Z726"/>
  <c r="Z732" s="1"/>
  <c r="Z734" s="1"/>
  <c r="Z730"/>
  <c r="Z731" s="1"/>
  <c r="Z1212"/>
  <c r="Z1215" s="1"/>
  <c r="Z1213"/>
  <c r="Z1216" s="1"/>
  <c r="Z1320"/>
  <c r="Z1325" s="1"/>
  <c r="Y1319"/>
  <c r="Z1540"/>
  <c r="Z1546" s="1"/>
  <c r="Z1548" s="1"/>
  <c r="Z1544"/>
  <c r="Z1545" s="1"/>
  <c r="AA1766"/>
  <c r="AA1767" s="1"/>
  <c r="AA1762"/>
  <c r="AA1768" s="1"/>
  <c r="AA1770" s="1"/>
  <c r="AA56"/>
  <c r="AA61" s="1"/>
  <c r="AA357"/>
  <c r="AA358" s="1"/>
  <c r="AA353"/>
  <c r="AA359" s="1"/>
  <c r="AA361" s="1"/>
  <c r="AA654"/>
  <c r="AA659" s="1"/>
  <c r="Z469"/>
  <c r="Z472"/>
  <c r="Z470"/>
  <c r="Z473" s="1"/>
  <c r="Z321"/>
  <c r="Z324" s="1"/>
  <c r="Z312" s="1"/>
  <c r="Z313" s="1"/>
  <c r="AA952"/>
  <c r="AA953" s="1"/>
  <c r="AA948"/>
  <c r="AA954" s="1"/>
  <c r="AA956" s="1"/>
  <c r="AA1024"/>
  <c r="AA1029" s="1"/>
  <c r="Z1508"/>
  <c r="Z1509" s="1"/>
  <c r="Z1511"/>
  <c r="Z1512" s="1"/>
  <c r="AA876"/>
  <c r="AA881" s="1"/>
  <c r="Z58"/>
  <c r="Z59" s="1"/>
  <c r="Z54"/>
  <c r="AA874"/>
  <c r="AA878"/>
  <c r="AA879" s="1"/>
  <c r="AA1026"/>
  <c r="AA1027" s="1"/>
  <c r="AA1022"/>
  <c r="Z1434"/>
  <c r="Z1437" s="1"/>
  <c r="Z1435"/>
  <c r="Z1438" s="1"/>
  <c r="AA1838"/>
  <c r="AA1843" s="1"/>
  <c r="AA133"/>
  <c r="AA138" s="1"/>
  <c r="AA58"/>
  <c r="AA59" s="1"/>
  <c r="AA54"/>
  <c r="AA60" s="1"/>
  <c r="AA62" s="1"/>
  <c r="AA652"/>
  <c r="AA658" s="1"/>
  <c r="AA660" s="1"/>
  <c r="AA656"/>
  <c r="AA657" s="1"/>
  <c r="Z431"/>
  <c r="Z432" s="1"/>
  <c r="Z427"/>
  <c r="Z433" s="1"/>
  <c r="Z435" s="1"/>
  <c r="Z694"/>
  <c r="Z697" s="1"/>
  <c r="Z1064"/>
  <c r="Z1067" s="1"/>
  <c r="Z1065"/>
  <c r="Z1068" s="1"/>
  <c r="AA1730"/>
  <c r="AA1733" s="1"/>
  <c r="AA1914"/>
  <c r="AA1915" s="1"/>
  <c r="AA1910"/>
  <c r="AA1916" s="1"/>
  <c r="AA1918" s="1"/>
  <c r="U1046"/>
  <c r="U1047" s="1"/>
  <c r="V377"/>
  <c r="V378" s="1"/>
  <c r="V380"/>
  <c r="V381" s="1"/>
  <c r="V1786"/>
  <c r="V1789" s="1"/>
  <c r="V602"/>
  <c r="V605"/>
  <c r="V603"/>
  <c r="V606" s="1"/>
  <c r="U1121"/>
  <c r="U1123"/>
  <c r="U1120"/>
  <c r="V1638"/>
  <c r="V1639" s="1"/>
  <c r="U750"/>
  <c r="U753" s="1"/>
  <c r="U751"/>
  <c r="U754" s="1"/>
  <c r="U1490"/>
  <c r="U1491" s="1"/>
  <c r="U1564"/>
  <c r="U1565" s="1"/>
  <c r="U377"/>
  <c r="U380" s="1"/>
  <c r="V1120"/>
  <c r="V1123" s="1"/>
  <c r="V303"/>
  <c r="V304" s="1"/>
  <c r="V750"/>
  <c r="V753" s="1"/>
  <c r="V1564"/>
  <c r="V1565" s="1"/>
  <c r="U58"/>
  <c r="U59" s="1"/>
  <c r="U54"/>
  <c r="U60" s="1"/>
  <c r="U62" s="1"/>
  <c r="V131"/>
  <c r="V135"/>
  <c r="V136" s="1"/>
  <c r="U1022"/>
  <c r="U1028" s="1"/>
  <c r="U1030" s="1"/>
  <c r="U1026"/>
  <c r="U1027" s="1"/>
  <c r="V207"/>
  <c r="V212" s="1"/>
  <c r="U1024"/>
  <c r="U1029" s="1"/>
  <c r="U1174"/>
  <c r="U1175" s="1"/>
  <c r="U1170"/>
  <c r="U1176" s="1"/>
  <c r="U1178" s="1"/>
  <c r="V1614"/>
  <c r="V1618"/>
  <c r="V1619" s="1"/>
  <c r="V1542"/>
  <c r="V1547" s="1"/>
  <c r="U1984"/>
  <c r="U1990" s="1"/>
  <c r="U1992" s="1"/>
  <c r="U1988"/>
  <c r="U1989" s="1"/>
  <c r="U131"/>
  <c r="U137" s="1"/>
  <c r="U139" s="1"/>
  <c r="U135"/>
  <c r="U136" s="1"/>
  <c r="V952"/>
  <c r="V953" s="1"/>
  <c r="V948"/>
  <c r="V954" s="1"/>
  <c r="V956" s="1"/>
  <c r="V1322"/>
  <c r="V1323" s="1"/>
  <c r="V1318"/>
  <c r="U1468"/>
  <c r="U1473" s="1"/>
  <c r="T1467"/>
  <c r="U1840"/>
  <c r="U1841" s="1"/>
  <c r="U1836"/>
  <c r="V209"/>
  <c r="V210" s="1"/>
  <c r="V205"/>
  <c r="V730"/>
  <c r="V731" s="1"/>
  <c r="V726"/>
  <c r="V732" s="1"/>
  <c r="V734" s="1"/>
  <c r="U580"/>
  <c r="U585" s="1"/>
  <c r="T579"/>
  <c r="V1320"/>
  <c r="V1325" s="1"/>
  <c r="U1466"/>
  <c r="U1470"/>
  <c r="T1470" s="1"/>
  <c r="U1471"/>
  <c r="T1465"/>
  <c r="V800"/>
  <c r="V806" s="1"/>
  <c r="V808" s="1"/>
  <c r="V804"/>
  <c r="V805" s="1"/>
  <c r="U804"/>
  <c r="U805" s="1"/>
  <c r="U800"/>
  <c r="V578"/>
  <c r="V584" s="1"/>
  <c r="V586" s="1"/>
  <c r="V582"/>
  <c r="V583" s="1"/>
  <c r="V1022"/>
  <c r="V1026"/>
  <c r="V1027" s="1"/>
  <c r="U1618"/>
  <c r="U1619" s="1"/>
  <c r="U1614"/>
  <c r="U1620" s="1"/>
  <c r="U1622" s="1"/>
  <c r="V1840"/>
  <c r="V1841" s="1"/>
  <c r="V1836"/>
  <c r="V1842" s="1"/>
  <c r="V1844" s="1"/>
  <c r="K133"/>
  <c r="K138" s="1"/>
  <c r="K429"/>
  <c r="K434" s="1"/>
  <c r="L54"/>
  <c r="L58"/>
  <c r="L59" s="1"/>
  <c r="L355"/>
  <c r="L360" s="1"/>
  <c r="L56"/>
  <c r="L61" s="1"/>
  <c r="L281"/>
  <c r="L286" s="1"/>
  <c r="L876"/>
  <c r="L881" s="1"/>
  <c r="K950"/>
  <c r="K955" s="1"/>
  <c r="K357"/>
  <c r="K358" s="1"/>
  <c r="K353"/>
  <c r="K359" s="1"/>
  <c r="K361" s="1"/>
  <c r="K654"/>
  <c r="K659" s="1"/>
  <c r="K1024"/>
  <c r="K1029" s="1"/>
  <c r="L656"/>
  <c r="L657" s="1"/>
  <c r="L652"/>
  <c r="L878"/>
  <c r="L879" s="1"/>
  <c r="L874"/>
  <c r="L1618"/>
  <c r="L1619" s="1"/>
  <c r="L1614"/>
  <c r="L1620" s="1"/>
  <c r="L1622" s="1"/>
  <c r="L1246"/>
  <c r="L1251" s="1"/>
  <c r="K952"/>
  <c r="K953" s="1"/>
  <c r="K948"/>
  <c r="K954" s="1"/>
  <c r="K956" s="1"/>
  <c r="K1098"/>
  <c r="K1103" s="1"/>
  <c r="K1322"/>
  <c r="K1323" s="1"/>
  <c r="K1318"/>
  <c r="K1246"/>
  <c r="K1251" s="1"/>
  <c r="L1470"/>
  <c r="L1471"/>
  <c r="L1466"/>
  <c r="L1472" s="1"/>
  <c r="L1474" s="1"/>
  <c r="K1614"/>
  <c r="K1620" s="1"/>
  <c r="K1622" s="1"/>
  <c r="K1618"/>
  <c r="K1619" s="1"/>
  <c r="L1766"/>
  <c r="L1767" s="1"/>
  <c r="L1762"/>
  <c r="L1764"/>
  <c r="L1769" s="1"/>
  <c r="L1838"/>
  <c r="L1843" s="1"/>
  <c r="K1762"/>
  <c r="K1766"/>
  <c r="K1767" s="1"/>
  <c r="K1988"/>
  <c r="K1989" s="1"/>
  <c r="K1984"/>
  <c r="P737"/>
  <c r="P683"/>
  <c r="P684" s="1"/>
  <c r="P88"/>
  <c r="P89"/>
  <c r="P142"/>
  <c r="K1941"/>
  <c r="K1942" s="1"/>
  <c r="K1995"/>
  <c r="I1995" s="1"/>
  <c r="K1107"/>
  <c r="K1053"/>
  <c r="K1054" s="1"/>
  <c r="P885"/>
  <c r="P831"/>
  <c r="P832" s="1"/>
  <c r="K811"/>
  <c r="K757"/>
  <c r="K758" s="1"/>
  <c r="K759"/>
  <c r="P1349"/>
  <c r="P1350" s="1"/>
  <c r="P1403"/>
  <c r="P236"/>
  <c r="P237" s="1"/>
  <c r="P290"/>
  <c r="P1847"/>
  <c r="P1793"/>
  <c r="P1794" s="1"/>
  <c r="K1329"/>
  <c r="K1275"/>
  <c r="K1276" s="1"/>
  <c r="P1497"/>
  <c r="P1498" s="1"/>
  <c r="P1551"/>
  <c r="K1773"/>
  <c r="K1719"/>
  <c r="K1720" s="1"/>
  <c r="Q811"/>
  <c r="Q757"/>
  <c r="Q759"/>
  <c r="Q758"/>
  <c r="K512"/>
  <c r="K458"/>
  <c r="K459" s="1"/>
  <c r="L88"/>
  <c r="L142"/>
  <c r="L90"/>
  <c r="L89"/>
  <c r="L91" s="1"/>
  <c r="Q385"/>
  <c r="Q387" s="1"/>
  <c r="Q438"/>
  <c r="Q384"/>
  <c r="Q386"/>
  <c r="K535"/>
  <c r="K536" s="1"/>
  <c r="K589"/>
  <c r="I589" s="1"/>
  <c r="Q312"/>
  <c r="Q364"/>
  <c r="Q311"/>
  <c r="Q310"/>
  <c r="Q536"/>
  <c r="Q537"/>
  <c r="Q538" s="1"/>
  <c r="Q535"/>
  <c r="Q589"/>
  <c r="L1403"/>
  <c r="L1351"/>
  <c r="L1349"/>
  <c r="L1350"/>
  <c r="Q905"/>
  <c r="Q906"/>
  <c r="Q908" s="1"/>
  <c r="Q907"/>
  <c r="Q959"/>
  <c r="Q1277"/>
  <c r="Q1275"/>
  <c r="Q1329"/>
  <c r="Q1276"/>
  <c r="Q1403"/>
  <c r="Q1350"/>
  <c r="Q1352" s="1"/>
  <c r="Q1349"/>
  <c r="Q1351"/>
  <c r="L1497"/>
  <c r="L1551"/>
  <c r="I1551" s="1"/>
  <c r="L1498"/>
  <c r="L1499"/>
  <c r="Q1699"/>
  <c r="Q1647"/>
  <c r="Q1646"/>
  <c r="Q1645"/>
  <c r="L1646"/>
  <c r="L1648" s="1"/>
  <c r="L1699"/>
  <c r="L1647"/>
  <c r="L1645"/>
  <c r="Q1869"/>
  <c r="Q1921"/>
  <c r="Q1868"/>
  <c r="Q1867"/>
  <c r="N1519"/>
  <c r="N1524"/>
  <c r="O1516"/>
  <c r="N1520"/>
  <c r="I1887"/>
  <c r="I229" i="13" s="1"/>
  <c r="L229" s="1"/>
  <c r="I1889" i="10"/>
  <c r="I232" i="13" s="1"/>
  <c r="L232" s="1"/>
  <c r="I1894" i="10"/>
  <c r="I1890"/>
  <c r="J1886"/>
  <c r="X854"/>
  <c r="X860" s="1"/>
  <c r="X858"/>
  <c r="Y858" s="1"/>
  <c r="Y850"/>
  <c r="X859"/>
  <c r="X853"/>
  <c r="N1445"/>
  <c r="N1446"/>
  <c r="N1452" s="1"/>
  <c r="N1450"/>
  <c r="N1451" s="1"/>
  <c r="O1442"/>
  <c r="I1984"/>
  <c r="I1990" s="1"/>
  <c r="I1992" s="1"/>
  <c r="I1988"/>
  <c r="J1983"/>
  <c r="Y1677"/>
  <c r="X1682"/>
  <c r="X1678"/>
  <c r="X1683"/>
  <c r="N1322"/>
  <c r="O1317"/>
  <c r="N1318"/>
  <c r="N1324" s="1"/>
  <c r="N1326" s="1"/>
  <c r="Y11"/>
  <c r="X12"/>
  <c r="X13" s="1"/>
  <c r="X10"/>
  <c r="Y65"/>
  <c r="X19"/>
  <c r="X17"/>
  <c r="X18"/>
  <c r="Y16"/>
  <c r="S1553"/>
  <c r="S1554" s="1"/>
  <c r="S1551"/>
  <c r="T1552"/>
  <c r="S1903"/>
  <c r="S1907" s="1"/>
  <c r="T1901"/>
  <c r="S1902"/>
  <c r="I1885"/>
  <c r="I1883"/>
  <c r="Y1911"/>
  <c r="X1912"/>
  <c r="X1917" s="1"/>
  <c r="S78"/>
  <c r="S79" s="1"/>
  <c r="T77"/>
  <c r="S81"/>
  <c r="J949"/>
  <c r="I950"/>
  <c r="I955" s="1"/>
  <c r="J830"/>
  <c r="I831"/>
  <c r="I832" s="1"/>
  <c r="J885"/>
  <c r="I829"/>
  <c r="T835"/>
  <c r="S838"/>
  <c r="S839" s="1"/>
  <c r="S840" s="1"/>
  <c r="S836"/>
  <c r="S837" s="1"/>
  <c r="J855"/>
  <c r="I856"/>
  <c r="X867"/>
  <c r="X866"/>
  <c r="Y865"/>
  <c r="S625"/>
  <c r="S627"/>
  <c r="I1423"/>
  <c r="I1424" s="1"/>
  <c r="I1421"/>
  <c r="J1422"/>
  <c r="J1477"/>
  <c r="J1457"/>
  <c r="I1458"/>
  <c r="I1459"/>
  <c r="N1201"/>
  <c r="N1202" s="1"/>
  <c r="N1199"/>
  <c r="O1255"/>
  <c r="O1200"/>
  <c r="I1208"/>
  <c r="I1209" s="1"/>
  <c r="I1206"/>
  <c r="I1207" s="1"/>
  <c r="J1205"/>
  <c r="Y1773"/>
  <c r="X1719"/>
  <c r="X1720" s="1"/>
  <c r="Y1718"/>
  <c r="X1717"/>
  <c r="S1786"/>
  <c r="S1789" s="1"/>
  <c r="T1785"/>
  <c r="S1787"/>
  <c r="S1790" s="1"/>
  <c r="O1785"/>
  <c r="N1786"/>
  <c r="N1789" s="1"/>
  <c r="S1079"/>
  <c r="S1083" s="1"/>
  <c r="S1078"/>
  <c r="T1077"/>
  <c r="N1078"/>
  <c r="N1082" s="1"/>
  <c r="O1077"/>
  <c r="N1079"/>
  <c r="N1145"/>
  <c r="N1143"/>
  <c r="S1342"/>
  <c r="S1343" s="1"/>
  <c r="T1341"/>
  <c r="S1606"/>
  <c r="S1607"/>
  <c r="S1611" s="1"/>
  <c r="T1605"/>
  <c r="N1374"/>
  <c r="O1373"/>
  <c r="N1375"/>
  <c r="N1379" s="1"/>
  <c r="U1106"/>
  <c r="T1105"/>
  <c r="U1698"/>
  <c r="T1697"/>
  <c r="U588"/>
  <c r="T587"/>
  <c r="U1254"/>
  <c r="T1253"/>
  <c r="U736"/>
  <c r="T735"/>
  <c r="U1994"/>
  <c r="T1993"/>
  <c r="U1476"/>
  <c r="T1475"/>
  <c r="Y1539"/>
  <c r="X1540"/>
  <c r="X1544"/>
  <c r="O1909"/>
  <c r="N1914"/>
  <c r="N1910"/>
  <c r="N1916" s="1"/>
  <c r="N1918" s="1"/>
  <c r="S716"/>
  <c r="S720"/>
  <c r="T715"/>
  <c r="S721"/>
  <c r="I1614"/>
  <c r="I1620" s="1"/>
  <c r="I1622" s="1"/>
  <c r="I1618"/>
  <c r="J1613"/>
  <c r="O1933"/>
  <c r="N1934"/>
  <c r="N1937" s="1"/>
  <c r="N1935"/>
  <c r="N1938" s="1"/>
  <c r="Y1541"/>
  <c r="X1542"/>
  <c r="X1547" s="1"/>
  <c r="S775"/>
  <c r="S773"/>
  <c r="N1804"/>
  <c r="N1805" s="1"/>
  <c r="O1803"/>
  <c r="S719"/>
  <c r="S718"/>
  <c r="T717"/>
  <c r="S1172"/>
  <c r="S1177" s="1"/>
  <c r="T1171"/>
  <c r="S1670"/>
  <c r="T1669"/>
  <c r="I1680"/>
  <c r="J1679"/>
  <c r="I1681"/>
  <c r="I1685" s="1"/>
  <c r="N1634"/>
  <c r="N1635" s="1"/>
  <c r="N1636" s="1"/>
  <c r="O1631"/>
  <c r="N1632"/>
  <c r="N1633" s="1"/>
  <c r="L90" i="8"/>
  <c r="K60"/>
  <c r="K44"/>
  <c r="I41"/>
  <c r="L47"/>
  <c r="AA1932" i="10"/>
  <c r="X1787"/>
  <c r="X1790" s="1"/>
  <c r="X1861"/>
  <c r="X1864" s="1"/>
  <c r="Z1487"/>
  <c r="Z1481" s="1"/>
  <c r="Z1482" s="1"/>
  <c r="Z1709"/>
  <c r="Z1710" s="1"/>
  <c r="Y1628"/>
  <c r="X1487"/>
  <c r="X1481" s="1"/>
  <c r="X1482" s="1"/>
  <c r="X1494"/>
  <c r="Y1554"/>
  <c r="Z895"/>
  <c r="Z889" s="1"/>
  <c r="Z890" s="1"/>
  <c r="Z1192"/>
  <c r="AA901"/>
  <c r="AA902" s="1"/>
  <c r="X747"/>
  <c r="X741" s="1"/>
  <c r="X742" s="1"/>
  <c r="Z380"/>
  <c r="AA220"/>
  <c r="AA221" s="1"/>
  <c r="X1195"/>
  <c r="X1198" s="1"/>
  <c r="X827"/>
  <c r="X828" s="1"/>
  <c r="X448"/>
  <c r="X442" s="1"/>
  <c r="X443" s="1"/>
  <c r="Z76"/>
  <c r="Z753"/>
  <c r="Z754" s="1"/>
  <c r="AA448"/>
  <c r="AA449" s="1"/>
  <c r="Z448"/>
  <c r="Z442" s="1"/>
  <c r="Z443" s="1"/>
  <c r="AA632"/>
  <c r="AA638" s="1"/>
  <c r="AA636"/>
  <c r="AA637" s="1"/>
  <c r="AA111"/>
  <c r="AA115"/>
  <c r="AA116" s="1"/>
  <c r="AA162"/>
  <c r="AA163" s="1"/>
  <c r="AA216"/>
  <c r="Z185"/>
  <c r="Z189"/>
  <c r="Z190" s="1"/>
  <c r="Z95"/>
  <c r="Z93"/>
  <c r="Z94" s="1"/>
  <c r="Z1058"/>
  <c r="Z1059" s="1"/>
  <c r="Z1060"/>
  <c r="Z1061" s="1"/>
  <c r="Z1055" s="1"/>
  <c r="Z1056" s="1"/>
  <c r="Y1057"/>
  <c r="Z757"/>
  <c r="Z758" s="1"/>
  <c r="Z811"/>
  <c r="Z199"/>
  <c r="Z200" s="1"/>
  <c r="Z195"/>
  <c r="Z201" s="1"/>
  <c r="Z609"/>
  <c r="Z610" s="1"/>
  <c r="Z663"/>
  <c r="AA1134"/>
  <c r="AA1135" s="1"/>
  <c r="AA1136" s="1"/>
  <c r="AA1133"/>
  <c r="AA1132"/>
  <c r="Z927"/>
  <c r="Z928"/>
  <c r="Z932"/>
  <c r="Z933" s="1"/>
  <c r="AA1456"/>
  <c r="AA1462" s="1"/>
  <c r="AA1464" s="1"/>
  <c r="AA1461"/>
  <c r="AA1460"/>
  <c r="Z1181"/>
  <c r="Z1127"/>
  <c r="Z1128" s="1"/>
  <c r="AA867"/>
  <c r="AA866"/>
  <c r="AA1127"/>
  <c r="AA1128" s="1"/>
  <c r="AA1181"/>
  <c r="AA1551"/>
  <c r="AA1497"/>
  <c r="AA1498" s="1"/>
  <c r="AA1298"/>
  <c r="AA1304" s="1"/>
  <c r="AA1302"/>
  <c r="AA1303" s="1"/>
  <c r="AA1742"/>
  <c r="AA1748" s="1"/>
  <c r="AA1746"/>
  <c r="AA1747" s="1"/>
  <c r="Z1667"/>
  <c r="Y1666"/>
  <c r="AA1829"/>
  <c r="AA1819" s="1"/>
  <c r="AA1823" s="1"/>
  <c r="AA1828"/>
  <c r="AA1833" s="1"/>
  <c r="Z1593"/>
  <c r="Y1592"/>
  <c r="AA1947"/>
  <c r="AA1948"/>
  <c r="AA1949" s="1"/>
  <c r="AA1950" s="1"/>
  <c r="AA1946"/>
  <c r="Z110"/>
  <c r="Z568"/>
  <c r="Z573"/>
  <c r="Z572"/>
  <c r="Y572" s="1"/>
  <c r="Y567"/>
  <c r="Z258"/>
  <c r="Z259"/>
  <c r="Z263"/>
  <c r="Z264" s="1"/>
  <c r="Z465"/>
  <c r="Z466" s="1"/>
  <c r="Z467" s="1"/>
  <c r="Z463"/>
  <c r="Z464"/>
  <c r="AA315"/>
  <c r="AA316"/>
  <c r="AA317"/>
  <c r="AA460"/>
  <c r="AA459"/>
  <c r="AA512"/>
  <c r="AA458"/>
  <c r="AA690"/>
  <c r="AA689"/>
  <c r="AA688"/>
  <c r="Z88"/>
  <c r="Z142"/>
  <c r="Z89"/>
  <c r="AA811"/>
  <c r="AA757"/>
  <c r="AA758" s="1"/>
  <c r="Z614"/>
  <c r="Z615" s="1"/>
  <c r="Z616"/>
  <c r="Z617" s="1"/>
  <c r="Y613"/>
  <c r="Z941"/>
  <c r="Z945" s="1"/>
  <c r="Z940"/>
  <c r="Z1576"/>
  <c r="Z1577" s="1"/>
  <c r="Z1578"/>
  <c r="Y1575"/>
  <c r="AA1308"/>
  <c r="AA1312"/>
  <c r="AA1313" s="1"/>
  <c r="Z1089"/>
  <c r="Z1088"/>
  <c r="Z1384"/>
  <c r="Z1385"/>
  <c r="Z1389" s="1"/>
  <c r="AA1355"/>
  <c r="AA1356"/>
  <c r="AA1357" s="1"/>
  <c r="AA1354"/>
  <c r="Z1607"/>
  <c r="Z1611" s="1"/>
  <c r="Z1606"/>
  <c r="Z1681"/>
  <c r="Z1685" s="1"/>
  <c r="Z1680"/>
  <c r="AA1532"/>
  <c r="AA1536" s="1"/>
  <c r="AA1533"/>
  <c r="AA1976"/>
  <c r="AA1977"/>
  <c r="Z1889"/>
  <c r="Y1888"/>
  <c r="AA1741"/>
  <c r="Z1974"/>
  <c r="Z1978"/>
  <c r="Z1979" s="1"/>
  <c r="Z1297"/>
  <c r="Y1296"/>
  <c r="Z17"/>
  <c r="Z18" s="1"/>
  <c r="Z19"/>
  <c r="Z20" s="1"/>
  <c r="Z21" s="1"/>
  <c r="AA464"/>
  <c r="AA463"/>
  <c r="AA465"/>
  <c r="AA985"/>
  <c r="AA988" s="1"/>
  <c r="AA984"/>
  <c r="AA986"/>
  <c r="AA987" s="1"/>
  <c r="AA981" s="1"/>
  <c r="Z236"/>
  <c r="Z237" s="1"/>
  <c r="Z290"/>
  <c r="AA258"/>
  <c r="AA259"/>
  <c r="AA265" s="1"/>
  <c r="AA263"/>
  <c r="AA264" s="1"/>
  <c r="AA560"/>
  <c r="AA561"/>
  <c r="AA565" s="1"/>
  <c r="AA1006"/>
  <c r="AA1007" s="1"/>
  <c r="AA1002"/>
  <c r="AA412"/>
  <c r="AA411"/>
  <c r="AA407"/>
  <c r="AA413" s="1"/>
  <c r="Z1236"/>
  <c r="Z1237"/>
  <c r="Z938"/>
  <c r="Z944" s="1"/>
  <c r="Z946" s="1"/>
  <c r="Z942"/>
  <c r="Z943" s="1"/>
  <c r="AA1075"/>
  <c r="AA1080"/>
  <c r="AA1081" s="1"/>
  <c r="AA1076"/>
  <c r="Z784"/>
  <c r="Z785"/>
  <c r="Z780"/>
  <c r="Z1081"/>
  <c r="Z1080"/>
  <c r="Z1076"/>
  <c r="Z1082" s="1"/>
  <c r="Z1084" s="1"/>
  <c r="AA1282"/>
  <c r="AA1281"/>
  <c r="AA1280"/>
  <c r="Z1523"/>
  <c r="Z1527" s="1"/>
  <c r="Z1528" s="1"/>
  <c r="Z1522"/>
  <c r="Z1526" s="1"/>
  <c r="Z1371"/>
  <c r="Z1372"/>
  <c r="Z1378" s="1"/>
  <c r="Z1376"/>
  <c r="Z1377" s="1"/>
  <c r="Z1815"/>
  <c r="Z1816"/>
  <c r="Z1820"/>
  <c r="Z1821" s="1"/>
  <c r="AA1756"/>
  <c r="AA1757" s="1"/>
  <c r="AA1752"/>
  <c r="AA1758" s="1"/>
  <c r="Z1966"/>
  <c r="Z1967"/>
  <c r="Z1971" s="1"/>
  <c r="Z1149"/>
  <c r="Y1148"/>
  <c r="AA631"/>
  <c r="AA33"/>
  <c r="AA12"/>
  <c r="AA13" s="1"/>
  <c r="AA65"/>
  <c r="AA391"/>
  <c r="AA392" s="1"/>
  <c r="AA390"/>
  <c r="AA389"/>
  <c r="Z197"/>
  <c r="Z198"/>
  <c r="Z384"/>
  <c r="Z385" s="1"/>
  <c r="Z438"/>
  <c r="Z187"/>
  <c r="AA836"/>
  <c r="AA837"/>
  <c r="AA838"/>
  <c r="Z162"/>
  <c r="Z163" s="1"/>
  <c r="Z216"/>
  <c r="Z1016"/>
  <c r="Z1017" s="1"/>
  <c r="Z1012"/>
  <c r="Z1448"/>
  <c r="Z905"/>
  <c r="Z906" s="1"/>
  <c r="Z959"/>
  <c r="AA1238"/>
  <c r="AA1239" s="1"/>
  <c r="AA1234"/>
  <c r="AA1240" s="1"/>
  <c r="AA1242" s="1"/>
  <c r="AA1651"/>
  <c r="AA1650"/>
  <c r="AA1652"/>
  <c r="Z853"/>
  <c r="Y852"/>
  <c r="AA1904"/>
  <c r="AA1905" s="1"/>
  <c r="AA1900"/>
  <c r="AA1906" s="1"/>
  <c r="AA1908" s="1"/>
  <c r="AA1530"/>
  <c r="AA1534"/>
  <c r="AA1535" s="1"/>
  <c r="AA779"/>
  <c r="AA1894"/>
  <c r="AA1895" s="1"/>
  <c r="AA1890"/>
  <c r="AA1896" s="1"/>
  <c r="Z1819"/>
  <c r="Z1818"/>
  <c r="Z33"/>
  <c r="Y32"/>
  <c r="Z332"/>
  <c r="U151"/>
  <c r="U152" s="1"/>
  <c r="U149"/>
  <c r="U150" s="1"/>
  <c r="U218"/>
  <c r="U219" s="1"/>
  <c r="U887"/>
  <c r="U888" s="1"/>
  <c r="U739"/>
  <c r="U740" s="1"/>
  <c r="U1410"/>
  <c r="U1411" s="1"/>
  <c r="U1412"/>
  <c r="U1775"/>
  <c r="U1776" s="1"/>
  <c r="U223"/>
  <c r="U224" s="1"/>
  <c r="U225"/>
  <c r="U226" s="1"/>
  <c r="U1188"/>
  <c r="U1189" s="1"/>
  <c r="U1190"/>
  <c r="U1191" s="1"/>
  <c r="U1114"/>
  <c r="U1115" s="1"/>
  <c r="U1116"/>
  <c r="U1117" s="1"/>
  <c r="U1111" s="1"/>
  <c r="U1112" s="1"/>
  <c r="T1113"/>
  <c r="V1405"/>
  <c r="V1406" s="1"/>
  <c r="V1411"/>
  <c r="V1410"/>
  <c r="V1412"/>
  <c r="U1849"/>
  <c r="U1850" s="1"/>
  <c r="V1923"/>
  <c r="V1924" s="1"/>
  <c r="U1040"/>
  <c r="U1041" s="1"/>
  <c r="U1042"/>
  <c r="U1043" s="1"/>
  <c r="V961"/>
  <c r="V962" s="1"/>
  <c r="V1257"/>
  <c r="V1258" s="1"/>
  <c r="V1486"/>
  <c r="V1484"/>
  <c r="V1485"/>
  <c r="U292"/>
  <c r="U293" s="1"/>
  <c r="V813"/>
  <c r="V814" s="1"/>
  <c r="U373"/>
  <c r="U374" s="1"/>
  <c r="U368" s="1"/>
  <c r="U371"/>
  <c r="U372" s="1"/>
  <c r="V514"/>
  <c r="V516"/>
  <c r="V515"/>
  <c r="V517" s="1"/>
  <c r="V447"/>
  <c r="V446"/>
  <c r="V445"/>
  <c r="U1553"/>
  <c r="U1554" s="1"/>
  <c r="V1559"/>
  <c r="V1560"/>
  <c r="V1558"/>
  <c r="V1479"/>
  <c r="V1480"/>
  <c r="U1928"/>
  <c r="U1929" s="1"/>
  <c r="U1930"/>
  <c r="U1931" s="1"/>
  <c r="U1932" s="1"/>
  <c r="X1520"/>
  <c r="X1526" s="1"/>
  <c r="X1524"/>
  <c r="Y1524" s="1"/>
  <c r="Y1516"/>
  <c r="X1525"/>
  <c r="X1519"/>
  <c r="I948"/>
  <c r="I954" s="1"/>
  <c r="I956" s="1"/>
  <c r="J947"/>
  <c r="I952"/>
  <c r="J863"/>
  <c r="I864"/>
  <c r="I868"/>
  <c r="I869"/>
  <c r="S632"/>
  <c r="S636"/>
  <c r="S637" s="1"/>
  <c r="T628"/>
  <c r="S631"/>
  <c r="S1826"/>
  <c r="S1832" s="1"/>
  <c r="S1830"/>
  <c r="T1825"/>
  <c r="S1096"/>
  <c r="T1095"/>
  <c r="S1100"/>
  <c r="X730"/>
  <c r="X726"/>
  <c r="X732" s="1"/>
  <c r="X734" s="1"/>
  <c r="Y725"/>
  <c r="N48"/>
  <c r="N47"/>
  <c r="O45"/>
  <c r="N46"/>
  <c r="X1874"/>
  <c r="X1875" s="1"/>
  <c r="X1876" s="1"/>
  <c r="X1872"/>
  <c r="X1873" s="1"/>
  <c r="Y1871"/>
  <c r="O1563"/>
  <c r="N1564"/>
  <c r="N1567" s="1"/>
  <c r="N923"/>
  <c r="N921"/>
  <c r="Y1951"/>
  <c r="X1952"/>
  <c r="X1955" s="1"/>
  <c r="X1953"/>
  <c r="S1365"/>
  <c r="S1367"/>
  <c r="Y875"/>
  <c r="X876"/>
  <c r="X881" s="1"/>
  <c r="S1976"/>
  <c r="S1977"/>
  <c r="S1981" s="1"/>
  <c r="T1975"/>
  <c r="I1946"/>
  <c r="I1947" s="1"/>
  <c r="I1948"/>
  <c r="J1945"/>
  <c r="N1941"/>
  <c r="N1942" s="1"/>
  <c r="N1939"/>
  <c r="O1940"/>
  <c r="O1995"/>
  <c r="X1064"/>
  <c r="X1065" s="1"/>
  <c r="Y1063"/>
  <c r="X1067"/>
  <c r="X1055" s="1"/>
  <c r="X1056" s="1"/>
  <c r="S1064"/>
  <c r="S1067" s="1"/>
  <c r="T1063"/>
  <c r="Y693"/>
  <c r="X694"/>
  <c r="X697" s="1"/>
  <c r="O1299"/>
  <c r="N1300"/>
  <c r="N1304" s="1"/>
  <c r="I1286"/>
  <c r="I1289" s="1"/>
  <c r="J1285"/>
  <c r="I1287"/>
  <c r="I1290" s="1"/>
  <c r="N406"/>
  <c r="O405"/>
  <c r="O109"/>
  <c r="N110"/>
  <c r="O270"/>
  <c r="N271"/>
  <c r="N275" s="1"/>
  <c r="N272"/>
  <c r="N276" s="1"/>
  <c r="N277" s="1"/>
  <c r="N111"/>
  <c r="O107"/>
  <c r="N115"/>
  <c r="N481"/>
  <c r="O477"/>
  <c r="N485"/>
  <c r="N421"/>
  <c r="O416"/>
  <c r="N417"/>
  <c r="N423" s="1"/>
  <c r="N113"/>
  <c r="O112"/>
  <c r="N114"/>
  <c r="N343"/>
  <c r="O342"/>
  <c r="N347"/>
  <c r="N348"/>
  <c r="P303"/>
  <c r="P304" s="1"/>
  <c r="P306"/>
  <c r="U321"/>
  <c r="U322" s="1"/>
  <c r="U324"/>
  <c r="P377"/>
  <c r="P380" s="1"/>
  <c r="P378"/>
  <c r="P381" s="1"/>
  <c r="U99"/>
  <c r="U102"/>
  <c r="U100"/>
  <c r="U103" s="1"/>
  <c r="P1046"/>
  <c r="P1049" s="1"/>
  <c r="P2008"/>
  <c r="P2009" s="1"/>
  <c r="P2011"/>
  <c r="P972"/>
  <c r="P973" s="1"/>
  <c r="P229"/>
  <c r="P232" s="1"/>
  <c r="U1952"/>
  <c r="U1953" s="1"/>
  <c r="V173"/>
  <c r="V174" s="1"/>
  <c r="U1585"/>
  <c r="U1583"/>
  <c r="U1582"/>
  <c r="T1581"/>
  <c r="V99"/>
  <c r="V100"/>
  <c r="V102"/>
  <c r="V247"/>
  <c r="V250" s="1"/>
  <c r="V248"/>
  <c r="V251" s="1"/>
  <c r="V1730"/>
  <c r="V1731" s="1"/>
  <c r="V1733"/>
  <c r="V1064"/>
  <c r="V1067" s="1"/>
  <c r="V1055" s="1"/>
  <c r="V1065"/>
  <c r="V1068" s="1"/>
  <c r="U1434"/>
  <c r="U1437" s="1"/>
  <c r="U1435"/>
  <c r="U1438" s="1"/>
  <c r="U472"/>
  <c r="U470"/>
  <c r="U473" s="1"/>
  <c r="U469"/>
  <c r="V1952"/>
  <c r="V1953" s="1"/>
  <c r="V1955"/>
  <c r="Q377"/>
  <c r="Q378" s="1"/>
  <c r="Q158"/>
  <c r="Q155"/>
  <c r="Q156"/>
  <c r="Q159" s="1"/>
  <c r="Q676"/>
  <c r="Q679" s="1"/>
  <c r="Q677"/>
  <c r="Q680" s="1"/>
  <c r="Q1120"/>
  <c r="Q1121" s="1"/>
  <c r="Q1123"/>
  <c r="Q1124" s="1"/>
  <c r="Q898"/>
  <c r="Q901"/>
  <c r="Q899"/>
  <c r="P1120"/>
  <c r="P1123" s="1"/>
  <c r="Q1416"/>
  <c r="Q1417" s="1"/>
  <c r="O1637"/>
  <c r="P1638"/>
  <c r="P1641" s="1"/>
  <c r="P1639"/>
  <c r="P1642" s="1"/>
  <c r="Q1934"/>
  <c r="Q1937" s="1"/>
  <c r="Q1935"/>
  <c r="Q1938" s="1"/>
  <c r="O863"/>
  <c r="N864"/>
  <c r="N868"/>
  <c r="N869"/>
  <c r="O1465"/>
  <c r="N1470"/>
  <c r="N1466"/>
  <c r="N1472" s="1"/>
  <c r="N1474" s="1"/>
  <c r="O1761"/>
  <c r="N1762"/>
  <c r="N1768" s="1"/>
  <c r="N1770" s="1"/>
  <c r="N1766"/>
  <c r="S1766"/>
  <c r="S1762"/>
  <c r="S1768" s="1"/>
  <c r="S1770" s="1"/>
  <c r="T1761"/>
  <c r="I1682"/>
  <c r="I1683" s="1"/>
  <c r="I1678"/>
  <c r="I1684" s="1"/>
  <c r="I1686" s="1"/>
  <c r="J1677"/>
  <c r="S1867"/>
  <c r="S1868" s="1"/>
  <c r="T1866"/>
  <c r="S1865"/>
  <c r="T1921"/>
  <c r="I1865"/>
  <c r="I1867"/>
  <c r="I1868" s="1"/>
  <c r="J1866"/>
  <c r="J1921"/>
  <c r="N979"/>
  <c r="N980" s="1"/>
  <c r="N977"/>
  <c r="O1033"/>
  <c r="O978"/>
  <c r="O1003"/>
  <c r="N1004"/>
  <c r="S616"/>
  <c r="T613"/>
  <c r="S614"/>
  <c r="S615" s="1"/>
  <c r="N1735"/>
  <c r="N1737"/>
  <c r="Y801"/>
  <c r="X802"/>
  <c r="X807" s="1"/>
  <c r="O1911"/>
  <c r="N1912"/>
  <c r="N1917" s="1"/>
  <c r="S1490"/>
  <c r="S1491" s="1"/>
  <c r="T1489"/>
  <c r="S1493"/>
  <c r="S1494" s="1"/>
  <c r="S1764"/>
  <c r="S1769" s="1"/>
  <c r="T1763"/>
  <c r="I1356"/>
  <c r="I1354"/>
  <c r="I1355" s="1"/>
  <c r="J1353"/>
  <c r="X1931"/>
  <c r="X1925" s="1"/>
  <c r="X1926" s="1"/>
  <c r="Z1861"/>
  <c r="Z1864" s="1"/>
  <c r="X1635"/>
  <c r="X1629" s="1"/>
  <c r="X1630" s="1"/>
  <c r="X1642"/>
  <c r="AA1710"/>
  <c r="Y1480"/>
  <c r="X1191"/>
  <c r="AA975"/>
  <c r="AA976" s="1"/>
  <c r="Z600"/>
  <c r="Z517"/>
  <c r="Z1117"/>
  <c r="Z1111" s="1"/>
  <c r="Z1112" s="1"/>
  <c r="X1049"/>
  <c r="X1050" s="1"/>
  <c r="AA227"/>
  <c r="Z300"/>
  <c r="Z294" s="1"/>
  <c r="Z295" s="1"/>
  <c r="X150"/>
  <c r="X153" s="1"/>
  <c r="AA81"/>
  <c r="AA69" s="1"/>
  <c r="AA70" s="1"/>
  <c r="O166"/>
  <c r="N167"/>
  <c r="N168" s="1"/>
  <c r="N169"/>
  <c r="O240"/>
  <c r="N241"/>
  <c r="N242" s="1"/>
  <c r="N243"/>
  <c r="N244" s="1"/>
  <c r="N245" s="1"/>
  <c r="N389"/>
  <c r="N390" s="1"/>
  <c r="N391"/>
  <c r="N392" s="1"/>
  <c r="N386" s="1"/>
  <c r="N387" s="1"/>
  <c r="O388"/>
  <c r="O246"/>
  <c r="N247"/>
  <c r="N248" s="1"/>
  <c r="N250"/>
  <c r="N251" s="1"/>
  <c r="I173"/>
  <c r="I176" s="1"/>
  <c r="J172"/>
  <c r="N427"/>
  <c r="N433" s="1"/>
  <c r="N435" s="1"/>
  <c r="O426"/>
  <c r="N431"/>
  <c r="N136"/>
  <c r="O130"/>
  <c r="N135"/>
  <c r="N131"/>
  <c r="N283"/>
  <c r="O278"/>
  <c r="N279"/>
  <c r="N133"/>
  <c r="N138" s="1"/>
  <c r="O132"/>
  <c r="N162"/>
  <c r="N163" s="1"/>
  <c r="N160"/>
  <c r="O161"/>
  <c r="O216"/>
  <c r="I382"/>
  <c r="J438"/>
  <c r="J383"/>
  <c r="I384"/>
  <c r="I385" s="1"/>
  <c r="N234"/>
  <c r="O290"/>
  <c r="N236"/>
  <c r="N237" s="1"/>
  <c r="O237" s="1"/>
  <c r="O235"/>
  <c r="X215"/>
  <c r="Y214"/>
  <c r="X289"/>
  <c r="Y288"/>
  <c r="S400"/>
  <c r="S402"/>
  <c r="Z1032"/>
  <c r="Y1031"/>
  <c r="Z64"/>
  <c r="Y63"/>
  <c r="Z1624"/>
  <c r="Y1623"/>
  <c r="Z588"/>
  <c r="Y587"/>
  <c r="Z810"/>
  <c r="Y809"/>
  <c r="Z1772"/>
  <c r="Y1771"/>
  <c r="V180"/>
  <c r="U1441"/>
  <c r="S1439"/>
  <c r="V627"/>
  <c r="V1811"/>
  <c r="V775"/>
  <c r="S1520"/>
  <c r="T1516"/>
  <c r="S1524"/>
  <c r="S1525"/>
  <c r="S1519"/>
  <c r="N54"/>
  <c r="N60" s="1"/>
  <c r="N62" s="1"/>
  <c r="N58"/>
  <c r="O53"/>
  <c r="N1224"/>
  <c r="N1223"/>
  <c r="O1220"/>
  <c r="N1228"/>
  <c r="N1229"/>
  <c r="I925"/>
  <c r="I73" i="13" s="1"/>
  <c r="L73" s="1"/>
  <c r="I927" i="10"/>
  <c r="I76" i="13" s="1"/>
  <c r="L76" s="1"/>
  <c r="I928" i="10"/>
  <c r="I934" s="1"/>
  <c r="J924"/>
  <c r="I932"/>
  <c r="I933" s="1"/>
  <c r="I74" i="13" s="1"/>
  <c r="I77" s="1"/>
  <c r="N874" i="10"/>
  <c r="N880" s="1"/>
  <c r="N882" s="1"/>
  <c r="O873"/>
  <c r="N878"/>
  <c r="I1968"/>
  <c r="J1960"/>
  <c r="I1964"/>
  <c r="I1963"/>
  <c r="I244" i="13" s="1"/>
  <c r="L244" s="1"/>
  <c r="I1969" i="10"/>
  <c r="I242" i="13" s="1"/>
  <c r="I245" s="1"/>
  <c r="I999" i="10"/>
  <c r="I85" i="13" s="1"/>
  <c r="L85" s="1"/>
  <c r="I1001" i="10"/>
  <c r="I88" i="13" s="1"/>
  <c r="L88" s="1"/>
  <c r="I1006" i="10"/>
  <c r="J998"/>
  <c r="I1002"/>
  <c r="I646"/>
  <c r="J641"/>
  <c r="I642"/>
  <c r="J1825"/>
  <c r="I1830"/>
  <c r="J1830" s="1"/>
  <c r="I1826"/>
  <c r="I1832" s="1"/>
  <c r="I1739"/>
  <c r="I205" i="13" s="1"/>
  <c r="L205" s="1"/>
  <c r="I1741" i="10"/>
  <c r="I208" i="13" s="1"/>
  <c r="L208" s="1"/>
  <c r="I1742" i="10"/>
  <c r="J1738"/>
  <c r="I1746"/>
  <c r="X1002"/>
  <c r="X1008" s="1"/>
  <c r="Y998"/>
  <c r="X1006"/>
  <c r="X1007"/>
  <c r="X1001"/>
  <c r="I555"/>
  <c r="I13" i="13" s="1"/>
  <c r="L13" s="1"/>
  <c r="I558" i="10"/>
  <c r="I557"/>
  <c r="I16" i="13" s="1"/>
  <c r="L16" s="1"/>
  <c r="J554" i="10"/>
  <c r="I562"/>
  <c r="I563" s="1"/>
  <c r="I14" i="13" s="1"/>
  <c r="I17" s="1"/>
  <c r="I29" i="14" s="1"/>
  <c r="X706" i="10"/>
  <c r="X712" s="1"/>
  <c r="X710"/>
  <c r="X711" s="1"/>
  <c r="Y702"/>
  <c r="X705"/>
  <c r="S1308"/>
  <c r="S1314" s="1"/>
  <c r="S1312"/>
  <c r="T1307"/>
  <c r="X1164"/>
  <c r="Y1164" s="1"/>
  <c r="Y1159"/>
  <c r="X1160"/>
  <c r="X1166" s="1"/>
  <c r="X1165"/>
  <c r="N1086"/>
  <c r="N1090"/>
  <c r="O1090" s="1"/>
  <c r="O1085"/>
  <c r="X1298"/>
  <c r="X1302"/>
  <c r="Y1294"/>
  <c r="X1297"/>
  <c r="N705"/>
  <c r="O702"/>
  <c r="N706"/>
  <c r="N712" s="1"/>
  <c r="N710"/>
  <c r="N711"/>
  <c r="N1593"/>
  <c r="N1594"/>
  <c r="N1598"/>
  <c r="N1599" s="1"/>
  <c r="O1590"/>
  <c r="X1594"/>
  <c r="X1600" s="1"/>
  <c r="X1598"/>
  <c r="Y1590"/>
  <c r="X1593"/>
  <c r="S1533"/>
  <c r="T1531"/>
  <c r="S1532"/>
  <c r="I1522"/>
  <c r="J1521"/>
  <c r="N12"/>
  <c r="N13" s="1"/>
  <c r="O65"/>
  <c r="O11"/>
  <c r="N10"/>
  <c r="O1507"/>
  <c r="N1508"/>
  <c r="N1509" s="1"/>
  <c r="N1511"/>
  <c r="N1512" s="1"/>
  <c r="N17"/>
  <c r="N18" s="1"/>
  <c r="N21" s="1"/>
  <c r="N19"/>
  <c r="N20" s="1"/>
  <c r="O16"/>
  <c r="N1236"/>
  <c r="N1240" s="1"/>
  <c r="N1237"/>
  <c r="N1241" s="1"/>
  <c r="N1242" s="1"/>
  <c r="O1235"/>
  <c r="T939"/>
  <c r="S940"/>
  <c r="S941"/>
  <c r="S945" s="1"/>
  <c r="Y959"/>
  <c r="Y904"/>
  <c r="X905"/>
  <c r="X906" s="1"/>
  <c r="X903"/>
  <c r="X912"/>
  <c r="X910"/>
  <c r="X911" s="1"/>
  <c r="Y909"/>
  <c r="X1966"/>
  <c r="Y1965"/>
  <c r="S1957"/>
  <c r="S1959"/>
  <c r="S997"/>
  <c r="S995"/>
  <c r="I997"/>
  <c r="I995"/>
  <c r="N616"/>
  <c r="O613"/>
  <c r="N614"/>
  <c r="N615" s="1"/>
  <c r="I644"/>
  <c r="J643"/>
  <c r="I645"/>
  <c r="S1430"/>
  <c r="S1428"/>
  <c r="S1429" s="1"/>
  <c r="T1427"/>
  <c r="S1849"/>
  <c r="S1850" s="1"/>
  <c r="S1847"/>
  <c r="T1848"/>
  <c r="I1829"/>
  <c r="I1828"/>
  <c r="J1827"/>
  <c r="I1791"/>
  <c r="I1793"/>
  <c r="I1794" s="1"/>
  <c r="J1792"/>
  <c r="J1847"/>
  <c r="J1797"/>
  <c r="I1800"/>
  <c r="I1798"/>
  <c r="I1799" s="1"/>
  <c r="T1723"/>
  <c r="S1724"/>
  <c r="S1725" s="1"/>
  <c r="S1726"/>
  <c r="S1727" s="1"/>
  <c r="N1782"/>
  <c r="N1780"/>
  <c r="N1781" s="1"/>
  <c r="O1779"/>
  <c r="T1743"/>
  <c r="S1744"/>
  <c r="O761"/>
  <c r="N764"/>
  <c r="N762"/>
  <c r="N763" s="1"/>
  <c r="X1015"/>
  <c r="X1014"/>
  <c r="X1018" s="1"/>
  <c r="Y1013"/>
  <c r="X609"/>
  <c r="X610" s="1"/>
  <c r="Y608"/>
  <c r="X607"/>
  <c r="Y663"/>
  <c r="T664"/>
  <c r="S663"/>
  <c r="S665"/>
  <c r="S666" s="1"/>
  <c r="J1211"/>
  <c r="I1212"/>
  <c r="I1215" s="1"/>
  <c r="I1213"/>
  <c r="I1216" s="1"/>
  <c r="I542"/>
  <c r="I540"/>
  <c r="J539"/>
  <c r="I541"/>
  <c r="I560"/>
  <c r="J559"/>
  <c r="I561"/>
  <c r="I565" s="1"/>
  <c r="Y687"/>
  <c r="X688"/>
  <c r="X689" s="1"/>
  <c r="X690"/>
  <c r="X691" s="1"/>
  <c r="N690"/>
  <c r="N691" s="1"/>
  <c r="O687"/>
  <c r="N688"/>
  <c r="N689" s="1"/>
  <c r="S683"/>
  <c r="S684" s="1"/>
  <c r="T737"/>
  <c r="T682"/>
  <c r="S681"/>
  <c r="I690"/>
  <c r="I688"/>
  <c r="I689" s="1"/>
  <c r="J687"/>
  <c r="S990"/>
  <c r="S993" s="1"/>
  <c r="T989"/>
  <c r="S991"/>
  <c r="S994" s="1"/>
  <c r="I1300"/>
  <c r="J1299"/>
  <c r="Y1151"/>
  <c r="X1152"/>
  <c r="N1172"/>
  <c r="N1177" s="1"/>
  <c r="O1171"/>
  <c r="Y1299"/>
  <c r="X1300"/>
  <c r="X1304" s="1"/>
  <c r="S1329"/>
  <c r="T1330"/>
  <c r="S1331"/>
  <c r="S1332" s="1"/>
  <c r="N1589"/>
  <c r="N1587"/>
  <c r="N1607"/>
  <c r="O1605"/>
  <c r="N1606"/>
  <c r="Y1581"/>
  <c r="X1582"/>
  <c r="X1583" s="1"/>
  <c r="T1637"/>
  <c r="S1638"/>
  <c r="S1641" s="1"/>
  <c r="S1639"/>
  <c r="S1642" s="1"/>
  <c r="O1409"/>
  <c r="N1412"/>
  <c r="N1410"/>
  <c r="N1411" s="1"/>
  <c r="Z1857"/>
  <c r="Z1851" s="1"/>
  <c r="Z1852" s="1"/>
  <c r="AA1789"/>
  <c r="AA1790" s="1"/>
  <c r="X1562"/>
  <c r="Z1931"/>
  <c r="Z1925" s="1"/>
  <c r="Z1926" s="1"/>
  <c r="Z1636"/>
  <c r="X1565"/>
  <c r="X1568" s="1"/>
  <c r="AA1339"/>
  <c r="AA1333" s="1"/>
  <c r="AA1334" s="1"/>
  <c r="X975"/>
  <c r="X976" s="1"/>
  <c r="AA1408"/>
  <c r="AA1271"/>
  <c r="AA1272" s="1"/>
  <c r="X815"/>
  <c r="X816" s="1"/>
  <c r="Z606"/>
  <c r="X1124"/>
  <c r="X606"/>
  <c r="AA600"/>
  <c r="X378"/>
  <c r="X381" s="1"/>
  <c r="X226"/>
  <c r="X220" s="1"/>
  <c r="X221" s="1"/>
  <c r="Z81"/>
  <c r="Z82" s="1"/>
  <c r="Y280"/>
  <c r="X281"/>
  <c r="X286" s="1"/>
  <c r="X133"/>
  <c r="X138" s="1"/>
  <c r="Y132"/>
  <c r="Y278"/>
  <c r="X283"/>
  <c r="X279"/>
  <c r="X285" s="1"/>
  <c r="X287" s="1"/>
  <c r="Y428"/>
  <c r="X429"/>
  <c r="X434" s="1"/>
  <c r="X395"/>
  <c r="X396" s="1"/>
  <c r="Y394"/>
  <c r="S525"/>
  <c r="S526"/>
  <c r="S528"/>
  <c r="T524"/>
  <c r="X162"/>
  <c r="X163" s="1"/>
  <c r="Y161"/>
  <c r="X160"/>
  <c r="Y216"/>
  <c r="Y255"/>
  <c r="X259"/>
  <c r="X265" s="1"/>
  <c r="X263"/>
  <c r="X333"/>
  <c r="X337"/>
  <c r="Y329"/>
  <c r="X338"/>
  <c r="Y194"/>
  <c r="X195"/>
  <c r="X201" s="1"/>
  <c r="X199"/>
  <c r="Y199" s="1"/>
  <c r="X200"/>
  <c r="X310"/>
  <c r="X311" s="1"/>
  <c r="Y311" s="1"/>
  <c r="Y309"/>
  <c r="Y364"/>
  <c r="X308"/>
  <c r="X391"/>
  <c r="Y388"/>
  <c r="X389"/>
  <c r="X390" s="1"/>
  <c r="X411"/>
  <c r="X407"/>
  <c r="X413" s="1"/>
  <c r="Y403"/>
  <c r="X236"/>
  <c r="X237" s="1"/>
  <c r="Y237" s="1"/>
  <c r="Y235"/>
  <c r="Y290"/>
  <c r="X234"/>
  <c r="X406"/>
  <c r="Y405"/>
  <c r="X189"/>
  <c r="X185"/>
  <c r="X191" s="1"/>
  <c r="Y181"/>
  <c r="X491"/>
  <c r="X497" s="1"/>
  <c r="X496"/>
  <c r="X495"/>
  <c r="Y495" s="1"/>
  <c r="Y490"/>
  <c r="S440"/>
  <c r="S441" s="1"/>
  <c r="S438"/>
  <c r="T439"/>
  <c r="S225"/>
  <c r="S223"/>
  <c r="S226" s="1"/>
  <c r="T222"/>
  <c r="S151"/>
  <c r="S149"/>
  <c r="S150" s="1"/>
  <c r="T148"/>
  <c r="S141"/>
  <c r="T140"/>
  <c r="T53"/>
  <c r="S54"/>
  <c r="S58"/>
  <c r="I874"/>
  <c r="I880" s="1"/>
  <c r="I882" s="1"/>
  <c r="I878"/>
  <c r="J873"/>
  <c r="S646"/>
  <c r="T641"/>
  <c r="S642"/>
  <c r="I56"/>
  <c r="I61" s="1"/>
  <c r="J55"/>
  <c r="S1921"/>
  <c r="T1922"/>
  <c r="S1923"/>
  <c r="S1924" s="1"/>
  <c r="X1246"/>
  <c r="X1251" s="1"/>
  <c r="Y1245"/>
  <c r="I1246"/>
  <c r="I1251" s="1"/>
  <c r="J1245"/>
  <c r="J841"/>
  <c r="I842"/>
  <c r="I845" s="1"/>
  <c r="I843"/>
  <c r="I846" s="1"/>
  <c r="I876"/>
  <c r="I881" s="1"/>
  <c r="J875"/>
  <c r="N903"/>
  <c r="O959"/>
  <c r="N905"/>
  <c r="N906" s="1"/>
  <c r="O904"/>
  <c r="J1467"/>
  <c r="I1468"/>
  <c r="I1473" s="1"/>
  <c r="X1804"/>
  <c r="X1805"/>
  <c r="X1807"/>
  <c r="Y1803"/>
  <c r="I620"/>
  <c r="I623" s="1"/>
  <c r="J619"/>
  <c r="I621"/>
  <c r="I624" s="1"/>
  <c r="S1952"/>
  <c r="S1953" s="1"/>
  <c r="T1951"/>
  <c r="N1952"/>
  <c r="N1953" s="1"/>
  <c r="O1951"/>
  <c r="I694"/>
  <c r="I697" s="1"/>
  <c r="J693"/>
  <c r="I695"/>
  <c r="I698" s="1"/>
  <c r="N1616"/>
  <c r="N1621" s="1"/>
  <c r="O1615"/>
  <c r="AA1861"/>
  <c r="AA1864" s="1"/>
  <c r="AA1642"/>
  <c r="Z1716"/>
  <c r="Z1346"/>
  <c r="X1343"/>
  <c r="X1346" s="1"/>
  <c r="X1044"/>
  <c r="X969"/>
  <c r="AA822"/>
  <c r="X901"/>
  <c r="X902" s="1"/>
  <c r="X375"/>
  <c r="AA747"/>
  <c r="AA741" s="1"/>
  <c r="AA742" s="1"/>
  <c r="Z152"/>
  <c r="Z146" s="1"/>
  <c r="Z147" s="1"/>
  <c r="X751"/>
  <c r="X754" s="1"/>
  <c r="O296"/>
  <c r="N297"/>
  <c r="N298" s="1"/>
  <c r="N299"/>
  <c r="N300" s="1"/>
  <c r="N294" s="1"/>
  <c r="S162"/>
  <c r="S163" s="1"/>
  <c r="T163" s="1"/>
  <c r="T161"/>
  <c r="S160"/>
  <c r="T216"/>
  <c r="S384"/>
  <c r="S385" s="1"/>
  <c r="T383"/>
  <c r="T438"/>
  <c r="S382"/>
  <c r="N373"/>
  <c r="N374" s="1"/>
  <c r="O370"/>
  <c r="N371"/>
  <c r="N372" s="1"/>
  <c r="S88"/>
  <c r="S89" s="1"/>
  <c r="T142"/>
  <c r="S86"/>
  <c r="T87"/>
  <c r="N218"/>
  <c r="N219" s="1"/>
  <c r="O217"/>
  <c r="N216"/>
  <c r="S198"/>
  <c r="T196"/>
  <c r="S197"/>
  <c r="S110"/>
  <c r="S111"/>
  <c r="S117" s="1"/>
  <c r="S115"/>
  <c r="T107"/>
  <c r="S187"/>
  <c r="S191" s="1"/>
  <c r="T186"/>
  <c r="T482"/>
  <c r="S483"/>
  <c r="S345"/>
  <c r="S346"/>
  <c r="S350" s="1"/>
  <c r="T344"/>
  <c r="T490"/>
  <c r="S491"/>
  <c r="S495"/>
  <c r="S259"/>
  <c r="S263"/>
  <c r="T255"/>
  <c r="J482"/>
  <c r="I483"/>
  <c r="I74" i="12"/>
  <c r="I215" i="10"/>
  <c r="J214"/>
  <c r="N363"/>
  <c r="O362"/>
  <c r="I330"/>
  <c r="I50" i="12"/>
  <c r="I337" i="10"/>
  <c r="I333"/>
  <c r="I339" s="1"/>
  <c r="J329"/>
  <c r="I113"/>
  <c r="I114"/>
  <c r="I118" s="1"/>
  <c r="J112"/>
  <c r="I19" i="12"/>
  <c r="J344" i="10"/>
  <c r="I346"/>
  <c r="I345"/>
  <c r="J436"/>
  <c r="I437"/>
  <c r="I404"/>
  <c r="I61" i="12"/>
  <c r="I407" i="10"/>
  <c r="J403"/>
  <c r="I411"/>
  <c r="I199"/>
  <c r="I195"/>
  <c r="I201" s="1"/>
  <c r="J194"/>
  <c r="I326"/>
  <c r="I328"/>
  <c r="I409"/>
  <c r="J408"/>
  <c r="I63" i="12"/>
  <c r="I410" i="10"/>
  <c r="I474"/>
  <c r="I476"/>
  <c r="I184"/>
  <c r="J183"/>
  <c r="I110"/>
  <c r="J109"/>
  <c r="P110"/>
  <c r="O1000"/>
  <c r="P1001"/>
  <c r="Q184"/>
  <c r="Q1977"/>
  <c r="Q1976"/>
  <c r="O556"/>
  <c r="P557"/>
  <c r="Q1828"/>
  <c r="Q1829"/>
  <c r="P1890"/>
  <c r="P1894"/>
  <c r="P1895" s="1"/>
  <c r="O1074"/>
  <c r="O1973"/>
  <c r="P1978"/>
  <c r="P1974"/>
  <c r="P1980" s="1"/>
  <c r="P332"/>
  <c r="P942"/>
  <c r="P943" s="1"/>
  <c r="P938"/>
  <c r="P944" s="1"/>
  <c r="Q347"/>
  <c r="Q348" s="1"/>
  <c r="Q343"/>
  <c r="Q349" s="1"/>
  <c r="Q351" s="1"/>
  <c r="Q646"/>
  <c r="Q647" s="1"/>
  <c r="Q642"/>
  <c r="Q938"/>
  <c r="Q944" s="1"/>
  <c r="Q946" s="1"/>
  <c r="Q942"/>
  <c r="Q943" s="1"/>
  <c r="Q36"/>
  <c r="P189"/>
  <c r="P190" s="1"/>
  <c r="P185"/>
  <c r="Q258"/>
  <c r="Q263"/>
  <c r="Q264" s="1"/>
  <c r="Q259"/>
  <c r="P335"/>
  <c r="P336"/>
  <c r="P340" s="1"/>
  <c r="P1961"/>
  <c r="P1887"/>
  <c r="P1443"/>
  <c r="P851"/>
  <c r="P1665"/>
  <c r="P1517"/>
  <c r="P1221"/>
  <c r="P1739"/>
  <c r="P1591"/>
  <c r="P1295"/>
  <c r="P1147"/>
  <c r="P999"/>
  <c r="P703"/>
  <c r="P555"/>
  <c r="P404"/>
  <c r="P182"/>
  <c r="P777"/>
  <c r="P478"/>
  <c r="P1813"/>
  <c r="P1073"/>
  <c r="P925"/>
  <c r="P629"/>
  <c r="P330"/>
  <c r="P256"/>
  <c r="P1369"/>
  <c r="P108"/>
  <c r="P34"/>
  <c r="P38"/>
  <c r="P39" s="1"/>
  <c r="Q121"/>
  <c r="Q125"/>
  <c r="Q126"/>
  <c r="P421"/>
  <c r="P422" s="1"/>
  <c r="P417"/>
  <c r="Q792"/>
  <c r="Q793"/>
  <c r="Q797" s="1"/>
  <c r="P1152"/>
  <c r="P493"/>
  <c r="P494"/>
  <c r="P568"/>
  <c r="P572"/>
  <c r="P573" s="1"/>
  <c r="Q794"/>
  <c r="Q795" s="1"/>
  <c r="Q790"/>
  <c r="Q796" s="1"/>
  <c r="Q798" s="1"/>
  <c r="Q199"/>
  <c r="Q200" s="1"/>
  <c r="Q195"/>
  <c r="Q201" s="1"/>
  <c r="Q203" s="1"/>
  <c r="P269"/>
  <c r="P275" s="1"/>
  <c r="P273"/>
  <c r="P274"/>
  <c r="Q333"/>
  <c r="Q339" s="1"/>
  <c r="Q341" s="1"/>
  <c r="Q337"/>
  <c r="Q338" s="1"/>
  <c r="P491"/>
  <c r="P497" s="1"/>
  <c r="P495"/>
  <c r="P496" s="1"/>
  <c r="Q632"/>
  <c r="Q638" s="1"/>
  <c r="Q636"/>
  <c r="Q637" s="1"/>
  <c r="P790"/>
  <c r="P796" s="1"/>
  <c r="P798" s="1"/>
  <c r="P794"/>
  <c r="P795" s="1"/>
  <c r="Q940"/>
  <c r="Q941"/>
  <c r="Q945" s="1"/>
  <c r="P1088"/>
  <c r="P1089"/>
  <c r="Q645"/>
  <c r="Q644"/>
  <c r="Q705"/>
  <c r="Q706"/>
  <c r="Q712" s="1"/>
  <c r="Q710"/>
  <c r="Q711" s="1"/>
  <c r="Q856"/>
  <c r="P1012"/>
  <c r="P1016"/>
  <c r="P1017" s="1"/>
  <c r="P1160"/>
  <c r="P1164"/>
  <c r="P1165" s="1"/>
  <c r="Q1298"/>
  <c r="Q1302"/>
  <c r="Q1303" s="1"/>
  <c r="Q1080"/>
  <c r="Q1081" s="1"/>
  <c r="Q1076"/>
  <c r="P1308"/>
  <c r="P1314" s="1"/>
  <c r="P1312"/>
  <c r="P1313" s="1"/>
  <c r="Q782"/>
  <c r="Q783"/>
  <c r="Q787" s="1"/>
  <c r="Q1014"/>
  <c r="Q1015"/>
  <c r="Q1019" s="1"/>
  <c r="P1075"/>
  <c r="P1080"/>
  <c r="P1081" s="1"/>
  <c r="P1076"/>
  <c r="P1082" s="1"/>
  <c r="Q1223"/>
  <c r="Q1224"/>
  <c r="Q1230" s="1"/>
  <c r="Q1228"/>
  <c r="Q1229" s="1"/>
  <c r="P1300"/>
  <c r="P1311"/>
  <c r="P1310"/>
  <c r="Q1519"/>
  <c r="Q1520"/>
  <c r="Q1526" s="1"/>
  <c r="Q1524"/>
  <c r="Q1525" s="1"/>
  <c r="P1594"/>
  <c r="P1598"/>
  <c r="P1599" s="1"/>
  <c r="P1234"/>
  <c r="P1240" s="1"/>
  <c r="P1238"/>
  <c r="P1239" s="1"/>
  <c r="Q1533"/>
  <c r="Q1532"/>
  <c r="Q1607"/>
  <c r="Q1606"/>
  <c r="P1900"/>
  <c r="P1904"/>
  <c r="P1905" s="1"/>
  <c r="P1533"/>
  <c r="P1523" s="1"/>
  <c r="P1527" s="1"/>
  <c r="P1532"/>
  <c r="P1818"/>
  <c r="P1456"/>
  <c r="P1462" s="1"/>
  <c r="P1464" s="1"/>
  <c r="P1460"/>
  <c r="P1461" s="1"/>
  <c r="P1608"/>
  <c r="P1609" s="1"/>
  <c r="P1604"/>
  <c r="Q1670"/>
  <c r="Q1671"/>
  <c r="Q1675" s="1"/>
  <c r="O1148"/>
  <c r="P1149"/>
  <c r="Q1754"/>
  <c r="Q1755"/>
  <c r="P1964"/>
  <c r="P1970" s="1"/>
  <c r="P1969"/>
  <c r="P1968"/>
  <c r="O1968" s="1"/>
  <c r="P1578"/>
  <c r="P1579" s="1"/>
  <c r="P1576"/>
  <c r="P1577" s="1"/>
  <c r="P762"/>
  <c r="P763" s="1"/>
  <c r="P764"/>
  <c r="P765" s="1"/>
  <c r="P766" s="1"/>
  <c r="P1428"/>
  <c r="P1429" s="1"/>
  <c r="P1430"/>
  <c r="P1798"/>
  <c r="P1799" s="1"/>
  <c r="P1800"/>
  <c r="P1801" s="1"/>
  <c r="P1795" s="1"/>
  <c r="P1796" s="1"/>
  <c r="K93"/>
  <c r="K94" s="1"/>
  <c r="K95"/>
  <c r="K243"/>
  <c r="K241"/>
  <c r="K242" s="1"/>
  <c r="P1356"/>
  <c r="P1357" s="1"/>
  <c r="P1351" s="1"/>
  <c r="P1352" s="1"/>
  <c r="P1354"/>
  <c r="P1355" s="1"/>
  <c r="P1726"/>
  <c r="P1724"/>
  <c r="P1725" s="1"/>
  <c r="P836"/>
  <c r="P837" s="1"/>
  <c r="P838"/>
  <c r="K17"/>
  <c r="K18" s="1"/>
  <c r="K19"/>
  <c r="K20" s="1"/>
  <c r="K21" s="1"/>
  <c r="K1134"/>
  <c r="K1135" s="1"/>
  <c r="K1136" s="1"/>
  <c r="K1132"/>
  <c r="K1133" s="1"/>
  <c r="K1946"/>
  <c r="K1947" s="1"/>
  <c r="K1948"/>
  <c r="K1949" s="1"/>
  <c r="K1943" s="1"/>
  <c r="K1944" s="1"/>
  <c r="Q95"/>
  <c r="Q96" s="1"/>
  <c r="Q97" s="1"/>
  <c r="Q93"/>
  <c r="Q94"/>
  <c r="L688"/>
  <c r="L690"/>
  <c r="L691" s="1"/>
  <c r="L692" s="1"/>
  <c r="L689"/>
  <c r="Q169"/>
  <c r="Q167"/>
  <c r="Q168"/>
  <c r="L763"/>
  <c r="L762"/>
  <c r="L764"/>
  <c r="L765" s="1"/>
  <c r="L766" s="1"/>
  <c r="P542"/>
  <c r="P543" s="1"/>
  <c r="P537" s="1"/>
  <c r="P540"/>
  <c r="P541" s="1"/>
  <c r="K542"/>
  <c r="K540"/>
  <c r="K541" s="1"/>
  <c r="L614"/>
  <c r="L616"/>
  <c r="L615"/>
  <c r="O1649"/>
  <c r="P1652"/>
  <c r="P1653" s="1"/>
  <c r="P1647" s="1"/>
  <c r="P1650"/>
  <c r="P1651" s="1"/>
  <c r="L1134"/>
  <c r="L1133"/>
  <c r="L1132"/>
  <c r="L1281"/>
  <c r="L1280"/>
  <c r="L1282"/>
  <c r="Q1206"/>
  <c r="Q1208"/>
  <c r="Q1207"/>
  <c r="L1428"/>
  <c r="L1430"/>
  <c r="L1431" s="1"/>
  <c r="L1432" s="1"/>
  <c r="L1429"/>
  <c r="Q1578"/>
  <c r="Q1577"/>
  <c r="Q1576"/>
  <c r="Q1948"/>
  <c r="Q1946"/>
  <c r="Q1949" s="1"/>
  <c r="Q1947"/>
  <c r="Q1950" s="1"/>
  <c r="L1946"/>
  <c r="L1947"/>
  <c r="L1948"/>
  <c r="P173"/>
  <c r="P176" s="1"/>
  <c r="P174"/>
  <c r="P177" s="1"/>
  <c r="P1804"/>
  <c r="P1805" s="1"/>
  <c r="P1807"/>
  <c r="P1808" s="1"/>
  <c r="P990"/>
  <c r="P993" s="1"/>
  <c r="P991"/>
  <c r="P994" s="1"/>
  <c r="P1730"/>
  <c r="P1733" s="1"/>
  <c r="P1731"/>
  <c r="P1734" s="1"/>
  <c r="K247"/>
  <c r="K248" s="1"/>
  <c r="K250"/>
  <c r="K251" s="1"/>
  <c r="K1878"/>
  <c r="K1879" s="1"/>
  <c r="K1881"/>
  <c r="K1882" s="1"/>
  <c r="P842"/>
  <c r="P845" s="1"/>
  <c r="P843"/>
  <c r="P846" s="1"/>
  <c r="P321"/>
  <c r="P324" s="1"/>
  <c r="Q1836"/>
  <c r="Q1840"/>
  <c r="Q1841" s="1"/>
  <c r="P131"/>
  <c r="P137" s="1"/>
  <c r="P139" s="1"/>
  <c r="P136"/>
  <c r="P135"/>
  <c r="P654"/>
  <c r="P659" s="1"/>
  <c r="Q209"/>
  <c r="Q210" s="1"/>
  <c r="Q205"/>
  <c r="Q211" s="1"/>
  <c r="Q213" s="1"/>
  <c r="L396"/>
  <c r="L398"/>
  <c r="L395"/>
  <c r="L470"/>
  <c r="L472"/>
  <c r="L469"/>
  <c r="P207"/>
  <c r="P212" s="1"/>
  <c r="Q431"/>
  <c r="Q432" s="1"/>
  <c r="Q427"/>
  <c r="Q433" s="1"/>
  <c r="Q435" s="1"/>
  <c r="P355"/>
  <c r="P360" s="1"/>
  <c r="Q1101"/>
  <c r="Q1100"/>
  <c r="Q1096"/>
  <c r="Q1102" s="1"/>
  <c r="Q1104" s="1"/>
  <c r="K472"/>
  <c r="K469"/>
  <c r="K470"/>
  <c r="Q730"/>
  <c r="Q731" s="1"/>
  <c r="Q726"/>
  <c r="Q732" s="1"/>
  <c r="Q734" s="1"/>
  <c r="Q99"/>
  <c r="Q100"/>
  <c r="Q102"/>
  <c r="Q281"/>
  <c r="Q286" s="1"/>
  <c r="Q398"/>
  <c r="Q396"/>
  <c r="Q395"/>
  <c r="Q952"/>
  <c r="Q953" s="1"/>
  <c r="Q948"/>
  <c r="Q954" s="1"/>
  <c r="Q956" s="1"/>
  <c r="P1172"/>
  <c r="P1177" s="1"/>
  <c r="Q800"/>
  <c r="Q806" s="1"/>
  <c r="Q808" s="1"/>
  <c r="Q804"/>
  <c r="Q805"/>
  <c r="P1064"/>
  <c r="P1067" s="1"/>
  <c r="P1065"/>
  <c r="P1068" s="1"/>
  <c r="P1246"/>
  <c r="P1251" s="1"/>
  <c r="O1245"/>
  <c r="L1138"/>
  <c r="L1141"/>
  <c r="L1139"/>
  <c r="L1142" s="1"/>
  <c r="Q1170"/>
  <c r="Q1176" s="1"/>
  <c r="Q1178" s="1"/>
  <c r="Q1175"/>
  <c r="Q1174"/>
  <c r="P1544"/>
  <c r="P1545" s="1"/>
  <c r="P1540"/>
  <c r="L768"/>
  <c r="L769"/>
  <c r="L771"/>
  <c r="P950"/>
  <c r="P955" s="1"/>
  <c r="P1138"/>
  <c r="P1141" s="1"/>
  <c r="P1139"/>
  <c r="P1142" s="1"/>
  <c r="Q1361"/>
  <c r="Q1364" s="1"/>
  <c r="Q1363"/>
  <c r="Q1360"/>
  <c r="Q1322"/>
  <c r="Q1323" s="1"/>
  <c r="Q1318"/>
  <c r="P1392"/>
  <c r="P1398" s="1"/>
  <c r="P1400" s="1"/>
  <c r="P1396"/>
  <c r="P1397" s="1"/>
  <c r="Q1616"/>
  <c r="Q1621" s="1"/>
  <c r="P1468"/>
  <c r="P1473" s="1"/>
  <c r="K1659"/>
  <c r="K1656"/>
  <c r="J1655"/>
  <c r="K1657"/>
  <c r="K1660" s="1"/>
  <c r="Q1544"/>
  <c r="Q1545"/>
  <c r="Q1540"/>
  <c r="Q1546" s="1"/>
  <c r="Q1548" s="1"/>
  <c r="P1840"/>
  <c r="P1841" s="1"/>
  <c r="P1836"/>
  <c r="P1838"/>
  <c r="P1843" s="1"/>
  <c r="P1542"/>
  <c r="P1547" s="1"/>
  <c r="Q1659"/>
  <c r="Q1657"/>
  <c r="Q1656"/>
  <c r="Q1733"/>
  <c r="Q1730"/>
  <c r="Q1731"/>
  <c r="L1805"/>
  <c r="L1804"/>
  <c r="L1807"/>
  <c r="L1879"/>
  <c r="L1878"/>
  <c r="L1881"/>
  <c r="L1882" s="1"/>
  <c r="P887"/>
  <c r="P888" s="1"/>
  <c r="U737"/>
  <c r="U683"/>
  <c r="U684" s="1"/>
  <c r="U984"/>
  <c r="U985" s="1"/>
  <c r="U986"/>
  <c r="U764"/>
  <c r="U762"/>
  <c r="U763" s="1"/>
  <c r="U1430"/>
  <c r="U1431" s="1"/>
  <c r="U1425" s="1"/>
  <c r="U1426" s="1"/>
  <c r="U1428"/>
  <c r="U1429" s="1"/>
  <c r="U1867"/>
  <c r="U1868" s="1"/>
  <c r="U1921"/>
  <c r="U17"/>
  <c r="U18" s="1"/>
  <c r="U19"/>
  <c r="U927"/>
  <c r="T926"/>
  <c r="U1793"/>
  <c r="U1794" s="1"/>
  <c r="U1847"/>
  <c r="P1331"/>
  <c r="P1332" s="1"/>
  <c r="P1632"/>
  <c r="P1633" s="1"/>
  <c r="P1634"/>
  <c r="P1635" s="1"/>
  <c r="P1629" s="1"/>
  <c r="P1257"/>
  <c r="P1258" s="1"/>
  <c r="P1923"/>
  <c r="P1924" s="1"/>
  <c r="U1798"/>
  <c r="U1799" s="1"/>
  <c r="U1800"/>
  <c r="P1412"/>
  <c r="P1410"/>
  <c r="P1411" s="1"/>
  <c r="U389"/>
  <c r="U391"/>
  <c r="U390"/>
  <c r="P1114"/>
  <c r="P1115" s="1"/>
  <c r="P1116"/>
  <c r="U315"/>
  <c r="U316" s="1"/>
  <c r="U317"/>
  <c r="U318" s="1"/>
  <c r="U319" s="1"/>
  <c r="U1001"/>
  <c r="T1000"/>
  <c r="U614"/>
  <c r="U615" s="1"/>
  <c r="U616"/>
  <c r="U617" s="1"/>
  <c r="U611" s="1"/>
  <c r="P1849"/>
  <c r="P1850" s="1"/>
  <c r="U95"/>
  <c r="U93"/>
  <c r="U94" s="1"/>
  <c r="U1107"/>
  <c r="U1053"/>
  <c r="U1054" s="1"/>
  <c r="P366"/>
  <c r="P367" s="1"/>
  <c r="U1995"/>
  <c r="U1941"/>
  <c r="U1942" s="1"/>
  <c r="V345"/>
  <c r="V349" s="1"/>
  <c r="V346"/>
  <c r="U189"/>
  <c r="U185"/>
  <c r="U191" s="1"/>
  <c r="U190"/>
  <c r="V95"/>
  <c r="V94"/>
  <c r="V93"/>
  <c r="U419"/>
  <c r="U420"/>
  <c r="U187"/>
  <c r="U121"/>
  <c r="U125"/>
  <c r="U126" s="1"/>
  <c r="V290"/>
  <c r="V236"/>
  <c r="V237" s="1"/>
  <c r="U113"/>
  <c r="U1002"/>
  <c r="U1006"/>
  <c r="U1007" s="1"/>
  <c r="V837"/>
  <c r="V836"/>
  <c r="V838"/>
  <c r="U333"/>
  <c r="U339" s="1"/>
  <c r="U337"/>
  <c r="U338" s="1"/>
  <c r="V718"/>
  <c r="V719"/>
  <c r="V708"/>
  <c r="V1134"/>
  <c r="V1135" s="1"/>
  <c r="V1133"/>
  <c r="V1132"/>
  <c r="V1255"/>
  <c r="V1201"/>
  <c r="V1202" s="1"/>
  <c r="V1086"/>
  <c r="V1092" s="1"/>
  <c r="V1090"/>
  <c r="V1091" s="1"/>
  <c r="U1300"/>
  <c r="V1223"/>
  <c r="V1224"/>
  <c r="V1230" s="1"/>
  <c r="V1228"/>
  <c r="V1229" s="1"/>
  <c r="U1682"/>
  <c r="U1683" s="1"/>
  <c r="U1678"/>
  <c r="V1756"/>
  <c r="V1757" s="1"/>
  <c r="V1752"/>
  <c r="U1744"/>
  <c r="V1894"/>
  <c r="V1895" s="1"/>
  <c r="V1890"/>
  <c r="V1670"/>
  <c r="V332"/>
  <c r="V315"/>
  <c r="V317"/>
  <c r="V316"/>
  <c r="V486"/>
  <c r="V485"/>
  <c r="V481"/>
  <c r="V494"/>
  <c r="V493"/>
  <c r="V113"/>
  <c r="V114"/>
  <c r="U705"/>
  <c r="U710"/>
  <c r="U711" s="1"/>
  <c r="U706"/>
  <c r="U712" s="1"/>
  <c r="U782"/>
  <c r="U783"/>
  <c r="V1238"/>
  <c r="V1239" s="1"/>
  <c r="V1234"/>
  <c r="U867"/>
  <c r="U866"/>
  <c r="V1356"/>
  <c r="V1357" s="1"/>
  <c r="V1351" s="1"/>
  <c r="V1352" s="1"/>
  <c r="V1355"/>
  <c r="V1358" s="1"/>
  <c r="V1354"/>
  <c r="V1424"/>
  <c r="V1423"/>
  <c r="V1477"/>
  <c r="V1425"/>
  <c r="V1426" s="1"/>
  <c r="V1726"/>
  <c r="V1724"/>
  <c r="V1725"/>
  <c r="V1458"/>
  <c r="V1459"/>
  <c r="V1755"/>
  <c r="V1754"/>
  <c r="T852"/>
  <c r="V216"/>
  <c r="V162"/>
  <c r="V163" s="1"/>
  <c r="V187"/>
  <c r="V985"/>
  <c r="V984"/>
  <c r="V986"/>
  <c r="V987" s="1"/>
  <c r="U856"/>
  <c r="U111"/>
  <c r="U115"/>
  <c r="U116"/>
  <c r="V484"/>
  <c r="V488" s="1"/>
  <c r="V483"/>
  <c r="V854"/>
  <c r="V860" s="1"/>
  <c r="V858"/>
  <c r="V859" s="1"/>
  <c r="U1163"/>
  <c r="U1167" s="1"/>
  <c r="U1162"/>
  <c r="V780"/>
  <c r="V786" s="1"/>
  <c r="V784"/>
  <c r="V785" s="1"/>
  <c r="V1150"/>
  <c r="V1156" s="1"/>
  <c r="V1154"/>
  <c r="V1155" s="1"/>
  <c r="V1006"/>
  <c r="V1007" s="1"/>
  <c r="V1002"/>
  <c r="V1008" s="1"/>
  <c r="V1596"/>
  <c r="V1597"/>
  <c r="V1522"/>
  <c r="V1163"/>
  <c r="V1167" s="1"/>
  <c r="V1162"/>
  <c r="V1524"/>
  <c r="V1525" s="1"/>
  <c r="V1520"/>
  <c r="V1526" s="1"/>
  <c r="U332"/>
  <c r="V1793"/>
  <c r="V1794" s="1"/>
  <c r="V1847"/>
  <c r="V1830"/>
  <c r="V1831" s="1"/>
  <c r="V1826"/>
  <c r="V1832" s="1"/>
  <c r="V1947"/>
  <c r="V1948"/>
  <c r="V1946"/>
  <c r="V88"/>
  <c r="V142"/>
  <c r="V89"/>
  <c r="V1961"/>
  <c r="V1739"/>
  <c r="V1591"/>
  <c r="V1295"/>
  <c r="V1147"/>
  <c r="V999"/>
  <c r="V555"/>
  <c r="V404"/>
  <c r="V256"/>
  <c r="V1813"/>
  <c r="V1369"/>
  <c r="V1887"/>
  <c r="V1443"/>
  <c r="V851"/>
  <c r="V703"/>
  <c r="V108"/>
  <c r="V1221"/>
  <c r="V777"/>
  <c r="V478"/>
  <c r="V1665"/>
  <c r="V1517"/>
  <c r="V1073"/>
  <c r="V925"/>
  <c r="V629"/>
  <c r="V330"/>
  <c r="V182"/>
  <c r="V38"/>
  <c r="V39" s="1"/>
  <c r="V34"/>
  <c r="V40" s="1"/>
  <c r="V42" s="1"/>
  <c r="U512"/>
  <c r="U458"/>
  <c r="U459" s="1"/>
  <c r="V616"/>
  <c r="V615"/>
  <c r="V614"/>
  <c r="V167"/>
  <c r="V169"/>
  <c r="V168"/>
  <c r="U632"/>
  <c r="U638" s="1"/>
  <c r="U636"/>
  <c r="U637" s="1"/>
  <c r="U558"/>
  <c r="U562"/>
  <c r="U563" s="1"/>
  <c r="V758"/>
  <c r="V811"/>
  <c r="V757"/>
  <c r="U1160"/>
  <c r="U1166" s="1"/>
  <c r="U1168" s="1"/>
  <c r="U1164"/>
  <c r="U1165" s="1"/>
  <c r="V1152"/>
  <c r="U864"/>
  <c r="U870" s="1"/>
  <c r="U868"/>
  <c r="U869" s="1"/>
  <c r="V1682"/>
  <c r="V1683" s="1"/>
  <c r="V1678"/>
  <c r="V1684" s="1"/>
  <c r="V1275"/>
  <c r="V1276" s="1"/>
  <c r="V1329"/>
  <c r="U1670"/>
  <c r="U1671"/>
  <c r="U1675" s="1"/>
  <c r="V1773"/>
  <c r="V1719"/>
  <c r="V1720" s="1"/>
  <c r="V1504"/>
  <c r="V1505" s="1"/>
  <c r="V1503"/>
  <c r="V1506" s="1"/>
  <c r="V1502"/>
  <c r="U557"/>
  <c r="T556"/>
  <c r="V1892"/>
  <c r="V1893"/>
  <c r="V1942"/>
  <c r="V1995"/>
  <c r="V1941"/>
  <c r="V1943"/>
  <c r="V1944" s="1"/>
  <c r="Q1855"/>
  <c r="Q1856"/>
  <c r="Q1854"/>
  <c r="L269"/>
  <c r="L273"/>
  <c r="L274" s="1"/>
  <c r="L568"/>
  <c r="L574" s="1"/>
  <c r="L572"/>
  <c r="L573"/>
  <c r="L36"/>
  <c r="L121"/>
  <c r="L127" s="1"/>
  <c r="L125"/>
  <c r="L126" s="1"/>
  <c r="L258"/>
  <c r="L259"/>
  <c r="L265" s="1"/>
  <c r="L263"/>
  <c r="L264" s="1"/>
  <c r="K272"/>
  <c r="K276" s="1"/>
  <c r="K277" s="1"/>
  <c r="K271"/>
  <c r="K275" s="1"/>
  <c r="L642"/>
  <c r="L646"/>
  <c r="L647" s="1"/>
  <c r="K864"/>
  <c r="K868"/>
  <c r="K869" s="1"/>
  <c r="Q151"/>
  <c r="Q149"/>
  <c r="Q150"/>
  <c r="L335"/>
  <c r="L336"/>
  <c r="K36"/>
  <c r="L47"/>
  <c r="L46"/>
  <c r="K187"/>
  <c r="Q106"/>
  <c r="L113"/>
  <c r="L114"/>
  <c r="L118" s="1"/>
  <c r="L272"/>
  <c r="L271"/>
  <c r="L337"/>
  <c r="L338" s="1"/>
  <c r="L333"/>
  <c r="L339" s="1"/>
  <c r="Q440"/>
  <c r="Q441"/>
  <c r="K409"/>
  <c r="Q672"/>
  <c r="Q673" s="1"/>
  <c r="Q667" s="1"/>
  <c r="Q668" s="1"/>
  <c r="Q671"/>
  <c r="Q674" s="1"/>
  <c r="Q670"/>
  <c r="K942"/>
  <c r="K943" s="1"/>
  <c r="K938"/>
  <c r="K944" s="1"/>
  <c r="K47"/>
  <c r="K37" s="1"/>
  <c r="K41" s="1"/>
  <c r="K46"/>
  <c r="K30"/>
  <c r="L180"/>
  <c r="Q373"/>
  <c r="Q374" s="1"/>
  <c r="Q372"/>
  <c r="Q371"/>
  <c r="L782"/>
  <c r="L783"/>
  <c r="L787" s="1"/>
  <c r="K483"/>
  <c r="K491"/>
  <c r="K497" s="1"/>
  <c r="K495"/>
  <c r="K496" s="1"/>
  <c r="K634"/>
  <c r="K644"/>
  <c r="K645"/>
  <c r="L636"/>
  <c r="L637" s="1"/>
  <c r="L632"/>
  <c r="L705"/>
  <c r="L710"/>
  <c r="L711" s="1"/>
  <c r="L706"/>
  <c r="L712" s="1"/>
  <c r="P810"/>
  <c r="O809"/>
  <c r="L849"/>
  <c r="K958"/>
  <c r="J957"/>
  <c r="Q997"/>
  <c r="K1106"/>
  <c r="J1105"/>
  <c r="P180"/>
  <c r="L187"/>
  <c r="L412"/>
  <c r="L411"/>
  <c r="L407"/>
  <c r="L413" s="1"/>
  <c r="L415" s="1"/>
  <c r="Q514"/>
  <c r="Q516"/>
  <c r="Q515"/>
  <c r="Q517" s="1"/>
  <c r="L558"/>
  <c r="L564" s="1"/>
  <c r="L566" s="1"/>
  <c r="L562"/>
  <c r="L563"/>
  <c r="K736"/>
  <c r="J735"/>
  <c r="L793"/>
  <c r="L797" s="1"/>
  <c r="L798" s="1"/>
  <c r="L792"/>
  <c r="L796" s="1"/>
  <c r="K853"/>
  <c r="K854"/>
  <c r="K858"/>
  <c r="K859" s="1"/>
  <c r="L927"/>
  <c r="L932"/>
  <c r="L933" s="1"/>
  <c r="L928"/>
  <c r="L934" s="1"/>
  <c r="L1163"/>
  <c r="L1162"/>
  <c r="K560"/>
  <c r="P736"/>
  <c r="O735"/>
  <c r="K780"/>
  <c r="K786" s="1"/>
  <c r="K784"/>
  <c r="K785" s="1"/>
  <c r="L1012"/>
  <c r="L1018" s="1"/>
  <c r="L1016"/>
  <c r="L1017" s="1"/>
  <c r="K1310"/>
  <c r="K1311"/>
  <c r="K1315" s="1"/>
  <c r="K1448"/>
  <c r="Q1109"/>
  <c r="Q1110" s="1"/>
  <c r="Q1111"/>
  <c r="Q1112" s="1"/>
  <c r="K1219"/>
  <c r="L1515"/>
  <c r="L864"/>
  <c r="L870" s="1"/>
  <c r="L868"/>
  <c r="L869" s="1"/>
  <c r="L923"/>
  <c r="K1078"/>
  <c r="Q1188"/>
  <c r="Q1189"/>
  <c r="Q1190"/>
  <c r="L1219"/>
  <c r="P1663"/>
  <c r="N1661"/>
  <c r="P1219"/>
  <c r="Q1367"/>
  <c r="P1328"/>
  <c r="O1327"/>
  <c r="L1376"/>
  <c r="L1377" s="1"/>
  <c r="L1372"/>
  <c r="L1448"/>
  <c r="L1449"/>
  <c r="L1453" s="1"/>
  <c r="K1515"/>
  <c r="Q1336"/>
  <c r="Q1338"/>
  <c r="Q1339" s="1"/>
  <c r="Q1337"/>
  <c r="Q1340" s="1"/>
  <c r="K1328"/>
  <c r="J1327"/>
  <c r="L1382"/>
  <c r="L1388" s="1"/>
  <c r="L1386"/>
  <c r="L1387" s="1"/>
  <c r="L1446"/>
  <c r="L1450"/>
  <c r="L1451" s="1"/>
  <c r="P1550"/>
  <c r="O1549"/>
  <c r="L1604"/>
  <c r="L1610" s="1"/>
  <c r="L1608"/>
  <c r="L1609" s="1"/>
  <c r="K1596"/>
  <c r="L1596"/>
  <c r="Q1997"/>
  <c r="Q1998" s="1"/>
  <c r="Q1999"/>
  <c r="Q1627"/>
  <c r="Q1628"/>
  <c r="Q1629"/>
  <c r="L1678"/>
  <c r="L1682"/>
  <c r="L1683" s="1"/>
  <c r="K1744"/>
  <c r="P1920"/>
  <c r="O1919"/>
  <c r="K332"/>
  <c r="P1476"/>
  <c r="O1475"/>
  <c r="K1458"/>
  <c r="K1459"/>
  <c r="K1463" s="1"/>
  <c r="K1624"/>
  <c r="J1623"/>
  <c r="Q1703"/>
  <c r="Q1702"/>
  <c r="Q1704" s="1"/>
  <c r="Q1701"/>
  <c r="L1737"/>
  <c r="L1815"/>
  <c r="L1820"/>
  <c r="L1821" s="1"/>
  <c r="L1816"/>
  <c r="L1822" s="1"/>
  <c r="L184"/>
  <c r="L1746"/>
  <c r="L1747" s="1"/>
  <c r="L1742"/>
  <c r="L1811"/>
  <c r="L1885"/>
  <c r="K1994"/>
  <c r="J1993"/>
  <c r="K1978"/>
  <c r="K1979" s="1"/>
  <c r="K1974"/>
  <c r="L1297"/>
  <c r="L1744"/>
  <c r="K1963"/>
  <c r="K1964"/>
  <c r="K1970" s="1"/>
  <c r="K1968"/>
  <c r="K1969" s="1"/>
  <c r="J1000"/>
  <c r="K1001"/>
  <c r="L1754"/>
  <c r="L1755"/>
  <c r="L1759" s="1"/>
  <c r="K1828"/>
  <c r="K1829"/>
  <c r="K1819" s="1"/>
  <c r="K1823" s="1"/>
  <c r="L1890"/>
  <c r="L1894"/>
  <c r="L1895" s="1"/>
  <c r="K1977"/>
  <c r="K1981" s="1"/>
  <c r="K1976"/>
  <c r="L1519"/>
  <c r="L1904"/>
  <c r="L1905" s="1"/>
  <c r="L1900"/>
  <c r="L332"/>
  <c r="L779"/>
  <c r="J1370"/>
  <c r="K1371"/>
  <c r="K1741"/>
  <c r="J1740"/>
  <c r="T776"/>
  <c r="S780"/>
  <c r="S786" s="1"/>
  <c r="S784"/>
  <c r="S785"/>
  <c r="S779"/>
  <c r="X1456"/>
  <c r="Y1455"/>
  <c r="X1460"/>
  <c r="Y1460" s="1"/>
  <c r="X1461"/>
  <c r="S1372"/>
  <c r="S1378" s="1"/>
  <c r="T1368"/>
  <c r="S1376"/>
  <c r="T1376" s="1"/>
  <c r="S1377"/>
  <c r="S1371"/>
  <c r="X794"/>
  <c r="Y789"/>
  <c r="X790"/>
  <c r="X796" s="1"/>
  <c r="X798" s="1"/>
  <c r="S1150"/>
  <c r="T1146"/>
  <c r="S1154"/>
  <c r="S1149"/>
  <c r="X1076"/>
  <c r="Y1072"/>
  <c r="X1080"/>
  <c r="Y1080" s="1"/>
  <c r="X1081"/>
  <c r="X1075"/>
  <c r="X1692"/>
  <c r="X1688"/>
  <c r="Y1687"/>
  <c r="X1693"/>
  <c r="T43"/>
  <c r="S44"/>
  <c r="S50" s="1"/>
  <c r="S52" s="1"/>
  <c r="S48"/>
  <c r="J1233"/>
  <c r="I1238"/>
  <c r="I1234"/>
  <c r="O1552"/>
  <c r="N1551"/>
  <c r="N1553"/>
  <c r="N1554" s="1"/>
  <c r="I1912"/>
  <c r="I1917" s="1"/>
  <c r="J1911"/>
  <c r="I757"/>
  <c r="I758" s="1"/>
  <c r="J758" s="1"/>
  <c r="J756"/>
  <c r="I755"/>
  <c r="J811"/>
  <c r="I759"/>
  <c r="S802"/>
  <c r="S807" s="1"/>
  <c r="T801"/>
  <c r="O767"/>
  <c r="N768"/>
  <c r="N769" s="1"/>
  <c r="N771"/>
  <c r="N772" s="1"/>
  <c r="Y915"/>
  <c r="X916"/>
  <c r="X917" s="1"/>
  <c r="S849"/>
  <c r="S847"/>
  <c r="S910"/>
  <c r="S911" s="1"/>
  <c r="S912"/>
  <c r="T909"/>
  <c r="N961"/>
  <c r="N962" s="1"/>
  <c r="O960"/>
  <c r="N959"/>
  <c r="N963"/>
  <c r="Y1422"/>
  <c r="X1421"/>
  <c r="X1423"/>
  <c r="X1424" s="1"/>
  <c r="Y1477"/>
  <c r="S1477"/>
  <c r="S1479"/>
  <c r="S1480" s="1"/>
  <c r="T1478"/>
  <c r="T1348"/>
  <c r="T1403"/>
  <c r="S1349"/>
  <c r="S1350" s="1"/>
  <c r="S1347"/>
  <c r="I1374"/>
  <c r="J1373"/>
  <c r="X755"/>
  <c r="Y756"/>
  <c r="Y811"/>
  <c r="X757"/>
  <c r="X758" s="1"/>
  <c r="I793"/>
  <c r="I792"/>
  <c r="J791"/>
  <c r="N820"/>
  <c r="N818"/>
  <c r="N819" s="1"/>
  <c r="O817"/>
  <c r="S535"/>
  <c r="S536" s="1"/>
  <c r="T536" s="1"/>
  <c r="T589"/>
  <c r="T534"/>
  <c r="S533"/>
  <c r="N598"/>
  <c r="N596"/>
  <c r="N597"/>
  <c r="O595"/>
  <c r="I1145"/>
  <c r="I1143"/>
  <c r="N1188"/>
  <c r="N1189" s="1"/>
  <c r="O1187"/>
  <c r="N1190"/>
  <c r="T1126"/>
  <c r="S1125"/>
  <c r="T1181"/>
  <c r="S1127"/>
  <c r="S1128" s="1"/>
  <c r="N1040"/>
  <c r="N1041" s="1"/>
  <c r="O1039"/>
  <c r="N1042"/>
  <c r="T1108"/>
  <c r="S1109"/>
  <c r="S1110" s="1"/>
  <c r="S1107"/>
  <c r="I1089"/>
  <c r="I1079" s="1"/>
  <c r="I1083" s="1"/>
  <c r="I1084" s="1"/>
  <c r="I1088"/>
  <c r="J1087"/>
  <c r="Y1689"/>
  <c r="X1690"/>
  <c r="X1695" s="1"/>
  <c r="N1329"/>
  <c r="N1331"/>
  <c r="N1332" s="1"/>
  <c r="O1330"/>
  <c r="S1058"/>
  <c r="S1059" s="1"/>
  <c r="S1062" s="1"/>
  <c r="S1060"/>
  <c r="S1061" s="1"/>
  <c r="T1057"/>
  <c r="I1282"/>
  <c r="I1280"/>
  <c r="I1281" s="1"/>
  <c r="J1279"/>
  <c r="N1280"/>
  <c r="N1281" s="1"/>
  <c r="N1282"/>
  <c r="N1283" s="1"/>
  <c r="N1284" s="1"/>
  <c r="O1279"/>
  <c r="X1138"/>
  <c r="X1139" s="1"/>
  <c r="Y1137"/>
  <c r="N728"/>
  <c r="N733" s="1"/>
  <c r="O727"/>
  <c r="S1138"/>
  <c r="S1139" s="1"/>
  <c r="T1137"/>
  <c r="S1141"/>
  <c r="S1142" s="1"/>
  <c r="N1576"/>
  <c r="N1577" s="1"/>
  <c r="O1575"/>
  <c r="N1578"/>
  <c r="N1579" s="1"/>
  <c r="N1573" s="1"/>
  <c r="X1384"/>
  <c r="X1385"/>
  <c r="Y1383"/>
  <c r="T1404"/>
  <c r="S1405"/>
  <c r="S1406" s="1"/>
  <c r="S1403"/>
  <c r="N74"/>
  <c r="N72"/>
  <c r="N73" s="1"/>
  <c r="O71"/>
  <c r="N67"/>
  <c r="N68"/>
  <c r="O66"/>
  <c r="N65"/>
  <c r="T1235"/>
  <c r="S1236"/>
  <c r="S1240" s="1"/>
  <c r="S1237"/>
  <c r="I1226"/>
  <c r="J1225"/>
  <c r="I36"/>
  <c r="J35"/>
  <c r="S99"/>
  <c r="S102" s="1"/>
  <c r="S90" s="1"/>
  <c r="S91" s="1"/>
  <c r="T98"/>
  <c r="N229"/>
  <c r="N232" s="1"/>
  <c r="O228"/>
  <c r="S395"/>
  <c r="S396" s="1"/>
  <c r="S399" s="1"/>
  <c r="S398"/>
  <c r="T394"/>
  <c r="S281"/>
  <c r="S286" s="1"/>
  <c r="T280"/>
  <c r="S207"/>
  <c r="S212" s="1"/>
  <c r="T206"/>
  <c r="S429"/>
  <c r="S434" s="1"/>
  <c r="T428"/>
  <c r="I131"/>
  <c r="I137" s="1"/>
  <c r="I139" s="1"/>
  <c r="I135"/>
  <c r="I136"/>
  <c r="J130"/>
  <c r="I207"/>
  <c r="I212" s="1"/>
  <c r="J206"/>
  <c r="I501"/>
  <c r="I507" s="1"/>
  <c r="I509" s="1"/>
  <c r="I505"/>
  <c r="J500"/>
  <c r="I506"/>
  <c r="AA131"/>
  <c r="AA137" s="1"/>
  <c r="AA139" s="1"/>
  <c r="AA135"/>
  <c r="AA136" s="1"/>
  <c r="Z506"/>
  <c r="Z505"/>
  <c r="Z501"/>
  <c r="Z507" s="1"/>
  <c r="Z509" s="1"/>
  <c r="Z990"/>
  <c r="Z991" s="1"/>
  <c r="Z395"/>
  <c r="Z396" s="1"/>
  <c r="Z398"/>
  <c r="Z386" s="1"/>
  <c r="Z387" s="1"/>
  <c r="AA800"/>
  <c r="AA806" s="1"/>
  <c r="AA808" s="1"/>
  <c r="AA804"/>
  <c r="AA805" s="1"/>
  <c r="Z1360"/>
  <c r="Z1363" s="1"/>
  <c r="Z1361"/>
  <c r="Z1364" s="1"/>
  <c r="AA1544"/>
  <c r="AA1545" s="1"/>
  <c r="AA1540"/>
  <c r="AA1546" s="1"/>
  <c r="AA1548" s="1"/>
  <c r="Z1616"/>
  <c r="Z1621" s="1"/>
  <c r="Y1615"/>
  <c r="Z1838"/>
  <c r="Z1843" s="1"/>
  <c r="Z357"/>
  <c r="Z358" s="1"/>
  <c r="Z353"/>
  <c r="AA768"/>
  <c r="AA771" s="1"/>
  <c r="AA769"/>
  <c r="AA772" s="1"/>
  <c r="Z916"/>
  <c r="Z917" s="1"/>
  <c r="AA842"/>
  <c r="AA845" s="1"/>
  <c r="AA843"/>
  <c r="AA846" s="1"/>
  <c r="Z23"/>
  <c r="Z24" s="1"/>
  <c r="AA1286"/>
  <c r="AA1289" s="1"/>
  <c r="AA1287"/>
  <c r="AA1290" s="1"/>
  <c r="AA1244"/>
  <c r="AA1248"/>
  <c r="AA1249" s="1"/>
  <c r="AA1836"/>
  <c r="AA1842" s="1"/>
  <c r="AA1844" s="1"/>
  <c r="AA1840"/>
  <c r="AA1841" s="1"/>
  <c r="Z281"/>
  <c r="Z286" s="1"/>
  <c r="Z355"/>
  <c r="Z360" s="1"/>
  <c r="AA501"/>
  <c r="AA507" s="1"/>
  <c r="AA509" s="1"/>
  <c r="AA506"/>
  <c r="AA505"/>
  <c r="AA1098"/>
  <c r="AA1103" s="1"/>
  <c r="AA1246"/>
  <c r="AA1251" s="1"/>
  <c r="Z1614"/>
  <c r="Z1620" s="1"/>
  <c r="Z1622" s="1"/>
  <c r="Z1619"/>
  <c r="Z1618"/>
  <c r="Y1618" s="1"/>
  <c r="Y1613"/>
  <c r="AA1582"/>
  <c r="AA1585" s="1"/>
  <c r="Z1585"/>
  <c r="Z1582"/>
  <c r="Z1583"/>
  <c r="Z1586" s="1"/>
  <c r="Z1804"/>
  <c r="Z1805" s="1"/>
  <c r="AA694"/>
  <c r="AA695" s="1"/>
  <c r="AA697"/>
  <c r="AA431"/>
  <c r="AA432" s="1"/>
  <c r="AA427"/>
  <c r="AA433" s="1"/>
  <c r="AA435" s="1"/>
  <c r="Z652"/>
  <c r="Z658" s="1"/>
  <c r="Z660" s="1"/>
  <c r="Z656"/>
  <c r="Z657"/>
  <c r="AA728"/>
  <c r="AA733" s="1"/>
  <c r="Z1022"/>
  <c r="Z1028" s="1"/>
  <c r="Z1030" s="1"/>
  <c r="Z1027"/>
  <c r="Z1026"/>
  <c r="AA1434"/>
  <c r="AA1435" s="1"/>
  <c r="AA1437"/>
  <c r="AA1425" s="1"/>
  <c r="AA1426" s="1"/>
  <c r="Z1394"/>
  <c r="Z1399" s="1"/>
  <c r="Y1393"/>
  <c r="AA1986"/>
  <c r="AA1991" s="1"/>
  <c r="V525"/>
  <c r="V526"/>
  <c r="V529" s="1"/>
  <c r="V528"/>
  <c r="U1194"/>
  <c r="U1197"/>
  <c r="U1195"/>
  <c r="U1198" s="1"/>
  <c r="U1860"/>
  <c r="U1861" s="1"/>
  <c r="U229"/>
  <c r="U232" s="1"/>
  <c r="U230"/>
  <c r="U233" s="1"/>
  <c r="V1416"/>
  <c r="V1419" s="1"/>
  <c r="V2008"/>
  <c r="V2011" s="1"/>
  <c r="V2009"/>
  <c r="V2012" s="1"/>
  <c r="V676"/>
  <c r="V677" s="1"/>
  <c r="U1342"/>
  <c r="U1345" s="1"/>
  <c r="U1343"/>
  <c r="U1346" s="1"/>
  <c r="U1715"/>
  <c r="U1713"/>
  <c r="U1712"/>
  <c r="U451"/>
  <c r="U454" s="1"/>
  <c r="V155"/>
  <c r="V156"/>
  <c r="V158"/>
  <c r="V159" s="1"/>
  <c r="U824"/>
  <c r="U825" s="1"/>
  <c r="U828" s="1"/>
  <c r="U827"/>
  <c r="U1638"/>
  <c r="U1639" s="1"/>
  <c r="U1641"/>
  <c r="U1642" s="1"/>
  <c r="U355"/>
  <c r="U360" s="1"/>
  <c r="U950"/>
  <c r="U955" s="1"/>
  <c r="U283"/>
  <c r="U284" s="1"/>
  <c r="U279"/>
  <c r="U285" s="1"/>
  <c r="U287" s="1"/>
  <c r="U209"/>
  <c r="U210" s="1"/>
  <c r="U205"/>
  <c r="U878"/>
  <c r="U879" s="1"/>
  <c r="U874"/>
  <c r="U880" s="1"/>
  <c r="U882" s="1"/>
  <c r="U1320"/>
  <c r="U1325" s="1"/>
  <c r="U1690"/>
  <c r="U1695" s="1"/>
  <c r="T1689"/>
  <c r="V1910"/>
  <c r="V1916" s="1"/>
  <c r="V1918" s="1"/>
  <c r="V1914"/>
  <c r="V1915" s="1"/>
  <c r="U207"/>
  <c r="U212" s="1"/>
  <c r="U728"/>
  <c r="U733" s="1"/>
  <c r="U1394"/>
  <c r="U1399" s="1"/>
  <c r="T1393"/>
  <c r="V1540"/>
  <c r="V1546" s="1"/>
  <c r="V1548" s="1"/>
  <c r="V1544"/>
  <c r="V1545" s="1"/>
  <c r="V1616"/>
  <c r="V1621" s="1"/>
  <c r="U281"/>
  <c r="U286" s="1"/>
  <c r="U876"/>
  <c r="U881" s="1"/>
  <c r="V1098"/>
  <c r="V1103" s="1"/>
  <c r="U1542"/>
  <c r="U1547" s="1"/>
  <c r="U730"/>
  <c r="U731" s="1"/>
  <c r="U726"/>
  <c r="V878"/>
  <c r="V879" s="1"/>
  <c r="V874"/>
  <c r="V880" s="1"/>
  <c r="V882" s="1"/>
  <c r="V1246"/>
  <c r="V1251" s="1"/>
  <c r="U1914"/>
  <c r="U1915" s="1"/>
  <c r="U1910"/>
  <c r="U1916" s="1"/>
  <c r="U1918" s="1"/>
  <c r="L804"/>
  <c r="L805" s="1"/>
  <c r="L800"/>
  <c r="L806" s="1"/>
  <c r="L808" s="1"/>
  <c r="L133"/>
  <c r="L138" s="1"/>
  <c r="L506"/>
  <c r="L505"/>
  <c r="L501"/>
  <c r="L507" s="1"/>
  <c r="L509" s="1"/>
  <c r="K56"/>
  <c r="K61" s="1"/>
  <c r="L427"/>
  <c r="L433" s="1"/>
  <c r="L435" s="1"/>
  <c r="L431"/>
  <c r="L432" s="1"/>
  <c r="K54"/>
  <c r="K60" s="1"/>
  <c r="K62" s="1"/>
  <c r="K58"/>
  <c r="K59" s="1"/>
  <c r="K501"/>
  <c r="K507" s="1"/>
  <c r="K509" s="1"/>
  <c r="K506"/>
  <c r="K505"/>
  <c r="L1026"/>
  <c r="L1027" s="1"/>
  <c r="L1022"/>
  <c r="L1028" s="1"/>
  <c r="L1030" s="1"/>
  <c r="L578"/>
  <c r="L584" s="1"/>
  <c r="L586" s="1"/>
  <c r="L582"/>
  <c r="L583" s="1"/>
  <c r="L1024"/>
  <c r="L1029" s="1"/>
  <c r="K578"/>
  <c r="K582"/>
  <c r="J577"/>
  <c r="L950"/>
  <c r="L955" s="1"/>
  <c r="L1100"/>
  <c r="L1101" s="1"/>
  <c r="L1096"/>
  <c r="K1320"/>
  <c r="K1325" s="1"/>
  <c r="L952"/>
  <c r="L953" s="1"/>
  <c r="L948"/>
  <c r="L954" s="1"/>
  <c r="L956" s="1"/>
  <c r="L1248"/>
  <c r="L1249" s="1"/>
  <c r="L1244"/>
  <c r="L1250" s="1"/>
  <c r="L1252" s="1"/>
  <c r="L1322"/>
  <c r="L1323" s="1"/>
  <c r="L1318"/>
  <c r="L1172"/>
  <c r="L1177" s="1"/>
  <c r="K1544"/>
  <c r="K1545" s="1"/>
  <c r="K1540"/>
  <c r="K1546" s="1"/>
  <c r="K1548" s="1"/>
  <c r="K1470"/>
  <c r="K1471" s="1"/>
  <c r="K1466"/>
  <c r="K1472" s="1"/>
  <c r="K1474" s="1"/>
  <c r="K1838"/>
  <c r="K1843" s="1"/>
  <c r="K1836"/>
  <c r="K1840"/>
  <c r="K1841" s="1"/>
  <c r="K1764"/>
  <c r="K1769" s="1"/>
  <c r="K1910"/>
  <c r="K1916" s="1"/>
  <c r="K1918" s="1"/>
  <c r="K1914"/>
  <c r="K1915" s="1"/>
  <c r="K1986"/>
  <c r="K1991" s="1"/>
  <c r="K831"/>
  <c r="K832" s="1"/>
  <c r="K885"/>
  <c r="P1033"/>
  <c r="P979"/>
  <c r="P980" s="1"/>
  <c r="P384"/>
  <c r="P385" s="1"/>
  <c r="P438"/>
  <c r="K1201"/>
  <c r="K1202" s="1"/>
  <c r="K1255"/>
  <c r="P1053"/>
  <c r="P1054" s="1"/>
  <c r="P1107"/>
  <c r="P1275"/>
  <c r="P1276" s="1"/>
  <c r="P1329"/>
  <c r="P757"/>
  <c r="P758" s="1"/>
  <c r="P811"/>
  <c r="K905"/>
  <c r="K906" s="1"/>
  <c r="K959"/>
  <c r="K236"/>
  <c r="K237" s="1"/>
  <c r="K290"/>
  <c r="I290" s="1"/>
  <c r="K737"/>
  <c r="I737" s="1"/>
  <c r="K683"/>
  <c r="K684" s="1"/>
  <c r="K1033"/>
  <c r="K979"/>
  <c r="K980" s="1"/>
  <c r="K384"/>
  <c r="K385" s="1"/>
  <c r="K438"/>
  <c r="K386"/>
  <c r="Q290"/>
  <c r="Q236"/>
  <c r="Q238"/>
  <c r="Q237"/>
  <c r="Q980"/>
  <c r="Q979"/>
  <c r="Q1033"/>
  <c r="Q981"/>
  <c r="Q663"/>
  <c r="Q611"/>
  <c r="Q610"/>
  <c r="Q612" s="1"/>
  <c r="Q609"/>
  <c r="L13"/>
  <c r="L65"/>
  <c r="L12"/>
  <c r="L14"/>
  <c r="Q1107"/>
  <c r="Q1053"/>
  <c r="Q1054"/>
  <c r="Q1056" s="1"/>
  <c r="Q1055"/>
  <c r="L759"/>
  <c r="L757"/>
  <c r="L811"/>
  <c r="L758"/>
  <c r="L760" s="1"/>
  <c r="L310"/>
  <c r="L312"/>
  <c r="L311"/>
  <c r="L313" s="1"/>
  <c r="L364"/>
  <c r="P535"/>
  <c r="P536"/>
  <c r="P589"/>
  <c r="L1181"/>
  <c r="L1129"/>
  <c r="L1128"/>
  <c r="L1130" s="1"/>
  <c r="L1127"/>
  <c r="L980"/>
  <c r="L979"/>
  <c r="L981"/>
  <c r="L1033"/>
  <c r="L1329"/>
  <c r="L1275"/>
  <c r="L1277"/>
  <c r="L1276"/>
  <c r="L1278" s="1"/>
  <c r="Q1424"/>
  <c r="Q1423"/>
  <c r="Q1425"/>
  <c r="Q1477"/>
  <c r="L1794"/>
  <c r="L1793"/>
  <c r="L1847"/>
  <c r="L1795"/>
  <c r="L1719"/>
  <c r="L1773"/>
  <c r="L1721"/>
  <c r="L1720"/>
  <c r="L1722" s="1"/>
  <c r="Q1793"/>
  <c r="Q1795"/>
  <c r="Q1847"/>
  <c r="Q1794"/>
  <c r="Q1796" s="1"/>
  <c r="N44"/>
  <c r="N49"/>
  <c r="O43"/>
  <c r="T1899"/>
  <c r="S1900"/>
  <c r="S1906" s="1"/>
  <c r="S1908" s="1"/>
  <c r="S1904"/>
  <c r="S1905"/>
  <c r="X1910"/>
  <c r="X1916" s="1"/>
  <c r="X1918" s="1"/>
  <c r="Y1909"/>
  <c r="X1914"/>
  <c r="X868"/>
  <c r="Y863"/>
  <c r="X864"/>
  <c r="X870" s="1"/>
  <c r="I1456"/>
  <c r="I1462" s="1"/>
  <c r="I1460"/>
  <c r="I1461" s="1"/>
  <c r="J1455"/>
  <c r="X36"/>
  <c r="Y35"/>
  <c r="X1497"/>
  <c r="X1498" s="1"/>
  <c r="Y1498" s="1"/>
  <c r="X1495"/>
  <c r="Y1551"/>
  <c r="Y1496"/>
  <c r="S74"/>
  <c r="T71"/>
  <c r="S72"/>
  <c r="S73" s="1"/>
  <c r="S1883"/>
  <c r="S1885"/>
  <c r="I1892"/>
  <c r="J1891"/>
  <c r="I1893"/>
  <c r="X1878"/>
  <c r="X1879" s="1"/>
  <c r="Y1877"/>
  <c r="X1881"/>
  <c r="X1882" s="1"/>
  <c r="S1934"/>
  <c r="S1935" s="1"/>
  <c r="T1933"/>
  <c r="S1937"/>
  <c r="N894"/>
  <c r="N895" s="1"/>
  <c r="N889" s="1"/>
  <c r="N892"/>
  <c r="N893" s="1"/>
  <c r="O891"/>
  <c r="N831"/>
  <c r="N832" s="1"/>
  <c r="O830"/>
  <c r="O885"/>
  <c r="N829"/>
  <c r="I867"/>
  <c r="I857" s="1"/>
  <c r="I861" s="1"/>
  <c r="I866"/>
  <c r="I871" s="1"/>
  <c r="J865"/>
  <c r="S887"/>
  <c r="S888" s="1"/>
  <c r="T886"/>
  <c r="S885"/>
  <c r="I634"/>
  <c r="J633"/>
  <c r="I1430"/>
  <c r="I1428"/>
  <c r="I1429" s="1"/>
  <c r="J1427"/>
  <c r="N1459"/>
  <c r="N1458"/>
  <c r="O1457"/>
  <c r="I1201"/>
  <c r="I1202" s="1"/>
  <c r="J1202" s="1"/>
  <c r="J1200"/>
  <c r="I1199"/>
  <c r="J1255"/>
  <c r="I1203"/>
  <c r="I1204" s="1"/>
  <c r="Y1729"/>
  <c r="X1730"/>
  <c r="X1731" s="1"/>
  <c r="X1733"/>
  <c r="J1729"/>
  <c r="I1730"/>
  <c r="I1731" s="1"/>
  <c r="I1733"/>
  <c r="I1734" s="1"/>
  <c r="S1775"/>
  <c r="S1776" s="1"/>
  <c r="S1773"/>
  <c r="T1774"/>
  <c r="T1097"/>
  <c r="S1098"/>
  <c r="S1103" s="1"/>
  <c r="N1064"/>
  <c r="N1065" s="1"/>
  <c r="O1063"/>
  <c r="N1067"/>
  <c r="N1163"/>
  <c r="O1161"/>
  <c r="N1162"/>
  <c r="I1360"/>
  <c r="I1361" s="1"/>
  <c r="J1359"/>
  <c r="J1393"/>
  <c r="I1394"/>
  <c r="I1399" s="1"/>
  <c r="U1032"/>
  <c r="T1031"/>
  <c r="U1550"/>
  <c r="T1549"/>
  <c r="U810"/>
  <c r="T809"/>
  <c r="S706"/>
  <c r="S710"/>
  <c r="T702"/>
  <c r="S705"/>
  <c r="S730"/>
  <c r="T730" s="1"/>
  <c r="S726"/>
  <c r="T725"/>
  <c r="N78"/>
  <c r="N81" s="1"/>
  <c r="N79"/>
  <c r="O77"/>
  <c r="S23"/>
  <c r="S24" s="1"/>
  <c r="T22"/>
  <c r="X1508"/>
  <c r="X1509" s="1"/>
  <c r="Y1507"/>
  <c r="X1511"/>
  <c r="X1512" s="1"/>
  <c r="I773"/>
  <c r="I775"/>
  <c r="O1837"/>
  <c r="N1838"/>
  <c r="N1843" s="1"/>
  <c r="N1014"/>
  <c r="N1015"/>
  <c r="O1013"/>
  <c r="S699"/>
  <c r="S701"/>
  <c r="J1171"/>
  <c r="I1172"/>
  <c r="I1177" s="1"/>
  <c r="S1663"/>
  <c r="S1661"/>
  <c r="T1699"/>
  <c r="S1286"/>
  <c r="S1289" s="1"/>
  <c r="T1285"/>
  <c r="S1571"/>
  <c r="S1572" s="1"/>
  <c r="T1572" s="1"/>
  <c r="T1570"/>
  <c r="S1569"/>
  <c r="T1625"/>
  <c r="S1573"/>
  <c r="S1574" s="1"/>
  <c r="Y962"/>
  <c r="X748"/>
  <c r="Z381"/>
  <c r="AA159"/>
  <c r="Z984"/>
  <c r="Z985" s="1"/>
  <c r="Z986"/>
  <c r="Z987" s="1"/>
  <c r="Z988" s="1"/>
  <c r="Z420"/>
  <c r="Z424" s="1"/>
  <c r="Z419"/>
  <c r="AA345"/>
  <c r="AA346"/>
  <c r="Z261"/>
  <c r="Z262"/>
  <c r="AA241"/>
  <c r="AA243"/>
  <c r="AA244" s="1"/>
  <c r="AA242"/>
  <c r="AA663"/>
  <c r="AA609"/>
  <c r="AA610" s="1"/>
  <c r="AA1153"/>
  <c r="AA1157" s="1"/>
  <c r="AA1158" s="1"/>
  <c r="AA1152"/>
  <c r="AA1156" s="1"/>
  <c r="AA113"/>
  <c r="AA114"/>
  <c r="AA118" s="1"/>
  <c r="AA782"/>
  <c r="AA783"/>
  <c r="Z636"/>
  <c r="Z637"/>
  <c r="Z632"/>
  <c r="Z638" s="1"/>
  <c r="Z1002"/>
  <c r="Z1006"/>
  <c r="Z1007" s="1"/>
  <c r="AA1012"/>
  <c r="AA1016"/>
  <c r="AA1017" s="1"/>
  <c r="Z1234"/>
  <c r="Z1240" s="1"/>
  <c r="Z1238"/>
  <c r="Z1239" s="1"/>
  <c r="AA979"/>
  <c r="AA980" s="1"/>
  <c r="AA1033"/>
  <c r="AA1310"/>
  <c r="AA1311"/>
  <c r="AA1301" s="1"/>
  <c r="AA1305" s="1"/>
  <c r="Z1302"/>
  <c r="Z1303" s="1"/>
  <c r="Z1298"/>
  <c r="Z1304" s="1"/>
  <c r="Z1682"/>
  <c r="Z1683"/>
  <c r="Z1678"/>
  <c r="Z1684" s="1"/>
  <c r="Z1686" s="1"/>
  <c r="AA1403"/>
  <c r="AA1349"/>
  <c r="AA1350" s="1"/>
  <c r="AA1995"/>
  <c r="AA1941"/>
  <c r="AA1942" s="1"/>
  <c r="Z1497"/>
  <c r="Z1498" s="1"/>
  <c r="Z1551"/>
  <c r="Z1499"/>
  <c r="Z1500" s="1"/>
  <c r="Z1001"/>
  <c r="Y1000"/>
  <c r="AA706"/>
  <c r="AA710"/>
  <c r="AA711" s="1"/>
  <c r="AA93"/>
  <c r="AA95"/>
  <c r="AA94"/>
  <c r="Z167"/>
  <c r="Z168" s="1"/>
  <c r="Z169"/>
  <c r="Z170" s="1"/>
  <c r="Z171" s="1"/>
  <c r="AA36"/>
  <c r="AA40" s="1"/>
  <c r="Z644"/>
  <c r="Z645"/>
  <c r="Z649" s="1"/>
  <c r="AA646"/>
  <c r="AA647" s="1"/>
  <c r="AA642"/>
  <c r="AA790"/>
  <c r="AA796" s="1"/>
  <c r="AA794"/>
  <c r="AA795" s="1"/>
  <c r="Z417"/>
  <c r="Z423" s="1"/>
  <c r="Z425" s="1"/>
  <c r="Z421"/>
  <c r="Z422" s="1"/>
  <c r="Z762"/>
  <c r="Z763" s="1"/>
  <c r="Z764"/>
  <c r="Z765" s="1"/>
  <c r="Y761"/>
  <c r="AA535"/>
  <c r="AA536"/>
  <c r="AA589"/>
  <c r="Z979"/>
  <c r="Z980" s="1"/>
  <c r="Z1033"/>
  <c r="AA1004"/>
  <c r="Z794"/>
  <c r="Z795" s="1"/>
  <c r="Z790"/>
  <c r="Z796" s="1"/>
  <c r="Z798" s="1"/>
  <c r="Z1152"/>
  <c r="Z1153"/>
  <c r="Z1157" s="1"/>
  <c r="AA1522"/>
  <c r="AA1523"/>
  <c r="AA1448"/>
  <c r="AA1449"/>
  <c r="AA1453" s="1"/>
  <c r="Z1458"/>
  <c r="Z1459"/>
  <c r="AA1667"/>
  <c r="AA1672"/>
  <c r="AA1673" s="1"/>
  <c r="AA1668"/>
  <c r="AA1674" s="1"/>
  <c r="AA1606"/>
  <c r="AA1607"/>
  <c r="AA1597" s="1"/>
  <c r="AA1601" s="1"/>
  <c r="AA1799"/>
  <c r="AA1798"/>
  <c r="AA1800"/>
  <c r="Z1724"/>
  <c r="Z1725" s="1"/>
  <c r="Z1726"/>
  <c r="Z1727" s="1"/>
  <c r="Z1728" s="1"/>
  <c r="Z1893"/>
  <c r="Z1897" s="1"/>
  <c r="Z1898" s="1"/>
  <c r="Z1892"/>
  <c r="Z1896" s="1"/>
  <c r="Z1741"/>
  <c r="Y1740"/>
  <c r="AA48"/>
  <c r="AA49" s="1"/>
  <c r="AA44"/>
  <c r="AA50" s="1"/>
  <c r="AA645"/>
  <c r="AA644"/>
  <c r="AA271"/>
  <c r="AA272"/>
  <c r="Z409"/>
  <c r="Z410"/>
  <c r="Z414" s="1"/>
  <c r="AA335"/>
  <c r="AA716"/>
  <c r="AA722" s="1"/>
  <c r="AA720"/>
  <c r="AA721" s="1"/>
  <c r="Z458"/>
  <c r="Z459"/>
  <c r="Z461" s="1"/>
  <c r="Z460"/>
  <c r="Z512"/>
  <c r="Z560"/>
  <c r="Z561"/>
  <c r="Z565" s="1"/>
  <c r="AA1053"/>
  <c r="AA1054" s="1"/>
  <c r="AA1107"/>
  <c r="Z1134"/>
  <c r="Z1132"/>
  <c r="Z1133" s="1"/>
  <c r="Z930"/>
  <c r="Z931"/>
  <c r="AA1078"/>
  <c r="AA1430"/>
  <c r="AA1431" s="1"/>
  <c r="AA1432" s="1"/>
  <c r="AA1428"/>
  <c r="AA1429"/>
  <c r="Z1223"/>
  <c r="Z1224"/>
  <c r="Z1230" s="1"/>
  <c r="Z1228"/>
  <c r="Z1229" s="1"/>
  <c r="AA1450"/>
  <c r="AA1451" s="1"/>
  <c r="AA1446"/>
  <c r="AA1452" s="1"/>
  <c r="AA1454" s="1"/>
  <c r="Z557"/>
  <c r="Y556"/>
  <c r="AA1921"/>
  <c r="AA1867"/>
  <c r="AA1868" s="1"/>
  <c r="Z1756"/>
  <c r="Z1757" s="1"/>
  <c r="Z1752"/>
  <c r="Z1758" s="1"/>
  <c r="Z1760" s="1"/>
  <c r="AA1719"/>
  <c r="AA1720" s="1"/>
  <c r="AA1773"/>
  <c r="Z273"/>
  <c r="Z274" s="1"/>
  <c r="Z269"/>
  <c r="Z275" s="1"/>
  <c r="AA485"/>
  <c r="AA481"/>
  <c r="AA487" s="1"/>
  <c r="AA486"/>
  <c r="AA198"/>
  <c r="AA202" s="1"/>
  <c r="AA197"/>
  <c r="Z782"/>
  <c r="Z783"/>
  <c r="Z787" s="1"/>
  <c r="AA337"/>
  <c r="AA338" s="1"/>
  <c r="AA333"/>
  <c r="Z1015"/>
  <c r="Z1014"/>
  <c r="AA938"/>
  <c r="AA944" s="1"/>
  <c r="AA946" s="1"/>
  <c r="AA942"/>
  <c r="AA943" s="1"/>
  <c r="Z494"/>
  <c r="Z493"/>
  <c r="Z868"/>
  <c r="Z869" s="1"/>
  <c r="Z864"/>
  <c r="Z870" s="1"/>
  <c r="Z1280"/>
  <c r="Z1281" s="1"/>
  <c r="Z1282"/>
  <c r="Z1283" s="1"/>
  <c r="Z1004"/>
  <c r="Z1008" s="1"/>
  <c r="Z1671"/>
  <c r="Z1670"/>
  <c r="Z1446"/>
  <c r="Z1452" s="1"/>
  <c r="Z1450"/>
  <c r="Z1451" s="1"/>
  <c r="Z1651"/>
  <c r="Z1652"/>
  <c r="Z1653" s="1"/>
  <c r="Z1647" s="1"/>
  <c r="Z1648" s="1"/>
  <c r="Z1650"/>
  <c r="Y1649"/>
  <c r="Z1867"/>
  <c r="Z1868" s="1"/>
  <c r="Z1921"/>
  <c r="Z1609"/>
  <c r="Z1604"/>
  <c r="Z1610" s="1"/>
  <c r="Z1612" s="1"/>
  <c r="Z1608"/>
  <c r="AA1963"/>
  <c r="AA1964"/>
  <c r="AA1970" s="1"/>
  <c r="AA1968"/>
  <c r="AA1969" s="1"/>
  <c r="Z1800"/>
  <c r="Z1798"/>
  <c r="Z1799" s="1"/>
  <c r="Z1075"/>
  <c r="Y1074"/>
  <c r="Z631"/>
  <c r="Y630"/>
  <c r="U67"/>
  <c r="U68" s="1"/>
  <c r="U69"/>
  <c r="U366"/>
  <c r="U367" s="1"/>
  <c r="V591"/>
  <c r="V592"/>
  <c r="V1115"/>
  <c r="V1116"/>
  <c r="V1114"/>
  <c r="U1923"/>
  <c r="U1924" s="1"/>
  <c r="V1849"/>
  <c r="V1850" s="1"/>
  <c r="V373"/>
  <c r="V374" s="1"/>
  <c r="V368" s="1"/>
  <c r="V369" s="1"/>
  <c r="V372"/>
  <c r="V371"/>
  <c r="V672"/>
  <c r="V673" s="1"/>
  <c r="V671"/>
  <c r="V670"/>
  <c r="V297"/>
  <c r="V299"/>
  <c r="V300" s="1"/>
  <c r="V298"/>
  <c r="V301" s="1"/>
  <c r="V745"/>
  <c r="V744"/>
  <c r="V746"/>
  <c r="V747" s="1"/>
  <c r="V741" s="1"/>
  <c r="V742" s="1"/>
  <c r="V1190"/>
  <c r="V1189"/>
  <c r="V1188"/>
  <c r="U1634"/>
  <c r="U1632"/>
  <c r="U1633" s="1"/>
  <c r="T1631"/>
  <c r="U1558"/>
  <c r="U1559" s="1"/>
  <c r="U1560"/>
  <c r="U1561" s="1"/>
  <c r="U1562" s="1"/>
  <c r="U1997"/>
  <c r="U1998" s="1"/>
  <c r="V149"/>
  <c r="V150"/>
  <c r="V151"/>
  <c r="V152" s="1"/>
  <c r="V153" s="1"/>
  <c r="U1264"/>
  <c r="U1265" s="1"/>
  <c r="U1259" s="1"/>
  <c r="U1260" s="1"/>
  <c r="U1262"/>
  <c r="U1263" s="1"/>
  <c r="V1553"/>
  <c r="V1554" s="1"/>
  <c r="V1782"/>
  <c r="V1783" s="1"/>
  <c r="V1777" s="1"/>
  <c r="V1778" s="1"/>
  <c r="V1780"/>
  <c r="V1781"/>
  <c r="V1784" s="1"/>
  <c r="U144"/>
  <c r="U145" s="1"/>
  <c r="V73"/>
  <c r="V74"/>
  <c r="V72"/>
  <c r="V144"/>
  <c r="V145" s="1"/>
  <c r="V819"/>
  <c r="V818"/>
  <c r="V820"/>
  <c r="V665"/>
  <c r="V666" s="1"/>
  <c r="V967"/>
  <c r="V966"/>
  <c r="V968"/>
  <c r="V969" s="1"/>
  <c r="V970" s="1"/>
  <c r="U1336"/>
  <c r="U1337" s="1"/>
  <c r="U1338"/>
  <c r="U1780"/>
  <c r="U1781" s="1"/>
  <c r="U1782"/>
  <c r="U1783" s="1"/>
  <c r="V1997"/>
  <c r="V1998" s="1"/>
  <c r="X1530"/>
  <c r="Y1529"/>
  <c r="X1534"/>
  <c r="X1535"/>
  <c r="I854"/>
  <c r="I853"/>
  <c r="I64" i="13" s="1"/>
  <c r="L64" s="1"/>
  <c r="J850" i="10"/>
  <c r="I858"/>
  <c r="I859" s="1"/>
  <c r="I62" i="13" s="1"/>
  <c r="I65" s="1"/>
  <c r="S656" i="10"/>
  <c r="S652"/>
  <c r="T651"/>
  <c r="S1816"/>
  <c r="S1820"/>
  <c r="T1820" s="1"/>
  <c r="T1812"/>
  <c r="S1821"/>
  <c r="S1815"/>
  <c r="X878"/>
  <c r="X874"/>
  <c r="X880" s="1"/>
  <c r="X882" s="1"/>
  <c r="Y873"/>
  <c r="X879"/>
  <c r="X1096"/>
  <c r="Y1095"/>
  <c r="X1100"/>
  <c r="X1101" s="1"/>
  <c r="S1076"/>
  <c r="S1080"/>
  <c r="T1080" s="1"/>
  <c r="T1072"/>
  <c r="S1075"/>
  <c r="I730"/>
  <c r="J725"/>
  <c r="I726"/>
  <c r="I732" s="1"/>
  <c r="I734" s="1"/>
  <c r="N1371"/>
  <c r="O1368"/>
  <c r="N1376"/>
  <c r="N1372"/>
  <c r="N1378" s="1"/>
  <c r="N1522"/>
  <c r="O1521"/>
  <c r="S1928"/>
  <c r="S1929" s="1"/>
  <c r="S1930"/>
  <c r="T1927"/>
  <c r="T1817"/>
  <c r="S1819"/>
  <c r="S1823" s="1"/>
  <c r="S1818"/>
  <c r="T2007"/>
  <c r="S2008"/>
  <c r="S2011" s="1"/>
  <c r="S1999" s="1"/>
  <c r="S2009"/>
  <c r="S2012" s="1"/>
  <c r="X842"/>
  <c r="X843" s="1"/>
  <c r="Y841"/>
  <c r="X845"/>
  <c r="X833" s="1"/>
  <c r="S1948"/>
  <c r="S1949" s="1"/>
  <c r="S1946"/>
  <c r="S1947" s="1"/>
  <c r="T1945"/>
  <c r="S1941"/>
  <c r="S1942" s="1"/>
  <c r="T1942" s="1"/>
  <c r="S1939"/>
  <c r="T1995"/>
  <c r="T1940"/>
  <c r="S1967"/>
  <c r="S1971" s="1"/>
  <c r="T1965"/>
  <c r="S1966"/>
  <c r="Y1097"/>
  <c r="X1098"/>
  <c r="X1103" s="1"/>
  <c r="X1946"/>
  <c r="X1947" s="1"/>
  <c r="Y1945"/>
  <c r="X1948"/>
  <c r="X1949" s="1"/>
  <c r="X1950" s="1"/>
  <c r="O1119"/>
  <c r="N1120"/>
  <c r="N1123" s="1"/>
  <c r="S750"/>
  <c r="S751" s="1"/>
  <c r="T749"/>
  <c r="N1311"/>
  <c r="N1310"/>
  <c r="O1309"/>
  <c r="N1286"/>
  <c r="N1289" s="1"/>
  <c r="O1285"/>
  <c r="N1287"/>
  <c r="O183"/>
  <c r="N184"/>
  <c r="N261"/>
  <c r="O260"/>
  <c r="N262"/>
  <c r="N266" s="1"/>
  <c r="O408"/>
  <c r="N409"/>
  <c r="N410"/>
  <c r="N414" s="1"/>
  <c r="N189"/>
  <c r="N185"/>
  <c r="N191" s="1"/>
  <c r="O181"/>
  <c r="N335"/>
  <c r="O334"/>
  <c r="N336"/>
  <c r="N333"/>
  <c r="O329"/>
  <c r="N337"/>
  <c r="N338" s="1"/>
  <c r="O403"/>
  <c r="N411"/>
  <c r="O411" s="1"/>
  <c r="N407"/>
  <c r="N413" s="1"/>
  <c r="P1564"/>
  <c r="P1565" s="1"/>
  <c r="P1567"/>
  <c r="P1568" s="1"/>
  <c r="U990"/>
  <c r="U993" s="1"/>
  <c r="U1804"/>
  <c r="U1805" s="1"/>
  <c r="U1807"/>
  <c r="U1730"/>
  <c r="U1733" s="1"/>
  <c r="P155"/>
  <c r="P158"/>
  <c r="P146" s="1"/>
  <c r="P147" s="1"/>
  <c r="P156"/>
  <c r="P159" s="1"/>
  <c r="U173"/>
  <c r="U174" s="1"/>
  <c r="P1860"/>
  <c r="P1863" s="1"/>
  <c r="P1861"/>
  <c r="P1864" s="1"/>
  <c r="U247"/>
  <c r="U248" s="1"/>
  <c r="U694"/>
  <c r="U695" s="1"/>
  <c r="U697"/>
  <c r="V23"/>
  <c r="V26" s="1"/>
  <c r="U546"/>
  <c r="U547"/>
  <c r="U550" s="1"/>
  <c r="U549"/>
  <c r="U537" s="1"/>
  <c r="U538" s="1"/>
  <c r="T545"/>
  <c r="U1657"/>
  <c r="U1660" s="1"/>
  <c r="U1656"/>
  <c r="U1659"/>
  <c r="T1655"/>
  <c r="V620"/>
  <c r="V621" s="1"/>
  <c r="V623"/>
  <c r="V624" s="1"/>
  <c r="V694"/>
  <c r="V695" s="1"/>
  <c r="V916"/>
  <c r="V919" s="1"/>
  <c r="V917"/>
  <c r="V920" s="1"/>
  <c r="U1064"/>
  <c r="U1065" s="1"/>
  <c r="V1508"/>
  <c r="V1511" s="1"/>
  <c r="V1509"/>
  <c r="V1512" s="1"/>
  <c r="V1286"/>
  <c r="V1287" s="1"/>
  <c r="Q1860"/>
  <c r="Q1861" s="1"/>
  <c r="Q451"/>
  <c r="Q452" s="1"/>
  <c r="Q455" s="1"/>
  <c r="Q454"/>
  <c r="Q442" s="1"/>
  <c r="Q443" s="1"/>
  <c r="Q303"/>
  <c r="Q304" s="1"/>
  <c r="Q750"/>
  <c r="Q753" s="1"/>
  <c r="Q1194"/>
  <c r="Q1195" s="1"/>
  <c r="P602"/>
  <c r="O601"/>
  <c r="P603"/>
  <c r="P606" s="1"/>
  <c r="P605"/>
  <c r="P593" s="1"/>
  <c r="P1194"/>
  <c r="P1195" s="1"/>
  <c r="P1490"/>
  <c r="P1493" s="1"/>
  <c r="Q1712"/>
  <c r="Q1715"/>
  <c r="Q1713"/>
  <c r="Q1716" s="1"/>
  <c r="X1900"/>
  <c r="X1904"/>
  <c r="Y1899"/>
  <c r="I1466"/>
  <c r="I1472" s="1"/>
  <c r="I1474" s="1"/>
  <c r="J1465"/>
  <c r="I1470"/>
  <c r="N1741"/>
  <c r="N1742"/>
  <c r="N1748" s="1"/>
  <c r="O1738"/>
  <c r="N1746"/>
  <c r="I1665"/>
  <c r="I193" i="13" s="1"/>
  <c r="L193" s="1"/>
  <c r="I1672" i="10"/>
  <c r="J1672" s="1"/>
  <c r="I1667"/>
  <c r="I196" i="13" s="1"/>
  <c r="L196" s="1"/>
  <c r="I1668" i="10"/>
  <c r="J1664"/>
  <c r="I1673"/>
  <c r="I194" i="13" s="1"/>
  <c r="I197" s="1"/>
  <c r="N1382" i="10"/>
  <c r="O1381"/>
  <c r="N1386"/>
  <c r="N1867"/>
  <c r="N1868" s="1"/>
  <c r="N1865"/>
  <c r="O1866"/>
  <c r="O1921"/>
  <c r="O865"/>
  <c r="N866"/>
  <c r="N867"/>
  <c r="N871" s="1"/>
  <c r="J989"/>
  <c r="I990"/>
  <c r="I993" s="1"/>
  <c r="S644"/>
  <c r="S645"/>
  <c r="T643"/>
  <c r="O669"/>
  <c r="N670"/>
  <c r="N671" s="1"/>
  <c r="N672"/>
  <c r="O1743"/>
  <c r="N1744"/>
  <c r="X768"/>
  <c r="X771" s="1"/>
  <c r="X759" s="1"/>
  <c r="Y767"/>
  <c r="T1433"/>
  <c r="S1434"/>
  <c r="S1437" s="1"/>
  <c r="N1356"/>
  <c r="O1353"/>
  <c r="N1354"/>
  <c r="N1355" s="1"/>
  <c r="X2006"/>
  <c r="Y1184"/>
  <c r="Y740"/>
  <c r="Y293"/>
  <c r="Z301"/>
  <c r="AA82"/>
  <c r="J388"/>
  <c r="I391"/>
  <c r="I392" s="1"/>
  <c r="I389"/>
  <c r="I390" s="1"/>
  <c r="J240"/>
  <c r="I241"/>
  <c r="I242" s="1"/>
  <c r="I243"/>
  <c r="I244" s="1"/>
  <c r="I238" s="1"/>
  <c r="I239" s="1"/>
  <c r="I93"/>
  <c r="I94" s="1"/>
  <c r="I95"/>
  <c r="J92"/>
  <c r="I321"/>
  <c r="I322" s="1"/>
  <c r="J320"/>
  <c r="O172"/>
  <c r="N173"/>
  <c r="N176" s="1"/>
  <c r="O280"/>
  <c r="N281"/>
  <c r="N286" s="1"/>
  <c r="N357"/>
  <c r="O357" s="1"/>
  <c r="O352"/>
  <c r="N353"/>
  <c r="N359" s="1"/>
  <c r="N361" s="1"/>
  <c r="N358"/>
  <c r="O354"/>
  <c r="N355"/>
  <c r="N360" s="1"/>
  <c r="N469"/>
  <c r="N470"/>
  <c r="N473" s="1"/>
  <c r="O468"/>
  <c r="N472"/>
  <c r="I88"/>
  <c r="I86"/>
  <c r="J142"/>
  <c r="J87"/>
  <c r="I89"/>
  <c r="I310"/>
  <c r="I311" s="1"/>
  <c r="I308"/>
  <c r="J309"/>
  <c r="J364"/>
  <c r="J216"/>
  <c r="I160"/>
  <c r="I162"/>
  <c r="I163" s="1"/>
  <c r="J161"/>
  <c r="X511"/>
  <c r="Y510"/>
  <c r="X141"/>
  <c r="Y140"/>
  <c r="S180"/>
  <c r="S178"/>
  <c r="Z1328"/>
  <c r="Y1327"/>
  <c r="Z1920"/>
  <c r="Y1919"/>
  <c r="Z1402"/>
  <c r="Y1401"/>
  <c r="Z662"/>
  <c r="Y661"/>
  <c r="Z1698"/>
  <c r="Y1697"/>
  <c r="V849"/>
  <c r="V701"/>
  <c r="U923"/>
  <c r="V1959"/>
  <c r="V1663"/>
  <c r="U328"/>
  <c r="V1071"/>
  <c r="T1529"/>
  <c r="S1530"/>
  <c r="S1536" s="1"/>
  <c r="S1534"/>
  <c r="S1535"/>
  <c r="O1539"/>
  <c r="N1544"/>
  <c r="O1544" s="1"/>
  <c r="N1540"/>
  <c r="N1546" s="1"/>
  <c r="N1548" s="1"/>
  <c r="N1545"/>
  <c r="S938"/>
  <c r="S944" s="1"/>
  <c r="S946" s="1"/>
  <c r="S942"/>
  <c r="T937"/>
  <c r="X932"/>
  <c r="Y924"/>
  <c r="X928"/>
  <c r="X934" s="1"/>
  <c r="X927"/>
  <c r="N853"/>
  <c r="N854"/>
  <c r="N860" s="1"/>
  <c r="N858"/>
  <c r="O858" s="1"/>
  <c r="O850"/>
  <c r="N859"/>
  <c r="I1974"/>
  <c r="J1973"/>
  <c r="I1978"/>
  <c r="I1022"/>
  <c r="I1028" s="1"/>
  <c r="I1030" s="1"/>
  <c r="J1021"/>
  <c r="I1026"/>
  <c r="T1455"/>
  <c r="S1456"/>
  <c r="S1462" s="1"/>
  <c r="S1460"/>
  <c r="S1461" s="1"/>
  <c r="X1820"/>
  <c r="Y1820" s="1"/>
  <c r="Y1812"/>
  <c r="X1816"/>
  <c r="X1821"/>
  <c r="X1815"/>
  <c r="S1752"/>
  <c r="S1758" s="1"/>
  <c r="S1756"/>
  <c r="T1751"/>
  <c r="N790"/>
  <c r="N796" s="1"/>
  <c r="N794"/>
  <c r="O789"/>
  <c r="N568"/>
  <c r="N574" s="1"/>
  <c r="N572"/>
  <c r="O567"/>
  <c r="X1022"/>
  <c r="X1028" s="1"/>
  <c r="X1030" s="1"/>
  <c r="Y1021"/>
  <c r="X1026"/>
  <c r="J715"/>
  <c r="I720"/>
  <c r="I716"/>
  <c r="I722" s="1"/>
  <c r="I1295"/>
  <c r="I133" i="13" s="1"/>
  <c r="L133" s="1"/>
  <c r="I1297" i="10"/>
  <c r="I136" i="13" s="1"/>
  <c r="L136" s="1"/>
  <c r="I1298" i="10"/>
  <c r="I1304" s="1"/>
  <c r="J1294"/>
  <c r="I1302"/>
  <c r="I1303"/>
  <c r="I134" i="13" s="1"/>
  <c r="I137" s="1"/>
  <c r="Y1307" i="10"/>
  <c r="X1308"/>
  <c r="X1312"/>
  <c r="N1604"/>
  <c r="O1603"/>
  <c r="N1609"/>
  <c r="N1608"/>
  <c r="O1608" s="1"/>
  <c r="T1613"/>
  <c r="S1618"/>
  <c r="S1614"/>
  <c r="S1620" s="1"/>
  <c r="S1622" s="1"/>
  <c r="S1522"/>
  <c r="T1521"/>
  <c r="S1523"/>
  <c r="S1527" s="1"/>
  <c r="I1497"/>
  <c r="J1551"/>
  <c r="I1498"/>
  <c r="J1498" s="1"/>
  <c r="I1495"/>
  <c r="J1496"/>
  <c r="N23"/>
  <c r="N24" s="1"/>
  <c r="O22"/>
  <c r="N1502"/>
  <c r="N1503" s="1"/>
  <c r="N1504"/>
  <c r="N1505" s="1"/>
  <c r="N1499" s="1"/>
  <c r="N1500" s="1"/>
  <c r="O1501"/>
  <c r="N1874"/>
  <c r="N1875" s="1"/>
  <c r="N1872"/>
  <c r="N1873" s="1"/>
  <c r="O1871"/>
  <c r="N1226"/>
  <c r="N1230" s="1"/>
  <c r="O1225"/>
  <c r="N1227"/>
  <c r="I941"/>
  <c r="I940"/>
  <c r="J939"/>
  <c r="Y939"/>
  <c r="X940"/>
  <c r="X941"/>
  <c r="S968"/>
  <c r="S969" s="1"/>
  <c r="S963" s="1"/>
  <c r="S964" s="1"/>
  <c r="S966"/>
  <c r="S967" s="1"/>
  <c r="T965"/>
  <c r="O855"/>
  <c r="N856"/>
  <c r="X1941"/>
  <c r="X1942" s="1"/>
  <c r="X1939"/>
  <c r="Y1995"/>
  <c r="Y1940"/>
  <c r="X1943"/>
  <c r="X1944" s="1"/>
  <c r="I1976"/>
  <c r="J1975"/>
  <c r="I1977"/>
  <c r="I1967" s="1"/>
  <c r="I1971" s="1"/>
  <c r="S1024"/>
  <c r="S1029" s="1"/>
  <c r="T1023"/>
  <c r="I1004"/>
  <c r="J1003"/>
  <c r="I1005"/>
  <c r="I1009" s="1"/>
  <c r="I609"/>
  <c r="I610" s="1"/>
  <c r="J610" s="1"/>
  <c r="J663"/>
  <c r="J608"/>
  <c r="I607"/>
  <c r="S1423"/>
  <c r="S1424" s="1"/>
  <c r="S1421"/>
  <c r="T1477"/>
  <c r="T1422"/>
  <c r="S1448"/>
  <c r="T1447"/>
  <c r="Y1817"/>
  <c r="X1818"/>
  <c r="X1819"/>
  <c r="S1811"/>
  <c r="S1809"/>
  <c r="X1800"/>
  <c r="X1801" s="1"/>
  <c r="X1795" s="1"/>
  <c r="X1796" s="1"/>
  <c r="Y1797"/>
  <c r="X1798"/>
  <c r="X1799" s="1"/>
  <c r="N1847"/>
  <c r="N1849"/>
  <c r="N1850" s="1"/>
  <c r="O1848"/>
  <c r="S1791"/>
  <c r="S1793"/>
  <c r="S1794" s="1"/>
  <c r="T1847"/>
  <c r="T1792"/>
  <c r="N1775"/>
  <c r="N1776" s="1"/>
  <c r="N1773"/>
  <c r="O1774"/>
  <c r="O1773"/>
  <c r="N1719"/>
  <c r="N1720" s="1"/>
  <c r="O1718"/>
  <c r="N1717"/>
  <c r="I1744"/>
  <c r="J1743"/>
  <c r="O781"/>
  <c r="N782"/>
  <c r="X979"/>
  <c r="X980" s="1"/>
  <c r="Y978"/>
  <c r="X977"/>
  <c r="Y1033"/>
  <c r="X620"/>
  <c r="X623" s="1"/>
  <c r="X611" s="1"/>
  <c r="X612" s="1"/>
  <c r="Y619"/>
  <c r="O1267"/>
  <c r="N1268"/>
  <c r="I535"/>
  <c r="I536" s="1"/>
  <c r="J536" s="1"/>
  <c r="I533"/>
  <c r="J589"/>
  <c r="J534"/>
  <c r="N560"/>
  <c r="O559"/>
  <c r="N561"/>
  <c r="N565" s="1"/>
  <c r="X990"/>
  <c r="X991" s="1"/>
  <c r="Y989"/>
  <c r="X993"/>
  <c r="X994" s="1"/>
  <c r="N1811"/>
  <c r="N1809"/>
  <c r="X681"/>
  <c r="Y682"/>
  <c r="Y737"/>
  <c r="X683"/>
  <c r="X684" s="1"/>
  <c r="O743"/>
  <c r="N746"/>
  <c r="N747" s="1"/>
  <c r="N744"/>
  <c r="N745" s="1"/>
  <c r="O738"/>
  <c r="N737"/>
  <c r="N739"/>
  <c r="N740" s="1"/>
  <c r="I708"/>
  <c r="J707"/>
  <c r="I709"/>
  <c r="I713" s="1"/>
  <c r="S1293"/>
  <c r="S1291"/>
  <c r="I1311"/>
  <c r="I1310"/>
  <c r="J1309"/>
  <c r="X1125"/>
  <c r="X1127"/>
  <c r="X1128" s="1"/>
  <c r="Y1181"/>
  <c r="Y1126"/>
  <c r="N1058"/>
  <c r="N1059" s="1"/>
  <c r="N1060"/>
  <c r="O1057"/>
  <c r="I1138"/>
  <c r="I1141" s="1"/>
  <c r="J1137"/>
  <c r="X1310"/>
  <c r="X1311"/>
  <c r="X1301" s="1"/>
  <c r="X1305" s="1"/>
  <c r="X1306" s="1"/>
  <c r="Y1309"/>
  <c r="T1335"/>
  <c r="S1338"/>
  <c r="S1339" s="1"/>
  <c r="S1336"/>
  <c r="S1337" s="1"/>
  <c r="O1595"/>
  <c r="N1596"/>
  <c r="I1589"/>
  <c r="I1587"/>
  <c r="X1571"/>
  <c r="X1572" s="1"/>
  <c r="Y1572" s="1"/>
  <c r="Y1625"/>
  <c r="X1569"/>
  <c r="Y1570"/>
  <c r="S1625"/>
  <c r="T1626"/>
  <c r="S1627"/>
  <c r="S1628" s="1"/>
  <c r="S1629"/>
  <c r="N1347"/>
  <c r="O1403"/>
  <c r="N1349"/>
  <c r="N1350" s="1"/>
  <c r="O1348"/>
  <c r="Z1858"/>
  <c r="X1556"/>
  <c r="X896"/>
  <c r="X353"/>
  <c r="X359" s="1"/>
  <c r="X361" s="1"/>
  <c r="Y352"/>
  <c r="X357"/>
  <c r="Y357" s="1"/>
  <c r="X209"/>
  <c r="X205"/>
  <c r="X211" s="1"/>
  <c r="X213" s="1"/>
  <c r="X210"/>
  <c r="Y204"/>
  <c r="X99"/>
  <c r="X100" s="1"/>
  <c r="Y98"/>
  <c r="X102"/>
  <c r="X131"/>
  <c r="X137" s="1"/>
  <c r="X139" s="1"/>
  <c r="X135"/>
  <c r="Y130"/>
  <c r="X501"/>
  <c r="X507" s="1"/>
  <c r="X509" s="1"/>
  <c r="Y500"/>
  <c r="X505"/>
  <c r="Y505" s="1"/>
  <c r="X506"/>
  <c r="T376"/>
  <c r="S377"/>
  <c r="S380" s="1"/>
  <c r="X463"/>
  <c r="X464"/>
  <c r="Y462"/>
  <c r="X465"/>
  <c r="X95"/>
  <c r="X96" s="1"/>
  <c r="Y92"/>
  <c r="X93"/>
  <c r="X94" s="1"/>
  <c r="Y331"/>
  <c r="X332"/>
  <c r="X335"/>
  <c r="X339" s="1"/>
  <c r="Y334"/>
  <c r="X336"/>
  <c r="Y268"/>
  <c r="X269"/>
  <c r="X275" s="1"/>
  <c r="X273"/>
  <c r="Y273" s="1"/>
  <c r="Y183"/>
  <c r="X184"/>
  <c r="X169"/>
  <c r="Y166"/>
  <c r="X167"/>
  <c r="X168" s="1"/>
  <c r="X124"/>
  <c r="X114" s="1"/>
  <c r="X118" s="1"/>
  <c r="Y122"/>
  <c r="X123"/>
  <c r="X480"/>
  <c r="Y479"/>
  <c r="X347"/>
  <c r="Y342"/>
  <c r="X343"/>
  <c r="X349" s="1"/>
  <c r="X351" s="1"/>
  <c r="X258"/>
  <c r="Y257"/>
  <c r="S515"/>
  <c r="S516"/>
  <c r="T513"/>
  <c r="S514"/>
  <c r="S512"/>
  <c r="T518"/>
  <c r="S520"/>
  <c r="S519"/>
  <c r="S521"/>
  <c r="S373"/>
  <c r="S374" s="1"/>
  <c r="S371"/>
  <c r="S372" s="1"/>
  <c r="T370"/>
  <c r="T362"/>
  <c r="S363"/>
  <c r="T1539"/>
  <c r="S1540"/>
  <c r="S1546" s="1"/>
  <c r="S1548" s="1"/>
  <c r="S1544"/>
  <c r="X1248"/>
  <c r="X1244"/>
  <c r="X1250" s="1"/>
  <c r="X1252" s="1"/>
  <c r="Y1243"/>
  <c r="X1238"/>
  <c r="Y1238" s="1"/>
  <c r="Y1233"/>
  <c r="X1234"/>
  <c r="X1240" s="1"/>
  <c r="X1239"/>
  <c r="N1840"/>
  <c r="O1835"/>
  <c r="N1836"/>
  <c r="N1842" s="1"/>
  <c r="N1844" s="1"/>
  <c r="N1012"/>
  <c r="N1016"/>
  <c r="O1016" s="1"/>
  <c r="O1011"/>
  <c r="N1017"/>
  <c r="S56"/>
  <c r="S61" s="1"/>
  <c r="T55"/>
  <c r="X1865"/>
  <c r="X1867"/>
  <c r="X1868" s="1"/>
  <c r="Y1868" s="1"/>
  <c r="Y1866"/>
  <c r="Y1921"/>
  <c r="X1869"/>
  <c r="X1870" s="1"/>
  <c r="X1226"/>
  <c r="X1230" s="1"/>
  <c r="Y1225"/>
  <c r="S1257"/>
  <c r="S1258" s="1"/>
  <c r="S1255"/>
  <c r="T1256"/>
  <c r="X1236"/>
  <c r="X1237"/>
  <c r="Y1235"/>
  <c r="O841"/>
  <c r="N842"/>
  <c r="N845" s="1"/>
  <c r="N843"/>
  <c r="I916"/>
  <c r="I917" s="1"/>
  <c r="J915"/>
  <c r="N1434"/>
  <c r="O1433"/>
  <c r="Y1837"/>
  <c r="X1838"/>
  <c r="X1843" s="1"/>
  <c r="X1206"/>
  <c r="X1207" s="1"/>
  <c r="X1208"/>
  <c r="Y1205"/>
  <c r="N620"/>
  <c r="O619"/>
  <c r="I1952"/>
  <c r="I1953" s="1"/>
  <c r="J1951"/>
  <c r="I1955"/>
  <c r="I1956" s="1"/>
  <c r="S694"/>
  <c r="S695" s="1"/>
  <c r="T693"/>
  <c r="S697"/>
  <c r="S728"/>
  <c r="S733" s="1"/>
  <c r="T727"/>
  <c r="Y1998"/>
  <c r="Y1332"/>
  <c r="X1266"/>
  <c r="AA1037"/>
  <c r="AA1038" s="1"/>
  <c r="X667"/>
  <c r="X668" s="1"/>
  <c r="X517"/>
  <c r="Y515"/>
  <c r="Z970"/>
  <c r="Z153"/>
  <c r="X307"/>
  <c r="X586"/>
  <c r="O291"/>
  <c r="N290"/>
  <c r="N292"/>
  <c r="N293" s="1"/>
  <c r="O222"/>
  <c r="N223"/>
  <c r="N224" s="1"/>
  <c r="N225"/>
  <c r="S389"/>
  <c r="S390" s="1"/>
  <c r="S391"/>
  <c r="S392" s="1"/>
  <c r="S386" s="1"/>
  <c r="S387" s="1"/>
  <c r="T388"/>
  <c r="S184"/>
  <c r="T183"/>
  <c r="N144"/>
  <c r="N145" s="1"/>
  <c r="O143"/>
  <c r="N142"/>
  <c r="N146"/>
  <c r="S463"/>
  <c r="S464" s="1"/>
  <c r="S465"/>
  <c r="T462"/>
  <c r="S494"/>
  <c r="T492"/>
  <c r="S493"/>
  <c r="S123"/>
  <c r="T122"/>
  <c r="S124"/>
  <c r="S333"/>
  <c r="S338"/>
  <c r="T329"/>
  <c r="S125"/>
  <c r="T120"/>
  <c r="S121"/>
  <c r="S127" s="1"/>
  <c r="T479"/>
  <c r="S480"/>
  <c r="S273"/>
  <c r="T273" s="1"/>
  <c r="T268"/>
  <c r="S269"/>
  <c r="S275" s="1"/>
  <c r="S274"/>
  <c r="O518"/>
  <c r="N519"/>
  <c r="N520" s="1"/>
  <c r="N521"/>
  <c r="N522" s="1"/>
  <c r="N516" s="1"/>
  <c r="N517" s="1"/>
  <c r="I271"/>
  <c r="J270"/>
  <c r="I272"/>
  <c r="I262" s="1"/>
  <c r="I266" s="1"/>
  <c r="N254"/>
  <c r="N252"/>
  <c r="I106"/>
  <c r="I104"/>
  <c r="I254"/>
  <c r="I252"/>
  <c r="N141"/>
  <c r="O140"/>
  <c r="O510"/>
  <c r="N511"/>
  <c r="I343"/>
  <c r="I347"/>
  <c r="J347" s="1"/>
  <c r="I348"/>
  <c r="J342"/>
  <c r="I180"/>
  <c r="I178"/>
  <c r="N180"/>
  <c r="N178"/>
  <c r="I400"/>
  <c r="I402"/>
  <c r="I495"/>
  <c r="I491"/>
  <c r="I497" s="1"/>
  <c r="J490"/>
  <c r="I108"/>
  <c r="I111"/>
  <c r="I117" s="1"/>
  <c r="I17" i="12"/>
  <c r="J107" i="10"/>
  <c r="I115"/>
  <c r="I406"/>
  <c r="J405"/>
  <c r="O630"/>
  <c r="P631"/>
  <c r="P1892"/>
  <c r="P1896" s="1"/>
  <c r="P1893"/>
  <c r="P1897" s="1"/>
  <c r="P1898" s="1"/>
  <c r="P1593"/>
  <c r="O1592"/>
  <c r="Q1890"/>
  <c r="Q1896" s="1"/>
  <c r="Q1894"/>
  <c r="Q1895" s="1"/>
  <c r="O32"/>
  <c r="P33"/>
  <c r="P1829"/>
  <c r="P1828"/>
  <c r="P1832" s="1"/>
  <c r="P1903"/>
  <c r="P1902"/>
  <c r="P36"/>
  <c r="P37"/>
  <c r="Q187"/>
  <c r="Q188"/>
  <c r="Q568"/>
  <c r="Q574" s="1"/>
  <c r="Q572"/>
  <c r="Q573" s="1"/>
  <c r="Q189"/>
  <c r="Q190" s="1"/>
  <c r="Q185"/>
  <c r="P111"/>
  <c r="P117" s="1"/>
  <c r="P115"/>
  <c r="P116" s="1"/>
  <c r="P187"/>
  <c r="P188"/>
  <c r="P259"/>
  <c r="P265" s="1"/>
  <c r="P263"/>
  <c r="P264" s="1"/>
  <c r="P558"/>
  <c r="P562"/>
  <c r="P563" s="1"/>
  <c r="Q44"/>
  <c r="Q50" s="1"/>
  <c r="Q48"/>
  <c r="Q49" s="1"/>
  <c r="Q261"/>
  <c r="P333"/>
  <c r="P339" s="1"/>
  <c r="P337"/>
  <c r="P338" s="1"/>
  <c r="Q868"/>
  <c r="Q869" s="1"/>
  <c r="Q864"/>
  <c r="P1162"/>
  <c r="P1166" s="1"/>
  <c r="P1163"/>
  <c r="Q493"/>
  <c r="Q497" s="1"/>
  <c r="Q494"/>
  <c r="P646"/>
  <c r="P647" s="1"/>
  <c r="P642"/>
  <c r="P648" s="1"/>
  <c r="Q927"/>
  <c r="Q932"/>
  <c r="Q933" s="1"/>
  <c r="Q928"/>
  <c r="Q124"/>
  <c r="Q123"/>
  <c r="Q127" s="1"/>
  <c r="Q272"/>
  <c r="Q271"/>
  <c r="P420"/>
  <c r="P419"/>
  <c r="Q483"/>
  <c r="Q484"/>
  <c r="P636"/>
  <c r="P637" s="1"/>
  <c r="P632"/>
  <c r="P638" s="1"/>
  <c r="P780"/>
  <c r="P786" s="1"/>
  <c r="P784"/>
  <c r="P785" s="1"/>
  <c r="Q1002"/>
  <c r="Q1008" s="1"/>
  <c r="Q1006"/>
  <c r="Q1007" s="1"/>
  <c r="Q1160"/>
  <c r="Q1166" s="1"/>
  <c r="Q1164"/>
  <c r="Q1165"/>
  <c r="P560"/>
  <c r="P561"/>
  <c r="Q558"/>
  <c r="Q564" s="1"/>
  <c r="Q562"/>
  <c r="Q563" s="1"/>
  <c r="Q930"/>
  <c r="Q931"/>
  <c r="Q1078"/>
  <c r="Q1079"/>
  <c r="Q1083" s="1"/>
  <c r="P1223"/>
  <c r="P1228"/>
  <c r="P1229" s="1"/>
  <c r="P1224"/>
  <c r="P1230" s="1"/>
  <c r="Q1376"/>
  <c r="Q1372"/>
  <c r="Q1378" s="1"/>
  <c r="Q1377"/>
  <c r="Q1004"/>
  <c r="Q1005"/>
  <c r="Q1009" s="1"/>
  <c r="Q1010" s="1"/>
  <c r="Q1375"/>
  <c r="Q1379" s="1"/>
  <c r="Q1374"/>
  <c r="Q867"/>
  <c r="Q866"/>
  <c r="P1015"/>
  <c r="P1014"/>
  <c r="P1154"/>
  <c r="P1155" s="1"/>
  <c r="P1150"/>
  <c r="P1156" s="1"/>
  <c r="Q1300"/>
  <c r="P1298"/>
  <c r="P1304" s="1"/>
  <c r="P1302"/>
  <c r="P1303" s="1"/>
  <c r="Q1387"/>
  <c r="Q1386"/>
  <c r="Q1382"/>
  <c r="Q1388" s="1"/>
  <c r="P1524"/>
  <c r="P1525" s="1"/>
  <c r="P1520"/>
  <c r="P1526" s="1"/>
  <c r="P1528" s="1"/>
  <c r="Q1681"/>
  <c r="Q1685" s="1"/>
  <c r="Q1680"/>
  <c r="P1445"/>
  <c r="P1446"/>
  <c r="P1452" s="1"/>
  <c r="P1454" s="1"/>
  <c r="P1450"/>
  <c r="P1451" s="1"/>
  <c r="P1672"/>
  <c r="O1672" s="1"/>
  <c r="P1673"/>
  <c r="P1668"/>
  <c r="P1674" s="1"/>
  <c r="P1741"/>
  <c r="P1742"/>
  <c r="P1748" s="1"/>
  <c r="P1746"/>
  <c r="P1747" s="1"/>
  <c r="Q1900"/>
  <c r="Q1904"/>
  <c r="Q1905" s="1"/>
  <c r="P1606"/>
  <c r="P1607"/>
  <c r="P1597" s="1"/>
  <c r="P1601" s="1"/>
  <c r="Q1534"/>
  <c r="Q1535" s="1"/>
  <c r="Q1530"/>
  <c r="Q1536" s="1"/>
  <c r="Q1596"/>
  <c r="Q1597"/>
  <c r="P1754"/>
  <c r="P1755"/>
  <c r="P1963"/>
  <c r="O1962"/>
  <c r="P1820"/>
  <c r="P1821" s="1"/>
  <c r="P1816"/>
  <c r="P1822" s="1"/>
  <c r="K1872"/>
  <c r="K1873" s="1"/>
  <c r="K1874"/>
  <c r="P317"/>
  <c r="P318" s="1"/>
  <c r="P312" s="1"/>
  <c r="P313" s="1"/>
  <c r="P315"/>
  <c r="P316" s="1"/>
  <c r="P1058"/>
  <c r="P1059" s="1"/>
  <c r="P1060"/>
  <c r="K1726"/>
  <c r="K1727" s="1"/>
  <c r="K1724"/>
  <c r="K1725" s="1"/>
  <c r="K1800"/>
  <c r="K1801" s="1"/>
  <c r="K1798"/>
  <c r="K1799" s="1"/>
  <c r="P1208"/>
  <c r="P1209" s="1"/>
  <c r="P1206"/>
  <c r="P1207" s="1"/>
  <c r="K616"/>
  <c r="K617" s="1"/>
  <c r="K614"/>
  <c r="K615" s="1"/>
  <c r="K317"/>
  <c r="K318" s="1"/>
  <c r="K319" s="1"/>
  <c r="K315"/>
  <c r="K316" s="1"/>
  <c r="P688"/>
  <c r="P689" s="1"/>
  <c r="P690"/>
  <c r="P241"/>
  <c r="P242" s="1"/>
  <c r="P243"/>
  <c r="P17"/>
  <c r="P18" s="1"/>
  <c r="P19"/>
  <c r="P910"/>
  <c r="P911" s="1"/>
  <c r="P912"/>
  <c r="L242"/>
  <c r="L241"/>
  <c r="L243"/>
  <c r="L244" s="1"/>
  <c r="L245" s="1"/>
  <c r="L315"/>
  <c r="L317"/>
  <c r="L316"/>
  <c r="Q764"/>
  <c r="Q765" s="1"/>
  <c r="Q766" s="1"/>
  <c r="Q763"/>
  <c r="Q762"/>
  <c r="Q241"/>
  <c r="Q243"/>
  <c r="Q244" s="1"/>
  <c r="Q245" s="1"/>
  <c r="Q242"/>
  <c r="L911"/>
  <c r="L912"/>
  <c r="L910"/>
  <c r="L1060"/>
  <c r="L1061" s="1"/>
  <c r="L1062" s="1"/>
  <c r="L1059"/>
  <c r="L1058"/>
  <c r="Q614"/>
  <c r="Q615"/>
  <c r="Q616"/>
  <c r="L542"/>
  <c r="L541"/>
  <c r="L544" s="1"/>
  <c r="L540"/>
  <c r="L543" s="1"/>
  <c r="Q1133"/>
  <c r="Q1132"/>
  <c r="Q1134"/>
  <c r="Q1135" s="1"/>
  <c r="Q1136" s="1"/>
  <c r="Q1058"/>
  <c r="Q1059"/>
  <c r="Q1060"/>
  <c r="Q1430"/>
  <c r="Q1431" s="1"/>
  <c r="Q1432" s="1"/>
  <c r="Q1429"/>
  <c r="Q1428"/>
  <c r="Q1281"/>
  <c r="Q1280"/>
  <c r="Q1282"/>
  <c r="L1502"/>
  <c r="L1503"/>
  <c r="L1504"/>
  <c r="L1505" s="1"/>
  <c r="L1506" s="1"/>
  <c r="Q1651"/>
  <c r="Q1650"/>
  <c r="Q1652"/>
  <c r="Q1726"/>
  <c r="Q1727" s="1"/>
  <c r="Q1728" s="1"/>
  <c r="Q1724"/>
  <c r="Q1725"/>
  <c r="K1804"/>
  <c r="K1805" s="1"/>
  <c r="K1807"/>
  <c r="K1808" s="1"/>
  <c r="K173"/>
  <c r="K174" s="1"/>
  <c r="P1508"/>
  <c r="P1509" s="1"/>
  <c r="P1511"/>
  <c r="P1512" s="1"/>
  <c r="P1286"/>
  <c r="P1287" s="1"/>
  <c r="K99"/>
  <c r="K100"/>
  <c r="K102"/>
  <c r="K990"/>
  <c r="P1878"/>
  <c r="P1879" s="1"/>
  <c r="P1881"/>
  <c r="P1882" s="1"/>
  <c r="K1286"/>
  <c r="K1730"/>
  <c r="K1731" s="1"/>
  <c r="P1986"/>
  <c r="P1991" s="1"/>
  <c r="O1985"/>
  <c r="Q506"/>
  <c r="Q501"/>
  <c r="Q507" s="1"/>
  <c r="Q509" s="1"/>
  <c r="Q505"/>
  <c r="L26"/>
  <c r="L23"/>
  <c r="L24"/>
  <c r="L27" s="1"/>
  <c r="L99"/>
  <c r="L100"/>
  <c r="L102"/>
  <c r="P395"/>
  <c r="P396" s="1"/>
  <c r="P398"/>
  <c r="P386" s="1"/>
  <c r="P387" s="1"/>
  <c r="Q578"/>
  <c r="Q584" s="1"/>
  <c r="Q586" s="1"/>
  <c r="Q583"/>
  <c r="Q582"/>
  <c r="Q54"/>
  <c r="Q60" s="1"/>
  <c r="Q62" s="1"/>
  <c r="Q58"/>
  <c r="Q59"/>
  <c r="L173"/>
  <c r="L176"/>
  <c r="L174"/>
  <c r="Q472"/>
  <c r="Q470"/>
  <c r="Q469"/>
  <c r="P281"/>
  <c r="P286" s="1"/>
  <c r="Q321"/>
  <c r="Q324"/>
  <c r="Q322"/>
  <c r="Q325" s="1"/>
  <c r="L546"/>
  <c r="L549"/>
  <c r="L547"/>
  <c r="P1098"/>
  <c r="P1103" s="1"/>
  <c r="P578"/>
  <c r="P584" s="1"/>
  <c r="P586" s="1"/>
  <c r="P583"/>
  <c r="P582"/>
  <c r="O582" s="1"/>
  <c r="O577"/>
  <c r="Q876"/>
  <c r="Q881" s="1"/>
  <c r="P1024"/>
  <c r="P1029" s="1"/>
  <c r="P205"/>
  <c r="P211" s="1"/>
  <c r="P213" s="1"/>
  <c r="P209"/>
  <c r="P210" s="1"/>
  <c r="P279"/>
  <c r="P285" s="1"/>
  <c r="P287" s="1"/>
  <c r="P283"/>
  <c r="P284" s="1"/>
  <c r="Q620"/>
  <c r="Q621"/>
  <c r="Q624" s="1"/>
  <c r="Q623"/>
  <c r="P731"/>
  <c r="P730"/>
  <c r="P726"/>
  <c r="P732" s="1"/>
  <c r="P734" s="1"/>
  <c r="P952"/>
  <c r="P953" s="1"/>
  <c r="P948"/>
  <c r="P954" s="1"/>
  <c r="P956" s="1"/>
  <c r="P768"/>
  <c r="P771" s="1"/>
  <c r="P759" s="1"/>
  <c r="P760" s="1"/>
  <c r="P769"/>
  <c r="P772" s="1"/>
  <c r="Q1139"/>
  <c r="Q1138"/>
  <c r="Q1141"/>
  <c r="K1138"/>
  <c r="Q1320"/>
  <c r="Q1325" s="1"/>
  <c r="Q1583"/>
  <c r="Q1586" s="1"/>
  <c r="Q1582"/>
  <c r="Q1585"/>
  <c r="Q878"/>
  <c r="Q879" s="1"/>
  <c r="Q874"/>
  <c r="Q880" s="1"/>
  <c r="Q882" s="1"/>
  <c r="Q991"/>
  <c r="Q990"/>
  <c r="Q993"/>
  <c r="K1064"/>
  <c r="K1065" s="1"/>
  <c r="L1363"/>
  <c r="L1361"/>
  <c r="L1364" s="1"/>
  <c r="L1360"/>
  <c r="P1434"/>
  <c r="K1434"/>
  <c r="K1435" s="1"/>
  <c r="P1692"/>
  <c r="O1692" s="1"/>
  <c r="P1688"/>
  <c r="P1694" s="1"/>
  <c r="P1696" s="1"/>
  <c r="O1687"/>
  <c r="P1693"/>
  <c r="P1582"/>
  <c r="P1583" s="1"/>
  <c r="O1581"/>
  <c r="P1585"/>
  <c r="P1586" s="1"/>
  <c r="Q1838"/>
  <c r="Q1843" s="1"/>
  <c r="L1508"/>
  <c r="L1509"/>
  <c r="L1511"/>
  <c r="K1582"/>
  <c r="K1585" s="1"/>
  <c r="K1583"/>
  <c r="J1581"/>
  <c r="L1582"/>
  <c r="L1585"/>
  <c r="L1583"/>
  <c r="Q1953"/>
  <c r="Q1955"/>
  <c r="Q1952"/>
  <c r="U663"/>
  <c r="U609"/>
  <c r="U610" s="1"/>
  <c r="P739"/>
  <c r="P740" s="1"/>
  <c r="U65"/>
  <c r="U12"/>
  <c r="U13" s="1"/>
  <c r="U757"/>
  <c r="U758" s="1"/>
  <c r="U811"/>
  <c r="U1060"/>
  <c r="U1058"/>
  <c r="U1059" s="1"/>
  <c r="U910"/>
  <c r="U911" s="1"/>
  <c r="U912"/>
  <c r="P1560"/>
  <c r="P1558"/>
  <c r="P1559" s="1"/>
  <c r="P1930"/>
  <c r="P1931" s="1"/>
  <c r="P1928"/>
  <c r="P1929" s="1"/>
  <c r="U688"/>
  <c r="U689" s="1"/>
  <c r="U690"/>
  <c r="U691" s="1"/>
  <c r="U692" s="1"/>
  <c r="U1349"/>
  <c r="U1350" s="1"/>
  <c r="U1403"/>
  <c r="U1351"/>
  <c r="P1627"/>
  <c r="P1628" s="1"/>
  <c r="P1486"/>
  <c r="P1487" s="1"/>
  <c r="P1481" s="1"/>
  <c r="P1482" s="1"/>
  <c r="P1484"/>
  <c r="P1485" s="1"/>
  <c r="P968"/>
  <c r="P966"/>
  <c r="P967" s="1"/>
  <c r="U779"/>
  <c r="T778"/>
  <c r="P894"/>
  <c r="P892"/>
  <c r="P893" s="1"/>
  <c r="P746"/>
  <c r="P747" s="1"/>
  <c r="P748" s="1"/>
  <c r="P744"/>
  <c r="P745" s="1"/>
  <c r="U1571"/>
  <c r="U1572" s="1"/>
  <c r="U1625"/>
  <c r="U384"/>
  <c r="U385" s="1"/>
  <c r="U438"/>
  <c r="U1134"/>
  <c r="U1132"/>
  <c r="U1133" s="1"/>
  <c r="P72"/>
  <c r="P73" s="1"/>
  <c r="P74"/>
  <c r="V1967"/>
  <c r="V1966"/>
  <c r="V1900"/>
  <c r="V1904"/>
  <c r="V1905" s="1"/>
  <c r="P292"/>
  <c r="P293" s="1"/>
  <c r="P294"/>
  <c r="P295" s="1"/>
  <c r="U167"/>
  <c r="U168" s="1"/>
  <c r="U169"/>
  <c r="P813"/>
  <c r="P814" s="1"/>
  <c r="P1183"/>
  <c r="P1184" s="1"/>
  <c r="U959"/>
  <c r="U905"/>
  <c r="U906" s="1"/>
  <c r="P2004"/>
  <c r="P2005" s="1"/>
  <c r="P1999" s="1"/>
  <c r="P2000" s="1"/>
  <c r="P2002"/>
  <c r="P2003" s="1"/>
  <c r="U568"/>
  <c r="U574" s="1"/>
  <c r="U572"/>
  <c r="U573" s="1"/>
  <c r="V459"/>
  <c r="V458"/>
  <c r="V512"/>
  <c r="V460"/>
  <c r="U44"/>
  <c r="U50" s="1"/>
  <c r="U48"/>
  <c r="U49" s="1"/>
  <c r="U495"/>
  <c r="U496" s="1"/>
  <c r="U491"/>
  <c r="U497" s="1"/>
  <c r="U499" s="1"/>
  <c r="V419"/>
  <c r="V420"/>
  <c r="V335"/>
  <c r="U347"/>
  <c r="U348" s="1"/>
  <c r="U343"/>
  <c r="U349" s="1"/>
  <c r="U351" s="1"/>
  <c r="U272"/>
  <c r="U262" s="1"/>
  <c r="U266" s="1"/>
  <c r="U271"/>
  <c r="U275" s="1"/>
  <c r="V535"/>
  <c r="V536"/>
  <c r="V538" s="1"/>
  <c r="V537"/>
  <c r="V589"/>
  <c r="U199"/>
  <c r="U200" s="1"/>
  <c r="U195"/>
  <c r="U201" s="1"/>
  <c r="U463"/>
  <c r="U464" s="1"/>
  <c r="U465"/>
  <c r="U466" s="1"/>
  <c r="U460" s="1"/>
  <c r="U461" s="1"/>
  <c r="V930"/>
  <c r="U719"/>
  <c r="U718"/>
  <c r="V683"/>
  <c r="V684" s="1"/>
  <c r="V737"/>
  <c r="V1237"/>
  <c r="V1236"/>
  <c r="V1374"/>
  <c r="V1298"/>
  <c r="V1304" s="1"/>
  <c r="V1302"/>
  <c r="V1303" s="1"/>
  <c r="U1818"/>
  <c r="U1522"/>
  <c r="V1818"/>
  <c r="U1966"/>
  <c r="U1967"/>
  <c r="U1971" s="1"/>
  <c r="V1744"/>
  <c r="V1745"/>
  <c r="U46"/>
  <c r="U47"/>
  <c r="V720"/>
  <c r="V721" s="1"/>
  <c r="V716"/>
  <c r="V722" s="1"/>
  <c r="V642"/>
  <c r="V648" s="1"/>
  <c r="V646"/>
  <c r="V647" s="1"/>
  <c r="V241"/>
  <c r="V242"/>
  <c r="V243"/>
  <c r="U853"/>
  <c r="U858"/>
  <c r="U859" s="1"/>
  <c r="U854"/>
  <c r="U860" s="1"/>
  <c r="V1310"/>
  <c r="V1311"/>
  <c r="U1384"/>
  <c r="U1385"/>
  <c r="V1016"/>
  <c r="V1017" s="1"/>
  <c r="V1012"/>
  <c r="U1533"/>
  <c r="U1532"/>
  <c r="U1530"/>
  <c r="U1534"/>
  <c r="U1535" s="1"/>
  <c r="U1902"/>
  <c r="U1903"/>
  <c r="V1625"/>
  <c r="V1571"/>
  <c r="V1572" s="1"/>
  <c r="U1752"/>
  <c r="U1758" s="1"/>
  <c r="U1756"/>
  <c r="U1757" s="1"/>
  <c r="U1519"/>
  <c r="T1518"/>
  <c r="V258"/>
  <c r="V263"/>
  <c r="V264" s="1"/>
  <c r="V259"/>
  <c r="V265" s="1"/>
  <c r="V267" s="1"/>
  <c r="V337"/>
  <c r="V338" s="1"/>
  <c r="V333"/>
  <c r="V339" s="1"/>
  <c r="V389"/>
  <c r="V391"/>
  <c r="V390"/>
  <c r="V1015"/>
  <c r="V1014"/>
  <c r="V198"/>
  <c r="V197"/>
  <c r="U560"/>
  <c r="U561"/>
  <c r="V905"/>
  <c r="V906" s="1"/>
  <c r="V959"/>
  <c r="V634"/>
  <c r="V635"/>
  <c r="U642"/>
  <c r="U646"/>
  <c r="U647" s="1"/>
  <c r="U1311"/>
  <c r="U1310"/>
  <c r="V1164"/>
  <c r="V1165" s="1"/>
  <c r="V1160"/>
  <c r="V1166" s="1"/>
  <c r="V1168" s="1"/>
  <c r="V1312"/>
  <c r="V1313" s="1"/>
  <c r="V1308"/>
  <c r="V1314" s="1"/>
  <c r="U1608"/>
  <c r="U1609" s="1"/>
  <c r="U1604"/>
  <c r="U1610" s="1"/>
  <c r="U1302"/>
  <c r="U1303" s="1"/>
  <c r="U1298"/>
  <c r="U1304" s="1"/>
  <c r="U1680"/>
  <c r="U1681"/>
  <c r="U1685" s="1"/>
  <c r="V1297"/>
  <c r="U1963"/>
  <c r="U1964"/>
  <c r="U1970" s="1"/>
  <c r="U1968"/>
  <c r="U1969" s="1"/>
  <c r="U631"/>
  <c r="T630"/>
  <c r="U198"/>
  <c r="U197"/>
  <c r="V17"/>
  <c r="V18"/>
  <c r="V19"/>
  <c r="U941"/>
  <c r="U940"/>
  <c r="U784"/>
  <c r="U785" s="1"/>
  <c r="U780"/>
  <c r="U786" s="1"/>
  <c r="U123"/>
  <c r="U127" s="1"/>
  <c r="U124"/>
  <c r="V568"/>
  <c r="V574" s="1"/>
  <c r="V572"/>
  <c r="V573"/>
  <c r="U1004"/>
  <c r="U1005"/>
  <c r="U790"/>
  <c r="U796" s="1"/>
  <c r="U794"/>
  <c r="U795" s="1"/>
  <c r="U1308"/>
  <c r="U1314" s="1"/>
  <c r="U1312"/>
  <c r="U1313" s="1"/>
  <c r="U1152"/>
  <c r="U1153"/>
  <c r="U1157" s="1"/>
  <c r="V867"/>
  <c r="V866"/>
  <c r="U1460"/>
  <c r="U1461" s="1"/>
  <c r="U1456"/>
  <c r="U1462" s="1"/>
  <c r="U1464" s="1"/>
  <c r="U1445"/>
  <c r="U1446"/>
  <c r="U1452" s="1"/>
  <c r="U1450"/>
  <c r="U1451" s="1"/>
  <c r="V1456"/>
  <c r="V1462" s="1"/>
  <c r="V1460"/>
  <c r="V1461" s="1"/>
  <c r="V1799"/>
  <c r="V1798"/>
  <c r="V1800"/>
  <c r="V1801" s="1"/>
  <c r="U1699"/>
  <c r="U1646"/>
  <c r="U1645"/>
  <c r="S1643"/>
  <c r="V184"/>
  <c r="Q1928"/>
  <c r="Q1929"/>
  <c r="Q1930"/>
  <c r="P521"/>
  <c r="P522" s="1"/>
  <c r="P519"/>
  <c r="P520" s="1"/>
  <c r="L854"/>
  <c r="L860" s="1"/>
  <c r="L858"/>
  <c r="L859" s="1"/>
  <c r="Q298"/>
  <c r="Q297"/>
  <c r="Q299"/>
  <c r="Q445"/>
  <c r="Q447"/>
  <c r="Q448" s="1"/>
  <c r="Q449" s="1"/>
  <c r="Q446"/>
  <c r="L197"/>
  <c r="L198"/>
  <c r="K261"/>
  <c r="K262"/>
  <c r="Q591"/>
  <c r="Q592"/>
  <c r="Q593"/>
  <c r="P662"/>
  <c r="O661"/>
  <c r="K198"/>
  <c r="K197"/>
  <c r="K201" s="1"/>
  <c r="P64"/>
  <c r="O63"/>
  <c r="L44"/>
  <c r="L48"/>
  <c r="L49" s="1"/>
  <c r="K189"/>
  <c r="K190" s="1"/>
  <c r="K185"/>
  <c r="K191" s="1"/>
  <c r="Q225"/>
  <c r="Q224"/>
  <c r="Q223"/>
  <c r="K195"/>
  <c r="K199"/>
  <c r="K200" s="1"/>
  <c r="K106"/>
  <c r="L419"/>
  <c r="L420"/>
  <c r="K124"/>
  <c r="K123"/>
  <c r="K127" s="1"/>
  <c r="K111"/>
  <c r="K117" s="1"/>
  <c r="K115"/>
  <c r="K116" s="1"/>
  <c r="L199"/>
  <c r="L200" s="1"/>
  <c r="L195"/>
  <c r="L201" s="1"/>
  <c r="Q366"/>
  <c r="Q367" s="1"/>
  <c r="K417"/>
  <c r="K423" s="1"/>
  <c r="K421"/>
  <c r="K422" s="1"/>
  <c r="L1088"/>
  <c r="L1089"/>
  <c r="K568"/>
  <c r="K572"/>
  <c r="K573" s="1"/>
  <c r="K662"/>
  <c r="J661"/>
  <c r="L627"/>
  <c r="P591"/>
  <c r="P592" s="1"/>
  <c r="L780"/>
  <c r="L786" s="1"/>
  <c r="L788" s="1"/>
  <c r="L784"/>
  <c r="L785" s="1"/>
  <c r="Q894"/>
  <c r="Q895" s="1"/>
  <c r="Q896" s="1"/>
  <c r="Q893"/>
  <c r="Q892"/>
  <c r="Q1041"/>
  <c r="Q1040"/>
  <c r="Q1042"/>
  <c r="Q145"/>
  <c r="Q144"/>
  <c r="L328"/>
  <c r="K345"/>
  <c r="K346"/>
  <c r="K406"/>
  <c r="K407"/>
  <c r="K413" s="1"/>
  <c r="K411"/>
  <c r="K412" s="1"/>
  <c r="L494"/>
  <c r="L493"/>
  <c r="L644"/>
  <c r="L645"/>
  <c r="L720"/>
  <c r="L721" s="1"/>
  <c r="L716"/>
  <c r="K571"/>
  <c r="K570"/>
  <c r="P884"/>
  <c r="O883"/>
  <c r="L938"/>
  <c r="L944" s="1"/>
  <c r="L946" s="1"/>
  <c r="L942"/>
  <c r="L943" s="1"/>
  <c r="L1071"/>
  <c r="L1226"/>
  <c r="L634"/>
  <c r="Q744"/>
  <c r="Q745"/>
  <c r="Q746"/>
  <c r="L718"/>
  <c r="L719"/>
  <c r="K866"/>
  <c r="K867"/>
  <c r="K856"/>
  <c r="L1002"/>
  <c r="L1008" s="1"/>
  <c r="L1006"/>
  <c r="L1007" s="1"/>
  <c r="L1236"/>
  <c r="L1240" s="1"/>
  <c r="L1237"/>
  <c r="L1300"/>
  <c r="K1075"/>
  <c r="K1076"/>
  <c r="K1082" s="1"/>
  <c r="K1080"/>
  <c r="K1081" s="1"/>
  <c r="P1071"/>
  <c r="N1069"/>
  <c r="P1180"/>
  <c r="O1179"/>
  <c r="K1223"/>
  <c r="K1224"/>
  <c r="K1230" s="1"/>
  <c r="K1228"/>
  <c r="K1229" s="1"/>
  <c r="L1680"/>
  <c r="L1681"/>
  <c r="P775"/>
  <c r="N773"/>
  <c r="K1015"/>
  <c r="K1014"/>
  <c r="K1089"/>
  <c r="K1088"/>
  <c r="K1238"/>
  <c r="K1239" s="1"/>
  <c r="K1234"/>
  <c r="K1240" s="1"/>
  <c r="P1293"/>
  <c r="K1374"/>
  <c r="K1375"/>
  <c r="K1379" s="1"/>
  <c r="L1145"/>
  <c r="Q1411"/>
  <c r="Q1410"/>
  <c r="Q1412"/>
  <c r="Q1413" s="1"/>
  <c r="K1441"/>
  <c r="I1439"/>
  <c r="L1298"/>
  <c r="L1302"/>
  <c r="L1303" s="1"/>
  <c r="K1376"/>
  <c r="K1377" s="1"/>
  <c r="K1372"/>
  <c r="K1445"/>
  <c r="K1446"/>
  <c r="K1452" s="1"/>
  <c r="K1450"/>
  <c r="K1451" s="1"/>
  <c r="K1606"/>
  <c r="K1607"/>
  <c r="K1698"/>
  <c r="J1697"/>
  <c r="L1293"/>
  <c r="L1374"/>
  <c r="L1375"/>
  <c r="L1379" s="1"/>
  <c r="Q1480"/>
  <c r="Q1479"/>
  <c r="K1522"/>
  <c r="L1594"/>
  <c r="L1600" s="1"/>
  <c r="L1598"/>
  <c r="L1599" s="1"/>
  <c r="Q1553"/>
  <c r="Q1554" s="1"/>
  <c r="P1698"/>
  <c r="O1697"/>
  <c r="Q1589"/>
  <c r="O1705"/>
  <c r="P1706"/>
  <c r="P1707" s="1"/>
  <c r="P1708"/>
  <c r="K1772"/>
  <c r="J1771"/>
  <c r="L1892"/>
  <c r="L1893"/>
  <c r="K779"/>
  <c r="J778"/>
  <c r="L1458"/>
  <c r="L1459"/>
  <c r="K1456"/>
  <c r="K1462" s="1"/>
  <c r="K1464" s="1"/>
  <c r="K1460"/>
  <c r="K1461" s="1"/>
  <c r="L1532"/>
  <c r="L1536" s="1"/>
  <c r="L1533"/>
  <c r="L1530"/>
  <c r="L1534"/>
  <c r="L1535" s="1"/>
  <c r="N1699"/>
  <c r="P1701"/>
  <c r="P1702" s="1"/>
  <c r="K1754"/>
  <c r="K1755"/>
  <c r="Q1849"/>
  <c r="Q1850" s="1"/>
  <c r="K110"/>
  <c r="K1892"/>
  <c r="K1893"/>
  <c r="K1897" s="1"/>
  <c r="L1752"/>
  <c r="L1758" s="1"/>
  <c r="L1760" s="1"/>
  <c r="L1756"/>
  <c r="L1757" s="1"/>
  <c r="L1829"/>
  <c r="L1828"/>
  <c r="J32"/>
  <c r="K33"/>
  <c r="K557"/>
  <c r="J556"/>
  <c r="L1593"/>
  <c r="L1902"/>
  <c r="L1903"/>
  <c r="L1907" s="1"/>
  <c r="L34"/>
  <c r="L40" s="1"/>
  <c r="L182"/>
  <c r="L1887"/>
  <c r="L1813"/>
  <c r="L1591"/>
  <c r="L1517"/>
  <c r="L1443"/>
  <c r="L1295"/>
  <c r="L1961"/>
  <c r="L777"/>
  <c r="L478"/>
  <c r="L1221"/>
  <c r="L999"/>
  <c r="L629"/>
  <c r="L1739"/>
  <c r="L703"/>
  <c r="L256"/>
  <c r="L1369"/>
  <c r="L1073"/>
  <c r="L925"/>
  <c r="L851"/>
  <c r="L404"/>
  <c r="L108"/>
  <c r="L1665"/>
  <c r="L1147"/>
  <c r="L555"/>
  <c r="L330"/>
  <c r="L38"/>
  <c r="L39" s="1"/>
  <c r="K480"/>
  <c r="L1149"/>
  <c r="N1894"/>
  <c r="N1889"/>
  <c r="O1886"/>
  <c r="N1890"/>
  <c r="N1896" s="1"/>
  <c r="I777"/>
  <c r="I49" i="13" s="1"/>
  <c r="L49" s="1"/>
  <c r="I779" i="10"/>
  <c r="I52" i="13" s="1"/>
  <c r="L52" s="1"/>
  <c r="J776" i="10"/>
  <c r="I784"/>
  <c r="I780"/>
  <c r="S1016"/>
  <c r="T1016" s="1"/>
  <c r="T1011"/>
  <c r="S1012"/>
  <c r="X1446"/>
  <c r="X1452" s="1"/>
  <c r="X1450"/>
  <c r="Y1442"/>
  <c r="X1445"/>
  <c r="I1369"/>
  <c r="I145" i="13" s="1"/>
  <c r="L145" s="1"/>
  <c r="I1371" i="10"/>
  <c r="I148" i="13" s="1"/>
  <c r="L148" s="1"/>
  <c r="I1372" i="10"/>
  <c r="I1378" s="1"/>
  <c r="J1378" s="1"/>
  <c r="J1368"/>
  <c r="I1376"/>
  <c r="J789"/>
  <c r="I794"/>
  <c r="I790"/>
  <c r="I796" s="1"/>
  <c r="N1752"/>
  <c r="N1758" s="1"/>
  <c r="N1756"/>
  <c r="O1751"/>
  <c r="S558"/>
  <c r="S564" s="1"/>
  <c r="S562"/>
  <c r="T554"/>
  <c r="S557"/>
  <c r="I1160"/>
  <c r="I1166" s="1"/>
  <c r="J1159"/>
  <c r="I1164"/>
  <c r="J1164" s="1"/>
  <c r="I1086"/>
  <c r="I1092" s="1"/>
  <c r="J1085"/>
  <c r="I1090"/>
  <c r="I1688"/>
  <c r="I1694" s="1"/>
  <c r="I1696" s="1"/>
  <c r="J1687"/>
  <c r="I1692"/>
  <c r="O725"/>
  <c r="N726"/>
  <c r="N732" s="1"/>
  <c r="N734" s="1"/>
  <c r="N730"/>
  <c r="O730" s="1"/>
  <c r="X1382"/>
  <c r="Y1381"/>
  <c r="X1386"/>
  <c r="Y1386" s="1"/>
  <c r="S1224"/>
  <c r="T1220"/>
  <c r="S1228"/>
  <c r="T1228" s="1"/>
  <c r="S1223"/>
  <c r="I1223"/>
  <c r="I124" i="13" s="1"/>
  <c r="L124" s="1"/>
  <c r="I1224" i="10"/>
  <c r="I1228"/>
  <c r="J1220"/>
  <c r="S1497"/>
  <c r="S1498" s="1"/>
  <c r="T1498" s="1"/>
  <c r="T1496"/>
  <c r="T1551"/>
  <c r="S1495"/>
  <c r="N813"/>
  <c r="N814" s="1"/>
  <c r="O812"/>
  <c r="N811"/>
  <c r="S768"/>
  <c r="S771" s="1"/>
  <c r="T767"/>
  <c r="J781"/>
  <c r="I782"/>
  <c r="Y949"/>
  <c r="X950"/>
  <c r="X955" s="1"/>
  <c r="I849"/>
  <c r="I847"/>
  <c r="N912"/>
  <c r="N913" s="1"/>
  <c r="N907" s="1"/>
  <c r="N908" s="1"/>
  <c r="O909"/>
  <c r="N910"/>
  <c r="N911" s="1"/>
  <c r="S1014"/>
  <c r="S1015"/>
  <c r="T1013"/>
  <c r="X1459"/>
  <c r="Y1457"/>
  <c r="X1458"/>
  <c r="S1484"/>
  <c r="S1485" s="1"/>
  <c r="T1483"/>
  <c r="S1486"/>
  <c r="S1487" s="1"/>
  <c r="S1360"/>
  <c r="S1361" s="1"/>
  <c r="T1359"/>
  <c r="J1383"/>
  <c r="I1385"/>
  <c r="I1384"/>
  <c r="X783"/>
  <c r="Y781"/>
  <c r="X782"/>
  <c r="X786" s="1"/>
  <c r="N627"/>
  <c r="N625"/>
  <c r="S792"/>
  <c r="T791"/>
  <c r="S793"/>
  <c r="N1829"/>
  <c r="O1827"/>
  <c r="N1828"/>
  <c r="S571"/>
  <c r="S561" s="1"/>
  <c r="S565" s="1"/>
  <c r="S566" s="1"/>
  <c r="T569"/>
  <c r="S570"/>
  <c r="S575" s="1"/>
  <c r="N1035"/>
  <c r="N1036" s="1"/>
  <c r="O1034"/>
  <c r="N1033"/>
  <c r="S1145"/>
  <c r="S1143"/>
  <c r="I1153"/>
  <c r="I1157" s="1"/>
  <c r="I1158" s="1"/>
  <c r="I1152"/>
  <c r="I1156" s="1"/>
  <c r="J1151"/>
  <c r="O1182"/>
  <c r="N1183"/>
  <c r="N1184" s="1"/>
  <c r="N1181"/>
  <c r="X984"/>
  <c r="X985" s="1"/>
  <c r="X986"/>
  <c r="Y983"/>
  <c r="Y1077"/>
  <c r="X1078"/>
  <c r="X1082" s="1"/>
  <c r="S1071"/>
  <c r="S1069"/>
  <c r="X1670"/>
  <c r="Y1669"/>
  <c r="S1701"/>
  <c r="S1702" s="1"/>
  <c r="S1699"/>
  <c r="T1700"/>
  <c r="S1703"/>
  <c r="S1704" s="1"/>
  <c r="S1273"/>
  <c r="T1274"/>
  <c r="T1329"/>
  <c r="S1275"/>
  <c r="S1276" s="1"/>
  <c r="N1114"/>
  <c r="N1115" s="1"/>
  <c r="N1116"/>
  <c r="O1113"/>
  <c r="O1335"/>
  <c r="N1336"/>
  <c r="N1337" s="1"/>
  <c r="N1338"/>
  <c r="N1132"/>
  <c r="N1133" s="1"/>
  <c r="N1134"/>
  <c r="O1131"/>
  <c r="Y1171"/>
  <c r="X1172"/>
  <c r="X1177" s="1"/>
  <c r="O1193"/>
  <c r="N1194"/>
  <c r="N1197" s="1"/>
  <c r="O1625"/>
  <c r="O1570"/>
  <c r="N1571"/>
  <c r="N1572" s="1"/>
  <c r="O1572" s="1"/>
  <c r="N1569"/>
  <c r="X1374"/>
  <c r="Y1373"/>
  <c r="X1375"/>
  <c r="S1416"/>
  <c r="S1417" s="1"/>
  <c r="T1415"/>
  <c r="S1419"/>
  <c r="S12"/>
  <c r="S13" s="1"/>
  <c r="T65"/>
  <c r="S10"/>
  <c r="T11"/>
  <c r="S17"/>
  <c r="S18" s="1"/>
  <c r="T16"/>
  <c r="S19"/>
  <c r="S20" s="1"/>
  <c r="T35"/>
  <c r="S36"/>
  <c r="S37"/>
  <c r="I1237"/>
  <c r="I1227" s="1"/>
  <c r="I1231" s="1"/>
  <c r="I1236"/>
  <c r="J1235"/>
  <c r="I46"/>
  <c r="I47"/>
  <c r="J45"/>
  <c r="N377"/>
  <c r="N378" s="1"/>
  <c r="O376"/>
  <c r="N380"/>
  <c r="N381" s="1"/>
  <c r="S247"/>
  <c r="S250" s="1"/>
  <c r="T246"/>
  <c r="S472"/>
  <c r="S470"/>
  <c r="S469"/>
  <c r="T468"/>
  <c r="S131"/>
  <c r="S137" s="1"/>
  <c r="S139" s="1"/>
  <c r="S135"/>
  <c r="T130"/>
  <c r="S205"/>
  <c r="S211" s="1"/>
  <c r="S213" s="1"/>
  <c r="S209"/>
  <c r="T209" s="1"/>
  <c r="T204"/>
  <c r="S283"/>
  <c r="T283" s="1"/>
  <c r="S279"/>
  <c r="S285" s="1"/>
  <c r="S287" s="1"/>
  <c r="T278"/>
  <c r="S284"/>
  <c r="I429"/>
  <c r="I434" s="1"/>
  <c r="J428"/>
  <c r="I357"/>
  <c r="I353"/>
  <c r="I359" s="1"/>
  <c r="I361" s="1"/>
  <c r="J352"/>
  <c r="J204"/>
  <c r="I205"/>
  <c r="I211" s="1"/>
  <c r="I213" s="1"/>
  <c r="I209"/>
  <c r="Z546"/>
  <c r="Z547"/>
  <c r="Z550" s="1"/>
  <c r="Z549"/>
  <c r="Z537" s="1"/>
  <c r="Z538" s="1"/>
  <c r="Y545"/>
  <c r="Z99"/>
  <c r="Z100"/>
  <c r="Z103" s="1"/>
  <c r="Z102"/>
  <c r="Z247"/>
  <c r="Z250" s="1"/>
  <c r="Z238" s="1"/>
  <c r="Z800"/>
  <c r="Z806" s="1"/>
  <c r="Z808" s="1"/>
  <c r="Z805"/>
  <c r="Z804"/>
  <c r="AA730"/>
  <c r="AA731" s="1"/>
  <c r="AA726"/>
  <c r="AA732" s="1"/>
  <c r="AA734" s="1"/>
  <c r="AA1508"/>
  <c r="AA1511" s="1"/>
  <c r="AA1499" s="1"/>
  <c r="AA1500" s="1"/>
  <c r="Z874"/>
  <c r="Z880" s="1"/>
  <c r="Z882" s="1"/>
  <c r="Z879"/>
  <c r="Z878"/>
  <c r="AA1360"/>
  <c r="AA1363" s="1"/>
  <c r="Z1693"/>
  <c r="Z1692"/>
  <c r="Z1688"/>
  <c r="Z1694" s="1"/>
  <c r="Z1696" s="1"/>
  <c r="Z1730"/>
  <c r="Z1733" s="1"/>
  <c r="Z1731"/>
  <c r="Z1734" s="1"/>
  <c r="Z1910"/>
  <c r="Z1916" s="1"/>
  <c r="Z1918" s="1"/>
  <c r="Z1914"/>
  <c r="Z1915" s="1"/>
  <c r="AA472"/>
  <c r="AA470"/>
  <c r="AA473" s="1"/>
  <c r="AA469"/>
  <c r="Z56"/>
  <c r="Z61" s="1"/>
  <c r="AA23"/>
  <c r="AA26" s="1"/>
  <c r="AA24"/>
  <c r="AA27" s="1"/>
  <c r="AA99"/>
  <c r="AA102" s="1"/>
  <c r="Z578"/>
  <c r="Z584" s="1"/>
  <c r="Z586" s="1"/>
  <c r="Z582"/>
  <c r="Y582" s="1"/>
  <c r="Z583"/>
  <c r="Y577"/>
  <c r="AA1392"/>
  <c r="AA1398" s="1"/>
  <c r="AA1400" s="1"/>
  <c r="AA1396"/>
  <c r="AA1397"/>
  <c r="Z1323"/>
  <c r="Z1318"/>
  <c r="Z1324" s="1"/>
  <c r="Z1326" s="1"/>
  <c r="Z1322"/>
  <c r="Y1322" s="1"/>
  <c r="Y1317"/>
  <c r="Z279"/>
  <c r="Z285" s="1"/>
  <c r="Z287" s="1"/>
  <c r="Z283"/>
  <c r="Z284" s="1"/>
  <c r="AA209"/>
  <c r="AA210" s="1"/>
  <c r="AA205"/>
  <c r="AA211" s="1"/>
  <c r="AA213" s="1"/>
  <c r="AA620"/>
  <c r="AA623" s="1"/>
  <c r="AA621"/>
  <c r="AA624" s="1"/>
  <c r="AA578"/>
  <c r="AA584" s="1"/>
  <c r="AA586" s="1"/>
  <c r="AA583"/>
  <c r="AA582"/>
  <c r="Z1138"/>
  <c r="Z1141"/>
  <c r="Z1139"/>
  <c r="Z1100"/>
  <c r="Z1096"/>
  <c r="Z1102" s="1"/>
  <c r="Z1104" s="1"/>
  <c r="Z1101"/>
  <c r="AA1322"/>
  <c r="AA1323"/>
  <c r="AA1318"/>
  <c r="AA1324" s="1"/>
  <c r="AA1326" s="1"/>
  <c r="Z1766"/>
  <c r="Z1767" s="1"/>
  <c r="Z1762"/>
  <c r="Z1768" s="1"/>
  <c r="Z1770" s="1"/>
  <c r="Z1764"/>
  <c r="Z1769" s="1"/>
  <c r="Z1657"/>
  <c r="Z1660" s="1"/>
  <c r="Z1656"/>
  <c r="Z1659"/>
  <c r="AA173"/>
  <c r="AA174" s="1"/>
  <c r="AA176"/>
  <c r="Z768"/>
  <c r="Z771" s="1"/>
  <c r="Z769"/>
  <c r="AA1138"/>
  <c r="AA1139" s="1"/>
  <c r="AA1141"/>
  <c r="AA1096"/>
  <c r="AA1102" s="1"/>
  <c r="AA1104" s="1"/>
  <c r="AA1100"/>
  <c r="AA1101" s="1"/>
  <c r="AA1804"/>
  <c r="AA1805" s="1"/>
  <c r="AA1807"/>
  <c r="AA1808" s="1"/>
  <c r="AA1952"/>
  <c r="AA1953" s="1"/>
  <c r="Z1878"/>
  <c r="Z1879"/>
  <c r="Z1881"/>
  <c r="U676"/>
  <c r="U679" s="1"/>
  <c r="U677"/>
  <c r="U680" s="1"/>
  <c r="U1416"/>
  <c r="U1417" s="1"/>
  <c r="U1934"/>
  <c r="U1935" s="1"/>
  <c r="U1937"/>
  <c r="U1925" s="1"/>
  <c r="U1926" s="1"/>
  <c r="V229"/>
  <c r="V230" s="1"/>
  <c r="V1490"/>
  <c r="V1491" s="1"/>
  <c r="V1493"/>
  <c r="V1481" s="1"/>
  <c r="V1482" s="1"/>
  <c r="V78"/>
  <c r="V79" s="1"/>
  <c r="V1046"/>
  <c r="V1049" s="1"/>
  <c r="V1342"/>
  <c r="V1345" s="1"/>
  <c r="U2008"/>
  <c r="U2009" s="1"/>
  <c r="V1194"/>
  <c r="V1195" s="1"/>
  <c r="U526"/>
  <c r="U525"/>
  <c r="U528"/>
  <c r="U602"/>
  <c r="U605"/>
  <c r="U603"/>
  <c r="U606" s="1"/>
  <c r="T601"/>
  <c r="U1786"/>
  <c r="U1789" s="1"/>
  <c r="U578"/>
  <c r="U584" s="1"/>
  <c r="U586" s="1"/>
  <c r="U582"/>
  <c r="T577"/>
  <c r="U657"/>
  <c r="U656"/>
  <c r="U652"/>
  <c r="U658" s="1"/>
  <c r="U660" s="1"/>
  <c r="V355"/>
  <c r="V360" s="1"/>
  <c r="U952"/>
  <c r="U953" s="1"/>
  <c r="U948"/>
  <c r="U954" s="1"/>
  <c r="U956" s="1"/>
  <c r="U1096"/>
  <c r="U1100"/>
  <c r="U1101" s="1"/>
  <c r="U1838"/>
  <c r="U1843" s="1"/>
  <c r="V1984"/>
  <c r="V1990" s="1"/>
  <c r="V1992" s="1"/>
  <c r="V1989"/>
  <c r="V1988"/>
  <c r="V432"/>
  <c r="V431"/>
  <c r="V427"/>
  <c r="V433" s="1"/>
  <c r="V435" s="1"/>
  <c r="U802"/>
  <c r="U807" s="1"/>
  <c r="V357"/>
  <c r="V358" s="1"/>
  <c r="V353"/>
  <c r="V359" s="1"/>
  <c r="V361" s="1"/>
  <c r="U1248"/>
  <c r="U1249" s="1"/>
  <c r="U1244"/>
  <c r="U1250" s="1"/>
  <c r="U1252" s="1"/>
  <c r="V1688"/>
  <c r="V1694" s="1"/>
  <c r="V1696" s="1"/>
  <c r="V1692"/>
  <c r="V1693" s="1"/>
  <c r="U1764"/>
  <c r="U1769" s="1"/>
  <c r="V654"/>
  <c r="V659" s="1"/>
  <c r="V56"/>
  <c r="V61" s="1"/>
  <c r="V1244"/>
  <c r="V1250" s="1"/>
  <c r="V1252" s="1"/>
  <c r="V1248"/>
  <c r="V1249" s="1"/>
  <c r="U1540"/>
  <c r="U1546" s="1"/>
  <c r="U1548" s="1"/>
  <c r="U1544"/>
  <c r="U1545" s="1"/>
  <c r="V133"/>
  <c r="V138" s="1"/>
  <c r="U1098"/>
  <c r="U1103" s="1"/>
  <c r="V1024"/>
  <c r="V1029" s="1"/>
  <c r="U1318"/>
  <c r="U1324" s="1"/>
  <c r="U1326" s="1"/>
  <c r="U1322"/>
  <c r="U1323" s="1"/>
  <c r="K427"/>
  <c r="K433" s="1"/>
  <c r="K435" s="1"/>
  <c r="K431"/>
  <c r="K432" s="1"/>
  <c r="L131"/>
  <c r="L137" s="1"/>
  <c r="L139" s="1"/>
  <c r="L135"/>
  <c r="L136" s="1"/>
  <c r="L207"/>
  <c r="L212" s="1"/>
  <c r="K283"/>
  <c r="K284" s="1"/>
  <c r="K279"/>
  <c r="K285" s="1"/>
  <c r="K287" s="1"/>
  <c r="L654"/>
  <c r="L659" s="1"/>
  <c r="K205"/>
  <c r="K211" s="1"/>
  <c r="K213" s="1"/>
  <c r="K209"/>
  <c r="K210" s="1"/>
  <c r="K580"/>
  <c r="K585" s="1"/>
  <c r="J579"/>
  <c r="K804"/>
  <c r="K805" s="1"/>
  <c r="K800"/>
  <c r="K806" s="1"/>
  <c r="K808" s="1"/>
  <c r="L205"/>
  <c r="L209"/>
  <c r="L210" s="1"/>
  <c r="K728"/>
  <c r="K733" s="1"/>
  <c r="L1098"/>
  <c r="L1103" s="1"/>
  <c r="K730"/>
  <c r="K731" s="1"/>
  <c r="K726"/>
  <c r="K732" s="1"/>
  <c r="K734" s="1"/>
  <c r="K1172"/>
  <c r="K1177" s="1"/>
  <c r="L1174"/>
  <c r="L1175" s="1"/>
  <c r="L1170"/>
  <c r="L1176" s="1"/>
  <c r="L1178" s="1"/>
  <c r="K1022"/>
  <c r="K1028" s="1"/>
  <c r="K1030" s="1"/>
  <c r="K1026"/>
  <c r="K1027" s="1"/>
  <c r="L1320"/>
  <c r="L1325" s="1"/>
  <c r="K1396"/>
  <c r="K1397" s="1"/>
  <c r="K1392"/>
  <c r="K1398" s="1"/>
  <c r="K1400" s="1"/>
  <c r="L1542"/>
  <c r="L1547" s="1"/>
  <c r="L1540"/>
  <c r="L1544"/>
  <c r="L1545" s="1"/>
  <c r="L1986"/>
  <c r="L1991" s="1"/>
  <c r="L1690"/>
  <c r="L1695" s="1"/>
  <c r="L1836"/>
  <c r="L1842" s="1"/>
  <c r="L1844" s="1"/>
  <c r="L1840"/>
  <c r="L1841" s="1"/>
  <c r="L1914"/>
  <c r="L1915" s="1"/>
  <c r="L1910"/>
  <c r="L1916" s="1"/>
  <c r="L1918" s="1"/>
  <c r="P609"/>
  <c r="P610" s="1"/>
  <c r="P663"/>
  <c r="P12"/>
  <c r="P13" s="1"/>
  <c r="P65"/>
  <c r="K1477"/>
  <c r="I1477" s="1"/>
  <c r="K1423"/>
  <c r="K1424" s="1"/>
  <c r="K1625"/>
  <c r="I1625" s="1"/>
  <c r="K1571"/>
  <c r="K1572" s="1"/>
  <c r="P1127"/>
  <c r="P1128" s="1"/>
  <c r="P1181"/>
  <c r="P1625"/>
  <c r="P1571"/>
  <c r="P1572" s="1"/>
  <c r="P1423"/>
  <c r="P1424" s="1"/>
  <c r="P1477"/>
  <c r="P1719"/>
  <c r="P1720" s="1"/>
  <c r="P1773"/>
  <c r="K609"/>
  <c r="K610" s="1"/>
  <c r="K663"/>
  <c r="I663" s="1"/>
  <c r="K162"/>
  <c r="K163" s="1"/>
  <c r="K216"/>
  <c r="I216" s="1"/>
  <c r="K364"/>
  <c r="I364" s="1"/>
  <c r="K310"/>
  <c r="K311" s="1"/>
  <c r="K312"/>
  <c r="K1403"/>
  <c r="I1403" s="1"/>
  <c r="K1349"/>
  <c r="K1350" s="1"/>
  <c r="L438"/>
  <c r="L386"/>
  <c r="L384"/>
  <c r="L385"/>
  <c r="L387" s="1"/>
  <c r="Q88"/>
  <c r="Q90"/>
  <c r="Q89"/>
  <c r="Q91" s="1"/>
  <c r="Q142"/>
  <c r="L609"/>
  <c r="L663"/>
  <c r="L611"/>
  <c r="L610"/>
  <c r="Q164"/>
  <c r="Q163"/>
  <c r="Q162"/>
  <c r="Q216"/>
  <c r="L460"/>
  <c r="L459"/>
  <c r="L512"/>
  <c r="L458"/>
  <c r="L831"/>
  <c r="L885"/>
  <c r="L833"/>
  <c r="L832"/>
  <c r="Q459"/>
  <c r="Q461" s="1"/>
  <c r="Q460"/>
  <c r="Q512"/>
  <c r="Q458"/>
  <c r="L907"/>
  <c r="L906"/>
  <c r="L905"/>
  <c r="L959"/>
  <c r="L1203"/>
  <c r="L1202"/>
  <c r="L1255"/>
  <c r="L1201"/>
  <c r="L1055"/>
  <c r="L1054"/>
  <c r="L1107"/>
  <c r="L1053"/>
  <c r="P1699"/>
  <c r="N1643"/>
  <c r="P1645"/>
  <c r="P1646" s="1"/>
  <c r="K1647"/>
  <c r="K1645"/>
  <c r="K1646" s="1"/>
  <c r="I1643"/>
  <c r="K1699"/>
  <c r="I1699" s="1"/>
  <c r="Q1573"/>
  <c r="Q1572"/>
  <c r="Q1571"/>
  <c r="Q1625"/>
  <c r="Q1773"/>
  <c r="Q1721"/>
  <c r="Q1719"/>
  <c r="Q1720"/>
  <c r="Q1722" s="1"/>
  <c r="Q1942"/>
  <c r="Q1995"/>
  <c r="Q1941"/>
  <c r="Q1943"/>
  <c r="N1961"/>
  <c r="N1887"/>
  <c r="N1739"/>
  <c r="N1591"/>
  <c r="N1295"/>
  <c r="N1147"/>
  <c r="N999"/>
  <c r="N703"/>
  <c r="N404"/>
  <c r="N34"/>
  <c r="N40" s="1"/>
  <c r="N1369"/>
  <c r="N1443"/>
  <c r="N777"/>
  <c r="N555"/>
  <c r="N182"/>
  <c r="N1813"/>
  <c r="N1221"/>
  <c r="N1073"/>
  <c r="N629"/>
  <c r="N478"/>
  <c r="N1665"/>
  <c r="N330"/>
  <c r="N1517"/>
  <c r="N851"/>
  <c r="N256"/>
  <c r="N33"/>
  <c r="N925"/>
  <c r="N108"/>
  <c r="O31"/>
  <c r="N38"/>
  <c r="S1890"/>
  <c r="S1894"/>
  <c r="T1886"/>
  <c r="S1889"/>
  <c r="X54"/>
  <c r="Y53"/>
  <c r="N1456"/>
  <c r="N1460"/>
  <c r="O1455"/>
  <c r="S1968"/>
  <c r="S1964"/>
  <c r="S1970" s="1"/>
  <c r="T1960"/>
  <c r="S1963"/>
  <c r="N1312"/>
  <c r="O1307"/>
  <c r="N1308"/>
  <c r="N1314" s="1"/>
  <c r="S1594"/>
  <c r="S1600" s="1"/>
  <c r="S1598"/>
  <c r="T1598" s="1"/>
  <c r="T1590"/>
  <c r="S1593"/>
  <c r="Y45"/>
  <c r="X46"/>
  <c r="X47"/>
  <c r="X1532"/>
  <c r="X1536" s="1"/>
  <c r="X1533"/>
  <c r="Y1531"/>
  <c r="S1558"/>
  <c r="S1559" s="1"/>
  <c r="T1557"/>
  <c r="S1560"/>
  <c r="S1561" s="1"/>
  <c r="S1555" s="1"/>
  <c r="S1556" s="1"/>
  <c r="S1892"/>
  <c r="T1891"/>
  <c r="S1893"/>
  <c r="N1885"/>
  <c r="N1883"/>
  <c r="X58"/>
  <c r="Y55"/>
  <c r="X56"/>
  <c r="X61" s="1"/>
  <c r="O886"/>
  <c r="N885"/>
  <c r="N887"/>
  <c r="N888" s="1"/>
  <c r="N836"/>
  <c r="N837" s="1"/>
  <c r="N838"/>
  <c r="O835"/>
  <c r="S866"/>
  <c r="S867"/>
  <c r="T865"/>
  <c r="Y830"/>
  <c r="X831"/>
  <c r="X832" s="1"/>
  <c r="Y832" s="1"/>
  <c r="X829"/>
  <c r="Y885"/>
  <c r="S654"/>
  <c r="S659" s="1"/>
  <c r="T653"/>
  <c r="I654"/>
  <c r="I659" s="1"/>
  <c r="J653"/>
  <c r="N1428"/>
  <c r="N1429" s="1"/>
  <c r="O1427"/>
  <c r="N1430"/>
  <c r="N1431" s="1"/>
  <c r="J1447"/>
  <c r="I1448"/>
  <c r="I1449"/>
  <c r="I1453" s="1"/>
  <c r="O983"/>
  <c r="N986"/>
  <c r="N987" s="1"/>
  <c r="N981" s="1"/>
  <c r="N982" s="1"/>
  <c r="N984"/>
  <c r="N985" s="1"/>
  <c r="X1764"/>
  <c r="X1769" s="1"/>
  <c r="Y1763"/>
  <c r="O1729"/>
  <c r="N1730"/>
  <c r="N1733" s="1"/>
  <c r="N1731"/>
  <c r="X1681"/>
  <c r="X1685" s="1"/>
  <c r="Y1679"/>
  <c r="X1680"/>
  <c r="N1053"/>
  <c r="N1054" s="1"/>
  <c r="O1054" s="1"/>
  <c r="N1051"/>
  <c r="O1052"/>
  <c r="O1107"/>
  <c r="J1063"/>
  <c r="I1064"/>
  <c r="I1067" s="1"/>
  <c r="X1724"/>
  <c r="X1725" s="1"/>
  <c r="X1726"/>
  <c r="X1727" s="1"/>
  <c r="Y1723"/>
  <c r="S1587"/>
  <c r="S1589"/>
  <c r="N1360"/>
  <c r="N1363" s="1"/>
  <c r="O1359"/>
  <c r="U64"/>
  <c r="T63"/>
  <c r="U1180"/>
  <c r="T1179"/>
  <c r="U1846"/>
  <c r="T1845"/>
  <c r="U1920"/>
  <c r="T1919"/>
  <c r="U1772"/>
  <c r="T1771"/>
  <c r="U1402"/>
  <c r="T1401"/>
  <c r="X804"/>
  <c r="X800"/>
  <c r="X806" s="1"/>
  <c r="X808" s="1"/>
  <c r="Y799"/>
  <c r="N656"/>
  <c r="O651"/>
  <c r="N652"/>
  <c r="N658" s="1"/>
  <c r="N660" s="1"/>
  <c r="S1170"/>
  <c r="S1176" s="1"/>
  <c r="S1178" s="1"/>
  <c r="S1174"/>
  <c r="T1169"/>
  <c r="O1557"/>
  <c r="N1558"/>
  <c r="N1559" s="1"/>
  <c r="N1560"/>
  <c r="N1878"/>
  <c r="N1881" s="1"/>
  <c r="O1877"/>
  <c r="N1879"/>
  <c r="N1882" s="1"/>
  <c r="T1877"/>
  <c r="S1878"/>
  <c r="S1881" s="1"/>
  <c r="S1879"/>
  <c r="S1882" s="1"/>
  <c r="S1564"/>
  <c r="S1567" s="1"/>
  <c r="T1563"/>
  <c r="N1818"/>
  <c r="O1817"/>
  <c r="N1819"/>
  <c r="N997"/>
  <c r="N995"/>
  <c r="T707"/>
  <c r="S708"/>
  <c r="I1670"/>
  <c r="J1669"/>
  <c r="I1671"/>
  <c r="I1675" s="1"/>
  <c r="O1341"/>
  <c r="N1342"/>
  <c r="N1345" s="1"/>
  <c r="N1343"/>
  <c r="N1346" s="1"/>
  <c r="N1625"/>
  <c r="N1627"/>
  <c r="N1628" s="1"/>
  <c r="O1626"/>
  <c r="N1629"/>
  <c r="N1630" s="1"/>
  <c r="F148"/>
  <c r="F149" s="1"/>
  <c r="F150" s="1"/>
  <c r="F151" s="1"/>
  <c r="F152" s="1"/>
  <c r="F153" s="1"/>
  <c r="F154" s="1"/>
  <c r="F155" s="1"/>
  <c r="F156" s="1"/>
  <c r="F157" s="1"/>
  <c r="F158" s="1"/>
  <c r="F159" s="1"/>
  <c r="I22" i="12"/>
  <c r="I55"/>
  <c r="I77"/>
  <c r="I44"/>
  <c r="I66"/>
  <c r="I33"/>
  <c r="L69" i="8"/>
  <c r="I31"/>
  <c r="I35"/>
  <c r="K35"/>
  <c r="I36"/>
  <c r="K36"/>
  <c r="L60" i="4"/>
  <c r="K75" i="8"/>
  <c r="K107" i="5"/>
  <c r="K161"/>
  <c r="J89"/>
  <c r="K62" i="4"/>
  <c r="L57" i="8"/>
  <c r="L53"/>
  <c r="K83"/>
  <c r="J35" i="3"/>
  <c r="J13" i="4"/>
  <c r="J14" s="1"/>
  <c r="K44" i="5"/>
  <c r="K197"/>
  <c r="K188"/>
  <c r="J71" i="4"/>
  <c r="J26" i="5"/>
  <c r="I47" i="8"/>
  <c r="K134" i="5"/>
  <c r="K179"/>
  <c r="J44"/>
  <c r="K98"/>
  <c r="K116"/>
  <c r="J125"/>
  <c r="J51"/>
  <c r="K84" i="8"/>
  <c r="L24" i="4"/>
  <c r="L27"/>
  <c r="J85" i="5"/>
  <c r="J86" s="1"/>
  <c r="J87"/>
  <c r="J90"/>
  <c r="K143"/>
  <c r="J197"/>
  <c r="J198" s="1"/>
  <c r="J60"/>
  <c r="J134"/>
  <c r="J179"/>
  <c r="K162"/>
  <c r="J63"/>
  <c r="J58"/>
  <c r="J59" s="1"/>
  <c r="K132"/>
  <c r="K130"/>
  <c r="K131" s="1"/>
  <c r="K135"/>
  <c r="J96"/>
  <c r="J94"/>
  <c r="J95" s="1"/>
  <c r="J99"/>
  <c r="J148"/>
  <c r="J149" s="1"/>
  <c r="J150"/>
  <c r="J153"/>
  <c r="J17" i="4"/>
  <c r="K53"/>
  <c r="J24"/>
  <c r="J27"/>
  <c r="J22"/>
  <c r="J23" s="1"/>
  <c r="J166" i="5"/>
  <c r="J167" s="1"/>
  <c r="J171"/>
  <c r="J168"/>
  <c r="J152"/>
  <c r="K63" i="4"/>
  <c r="K60"/>
  <c r="K58"/>
  <c r="K59" s="1"/>
  <c r="J62"/>
  <c r="K27" i="5"/>
  <c r="K24"/>
  <c r="K18"/>
  <c r="K13"/>
  <c r="K14" s="1"/>
  <c r="K89"/>
  <c r="J116"/>
  <c r="H47" i="4"/>
  <c r="H56"/>
  <c r="H66"/>
  <c r="H61"/>
  <c r="H57"/>
  <c r="H65"/>
  <c r="H30"/>
  <c r="H39"/>
  <c r="H21"/>
  <c r="H29"/>
  <c r="H38"/>
  <c r="H48"/>
  <c r="H52"/>
  <c r="H20"/>
  <c r="H25"/>
  <c r="H26" s="1"/>
  <c r="H34"/>
  <c r="H70"/>
  <c r="H43"/>
  <c r="J15" i="5"/>
  <c r="J18"/>
  <c r="J13"/>
  <c r="J14" s="1"/>
  <c r="K189"/>
  <c r="K186"/>
  <c r="K184"/>
  <c r="K185" s="1"/>
  <c r="K36"/>
  <c r="K33"/>
  <c r="K31"/>
  <c r="K32" s="1"/>
  <c r="K195"/>
  <c r="K193"/>
  <c r="K194" s="1"/>
  <c r="K198"/>
  <c r="J114"/>
  <c r="J117"/>
  <c r="J112"/>
  <c r="J113" s="1"/>
  <c r="J126"/>
  <c r="J121"/>
  <c r="J122" s="1"/>
  <c r="J123"/>
  <c r="K17" i="4"/>
  <c r="J62" i="5"/>
  <c r="J69"/>
  <c r="K170"/>
  <c r="K35"/>
  <c r="K139"/>
  <c r="K140" s="1"/>
  <c r="K141"/>
  <c r="K144"/>
  <c r="K123"/>
  <c r="K121"/>
  <c r="K122" s="1"/>
  <c r="K126"/>
  <c r="K125"/>
  <c r="K44" i="4"/>
  <c r="K35"/>
  <c r="J60"/>
  <c r="J40"/>
  <c r="J41" s="1"/>
  <c r="J42"/>
  <c r="J45"/>
  <c r="J175" i="5"/>
  <c r="J176" s="1"/>
  <c r="J180"/>
  <c r="J177"/>
  <c r="K159"/>
  <c r="K36" i="4"/>
  <c r="K33"/>
  <c r="K31"/>
  <c r="K32" s="1"/>
  <c r="J44"/>
  <c r="J35"/>
  <c r="J184" i="5"/>
  <c r="J185" s="1"/>
  <c r="J186"/>
  <c r="J189"/>
  <c r="K15" i="4"/>
  <c r="K13"/>
  <c r="K14" s="1"/>
  <c r="K18"/>
  <c r="K72" i="8"/>
  <c r="I63"/>
  <c r="L89"/>
  <c r="L68" i="4"/>
  <c r="L67"/>
  <c r="L69"/>
  <c r="J141" i="5"/>
  <c r="J139"/>
  <c r="J140" s="1"/>
  <c r="J144"/>
  <c r="K63"/>
  <c r="K60"/>
  <c r="K58"/>
  <c r="K59" s="1"/>
  <c r="J130"/>
  <c r="J131" s="1"/>
  <c r="J135"/>
  <c r="J132"/>
  <c r="K87"/>
  <c r="K85"/>
  <c r="K86" s="1"/>
  <c r="K90"/>
  <c r="K71"/>
  <c r="J33"/>
  <c r="L33" i="4"/>
  <c r="L31"/>
  <c r="L32" s="1"/>
  <c r="L36"/>
  <c r="J108" i="5"/>
  <c r="J105"/>
  <c r="J103"/>
  <c r="J104" s="1"/>
  <c r="K76"/>
  <c r="K77" s="1"/>
  <c r="K81"/>
  <c r="K78"/>
  <c r="K171"/>
  <c r="K168"/>
  <c r="K166"/>
  <c r="K167" s="1"/>
  <c r="J27"/>
  <c r="J45"/>
  <c r="J40"/>
  <c r="J41" s="1"/>
  <c r="J143"/>
  <c r="J71"/>
  <c r="J17"/>
  <c r="L63" i="4"/>
  <c r="L58"/>
  <c r="L59" s="1"/>
  <c r="K26"/>
  <c r="J63"/>
  <c r="J58"/>
  <c r="J59" s="1"/>
  <c r="J49"/>
  <c r="J50" s="1"/>
  <c r="J51"/>
  <c r="J31"/>
  <c r="J32" s="1"/>
  <c r="J33"/>
  <c r="J36"/>
  <c r="J188" i="5"/>
  <c r="J35"/>
  <c r="L49" i="4"/>
  <c r="L50" s="1"/>
  <c r="L51"/>
  <c r="L54"/>
  <c r="L72"/>
  <c r="K45"/>
  <c r="K42"/>
  <c r="K40"/>
  <c r="K41" s="1"/>
  <c r="K67"/>
  <c r="K68" s="1"/>
  <c r="K69"/>
  <c r="K72"/>
  <c r="J26"/>
  <c r="K96" i="5"/>
  <c r="K94"/>
  <c r="K95" s="1"/>
  <c r="K99"/>
  <c r="J80"/>
  <c r="J15" i="4"/>
  <c r="J18"/>
  <c r="J67" i="5"/>
  <c r="J68" s="1"/>
  <c r="J72"/>
  <c r="K175"/>
  <c r="K176" s="1"/>
  <c r="K177"/>
  <c r="K180"/>
  <c r="K153"/>
  <c r="K150"/>
  <c r="K148"/>
  <c r="K149" s="1"/>
  <c r="K17"/>
  <c r="K62"/>
  <c r="K114"/>
  <c r="K112"/>
  <c r="K113" s="1"/>
  <c r="K117"/>
  <c r="J170"/>
  <c r="K80"/>
  <c r="L42" i="4"/>
  <c r="L40"/>
  <c r="L41" s="1"/>
  <c r="L45"/>
  <c r="K67" i="5"/>
  <c r="K68" s="1"/>
  <c r="K72"/>
  <c r="K69"/>
  <c r="J31"/>
  <c r="J32" s="1"/>
  <c r="J36"/>
  <c r="J49"/>
  <c r="J50" s="1"/>
  <c r="J54"/>
  <c r="J24"/>
  <c r="J42"/>
  <c r="K152"/>
  <c r="K53"/>
  <c r="J98"/>
  <c r="K15"/>
  <c r="J67" i="4"/>
  <c r="J68" s="1"/>
  <c r="J69"/>
  <c r="J72"/>
  <c r="J54"/>
  <c r="J78" i="5"/>
  <c r="J81"/>
  <c r="J76"/>
  <c r="J77" s="1"/>
  <c r="K42"/>
  <c r="K40"/>
  <c r="K41" s="1"/>
  <c r="K45"/>
  <c r="K27" i="4"/>
  <c r="K24"/>
  <c r="K22"/>
  <c r="K23" s="1"/>
  <c r="K51"/>
  <c r="K49"/>
  <c r="K50" s="1"/>
  <c r="K54"/>
  <c r="J53"/>
  <c r="K54" i="5"/>
  <c r="K51"/>
  <c r="K49"/>
  <c r="K50" s="1"/>
  <c r="K105"/>
  <c r="K103"/>
  <c r="K104" s="1"/>
  <c r="K108"/>
  <c r="J53"/>
  <c r="K22"/>
  <c r="K23" s="1"/>
  <c r="H191"/>
  <c r="H187"/>
  <c r="H183"/>
  <c r="H173"/>
  <c r="H169"/>
  <c r="H165"/>
  <c r="H155"/>
  <c r="H151"/>
  <c r="H147"/>
  <c r="H137"/>
  <c r="H133"/>
  <c r="H129"/>
  <c r="H119"/>
  <c r="H110"/>
  <c r="H106"/>
  <c r="H102"/>
  <c r="H92"/>
  <c r="H88"/>
  <c r="H196"/>
  <c r="H192"/>
  <c r="H182"/>
  <c r="H178"/>
  <c r="H174"/>
  <c r="H164"/>
  <c r="H160"/>
  <c r="H156"/>
  <c r="H146"/>
  <c r="H142"/>
  <c r="H138"/>
  <c r="H128"/>
  <c r="H124"/>
  <c r="H120"/>
  <c r="H115"/>
  <c r="H111"/>
  <c r="H101"/>
  <c r="H97"/>
  <c r="H93"/>
  <c r="H83"/>
  <c r="H79"/>
  <c r="H75"/>
  <c r="H84"/>
  <c r="H74"/>
  <c r="L186"/>
  <c r="L184"/>
  <c r="L189"/>
  <c r="L185"/>
  <c r="L150"/>
  <c r="L148"/>
  <c r="L153"/>
  <c r="L149"/>
  <c r="L117"/>
  <c r="L114"/>
  <c r="L112"/>
  <c r="L113" s="1"/>
  <c r="L78"/>
  <c r="L76"/>
  <c r="L77" s="1"/>
  <c r="L81"/>
  <c r="L198"/>
  <c r="L195"/>
  <c r="L193"/>
  <c r="L194" s="1"/>
  <c r="L162"/>
  <c r="L159"/>
  <c r="L157"/>
  <c r="L158" s="1"/>
  <c r="L126"/>
  <c r="L123"/>
  <c r="L121"/>
  <c r="L122" s="1"/>
  <c r="L168"/>
  <c r="L166"/>
  <c r="L167" s="1"/>
  <c r="L171"/>
  <c r="L132"/>
  <c r="L130"/>
  <c r="L131" s="1"/>
  <c r="L135"/>
  <c r="L99"/>
  <c r="L96"/>
  <c r="L94"/>
  <c r="L95" s="1"/>
  <c r="L105"/>
  <c r="L103"/>
  <c r="L104" s="1"/>
  <c r="L108"/>
  <c r="L180"/>
  <c r="L177"/>
  <c r="L175"/>
  <c r="L176" s="1"/>
  <c r="L144"/>
  <c r="L141"/>
  <c r="L139"/>
  <c r="L140" s="1"/>
  <c r="L87"/>
  <c r="L85"/>
  <c r="L86" s="1"/>
  <c r="L90"/>
  <c r="L15"/>
  <c r="L13"/>
  <c r="L14" s="1"/>
  <c r="L18"/>
  <c r="L54"/>
  <c r="L51"/>
  <c r="L49"/>
  <c r="L50" s="1"/>
  <c r="L36"/>
  <c r="L33"/>
  <c r="L31"/>
  <c r="L32" s="1"/>
  <c r="L72"/>
  <c r="L69"/>
  <c r="L67"/>
  <c r="L68" s="1"/>
  <c r="L27"/>
  <c r="L24"/>
  <c r="Y564" i="10" s="1"/>
  <c r="L23" i="5"/>
  <c r="L22"/>
  <c r="L63"/>
  <c r="L60"/>
  <c r="L58"/>
  <c r="L59" s="1"/>
  <c r="L45"/>
  <c r="L42"/>
  <c r="L40"/>
  <c r="L41" s="1"/>
  <c r="H21"/>
  <c r="H20"/>
  <c r="H11"/>
  <c r="H70"/>
  <c r="H66"/>
  <c r="H65"/>
  <c r="H61"/>
  <c r="H57"/>
  <c r="H56"/>
  <c r="H52"/>
  <c r="H48"/>
  <c r="H47"/>
  <c r="H43"/>
  <c r="H39"/>
  <c r="H38"/>
  <c r="H45" s="1"/>
  <c r="I39" i="13" s="1"/>
  <c r="L39" s="1"/>
  <c r="H34" i="5"/>
  <c r="H30"/>
  <c r="H29"/>
  <c r="H25"/>
  <c r="H16"/>
  <c r="H12"/>
  <c r="L15" i="4"/>
  <c r="L13"/>
  <c r="L14" s="1"/>
  <c r="L18"/>
  <c r="L22"/>
  <c r="L23" s="1"/>
  <c r="H11"/>
  <c r="I11" s="1"/>
  <c r="H16"/>
  <c r="I16" s="1"/>
  <c r="H12"/>
  <c r="I12" s="1"/>
  <c r="K63" i="8"/>
  <c r="J26" i="3"/>
  <c r="J36"/>
  <c r="K81" i="8"/>
  <c r="J17" i="3"/>
  <c r="I54" i="8"/>
  <c r="L54"/>
  <c r="J27" i="3"/>
  <c r="J18"/>
  <c r="J15"/>
  <c r="L63" i="8"/>
  <c r="K71"/>
  <c r="K77"/>
  <c r="I81"/>
  <c r="I93"/>
  <c r="I71"/>
  <c r="K45"/>
  <c r="L19"/>
  <c r="L62"/>
  <c r="I78"/>
  <c r="L16"/>
  <c r="K59"/>
  <c r="I66"/>
  <c r="I89"/>
  <c r="L51"/>
  <c r="K28"/>
  <c r="I19"/>
  <c r="I77"/>
  <c r="L81"/>
  <c r="K57"/>
  <c r="I44"/>
  <c r="I60"/>
  <c r="I62"/>
  <c r="I53"/>
  <c r="K24"/>
  <c r="I12"/>
  <c r="K99"/>
  <c r="I96"/>
  <c r="I99"/>
  <c r="K96"/>
  <c r="K65"/>
  <c r="K32"/>
  <c r="L68"/>
  <c r="K12"/>
  <c r="K68"/>
  <c r="I15"/>
  <c r="I95"/>
  <c r="I23"/>
  <c r="L28"/>
  <c r="I80"/>
  <c r="I56"/>
  <c r="I98"/>
  <c r="I59"/>
  <c r="I92"/>
  <c r="K89"/>
  <c r="K41"/>
  <c r="K47"/>
  <c r="L72"/>
  <c r="I86"/>
  <c r="L87"/>
  <c r="K15"/>
  <c r="K69"/>
  <c r="I68"/>
  <c r="L95"/>
  <c r="K53"/>
  <c r="L23"/>
  <c r="I24"/>
  <c r="K98"/>
  <c r="L80"/>
  <c r="I28"/>
  <c r="I57"/>
  <c r="L99"/>
  <c r="L60"/>
  <c r="L92"/>
  <c r="K92"/>
  <c r="K86" s="1"/>
  <c r="K90"/>
  <c r="K42"/>
  <c r="K48"/>
  <c r="L71"/>
  <c r="K80"/>
  <c r="K50"/>
  <c r="L74"/>
  <c r="K20"/>
  <c r="L86"/>
  <c r="K23"/>
  <c r="K11"/>
  <c r="I16"/>
  <c r="I11"/>
  <c r="L96"/>
  <c r="K54"/>
  <c r="L44"/>
  <c r="I45"/>
  <c r="K78"/>
  <c r="I32"/>
  <c r="L27"/>
  <c r="I27"/>
  <c r="L15"/>
  <c r="L56"/>
  <c r="K56"/>
  <c r="L98"/>
  <c r="L59"/>
  <c r="L93"/>
  <c r="K93"/>
  <c r="I90"/>
  <c r="I42"/>
  <c r="I48"/>
  <c r="I72"/>
  <c r="I84"/>
  <c r="I83"/>
  <c r="I51"/>
  <c r="I74"/>
  <c r="I65"/>
  <c r="K95"/>
  <c r="L48"/>
  <c r="L83"/>
  <c r="L77" s="1"/>
  <c r="K27"/>
  <c r="I50"/>
  <c r="L75"/>
  <c r="I20"/>
  <c r="L66"/>
  <c r="K66"/>
  <c r="K19"/>
  <c r="K74"/>
  <c r="L20"/>
  <c r="K16"/>
  <c r="I69"/>
  <c r="L24"/>
  <c r="K31"/>
  <c r="L12"/>
  <c r="L11"/>
  <c r="J22" i="3"/>
  <c r="J23" s="1"/>
  <c r="J33"/>
  <c r="J24"/>
  <c r="J31"/>
  <c r="J32" s="1"/>
  <c r="J13"/>
  <c r="J14" s="1"/>
  <c r="K9"/>
  <c r="K34" s="1"/>
  <c r="K35" s="1"/>
  <c r="K7"/>
  <c r="E10" i="2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L242" i="13" l="1"/>
  <c r="L218"/>
  <c r="L194"/>
  <c r="L182"/>
  <c r="L134"/>
  <c r="L74"/>
  <c r="L62"/>
  <c r="L14"/>
  <c r="O1628" i="10"/>
  <c r="N1823"/>
  <c r="N1561"/>
  <c r="N1555" s="1"/>
  <c r="N1556" s="1"/>
  <c r="S1175"/>
  <c r="T1174"/>
  <c r="N657"/>
  <c r="O656"/>
  <c r="N1361"/>
  <c r="I1065"/>
  <c r="N839"/>
  <c r="N840" s="1"/>
  <c r="X59"/>
  <c r="Y58"/>
  <c r="S1562"/>
  <c r="X51"/>
  <c r="X37"/>
  <c r="X41" s="1"/>
  <c r="S1599"/>
  <c r="N1461"/>
  <c r="O1460"/>
  <c r="N39"/>
  <c r="O38"/>
  <c r="O40"/>
  <c r="Q1574"/>
  <c r="K1648"/>
  <c r="K313"/>
  <c r="L1546"/>
  <c r="L1548" s="1"/>
  <c r="V1197"/>
  <c r="V1494"/>
  <c r="U1938"/>
  <c r="AA1955"/>
  <c r="AA1943" s="1"/>
  <c r="AA1944" s="1"/>
  <c r="Z772"/>
  <c r="Z1142"/>
  <c r="AA100"/>
  <c r="AA103" s="1"/>
  <c r="AA1509"/>
  <c r="AA1512" s="1"/>
  <c r="I210"/>
  <c r="J209"/>
  <c r="S210"/>
  <c r="S248"/>
  <c r="S251" s="1"/>
  <c r="S21"/>
  <c r="T13"/>
  <c r="X1379"/>
  <c r="T1702"/>
  <c r="O1184"/>
  <c r="S783"/>
  <c r="S787" s="1"/>
  <c r="S797"/>
  <c r="S769"/>
  <c r="S772" s="1"/>
  <c r="T564"/>
  <c r="S1017"/>
  <c r="I786"/>
  <c r="N1895"/>
  <c r="O1894"/>
  <c r="K1378"/>
  <c r="K1380" s="1"/>
  <c r="Q1414"/>
  <c r="K1079"/>
  <c r="K1083" s="1"/>
  <c r="K1093"/>
  <c r="L498"/>
  <c r="K350"/>
  <c r="K336"/>
  <c r="K340" s="1"/>
  <c r="L1093"/>
  <c r="L1079"/>
  <c r="L1083" s="1"/>
  <c r="L424"/>
  <c r="Q300"/>
  <c r="P75"/>
  <c r="P69" s="1"/>
  <c r="P1488"/>
  <c r="U913"/>
  <c r="L1586"/>
  <c r="K1586"/>
  <c r="K993"/>
  <c r="K991"/>
  <c r="P1289"/>
  <c r="K176"/>
  <c r="K177" s="1"/>
  <c r="Q617"/>
  <c r="L318"/>
  <c r="K1795"/>
  <c r="K1796" s="1"/>
  <c r="Q935"/>
  <c r="P565"/>
  <c r="Q262"/>
  <c r="Q266" s="1"/>
  <c r="Q276"/>
  <c r="Q498"/>
  <c r="Q499" s="1"/>
  <c r="Q870"/>
  <c r="N1437"/>
  <c r="N1435"/>
  <c r="N1562"/>
  <c r="N1425"/>
  <c r="N1426" s="1"/>
  <c r="S871"/>
  <c r="S857"/>
  <c r="S861" s="1"/>
  <c r="S1972"/>
  <c r="T1970"/>
  <c r="Q1944"/>
  <c r="L834"/>
  <c r="L612"/>
  <c r="U1102"/>
  <c r="U1104" s="1"/>
  <c r="U583"/>
  <c r="T582"/>
  <c r="V1343"/>
  <c r="V1346" s="1"/>
  <c r="V81"/>
  <c r="V82" s="1"/>
  <c r="V232"/>
  <c r="V233" s="1"/>
  <c r="U1419"/>
  <c r="U1420" s="1"/>
  <c r="Z1882"/>
  <c r="AA1956"/>
  <c r="I358"/>
  <c r="J357"/>
  <c r="S136"/>
  <c r="T135"/>
  <c r="S473"/>
  <c r="I1241"/>
  <c r="N1135"/>
  <c r="X1671"/>
  <c r="X1675" s="1"/>
  <c r="X987"/>
  <c r="O1036"/>
  <c r="Y786"/>
  <c r="I1389"/>
  <c r="I1375"/>
  <c r="I1379" s="1"/>
  <c r="I1380" s="1"/>
  <c r="S1019"/>
  <c r="S1005"/>
  <c r="S1009" s="1"/>
  <c r="S1010" s="1"/>
  <c r="O814"/>
  <c r="I1165"/>
  <c r="I795"/>
  <c r="J794"/>
  <c r="S1018"/>
  <c r="S1020" s="1"/>
  <c r="I785"/>
  <c r="I50" i="13" s="1"/>
  <c r="I53" s="1"/>
  <c r="J784" i="10"/>
  <c r="O1896"/>
  <c r="L1523"/>
  <c r="L1527" s="1"/>
  <c r="L1537"/>
  <c r="L1538" s="1"/>
  <c r="L1463"/>
  <c r="L1897"/>
  <c r="P1709"/>
  <c r="P1703" s="1"/>
  <c r="P1704" s="1"/>
  <c r="L1671"/>
  <c r="L1675" s="1"/>
  <c r="L1685"/>
  <c r="L723"/>
  <c r="L709"/>
  <c r="L713" s="1"/>
  <c r="L635"/>
  <c r="L639" s="1"/>
  <c r="L649"/>
  <c r="Q1043"/>
  <c r="K266"/>
  <c r="U1009"/>
  <c r="V639"/>
  <c r="U565"/>
  <c r="U1907"/>
  <c r="U1893"/>
  <c r="U1897" s="1"/>
  <c r="U1375"/>
  <c r="U1379" s="1"/>
  <c r="U1389"/>
  <c r="V1749"/>
  <c r="V1306"/>
  <c r="U709"/>
  <c r="U713" s="1"/>
  <c r="U723"/>
  <c r="V461"/>
  <c r="P76"/>
  <c r="P1932"/>
  <c r="P1925"/>
  <c r="P1926" s="1"/>
  <c r="P741"/>
  <c r="P742" s="1"/>
  <c r="K1437"/>
  <c r="K1287"/>
  <c r="K1289"/>
  <c r="K103"/>
  <c r="Q1283"/>
  <c r="Q1284" s="1"/>
  <c r="Q618"/>
  <c r="P913"/>
  <c r="P244"/>
  <c r="P238" s="1"/>
  <c r="P239" s="1"/>
  <c r="K1728"/>
  <c r="P319"/>
  <c r="P1745"/>
  <c r="P1749" s="1"/>
  <c r="P1750" s="1"/>
  <c r="P1759"/>
  <c r="P1005"/>
  <c r="P1009" s="1"/>
  <c r="P1019"/>
  <c r="Q1380"/>
  <c r="P41"/>
  <c r="S126"/>
  <c r="T125"/>
  <c r="S128"/>
  <c r="S114"/>
  <c r="S118" s="1"/>
  <c r="S119" s="1"/>
  <c r="O145"/>
  <c r="N621"/>
  <c r="N623"/>
  <c r="S1340"/>
  <c r="N1269"/>
  <c r="N1271"/>
  <c r="O592"/>
  <c r="X1728"/>
  <c r="X1721"/>
  <c r="X1722" s="1"/>
  <c r="O1720"/>
  <c r="N1734"/>
  <c r="X1523"/>
  <c r="X1527" s="1"/>
  <c r="X1528" s="1"/>
  <c r="X1537"/>
  <c r="X1538" s="1"/>
  <c r="N1313"/>
  <c r="O1312"/>
  <c r="S1969"/>
  <c r="T1968"/>
  <c r="S1895"/>
  <c r="T1894"/>
  <c r="AA177"/>
  <c r="AA164"/>
  <c r="AA165" s="1"/>
  <c r="I51"/>
  <c r="I37"/>
  <c r="I41" s="1"/>
  <c r="Y1082"/>
  <c r="S1488"/>
  <c r="S1481"/>
  <c r="S1482" s="1"/>
  <c r="I1091"/>
  <c r="J1090"/>
  <c r="N1757"/>
  <c r="O1756"/>
  <c r="X1451"/>
  <c r="Y1450"/>
  <c r="K1005"/>
  <c r="K1009" s="1"/>
  <c r="K1019"/>
  <c r="L1227"/>
  <c r="L1231" s="1"/>
  <c r="L1241"/>
  <c r="L1242" s="1"/>
  <c r="K575"/>
  <c r="K561"/>
  <c r="K565" s="1"/>
  <c r="Q301"/>
  <c r="P523"/>
  <c r="P516"/>
  <c r="P517" s="1"/>
  <c r="V871"/>
  <c r="V857"/>
  <c r="V861" s="1"/>
  <c r="U1316"/>
  <c r="U114"/>
  <c r="U118" s="1"/>
  <c r="U128"/>
  <c r="U129" s="1"/>
  <c r="U1315"/>
  <c r="U1301"/>
  <c r="U1305" s="1"/>
  <c r="U1306" s="1"/>
  <c r="V1019"/>
  <c r="V1005"/>
  <c r="V1009" s="1"/>
  <c r="U1523"/>
  <c r="U1527" s="1"/>
  <c r="U1537"/>
  <c r="K1438"/>
  <c r="K1139"/>
  <c r="K1141"/>
  <c r="K1142" s="1"/>
  <c r="P245"/>
  <c r="P1210"/>
  <c r="P1158"/>
  <c r="P410"/>
  <c r="P414" s="1"/>
  <c r="P424"/>
  <c r="Q114"/>
  <c r="Q118" s="1"/>
  <c r="Q128"/>
  <c r="Q129" s="1"/>
  <c r="P1167"/>
  <c r="P1168" s="1"/>
  <c r="P1153"/>
  <c r="P1157" s="1"/>
  <c r="P1819"/>
  <c r="P1823" s="1"/>
  <c r="P1824" s="1"/>
  <c r="P1833"/>
  <c r="P1834" s="1"/>
  <c r="I119"/>
  <c r="I20" i="12" s="1"/>
  <c r="J117" i="10"/>
  <c r="I496"/>
  <c r="J495"/>
  <c r="S498"/>
  <c r="S484"/>
  <c r="S488" s="1"/>
  <c r="N147"/>
  <c r="S393"/>
  <c r="O293"/>
  <c r="S698"/>
  <c r="S685"/>
  <c r="S686" s="1"/>
  <c r="X1249"/>
  <c r="Y1248"/>
  <c r="S375"/>
  <c r="S368"/>
  <c r="S369" s="1"/>
  <c r="X171"/>
  <c r="N1869"/>
  <c r="N1870" s="1"/>
  <c r="N368"/>
  <c r="N369" s="1"/>
  <c r="AA1824"/>
  <c r="S1565"/>
  <c r="S1568" s="1"/>
  <c r="X805"/>
  <c r="Y804"/>
  <c r="N988"/>
  <c r="N1432"/>
  <c r="O888"/>
  <c r="S1897"/>
  <c r="T1600"/>
  <c r="X60"/>
  <c r="X62" s="1"/>
  <c r="S1896"/>
  <c r="T1896" s="1"/>
  <c r="L1056"/>
  <c r="L1204"/>
  <c r="L908"/>
  <c r="L461"/>
  <c r="Q165"/>
  <c r="L211"/>
  <c r="L213" s="1"/>
  <c r="U1787"/>
  <c r="U1790" s="1"/>
  <c r="U529"/>
  <c r="U2011"/>
  <c r="V1047"/>
  <c r="V1050" s="1"/>
  <c r="AA1142"/>
  <c r="AA1361"/>
  <c r="AA1364" s="1"/>
  <c r="Z248"/>
  <c r="Z251" s="1"/>
  <c r="S41"/>
  <c r="S1420"/>
  <c r="N1195"/>
  <c r="N1198" s="1"/>
  <c r="N1339"/>
  <c r="N1333" s="1"/>
  <c r="N1334" s="1"/>
  <c r="N1117"/>
  <c r="N1111" s="1"/>
  <c r="N1112" s="1"/>
  <c r="J1156"/>
  <c r="N1833"/>
  <c r="X787"/>
  <c r="X788" s="1"/>
  <c r="S1363"/>
  <c r="S1364" s="1"/>
  <c r="X1463"/>
  <c r="X1449"/>
  <c r="X1453" s="1"/>
  <c r="N914"/>
  <c r="I1229"/>
  <c r="I122" i="13" s="1"/>
  <c r="I125" s="1"/>
  <c r="J1228" i="10"/>
  <c r="S1229"/>
  <c r="X1387"/>
  <c r="N731"/>
  <c r="I1693"/>
  <c r="J1692"/>
  <c r="S563"/>
  <c r="T562"/>
  <c r="I1377"/>
  <c r="I146" i="13" s="1"/>
  <c r="I149" s="1"/>
  <c r="J1376" i="10"/>
  <c r="Y1452"/>
  <c r="X1454"/>
  <c r="L1833"/>
  <c r="L1819"/>
  <c r="L1823" s="1"/>
  <c r="K1745"/>
  <c r="K1749" s="1"/>
  <c r="K1759"/>
  <c r="K1611"/>
  <c r="K1597"/>
  <c r="K1601" s="1"/>
  <c r="L1304"/>
  <c r="K1084"/>
  <c r="K857"/>
  <c r="K861" s="1"/>
  <c r="K871"/>
  <c r="Q747"/>
  <c r="Q741" s="1"/>
  <c r="Q742" s="1"/>
  <c r="L722"/>
  <c r="L724" s="1"/>
  <c r="K574"/>
  <c r="K576" s="1"/>
  <c r="K128"/>
  <c r="K129" s="1"/>
  <c r="K114"/>
  <c r="K118" s="1"/>
  <c r="K119" s="1"/>
  <c r="Q226"/>
  <c r="Q220" s="1"/>
  <c r="Q221" s="1"/>
  <c r="K202"/>
  <c r="K203" s="1"/>
  <c r="K188"/>
  <c r="K192" s="1"/>
  <c r="K193" s="1"/>
  <c r="Q594"/>
  <c r="L188"/>
  <c r="L192" s="1"/>
  <c r="L202"/>
  <c r="L203" s="1"/>
  <c r="Q1931"/>
  <c r="Q1925" s="1"/>
  <c r="Q1926" s="1"/>
  <c r="V1802"/>
  <c r="U931"/>
  <c r="U935" s="1"/>
  <c r="U945"/>
  <c r="V1018"/>
  <c r="V1020" s="1"/>
  <c r="V1315"/>
  <c r="V1316" s="1"/>
  <c r="V1301"/>
  <c r="V1305" s="1"/>
  <c r="U51"/>
  <c r="U52" s="1"/>
  <c r="U37"/>
  <c r="U41" s="1"/>
  <c r="V1971"/>
  <c r="P1435"/>
  <c r="P1437"/>
  <c r="K1067"/>
  <c r="K1068" s="1"/>
  <c r="Q994"/>
  <c r="L550"/>
  <c r="Q473"/>
  <c r="P399"/>
  <c r="K1733"/>
  <c r="K1734" s="1"/>
  <c r="O832"/>
  <c r="N846"/>
  <c r="X1241"/>
  <c r="X1227"/>
  <c r="X1231" s="1"/>
  <c r="X1232" s="1"/>
  <c r="T1258"/>
  <c r="O740"/>
  <c r="N748"/>
  <c r="T237"/>
  <c r="P564"/>
  <c r="S466"/>
  <c r="S460" s="1"/>
  <c r="S461" s="1"/>
  <c r="X1209"/>
  <c r="X1210" s="1"/>
  <c r="X348"/>
  <c r="Y347"/>
  <c r="X170"/>
  <c r="X164" s="1"/>
  <c r="X165" s="1"/>
  <c r="X97"/>
  <c r="X358"/>
  <c r="S1630"/>
  <c r="X621"/>
  <c r="O1776"/>
  <c r="X1802"/>
  <c r="X1314"/>
  <c r="N576"/>
  <c r="I1027"/>
  <c r="J1026"/>
  <c r="Y934"/>
  <c r="S943"/>
  <c r="T942"/>
  <c r="J311"/>
  <c r="I324"/>
  <c r="I325" s="1"/>
  <c r="N1357"/>
  <c r="X769"/>
  <c r="O1746"/>
  <c r="I1471"/>
  <c r="J1470"/>
  <c r="X1905"/>
  <c r="Y1904"/>
  <c r="U1731"/>
  <c r="U1734" s="1"/>
  <c r="U991"/>
  <c r="U994" s="1"/>
  <c r="N412"/>
  <c r="N340"/>
  <c r="O191"/>
  <c r="S753"/>
  <c r="S741" s="1"/>
  <c r="S742" s="1"/>
  <c r="S1950"/>
  <c r="X846"/>
  <c r="S1931"/>
  <c r="S1925" s="1"/>
  <c r="S1926" s="1"/>
  <c r="N1380"/>
  <c r="O1378"/>
  <c r="S1081"/>
  <c r="S1822"/>
  <c r="U1339"/>
  <c r="U1333" s="1"/>
  <c r="U1334" s="1"/>
  <c r="V748"/>
  <c r="V375"/>
  <c r="Z1454"/>
  <c r="AA276"/>
  <c r="AA1801"/>
  <c r="AA1795" s="1"/>
  <c r="AA1796" s="1"/>
  <c r="Z1463"/>
  <c r="AA1527"/>
  <c r="AA648"/>
  <c r="AA96"/>
  <c r="AA90" s="1"/>
  <c r="AA91" s="1"/>
  <c r="AA787"/>
  <c r="AA245"/>
  <c r="S1287"/>
  <c r="S1290" s="1"/>
  <c r="N1018"/>
  <c r="S26"/>
  <c r="S27" s="1"/>
  <c r="N1153"/>
  <c r="N1157" s="1"/>
  <c r="N1158" s="1"/>
  <c r="N1167"/>
  <c r="N896"/>
  <c r="S1938"/>
  <c r="I1897"/>
  <c r="X1499"/>
  <c r="X1500" s="1"/>
  <c r="X872"/>
  <c r="L1796"/>
  <c r="Q1426"/>
  <c r="L982"/>
  <c r="Q239"/>
  <c r="K387"/>
  <c r="I1033"/>
  <c r="I885"/>
  <c r="U452"/>
  <c r="U455" s="1"/>
  <c r="AA1583"/>
  <c r="AA1586" s="1"/>
  <c r="AA1250"/>
  <c r="AA1252" s="1"/>
  <c r="Z993"/>
  <c r="S1241"/>
  <c r="S1242" s="1"/>
  <c r="X1389"/>
  <c r="N1580"/>
  <c r="O1332"/>
  <c r="T1480"/>
  <c r="T1378"/>
  <c r="X1462"/>
  <c r="T786"/>
  <c r="S788"/>
  <c r="L1906"/>
  <c r="L1908" s="1"/>
  <c r="L1745"/>
  <c r="L1749" s="1"/>
  <c r="L1824"/>
  <c r="L1452"/>
  <c r="L1454" s="1"/>
  <c r="Q1191"/>
  <c r="L1020"/>
  <c r="L1153"/>
  <c r="L1157" s="1"/>
  <c r="L1167"/>
  <c r="Q375"/>
  <c r="K51"/>
  <c r="L37"/>
  <c r="L41" s="1"/>
  <c r="L42" s="1"/>
  <c r="L51"/>
  <c r="L275"/>
  <c r="V1897"/>
  <c r="V1898" s="1"/>
  <c r="V1153"/>
  <c r="V1157" s="1"/>
  <c r="V1158" s="1"/>
  <c r="U857"/>
  <c r="U861" s="1"/>
  <c r="U862" s="1"/>
  <c r="U871"/>
  <c r="V118"/>
  <c r="V487"/>
  <c r="V489" s="1"/>
  <c r="V318"/>
  <c r="V1896"/>
  <c r="V709"/>
  <c r="V713" s="1"/>
  <c r="V723"/>
  <c r="V724" s="1"/>
  <c r="V839"/>
  <c r="V840" s="1"/>
  <c r="U1008"/>
  <c r="U1010" s="1"/>
  <c r="U410"/>
  <c r="U414" s="1"/>
  <c r="U424"/>
  <c r="V96"/>
  <c r="V90" s="1"/>
  <c r="V91" s="1"/>
  <c r="V336"/>
  <c r="V340" s="1"/>
  <c r="V341" s="1"/>
  <c r="V350"/>
  <c r="V351" s="1"/>
  <c r="U96"/>
  <c r="P1117"/>
  <c r="P1111" s="1"/>
  <c r="P1112" s="1"/>
  <c r="U20"/>
  <c r="U14" s="1"/>
  <c r="U15" s="1"/>
  <c r="U1432"/>
  <c r="U987"/>
  <c r="U981" s="1"/>
  <c r="U982" s="1"/>
  <c r="Q1734"/>
  <c r="Q1660"/>
  <c r="P1842"/>
  <c r="P1844" s="1"/>
  <c r="P1546"/>
  <c r="P1548" s="1"/>
  <c r="Q1209"/>
  <c r="Q1210" s="1"/>
  <c r="P1654"/>
  <c r="L617"/>
  <c r="L618" s="1"/>
  <c r="P544"/>
  <c r="P839"/>
  <c r="P833" s="1"/>
  <c r="P834" s="1"/>
  <c r="P1358"/>
  <c r="K96"/>
  <c r="P1431"/>
  <c r="P1425" s="1"/>
  <c r="P1426" s="1"/>
  <c r="P1580"/>
  <c r="P1610"/>
  <c r="P1906"/>
  <c r="Q1537"/>
  <c r="Q1538" s="1"/>
  <c r="Q649"/>
  <c r="Q640"/>
  <c r="P423"/>
  <c r="P425" s="1"/>
  <c r="Q1833"/>
  <c r="I414"/>
  <c r="I200"/>
  <c r="J199"/>
  <c r="I349"/>
  <c r="J339"/>
  <c r="S497"/>
  <c r="S499" s="1"/>
  <c r="T117"/>
  <c r="S188"/>
  <c r="S192" s="1"/>
  <c r="S193" s="1"/>
  <c r="S202"/>
  <c r="N375"/>
  <c r="N301"/>
  <c r="X970"/>
  <c r="X963"/>
  <c r="X964" s="1"/>
  <c r="N1955"/>
  <c r="O906"/>
  <c r="T1924"/>
  <c r="S60"/>
  <c r="S62" s="1"/>
  <c r="S224"/>
  <c r="S227" s="1"/>
  <c r="X190"/>
  <c r="Y189"/>
  <c r="Y413"/>
  <c r="X392"/>
  <c r="X386" s="1"/>
  <c r="X387" s="1"/>
  <c r="X398"/>
  <c r="X399" s="1"/>
  <c r="X1585"/>
  <c r="N692"/>
  <c r="X692"/>
  <c r="I543"/>
  <c r="I537" s="1"/>
  <c r="I538" s="1"/>
  <c r="T666"/>
  <c r="S668"/>
  <c r="N765"/>
  <c r="S1728"/>
  <c r="J1794"/>
  <c r="I1833"/>
  <c r="N617"/>
  <c r="N611" s="1"/>
  <c r="N612" s="1"/>
  <c r="I564"/>
  <c r="J564" s="1"/>
  <c r="Y1006"/>
  <c r="I1831"/>
  <c r="I648"/>
  <c r="J1968"/>
  <c r="N59"/>
  <c r="O58"/>
  <c r="T1524"/>
  <c r="J385"/>
  <c r="N284"/>
  <c r="O283"/>
  <c r="I174"/>
  <c r="I177" s="1"/>
  <c r="N393"/>
  <c r="N170"/>
  <c r="N164" s="1"/>
  <c r="N165" s="1"/>
  <c r="X1192"/>
  <c r="X1185"/>
  <c r="X1186" s="1"/>
  <c r="S617"/>
  <c r="S611" s="1"/>
  <c r="S612" s="1"/>
  <c r="P1121"/>
  <c r="P1124" s="1"/>
  <c r="Q380"/>
  <c r="V1734"/>
  <c r="V103"/>
  <c r="U1586"/>
  <c r="U1955"/>
  <c r="U1956" s="1"/>
  <c r="P975"/>
  <c r="P976" s="1"/>
  <c r="P1047"/>
  <c r="P1050" s="1"/>
  <c r="U325"/>
  <c r="O347"/>
  <c r="N422"/>
  <c r="O421"/>
  <c r="N116"/>
  <c r="O115"/>
  <c r="X695"/>
  <c r="X1068"/>
  <c r="O1942"/>
  <c r="N1565"/>
  <c r="N1568" s="1"/>
  <c r="N51"/>
  <c r="S1102"/>
  <c r="S1104" s="1"/>
  <c r="Y1526"/>
  <c r="V448"/>
  <c r="V442" s="1"/>
  <c r="V443" s="1"/>
  <c r="U375"/>
  <c r="V1487"/>
  <c r="V1488" s="1"/>
  <c r="U1118"/>
  <c r="U227"/>
  <c r="U153"/>
  <c r="AA1653"/>
  <c r="AA1647" s="1"/>
  <c r="AA1648" s="1"/>
  <c r="Z1449"/>
  <c r="Z1453" s="1"/>
  <c r="Z164"/>
  <c r="Z165" s="1"/>
  <c r="AA1283"/>
  <c r="AA1277" s="1"/>
  <c r="AA1278" s="1"/>
  <c r="Z786"/>
  <c r="Z1227"/>
  <c r="Z1231" s="1"/>
  <c r="Z1232" s="1"/>
  <c r="Z1241"/>
  <c r="Z1242" s="1"/>
  <c r="AA1537"/>
  <c r="AA1538" s="1"/>
  <c r="AA1358"/>
  <c r="Z1093"/>
  <c r="Z1579"/>
  <c r="Z1573" s="1"/>
  <c r="Z1574" s="1"/>
  <c r="AA318"/>
  <c r="Z1062"/>
  <c r="Z191"/>
  <c r="N1807"/>
  <c r="N1808" s="1"/>
  <c r="S722"/>
  <c r="X1545"/>
  <c r="Y1544"/>
  <c r="N1083"/>
  <c r="N1084" s="1"/>
  <c r="S1082"/>
  <c r="T1082" s="1"/>
  <c r="I1463"/>
  <c r="X871"/>
  <c r="X20"/>
  <c r="Y13"/>
  <c r="N1323"/>
  <c r="O1322"/>
  <c r="I1895"/>
  <c r="I230" i="13" s="1"/>
  <c r="I233" s="1"/>
  <c r="J1894" i="10"/>
  <c r="Q1870"/>
  <c r="Q1648"/>
  <c r="L1500"/>
  <c r="Q313"/>
  <c r="Q760"/>
  <c r="I1329"/>
  <c r="K760"/>
  <c r="K1990"/>
  <c r="K1992" s="1"/>
  <c r="L658"/>
  <c r="L660" s="1"/>
  <c r="L60"/>
  <c r="L62" s="1"/>
  <c r="V1028"/>
  <c r="V1030" s="1"/>
  <c r="V211"/>
  <c r="V213" s="1"/>
  <c r="V1567"/>
  <c r="V1568" s="1"/>
  <c r="V306"/>
  <c r="V307" s="1"/>
  <c r="U378"/>
  <c r="U381" s="1"/>
  <c r="U1493"/>
  <c r="U1494" s="1"/>
  <c r="V1641"/>
  <c r="U1124"/>
  <c r="V1787"/>
  <c r="V1790" s="1"/>
  <c r="U1049"/>
  <c r="U1050" s="1"/>
  <c r="AA1731"/>
  <c r="AA1734" s="1"/>
  <c r="Z695"/>
  <c r="Z698" s="1"/>
  <c r="AA1028"/>
  <c r="AA1030" s="1"/>
  <c r="Z60"/>
  <c r="Z62" s="1"/>
  <c r="Z322"/>
  <c r="Z325" s="1"/>
  <c r="AA248"/>
  <c r="AA251" s="1"/>
  <c r="J1276"/>
  <c r="S987"/>
  <c r="S988" s="1"/>
  <c r="S1135"/>
  <c r="N1417"/>
  <c r="N1420" s="1"/>
  <c r="N970"/>
  <c r="O758"/>
  <c r="N1907"/>
  <c r="N1908" s="1"/>
  <c r="S1165"/>
  <c r="T1164"/>
  <c r="N1831"/>
  <c r="O1830"/>
  <c r="S796"/>
  <c r="S798" s="1"/>
  <c r="S1387"/>
  <c r="T1386"/>
  <c r="S806"/>
  <c r="S808" s="1"/>
  <c r="I1915"/>
  <c r="J1914"/>
  <c r="K1907"/>
  <c r="K1600"/>
  <c r="K1602" s="1"/>
  <c r="K1153"/>
  <c r="K1157" s="1"/>
  <c r="L1230"/>
  <c r="L1232" s="1"/>
  <c r="K1301"/>
  <c r="K1305" s="1"/>
  <c r="K1168"/>
  <c r="K265"/>
  <c r="K267" s="1"/>
  <c r="L117"/>
  <c r="L119" s="1"/>
  <c r="Q890"/>
  <c r="K638"/>
  <c r="Q522"/>
  <c r="Q523" s="1"/>
  <c r="Q75"/>
  <c r="K487"/>
  <c r="K797"/>
  <c r="Q1784"/>
  <c r="U1832"/>
  <c r="U722"/>
  <c r="U724" s="1"/>
  <c r="U1526"/>
  <c r="U1528" s="1"/>
  <c r="V1653"/>
  <c r="V1654" s="1"/>
  <c r="V691"/>
  <c r="U415"/>
  <c r="U944"/>
  <c r="U946" s="1"/>
  <c r="V564"/>
  <c r="U244"/>
  <c r="U245" s="1"/>
  <c r="P1339"/>
  <c r="P1333" s="1"/>
  <c r="P1334" s="1"/>
  <c r="U1579"/>
  <c r="U1573" s="1"/>
  <c r="U1574" s="1"/>
  <c r="U1358"/>
  <c r="U840"/>
  <c r="Q1438"/>
  <c r="K1213"/>
  <c r="K1216" s="1"/>
  <c r="O804"/>
  <c r="P1249"/>
  <c r="O1248"/>
  <c r="L698"/>
  <c r="L920"/>
  <c r="P1990"/>
  <c r="P1992" s="1"/>
  <c r="K1509"/>
  <c r="K1512" s="1"/>
  <c r="K623"/>
  <c r="P248"/>
  <c r="P251" s="1"/>
  <c r="P621"/>
  <c r="P624" s="1"/>
  <c r="Q1875"/>
  <c r="Q1876" s="1"/>
  <c r="L987"/>
  <c r="L988" s="1"/>
  <c r="Q987"/>
  <c r="Q988" s="1"/>
  <c r="Q543"/>
  <c r="Q544" s="1"/>
  <c r="K1209"/>
  <c r="K1203" s="1"/>
  <c r="K1204" s="1"/>
  <c r="K839"/>
  <c r="K833" s="1"/>
  <c r="K834" s="1"/>
  <c r="K1284"/>
  <c r="P618"/>
  <c r="P1505"/>
  <c r="P1499" s="1"/>
  <c r="P1500" s="1"/>
  <c r="Q1832"/>
  <c r="Q1834" s="1"/>
  <c r="Q1453"/>
  <c r="Q1523"/>
  <c r="Q1527" s="1"/>
  <c r="Q1528" s="1"/>
  <c r="Q1674"/>
  <c r="Q1676" s="1"/>
  <c r="Q635"/>
  <c r="Q639" s="1"/>
  <c r="P202"/>
  <c r="Q722"/>
  <c r="Q40"/>
  <c r="P413"/>
  <c r="P415" s="1"/>
  <c r="Q37"/>
  <c r="Q41" s="1"/>
  <c r="Q51"/>
  <c r="Q52" s="1"/>
  <c r="P870"/>
  <c r="P266"/>
  <c r="P267" s="1"/>
  <c r="Q487"/>
  <c r="O515"/>
  <c r="I486"/>
  <c r="J485"/>
  <c r="I275"/>
  <c r="S190"/>
  <c r="T189"/>
  <c r="S486"/>
  <c r="T485"/>
  <c r="S318"/>
  <c r="S312" s="1"/>
  <c r="S313" s="1"/>
  <c r="N150"/>
  <c r="N153" s="1"/>
  <c r="S244"/>
  <c r="S238" s="1"/>
  <c r="S239" s="1"/>
  <c r="X1037"/>
  <c r="X1038" s="1"/>
  <c r="S1191"/>
  <c r="S1192" s="1"/>
  <c r="N917"/>
  <c r="N920" s="1"/>
  <c r="X647"/>
  <c r="Y646"/>
  <c r="I1842"/>
  <c r="I1844" s="1"/>
  <c r="S448"/>
  <c r="S442" s="1"/>
  <c r="S443" s="1"/>
  <c r="X461"/>
  <c r="X202"/>
  <c r="X498"/>
  <c r="X250"/>
  <c r="X251" s="1"/>
  <c r="AA1340"/>
  <c r="I1611"/>
  <c r="N1047"/>
  <c r="N1050" s="1"/>
  <c r="N575"/>
  <c r="N1213"/>
  <c r="T1720"/>
  <c r="S1802"/>
  <c r="I1505"/>
  <c r="Y1608"/>
  <c r="I1610"/>
  <c r="I1612" s="1"/>
  <c r="O720"/>
  <c r="O1156"/>
  <c r="X1155"/>
  <c r="Y1154"/>
  <c r="O636"/>
  <c r="O1238"/>
  <c r="J237"/>
  <c r="I398"/>
  <c r="I399" s="1"/>
  <c r="N102"/>
  <c r="N90" s="1"/>
  <c r="N91" s="1"/>
  <c r="N466"/>
  <c r="N460" s="1"/>
  <c r="N461" s="1"/>
  <c r="X1932"/>
  <c r="I981"/>
  <c r="I982" s="1"/>
  <c r="O1924"/>
  <c r="I1324"/>
  <c r="I1326" s="1"/>
  <c r="I1767"/>
  <c r="J1766"/>
  <c r="P1716"/>
  <c r="Q606"/>
  <c r="Q79"/>
  <c r="Q82" s="1"/>
  <c r="U398"/>
  <c r="U1141"/>
  <c r="U1142" s="1"/>
  <c r="V1438"/>
  <c r="P1789"/>
  <c r="P1271"/>
  <c r="J1942"/>
  <c r="N945"/>
  <c r="O1080"/>
  <c r="X1750"/>
  <c r="Y1748"/>
  <c r="I658"/>
  <c r="I660" s="1"/>
  <c r="T952"/>
  <c r="Y48"/>
  <c r="U517"/>
  <c r="V523"/>
  <c r="U964"/>
  <c r="U822"/>
  <c r="AA1728"/>
  <c r="AA1822"/>
  <c r="AA1231"/>
  <c r="AA1506"/>
  <c r="AA1389"/>
  <c r="AA1390" s="1"/>
  <c r="AA1005"/>
  <c r="AA1009" s="1"/>
  <c r="AA1019"/>
  <c r="AA275"/>
  <c r="Z1907"/>
  <c r="Y1534"/>
  <c r="AA488"/>
  <c r="Z1949"/>
  <c r="AA1832"/>
  <c r="AA1834" s="1"/>
  <c r="Z1980"/>
  <c r="Z1982" s="1"/>
  <c r="AA1579"/>
  <c r="AA1573" s="1"/>
  <c r="AA1574" s="1"/>
  <c r="AA1166"/>
  <c r="AA1168" s="1"/>
  <c r="Z840"/>
  <c r="AA713"/>
  <c r="Z913"/>
  <c r="Z449"/>
  <c r="I1176"/>
  <c r="I1178" s="1"/>
  <c r="X1287"/>
  <c r="X1290" s="1"/>
  <c r="X1749"/>
  <c r="X857"/>
  <c r="X861" s="1"/>
  <c r="T832"/>
  <c r="S1609"/>
  <c r="T1608"/>
  <c r="O1302"/>
  <c r="X1989"/>
  <c r="Y1988"/>
  <c r="I1452"/>
  <c r="L1944"/>
  <c r="L1870"/>
  <c r="L1426"/>
  <c r="P460"/>
  <c r="P461" s="1"/>
  <c r="I142"/>
  <c r="I65"/>
  <c r="K1102"/>
  <c r="K1104" s="1"/>
  <c r="K137"/>
  <c r="K139" s="1"/>
  <c r="V60"/>
  <c r="V62" s="1"/>
  <c r="U359"/>
  <c r="U361" s="1"/>
  <c r="V658"/>
  <c r="V660" s="1"/>
  <c r="U158"/>
  <c r="U159" s="1"/>
  <c r="V1935"/>
  <c r="V1938" s="1"/>
  <c r="V901"/>
  <c r="V902" s="1"/>
  <c r="V1271"/>
  <c r="V455"/>
  <c r="U973"/>
  <c r="U976" s="1"/>
  <c r="AA1879"/>
  <c r="AA1882" s="1"/>
  <c r="Z1842"/>
  <c r="Z1844" s="1"/>
  <c r="Z1398"/>
  <c r="Z1400" s="1"/>
  <c r="Z623"/>
  <c r="Z624" s="1"/>
  <c r="AA1215"/>
  <c r="AA1067"/>
  <c r="AA1055" s="1"/>
  <c r="AA1056" s="1"/>
  <c r="Z845"/>
  <c r="Z846" s="1"/>
  <c r="I432"/>
  <c r="J431"/>
  <c r="J1572"/>
  <c r="I1135"/>
  <c r="I1129" s="1"/>
  <c r="I1130" s="1"/>
  <c r="X1659"/>
  <c r="X1647" s="1"/>
  <c r="X1648" s="1"/>
  <c r="Y1054"/>
  <c r="S1044"/>
  <c r="I1167"/>
  <c r="I1168" s="1"/>
  <c r="S1153"/>
  <c r="S1157" s="1"/>
  <c r="T980"/>
  <c r="X1432"/>
  <c r="T758"/>
  <c r="I1155"/>
  <c r="I110" i="13" s="1"/>
  <c r="I113" s="1"/>
  <c r="I806" i="10"/>
  <c r="I808" s="1"/>
  <c r="O1904"/>
  <c r="S1916"/>
  <c r="S1918" s="1"/>
  <c r="K40"/>
  <c r="K42" s="1"/>
  <c r="K1896"/>
  <c r="K1898" s="1"/>
  <c r="K1523"/>
  <c r="K1527" s="1"/>
  <c r="K1537"/>
  <c r="K1156"/>
  <c r="K1158" s="1"/>
  <c r="K1018"/>
  <c r="K1020" s="1"/>
  <c r="K796"/>
  <c r="K712"/>
  <c r="K50"/>
  <c r="K52" s="1"/>
  <c r="V1611"/>
  <c r="U1654"/>
  <c r="U1242"/>
  <c r="U487"/>
  <c r="U489" s="1"/>
  <c r="V1648"/>
  <c r="V1906"/>
  <c r="U1082"/>
  <c r="U1084" s="1"/>
  <c r="V1579"/>
  <c r="V1573" s="1"/>
  <c r="V1574" s="1"/>
  <c r="V1610"/>
  <c r="V1612" s="1"/>
  <c r="V765"/>
  <c r="V759" s="1"/>
  <c r="V117"/>
  <c r="V1970"/>
  <c r="V1972" s="1"/>
  <c r="Q550"/>
  <c r="P60"/>
  <c r="P62" s="1"/>
  <c r="K1363"/>
  <c r="K1364" s="1"/>
  <c r="L1727"/>
  <c r="L1728" s="1"/>
  <c r="L96"/>
  <c r="L97" s="1"/>
  <c r="L392"/>
  <c r="L393" s="1"/>
  <c r="Q318"/>
  <c r="Q319" s="1"/>
  <c r="K466"/>
  <c r="K460" s="1"/>
  <c r="K461" s="1"/>
  <c r="P96"/>
  <c r="P90" s="1"/>
  <c r="P91" s="1"/>
  <c r="P1876"/>
  <c r="P170"/>
  <c r="P164" s="1"/>
  <c r="P165" s="1"/>
  <c r="P1284"/>
  <c r="K1061"/>
  <c r="K170"/>
  <c r="K164" s="1"/>
  <c r="K165" s="1"/>
  <c r="Q1684"/>
  <c r="Q1686" s="1"/>
  <c r="P1675"/>
  <c r="P1676" s="1"/>
  <c r="P1389"/>
  <c r="P1378"/>
  <c r="Q1093"/>
  <c r="Q1389"/>
  <c r="Q1390" s="1"/>
  <c r="Q1092"/>
  <c r="Q786"/>
  <c r="Q1167"/>
  <c r="Q1168" s="1"/>
  <c r="Q575"/>
  <c r="Q576" s="1"/>
  <c r="P709"/>
  <c r="P713" s="1"/>
  <c r="P723"/>
  <c r="P276"/>
  <c r="P575"/>
  <c r="P1971"/>
  <c r="P1972" s="1"/>
  <c r="I422"/>
  <c r="J421"/>
  <c r="J191"/>
  <c r="S349"/>
  <c r="S351" s="1"/>
  <c r="S276"/>
  <c r="S277" s="1"/>
  <c r="S410"/>
  <c r="S414" s="1"/>
  <c r="S424"/>
  <c r="S425" s="1"/>
  <c r="S336"/>
  <c r="S340" s="1"/>
  <c r="S265"/>
  <c r="T265" s="1"/>
  <c r="Z1340"/>
  <c r="Z1333"/>
  <c r="Z1334" s="1"/>
  <c r="N697"/>
  <c r="N698" s="1"/>
  <c r="X1135"/>
  <c r="S1266"/>
  <c r="N1822"/>
  <c r="N953"/>
  <c r="O952"/>
  <c r="Y1228"/>
  <c r="T145"/>
  <c r="X276"/>
  <c r="Y431"/>
  <c r="X174"/>
  <c r="X177" s="1"/>
  <c r="X473"/>
  <c r="X889"/>
  <c r="X890" s="1"/>
  <c r="X1277"/>
  <c r="X1278" s="1"/>
  <c r="I1061"/>
  <c r="T1184"/>
  <c r="I723"/>
  <c r="I724" s="1"/>
  <c r="O684"/>
  <c r="N543"/>
  <c r="N537" s="1"/>
  <c r="N538" s="1"/>
  <c r="S920"/>
  <c r="N1802"/>
  <c r="N1857"/>
  <c r="N1851" s="1"/>
  <c r="N1852" s="1"/>
  <c r="S1857"/>
  <c r="S1858" s="1"/>
  <c r="X1967"/>
  <c r="X1971" s="1"/>
  <c r="X1981"/>
  <c r="X1982" s="1"/>
  <c r="O1498"/>
  <c r="N1176"/>
  <c r="N1178" s="1"/>
  <c r="S1092"/>
  <c r="S1094" s="1"/>
  <c r="I1314"/>
  <c r="I712"/>
  <c r="N563"/>
  <c r="O562"/>
  <c r="S1748"/>
  <c r="I1526"/>
  <c r="I473"/>
  <c r="I318"/>
  <c r="I312" s="1"/>
  <c r="I313" s="1"/>
  <c r="N1493"/>
  <c r="O666"/>
  <c r="S1323"/>
  <c r="T1322"/>
  <c r="X1471"/>
  <c r="Y1470"/>
  <c r="N1028"/>
  <c r="N1030" s="1"/>
  <c r="X1896"/>
  <c r="Y1896" s="1"/>
  <c r="Q1272"/>
  <c r="Q1567"/>
  <c r="Q828"/>
  <c r="P529"/>
  <c r="V387"/>
  <c r="V993"/>
  <c r="V994" s="1"/>
  <c r="V1879"/>
  <c r="V1882" s="1"/>
  <c r="V473"/>
  <c r="P1938"/>
  <c r="N202"/>
  <c r="N203" s="1"/>
  <c r="N265"/>
  <c r="O265" s="1"/>
  <c r="N127"/>
  <c r="N129" s="1"/>
  <c r="N128"/>
  <c r="S1123"/>
  <c r="S1111" s="1"/>
  <c r="S1112" s="1"/>
  <c r="X1759"/>
  <c r="X1760" s="1"/>
  <c r="N1101"/>
  <c r="O1100"/>
  <c r="X1768"/>
  <c r="X1770" s="1"/>
  <c r="I637"/>
  <c r="I26" i="13" s="1"/>
  <c r="I29" s="1"/>
  <c r="J636" i="10"/>
  <c r="O932"/>
  <c r="S869"/>
  <c r="T868"/>
  <c r="U448"/>
  <c r="U599"/>
  <c r="U593" s="1"/>
  <c r="U594" s="1"/>
  <c r="U1487"/>
  <c r="U1857"/>
  <c r="V1339"/>
  <c r="V1333" s="1"/>
  <c r="V1334" s="1"/>
  <c r="U300"/>
  <c r="U294" s="1"/>
  <c r="U295" s="1"/>
  <c r="Z489"/>
  <c r="AA1875"/>
  <c r="AA1869" s="1"/>
  <c r="AA1870" s="1"/>
  <c r="Z648"/>
  <c r="Z650" s="1"/>
  <c r="AA498"/>
  <c r="AA499" s="1"/>
  <c r="Z1721"/>
  <c r="Z1722" s="1"/>
  <c r="Z1833"/>
  <c r="Z1834" s="1"/>
  <c r="Z1432"/>
  <c r="AA20"/>
  <c r="AA543"/>
  <c r="AA544" s="1"/>
  <c r="AA128"/>
  <c r="AA129" s="1"/>
  <c r="AA423"/>
  <c r="Z1748"/>
  <c r="Z1750" s="1"/>
  <c r="Z1092"/>
  <c r="Z1094" s="1"/>
  <c r="Z50"/>
  <c r="Z52" s="1"/>
  <c r="AA414"/>
  <c r="Z40"/>
  <c r="Z42" s="1"/>
  <c r="AA1777"/>
  <c r="AA1778" s="1"/>
  <c r="Y1230"/>
  <c r="X1242"/>
  <c r="X277"/>
  <c r="Y339"/>
  <c r="X90"/>
  <c r="X91" s="1"/>
  <c r="T1628"/>
  <c r="X1315"/>
  <c r="X1823"/>
  <c r="X931"/>
  <c r="X935" s="1"/>
  <c r="X936" s="1"/>
  <c r="X945"/>
  <c r="O1230"/>
  <c r="N26"/>
  <c r="N14" s="1"/>
  <c r="N15" s="1"/>
  <c r="S1619"/>
  <c r="T1618"/>
  <c r="J1304"/>
  <c r="I721"/>
  <c r="J720"/>
  <c r="S1757"/>
  <c r="T1756"/>
  <c r="X1822"/>
  <c r="T1460"/>
  <c r="I1980"/>
  <c r="O860"/>
  <c r="I393"/>
  <c r="S1435"/>
  <c r="S1438" s="1"/>
  <c r="N673"/>
  <c r="N667" s="1"/>
  <c r="N668" s="1"/>
  <c r="S635"/>
  <c r="S639" s="1"/>
  <c r="S649"/>
  <c r="O1868"/>
  <c r="P1491"/>
  <c r="P1494" s="1"/>
  <c r="P594"/>
  <c r="Q1197"/>
  <c r="Q1198" s="1"/>
  <c r="Q306"/>
  <c r="Q307" s="1"/>
  <c r="Q1863"/>
  <c r="Q1864" s="1"/>
  <c r="U685"/>
  <c r="U686" s="1"/>
  <c r="O413"/>
  <c r="N415"/>
  <c r="O337"/>
  <c r="N190"/>
  <c r="O189"/>
  <c r="N267"/>
  <c r="S1932"/>
  <c r="N1377"/>
  <c r="O1376"/>
  <c r="Y1100"/>
  <c r="J858"/>
  <c r="Z788"/>
  <c r="Z1136"/>
  <c r="AA336"/>
  <c r="AA340" s="1"/>
  <c r="AA350"/>
  <c r="N82"/>
  <c r="S732"/>
  <c r="S734" s="1"/>
  <c r="S711"/>
  <c r="T710"/>
  <c r="N1055"/>
  <c r="N1056" s="1"/>
  <c r="T1776"/>
  <c r="N890"/>
  <c r="I438"/>
  <c r="I1255"/>
  <c r="L1102"/>
  <c r="L1104" s="1"/>
  <c r="K583"/>
  <c r="J582"/>
  <c r="Z994"/>
  <c r="J505"/>
  <c r="T1406"/>
  <c r="X1388"/>
  <c r="T1110"/>
  <c r="N822"/>
  <c r="I783"/>
  <c r="I787" s="1"/>
  <c r="I797"/>
  <c r="I798" s="1"/>
  <c r="O962"/>
  <c r="S49"/>
  <c r="T48"/>
  <c r="L1748"/>
  <c r="L1750" s="1"/>
  <c r="K860"/>
  <c r="K862" s="1"/>
  <c r="L638"/>
  <c r="L640" s="1"/>
  <c r="L262"/>
  <c r="L266" s="1"/>
  <c r="L267" s="1"/>
  <c r="L276"/>
  <c r="K870"/>
  <c r="V760"/>
  <c r="U640"/>
  <c r="V1010"/>
  <c r="V1240"/>
  <c r="V1242" s="1"/>
  <c r="U714"/>
  <c r="U1684"/>
  <c r="U1686" s="1"/>
  <c r="P1630"/>
  <c r="U21"/>
  <c r="Q1324"/>
  <c r="Q1326" s="1"/>
  <c r="P1648"/>
  <c r="P538"/>
  <c r="P1432"/>
  <c r="P1573"/>
  <c r="P1574" s="1"/>
  <c r="Q1745"/>
  <c r="Q1749" s="1"/>
  <c r="Q1759"/>
  <c r="P1301"/>
  <c r="P1305" s="1"/>
  <c r="P1306" s="1"/>
  <c r="P1315"/>
  <c r="P1079"/>
  <c r="P1083" s="1"/>
  <c r="P1093"/>
  <c r="P341"/>
  <c r="Q1967"/>
  <c r="Q1971" s="1"/>
  <c r="Q1981"/>
  <c r="I412"/>
  <c r="J411"/>
  <c r="I336"/>
  <c r="I340" s="1"/>
  <c r="I341" s="1"/>
  <c r="I53" i="12" s="1"/>
  <c r="I51" s="1"/>
  <c r="I46" s="1"/>
  <c r="I350" i="10"/>
  <c r="I338"/>
  <c r="J337"/>
  <c r="T263"/>
  <c r="T191"/>
  <c r="S648"/>
  <c r="S650" s="1"/>
  <c r="I879"/>
  <c r="J878"/>
  <c r="T441"/>
  <c r="X499"/>
  <c r="X412"/>
  <c r="Y411"/>
  <c r="X264"/>
  <c r="Y263"/>
  <c r="N1597"/>
  <c r="N1601" s="1"/>
  <c r="N1611"/>
  <c r="T1332"/>
  <c r="Y1304"/>
  <c r="I544"/>
  <c r="Y1302"/>
  <c r="T1312"/>
  <c r="J562"/>
  <c r="I1748"/>
  <c r="I1834"/>
  <c r="I1007"/>
  <c r="I86" i="13" s="1"/>
  <c r="I89" s="1"/>
  <c r="J1006" i="10"/>
  <c r="N879"/>
  <c r="O878"/>
  <c r="J932"/>
  <c r="N137"/>
  <c r="N139" s="1"/>
  <c r="N432"/>
  <c r="O431"/>
  <c r="N171"/>
  <c r="N486"/>
  <c r="O485"/>
  <c r="O1304"/>
  <c r="S1055"/>
  <c r="S1056" s="1"/>
  <c r="O48"/>
  <c r="Y730"/>
  <c r="I953"/>
  <c r="J952"/>
  <c r="U369"/>
  <c r="U1185"/>
  <c r="U1186" s="1"/>
  <c r="U146"/>
  <c r="U147" s="1"/>
  <c r="AA1008"/>
  <c r="AA1010" s="1"/>
  <c r="Z934"/>
  <c r="Z203"/>
  <c r="AA117"/>
  <c r="AA119" s="1"/>
  <c r="X1546"/>
  <c r="X1548" s="1"/>
  <c r="S1084"/>
  <c r="J832"/>
  <c r="T1554"/>
  <c r="Y860"/>
  <c r="X862"/>
  <c r="N1525"/>
  <c r="O1524"/>
  <c r="V1620"/>
  <c r="V1622" s="1"/>
  <c r="V137"/>
  <c r="V139" s="1"/>
  <c r="V1642"/>
  <c r="AA238"/>
  <c r="S1227"/>
  <c r="S1231" s="1"/>
  <c r="O1128"/>
  <c r="S538"/>
  <c r="T814"/>
  <c r="S1380"/>
  <c r="J38"/>
  <c r="X1176"/>
  <c r="X1178" s="1"/>
  <c r="X1674"/>
  <c r="X953"/>
  <c r="Y952"/>
  <c r="S805"/>
  <c r="T804"/>
  <c r="K1906"/>
  <c r="Q1482"/>
  <c r="K1314"/>
  <c r="K1316" s="1"/>
  <c r="L1166"/>
  <c r="L1168" s="1"/>
  <c r="K1010"/>
  <c r="U1906"/>
  <c r="U1908" s="1"/>
  <c r="V1094"/>
  <c r="V1674"/>
  <c r="U1388"/>
  <c r="U1390" s="1"/>
  <c r="V566"/>
  <c r="U635"/>
  <c r="U639" s="1"/>
  <c r="U649"/>
  <c r="P1340"/>
  <c r="U833"/>
  <c r="U834" s="1"/>
  <c r="K1210"/>
  <c r="P981"/>
  <c r="P982" s="1"/>
  <c r="P931"/>
  <c r="P935" s="1"/>
  <c r="P936" s="1"/>
  <c r="P945"/>
  <c r="P946" s="1"/>
  <c r="Q1301"/>
  <c r="Q1305" s="1"/>
  <c r="Q1315"/>
  <c r="P1092"/>
  <c r="P1094" s="1"/>
  <c r="Q275"/>
  <c r="Q277" s="1"/>
  <c r="Q1972"/>
  <c r="Q1748"/>
  <c r="Q1750" s="1"/>
  <c r="Q1980"/>
  <c r="Q1982" s="1"/>
  <c r="I484"/>
  <c r="I488" s="1"/>
  <c r="I498"/>
  <c r="I499" s="1"/>
  <c r="T413"/>
  <c r="S415"/>
  <c r="O441"/>
  <c r="I1250"/>
  <c r="I1252" s="1"/>
  <c r="S449"/>
  <c r="X313"/>
  <c r="Y485"/>
  <c r="X1153"/>
  <c r="X1157" s="1"/>
  <c r="X1167"/>
  <c r="X1168" s="1"/>
  <c r="O1480"/>
  <c r="I1609"/>
  <c r="J1608"/>
  <c r="N724"/>
  <c r="X1156"/>
  <c r="S1303"/>
  <c r="T1302"/>
  <c r="T1008"/>
  <c r="X1979"/>
  <c r="Y1978"/>
  <c r="I944"/>
  <c r="I1535"/>
  <c r="J1534"/>
  <c r="N210"/>
  <c r="O209"/>
  <c r="Z1118"/>
  <c r="I1323"/>
  <c r="J1322"/>
  <c r="O1006"/>
  <c r="U399"/>
  <c r="U846"/>
  <c r="N351"/>
  <c r="I1397"/>
  <c r="J1396"/>
  <c r="O1164"/>
  <c r="J656"/>
  <c r="N943"/>
  <c r="O942"/>
  <c r="U674"/>
  <c r="U815"/>
  <c r="U816" s="1"/>
  <c r="AA1721"/>
  <c r="AA1722" s="1"/>
  <c r="AA1610"/>
  <c r="AA1612" s="1"/>
  <c r="AA786"/>
  <c r="AA788" s="1"/>
  <c r="AA262"/>
  <c r="AA266" s="1"/>
  <c r="AA267" s="1"/>
  <c r="Z1388"/>
  <c r="Z1390" s="1"/>
  <c r="AA349"/>
  <c r="AA351" s="1"/>
  <c r="Z685"/>
  <c r="Z686" s="1"/>
  <c r="Z413"/>
  <c r="Z415" s="1"/>
  <c r="Z1950"/>
  <c r="Z563"/>
  <c r="Y562"/>
  <c r="AA712"/>
  <c r="Z1488"/>
  <c r="S1597"/>
  <c r="S1601" s="1"/>
  <c r="S1602" s="1"/>
  <c r="S1721"/>
  <c r="S1722" s="1"/>
  <c r="I840"/>
  <c r="S1610"/>
  <c r="S1612" s="1"/>
  <c r="L1694"/>
  <c r="L1696" s="1"/>
  <c r="K1176"/>
  <c r="K1178" s="1"/>
  <c r="L285"/>
  <c r="L287" s="1"/>
  <c r="L359"/>
  <c r="L361" s="1"/>
  <c r="U1768"/>
  <c r="U1770" s="1"/>
  <c r="U1398"/>
  <c r="U1400" s="1"/>
  <c r="V1272"/>
  <c r="Y1396"/>
  <c r="AA1068"/>
  <c r="S1203"/>
  <c r="S1204" s="1"/>
  <c r="T1202"/>
  <c r="X1660"/>
  <c r="X1426"/>
  <c r="J48"/>
  <c r="S40"/>
  <c r="X1378"/>
  <c r="J1080"/>
  <c r="I1388"/>
  <c r="I1390" s="1"/>
  <c r="J1016"/>
  <c r="S1915"/>
  <c r="T1914"/>
  <c r="L1462"/>
  <c r="L1464" s="1"/>
  <c r="K1832"/>
  <c r="K1304"/>
  <c r="K1306" s="1"/>
  <c r="Q1266"/>
  <c r="K564"/>
  <c r="K648"/>
  <c r="K339"/>
  <c r="K341" s="1"/>
  <c r="V931"/>
  <c r="V935" s="1"/>
  <c r="V945"/>
  <c r="V638"/>
  <c r="V640" s="1"/>
  <c r="U1648"/>
  <c r="U265"/>
  <c r="U267" s="1"/>
  <c r="V1056"/>
  <c r="U1674"/>
  <c r="U1676" s="1"/>
  <c r="U1602"/>
  <c r="V766"/>
  <c r="V50"/>
  <c r="V52" s="1"/>
  <c r="V783"/>
  <c r="V787" s="1"/>
  <c r="V797"/>
  <c r="V798" s="1"/>
  <c r="P368"/>
  <c r="P369" s="1"/>
  <c r="P1192"/>
  <c r="U1721"/>
  <c r="U1722" s="1"/>
  <c r="P1044"/>
  <c r="Q1620"/>
  <c r="Q1622" s="1"/>
  <c r="P359"/>
  <c r="P361" s="1"/>
  <c r="K1573"/>
  <c r="K1574" s="1"/>
  <c r="Q1822"/>
  <c r="P1388"/>
  <c r="P1390" s="1"/>
  <c r="Q860"/>
  <c r="P714"/>
  <c r="P129"/>
  <c r="I190"/>
  <c r="J189"/>
  <c r="I127"/>
  <c r="I129" s="1"/>
  <c r="T199"/>
  <c r="S339"/>
  <c r="T339" s="1"/>
  <c r="O367"/>
  <c r="S164"/>
  <c r="S165" s="1"/>
  <c r="S1851"/>
  <c r="S1852" s="1"/>
  <c r="X1842"/>
  <c r="X1844" s="1"/>
  <c r="I1546"/>
  <c r="I1548" s="1"/>
  <c r="T219"/>
  <c r="X238"/>
  <c r="X239" s="1"/>
  <c r="X410"/>
  <c r="X414" s="1"/>
  <c r="X415" s="1"/>
  <c r="X424"/>
  <c r="Y385"/>
  <c r="X422"/>
  <c r="Y421"/>
  <c r="N709"/>
  <c r="N713" s="1"/>
  <c r="N723"/>
  <c r="S1301"/>
  <c r="S1305" s="1"/>
  <c r="S1315"/>
  <c r="T740"/>
  <c r="T1036"/>
  <c r="J1720"/>
  <c r="S1449"/>
  <c r="S1453" s="1"/>
  <c r="S1463"/>
  <c r="O610"/>
  <c r="I21"/>
  <c r="I14"/>
  <c r="I15" s="1"/>
  <c r="J1600"/>
  <c r="I1313"/>
  <c r="J1312"/>
  <c r="J710"/>
  <c r="N785"/>
  <c r="O784"/>
  <c r="S1451"/>
  <c r="T1450"/>
  <c r="O646"/>
  <c r="T1026"/>
  <c r="N507"/>
  <c r="N509" s="1"/>
  <c r="O311"/>
  <c r="N325"/>
  <c r="I103"/>
  <c r="I164"/>
  <c r="I165" s="1"/>
  <c r="N1494"/>
  <c r="T1682"/>
  <c r="X1472"/>
  <c r="X1474" s="1"/>
  <c r="O1026"/>
  <c r="N201"/>
  <c r="N484"/>
  <c r="N488" s="1"/>
  <c r="N489" s="1"/>
  <c r="N37"/>
  <c r="N41" s="1"/>
  <c r="N42" s="1"/>
  <c r="N1398"/>
  <c r="N1400" s="1"/>
  <c r="N1102"/>
  <c r="N1104" s="1"/>
  <c r="J1100"/>
  <c r="X1767"/>
  <c r="Y1766"/>
  <c r="O934"/>
  <c r="S870"/>
  <c r="S872" s="1"/>
  <c r="X39"/>
  <c r="Y38"/>
  <c r="V896"/>
  <c r="V1851"/>
  <c r="V1852" s="1"/>
  <c r="V600"/>
  <c r="AA1980"/>
  <c r="AA1671"/>
  <c r="AA1675" s="1"/>
  <c r="AA1676" s="1"/>
  <c r="AA1602"/>
  <c r="Z1314"/>
  <c r="AA37"/>
  <c r="AA41" s="1"/>
  <c r="AA42" s="1"/>
  <c r="AA51"/>
  <c r="AA52" s="1"/>
  <c r="Z722"/>
  <c r="Z724" s="1"/>
  <c r="Z1351"/>
  <c r="Z1352" s="1"/>
  <c r="AA1230"/>
  <c r="AA1375"/>
  <c r="AA1379" s="1"/>
  <c r="AA1380" s="1"/>
  <c r="Z245"/>
  <c r="Z712"/>
  <c r="Z69"/>
  <c r="Z70" s="1"/>
  <c r="O1850"/>
  <c r="I1010"/>
  <c r="I931"/>
  <c r="I935" s="1"/>
  <c r="I945"/>
  <c r="N27"/>
  <c r="N795"/>
  <c r="O794"/>
  <c r="S1760"/>
  <c r="S1464"/>
  <c r="X933"/>
  <c r="Y932"/>
  <c r="J163"/>
  <c r="J89"/>
  <c r="I386"/>
  <c r="I387" s="1"/>
  <c r="N1387"/>
  <c r="O1386"/>
  <c r="O1748"/>
  <c r="U698"/>
  <c r="O1276"/>
  <c r="N1290"/>
  <c r="S754"/>
  <c r="X834"/>
  <c r="I731"/>
  <c r="J730"/>
  <c r="S658"/>
  <c r="S660" s="1"/>
  <c r="U1777"/>
  <c r="U1778" s="1"/>
  <c r="V146"/>
  <c r="V147" s="1"/>
  <c r="V75"/>
  <c r="V69" s="1"/>
  <c r="V70" s="1"/>
  <c r="U1635"/>
  <c r="U1629" s="1"/>
  <c r="U1630" s="1"/>
  <c r="V674"/>
  <c r="V1117"/>
  <c r="V1111" s="1"/>
  <c r="V1112" s="1"/>
  <c r="Z1801"/>
  <c r="Z1654"/>
  <c r="Z1675"/>
  <c r="Z1284"/>
  <c r="Z498"/>
  <c r="Z1019"/>
  <c r="AA489"/>
  <c r="Z1135"/>
  <c r="Z1129" s="1"/>
  <c r="Z1130" s="1"/>
  <c r="AA1802"/>
  <c r="Z759"/>
  <c r="Z760" s="1"/>
  <c r="S712"/>
  <c r="X1734"/>
  <c r="N1462"/>
  <c r="I1431"/>
  <c r="I1425" s="1"/>
  <c r="I1426" s="1"/>
  <c r="J1460"/>
  <c r="X869"/>
  <c r="Y868"/>
  <c r="L1324"/>
  <c r="L1326" s="1"/>
  <c r="K584"/>
  <c r="K586" s="1"/>
  <c r="AA698"/>
  <c r="S100"/>
  <c r="S103" s="1"/>
  <c r="O68"/>
  <c r="N75"/>
  <c r="N1574"/>
  <c r="I1283"/>
  <c r="I1277" s="1"/>
  <c r="I1278" s="1"/>
  <c r="I1093"/>
  <c r="I1094" s="1"/>
  <c r="N821"/>
  <c r="N815" s="1"/>
  <c r="N816" s="1"/>
  <c r="X760"/>
  <c r="N964"/>
  <c r="I1240"/>
  <c r="I1242" s="1"/>
  <c r="X1694"/>
  <c r="X1696" s="1"/>
  <c r="S1155"/>
  <c r="T1154"/>
  <c r="L1896"/>
  <c r="L1684"/>
  <c r="L1686" s="1"/>
  <c r="L714"/>
  <c r="L129"/>
  <c r="Q1857"/>
  <c r="Q1851" s="1"/>
  <c r="Q1852" s="1"/>
  <c r="V1499"/>
  <c r="V1500" s="1"/>
  <c r="U872"/>
  <c r="V1949"/>
  <c r="V1528"/>
  <c r="V788"/>
  <c r="V862"/>
  <c r="V1759"/>
  <c r="V1136"/>
  <c r="U612"/>
  <c r="P1413"/>
  <c r="P1407" s="1"/>
  <c r="P1408" s="1"/>
  <c r="P1636"/>
  <c r="L772"/>
  <c r="L399"/>
  <c r="Q1842"/>
  <c r="Q1844" s="1"/>
  <c r="P1537"/>
  <c r="Q1611"/>
  <c r="P1084"/>
  <c r="P1316"/>
  <c r="Q1304"/>
  <c r="P1018"/>
  <c r="P1020" s="1"/>
  <c r="P484"/>
  <c r="P488" s="1"/>
  <c r="P489" s="1"/>
  <c r="P498"/>
  <c r="P499" s="1"/>
  <c r="P40"/>
  <c r="P191"/>
  <c r="T385"/>
  <c r="N1956"/>
  <c r="S152"/>
  <c r="S146" s="1"/>
  <c r="S147" s="1"/>
  <c r="X393"/>
  <c r="Y265"/>
  <c r="S529"/>
  <c r="X284"/>
  <c r="Y283"/>
  <c r="N1414"/>
  <c r="I691"/>
  <c r="N685"/>
  <c r="N686" s="1"/>
  <c r="I566"/>
  <c r="X1005"/>
  <c r="X1009" s="1"/>
  <c r="X1010" s="1"/>
  <c r="X1019"/>
  <c r="X1020" s="1"/>
  <c r="N1783"/>
  <c r="S1431"/>
  <c r="S1425" s="1"/>
  <c r="S1426" s="1"/>
  <c r="Y906"/>
  <c r="O13"/>
  <c r="X1599"/>
  <c r="Y1598"/>
  <c r="O1598"/>
  <c r="O710"/>
  <c r="S1316"/>
  <c r="Y710"/>
  <c r="Y1008"/>
  <c r="I647"/>
  <c r="J646"/>
  <c r="S1526"/>
  <c r="T1526" s="1"/>
  <c r="N285"/>
  <c r="N287" s="1"/>
  <c r="O135"/>
  <c r="I1357"/>
  <c r="S618"/>
  <c r="I1870"/>
  <c r="J1868"/>
  <c r="S1767"/>
  <c r="T1766"/>
  <c r="O868"/>
  <c r="Q1419"/>
  <c r="Q1407" s="1"/>
  <c r="Q1408" s="1"/>
  <c r="Q902"/>
  <c r="V1956"/>
  <c r="V176"/>
  <c r="V177" s="1"/>
  <c r="P230"/>
  <c r="P233" s="1"/>
  <c r="P307"/>
  <c r="N117"/>
  <c r="O117" s="1"/>
  <c r="I1949"/>
  <c r="I1943" s="1"/>
  <c r="I1944" s="1"/>
  <c r="N50"/>
  <c r="X731"/>
  <c r="S1101"/>
  <c r="T1100"/>
  <c r="S1831"/>
  <c r="T1830"/>
  <c r="J868"/>
  <c r="V1561"/>
  <c r="V1555" s="1"/>
  <c r="V1556" s="1"/>
  <c r="U1044"/>
  <c r="V1413"/>
  <c r="V1407" s="1"/>
  <c r="V1408" s="1"/>
  <c r="U1192"/>
  <c r="U1413"/>
  <c r="Z1823"/>
  <c r="AA1654"/>
  <c r="Z1018"/>
  <c r="Z1020" s="1"/>
  <c r="Z188"/>
  <c r="Z192" s="1"/>
  <c r="Z202"/>
  <c r="AA393"/>
  <c r="AA415"/>
  <c r="Z239"/>
  <c r="AA466"/>
  <c r="AA467" s="1"/>
  <c r="AA1981"/>
  <c r="AA1982" s="1"/>
  <c r="AA1314"/>
  <c r="Z618"/>
  <c r="AA461"/>
  <c r="AA1306"/>
  <c r="AA1129"/>
  <c r="AA1130" s="1"/>
  <c r="AA871"/>
  <c r="Z96"/>
  <c r="N1915"/>
  <c r="O1914"/>
  <c r="O1082"/>
  <c r="N1787"/>
  <c r="N1790" s="1"/>
  <c r="I1210"/>
  <c r="I860"/>
  <c r="J860" s="1"/>
  <c r="X1684"/>
  <c r="X1686" s="1"/>
  <c r="I1989"/>
  <c r="J1988"/>
  <c r="O1450"/>
  <c r="I1773"/>
  <c r="I811"/>
  <c r="L1768"/>
  <c r="L1770" s="1"/>
  <c r="K1324"/>
  <c r="K1326" s="1"/>
  <c r="L880"/>
  <c r="L882" s="1"/>
  <c r="U1472"/>
  <c r="U1474" s="1"/>
  <c r="U1842"/>
  <c r="U1844" s="1"/>
  <c r="V1324"/>
  <c r="V1326" s="1"/>
  <c r="V751"/>
  <c r="V754" s="1"/>
  <c r="V1121"/>
  <c r="V1124" s="1"/>
  <c r="U1567"/>
  <c r="U1568" s="1"/>
  <c r="S433"/>
  <c r="S435" s="1"/>
  <c r="I1579"/>
  <c r="I1573" s="1"/>
  <c r="I1574" s="1"/>
  <c r="N1277"/>
  <c r="N1278" s="1"/>
  <c r="X1079"/>
  <c r="X1083" s="1"/>
  <c r="X1084" s="1"/>
  <c r="X1093"/>
  <c r="X1094" s="1"/>
  <c r="T1238"/>
  <c r="X1175"/>
  <c r="Y1174"/>
  <c r="X1673"/>
  <c r="Y1672"/>
  <c r="N1832"/>
  <c r="N1834" s="1"/>
  <c r="L1982"/>
  <c r="K1967"/>
  <c r="K1971" s="1"/>
  <c r="K1972" s="1"/>
  <c r="K1671"/>
  <c r="K1675" s="1"/>
  <c r="K1685"/>
  <c r="K1676"/>
  <c r="K1686"/>
  <c r="L1528"/>
  <c r="K1610"/>
  <c r="K1612" s="1"/>
  <c r="L1092"/>
  <c r="L1094" s="1"/>
  <c r="L1005"/>
  <c r="L1009" s="1"/>
  <c r="L1010" s="1"/>
  <c r="L1019"/>
  <c r="K410"/>
  <c r="K414" s="1"/>
  <c r="K415" s="1"/>
  <c r="K424"/>
  <c r="K425" s="1"/>
  <c r="L191"/>
  <c r="L193" s="1"/>
  <c r="V1822"/>
  <c r="V1600"/>
  <c r="V913"/>
  <c r="V907" s="1"/>
  <c r="V908" s="1"/>
  <c r="U423"/>
  <c r="U425" s="1"/>
  <c r="U1745"/>
  <c r="U1749" s="1"/>
  <c r="U1759"/>
  <c r="U1760" s="1"/>
  <c r="U797"/>
  <c r="U798" s="1"/>
  <c r="U40"/>
  <c r="U42" s="1"/>
  <c r="U1898"/>
  <c r="U1819"/>
  <c r="U1823" s="1"/>
  <c r="U1833"/>
  <c r="V415"/>
  <c r="V1523"/>
  <c r="V1527" s="1"/>
  <c r="V1537"/>
  <c r="V1538" s="1"/>
  <c r="U648"/>
  <c r="V191"/>
  <c r="P1857"/>
  <c r="P1851" s="1"/>
  <c r="P1852" s="1"/>
  <c r="U1506"/>
  <c r="P226"/>
  <c r="P220" s="1"/>
  <c r="P221" s="1"/>
  <c r="P821"/>
  <c r="P815" s="1"/>
  <c r="P816" s="1"/>
  <c r="Q1512"/>
  <c r="P1102"/>
  <c r="P1104" s="1"/>
  <c r="P1176"/>
  <c r="P1178" s="1"/>
  <c r="L1875"/>
  <c r="L1876" s="1"/>
  <c r="L1579"/>
  <c r="L1580" s="1"/>
  <c r="L1358"/>
  <c r="Q393"/>
  <c r="Q467"/>
  <c r="K981"/>
  <c r="K982" s="1"/>
  <c r="P988"/>
  <c r="K913"/>
  <c r="K914" s="1"/>
  <c r="K1357"/>
  <c r="Q1610"/>
  <c r="Q1612" s="1"/>
  <c r="P1758"/>
  <c r="P1760" s="1"/>
  <c r="Q1452"/>
  <c r="Q1454" s="1"/>
  <c r="P1227"/>
  <c r="P1231" s="1"/>
  <c r="P1241"/>
  <c r="P1242" s="1"/>
  <c r="P783"/>
  <c r="P787" s="1"/>
  <c r="P788" s="1"/>
  <c r="Q1316"/>
  <c r="Q1018"/>
  <c r="Q1020" s="1"/>
  <c r="Q709"/>
  <c r="Q713" s="1"/>
  <c r="Q714" s="1"/>
  <c r="Q723"/>
  <c r="P724"/>
  <c r="P871"/>
  <c r="Q410"/>
  <c r="Q414" s="1"/>
  <c r="Q415" s="1"/>
  <c r="Q424"/>
  <c r="I487"/>
  <c r="I424"/>
  <c r="I188"/>
  <c r="I192" s="1"/>
  <c r="I193" s="1"/>
  <c r="I31" i="12" s="1"/>
  <c r="I29" s="1"/>
  <c r="I24" s="1"/>
  <c r="I202" i="10"/>
  <c r="T421"/>
  <c r="T311"/>
  <c r="S319"/>
  <c r="AA748"/>
  <c r="X1203"/>
  <c r="X1204" s="1"/>
  <c r="X1906"/>
  <c r="J1840"/>
  <c r="S879"/>
  <c r="T878"/>
  <c r="J58"/>
  <c r="T367"/>
  <c r="X319"/>
  <c r="Y487"/>
  <c r="Z1932"/>
  <c r="J1350"/>
  <c r="S1413"/>
  <c r="J684"/>
  <c r="X709"/>
  <c r="X713" s="1"/>
  <c r="X723"/>
  <c r="N1203"/>
  <c r="N1204" s="1"/>
  <c r="O1794"/>
  <c r="I1819"/>
  <c r="I1823" s="1"/>
  <c r="I618"/>
  <c r="T1998"/>
  <c r="S2000"/>
  <c r="S890"/>
  <c r="T962"/>
  <c r="X721"/>
  <c r="Y720"/>
  <c r="I573"/>
  <c r="J572"/>
  <c r="X658"/>
  <c r="X660" s="1"/>
  <c r="Y1016"/>
  <c r="J1822"/>
  <c r="I1824"/>
  <c r="T1006"/>
  <c r="J942"/>
  <c r="O385"/>
  <c r="N103"/>
  <c r="N94"/>
  <c r="N97" s="1"/>
  <c r="N318"/>
  <c r="N312" s="1"/>
  <c r="N313" s="1"/>
  <c r="T610"/>
  <c r="S1875"/>
  <c r="S1869" s="1"/>
  <c r="S1870" s="1"/>
  <c r="T1672"/>
  <c r="N1008"/>
  <c r="P825"/>
  <c r="P828" s="1"/>
  <c r="Q230"/>
  <c r="Q233" s="1"/>
  <c r="V1586"/>
  <c r="U769"/>
  <c r="U772" s="1"/>
  <c r="V1216"/>
  <c r="V1807"/>
  <c r="V1808" s="1"/>
  <c r="V324"/>
  <c r="V325" s="1"/>
  <c r="U1364"/>
  <c r="N193"/>
  <c r="N349"/>
  <c r="O495"/>
  <c r="O273"/>
  <c r="O199"/>
  <c r="N1949"/>
  <c r="N1950" s="1"/>
  <c r="S1511"/>
  <c r="S1499" s="1"/>
  <c r="S1500" s="1"/>
  <c r="N1523"/>
  <c r="N1527" s="1"/>
  <c r="N1537"/>
  <c r="N1538" s="1"/>
  <c r="I1398"/>
  <c r="I1400" s="1"/>
  <c r="N1166"/>
  <c r="N1168" s="1"/>
  <c r="X1757"/>
  <c r="Y1756"/>
  <c r="X1747"/>
  <c r="Y1746"/>
  <c r="U1704"/>
  <c r="U673"/>
  <c r="U667" s="1"/>
  <c r="U668" s="1"/>
  <c r="Z1970"/>
  <c r="Z1972" s="1"/>
  <c r="Z1906"/>
  <c r="Z1908" s="1"/>
  <c r="Z709"/>
  <c r="Z713" s="1"/>
  <c r="Z723"/>
  <c r="AA618"/>
  <c r="Z276"/>
  <c r="Z277" s="1"/>
  <c r="Z316"/>
  <c r="Z319" s="1"/>
  <c r="AA1967"/>
  <c r="AA1971" s="1"/>
  <c r="AA1972" s="1"/>
  <c r="Z1462"/>
  <c r="Z1464" s="1"/>
  <c r="Z639"/>
  <c r="Z640" s="1"/>
  <c r="AA935"/>
  <c r="AA1897"/>
  <c r="AA1898" s="1"/>
  <c r="Z1210"/>
  <c r="Z692"/>
  <c r="Z574"/>
  <c r="Z576" s="1"/>
  <c r="AA387"/>
  <c r="Z1875"/>
  <c r="Z1869" s="1"/>
  <c r="Z1870" s="1"/>
  <c r="Z1301"/>
  <c r="Z1305" s="1"/>
  <c r="Z1306" s="1"/>
  <c r="Z1315"/>
  <c r="AA934"/>
  <c r="Z564"/>
  <c r="Z566" s="1"/>
  <c r="X449"/>
  <c r="Z896"/>
  <c r="S1580"/>
  <c r="X635"/>
  <c r="X639" s="1"/>
  <c r="X649"/>
  <c r="X650" s="1"/>
  <c r="N1620"/>
  <c r="N1622" s="1"/>
  <c r="S1734"/>
  <c r="S638"/>
  <c r="T638" s="1"/>
  <c r="S859"/>
  <c r="T858"/>
  <c r="I839"/>
  <c r="I833" s="1"/>
  <c r="I834" s="1"/>
  <c r="X14"/>
  <c r="X15" s="1"/>
  <c r="X1506"/>
  <c r="T1978"/>
  <c r="X1990"/>
  <c r="X1992" s="1"/>
  <c r="I1906"/>
  <c r="I1908" s="1"/>
  <c r="O1534"/>
  <c r="L239"/>
  <c r="K1129"/>
  <c r="K1130" s="1"/>
  <c r="L1990"/>
  <c r="L1992" s="1"/>
  <c r="K1250"/>
  <c r="K1252" s="1"/>
  <c r="K658"/>
  <c r="K660" s="1"/>
  <c r="T1692"/>
  <c r="V285"/>
  <c r="V287" s="1"/>
  <c r="AA1176"/>
  <c r="AA1178" s="1"/>
  <c r="AA538"/>
  <c r="AA1990"/>
  <c r="AA1992" s="1"/>
  <c r="I433"/>
  <c r="I435" s="1"/>
  <c r="J283"/>
  <c r="O1110"/>
  <c r="S1037"/>
  <c r="S1038" s="1"/>
  <c r="S1389"/>
  <c r="O1406"/>
  <c r="T906"/>
  <c r="N1893"/>
  <c r="N1897" s="1"/>
  <c r="N1898" s="1"/>
  <c r="I50"/>
  <c r="I52" s="1"/>
  <c r="Y1376"/>
  <c r="S573"/>
  <c r="T572"/>
  <c r="J1386"/>
  <c r="I805"/>
  <c r="J804"/>
  <c r="L1967"/>
  <c r="L1971" s="1"/>
  <c r="L1972" s="1"/>
  <c r="K1822"/>
  <c r="K1824" s="1"/>
  <c r="Q1636"/>
  <c r="K1526"/>
  <c r="K1528" s="1"/>
  <c r="K1389"/>
  <c r="K1390" s="1"/>
  <c r="K1227"/>
  <c r="K1231" s="1"/>
  <c r="K1232" s="1"/>
  <c r="K1241"/>
  <c r="K1242" s="1"/>
  <c r="K945"/>
  <c r="K946" s="1"/>
  <c r="L857"/>
  <c r="L861" s="1"/>
  <c r="L862" s="1"/>
  <c r="L871"/>
  <c r="L872" s="1"/>
  <c r="L497"/>
  <c r="L499" s="1"/>
  <c r="U1822"/>
  <c r="U1824" s="1"/>
  <c r="U1156"/>
  <c r="U1158" s="1"/>
  <c r="V1452"/>
  <c r="V1454" s="1"/>
  <c r="V870"/>
  <c r="V872" s="1"/>
  <c r="U336"/>
  <c r="U340" s="1"/>
  <c r="U341" s="1"/>
  <c r="U1748"/>
  <c r="U1750" s="1"/>
  <c r="V1375"/>
  <c r="V1379" s="1"/>
  <c r="V1389"/>
  <c r="V1390" s="1"/>
  <c r="U934"/>
  <c r="U936" s="1"/>
  <c r="U1380"/>
  <c r="V944"/>
  <c r="V946" s="1"/>
  <c r="V423"/>
  <c r="P375"/>
  <c r="P1191"/>
  <c r="U1283"/>
  <c r="U1277" s="1"/>
  <c r="U1278" s="1"/>
  <c r="U1875"/>
  <c r="U1869" s="1"/>
  <c r="U1870" s="1"/>
  <c r="U1728"/>
  <c r="P1043"/>
  <c r="P1037" s="1"/>
  <c r="P1038" s="1"/>
  <c r="P1472"/>
  <c r="P1474" s="1"/>
  <c r="L1660"/>
  <c r="Q177"/>
  <c r="L994"/>
  <c r="P1028"/>
  <c r="P1030" s="1"/>
  <c r="P103"/>
  <c r="L1210"/>
  <c r="L170"/>
  <c r="L171" s="1"/>
  <c r="K1580"/>
  <c r="P1949"/>
  <c r="P1943" s="1"/>
  <c r="P1944" s="1"/>
  <c r="K1505"/>
  <c r="K1499" s="1"/>
  <c r="K1500" s="1"/>
  <c r="Q1819"/>
  <c r="Q1823" s="1"/>
  <c r="Q1824" s="1"/>
  <c r="Q1600"/>
  <c r="Q1602" s="1"/>
  <c r="P1982"/>
  <c r="Q1758"/>
  <c r="Q1760" s="1"/>
  <c r="P1536"/>
  <c r="P1379"/>
  <c r="Q1227"/>
  <c r="Q1231" s="1"/>
  <c r="Q1232" s="1"/>
  <c r="Q1241"/>
  <c r="P857"/>
  <c r="P861" s="1"/>
  <c r="P862" s="1"/>
  <c r="P350"/>
  <c r="P351" s="1"/>
  <c r="P1008"/>
  <c r="P1010" s="1"/>
  <c r="P127"/>
  <c r="Q1906"/>
  <c r="I265"/>
  <c r="T347"/>
  <c r="S201"/>
  <c r="T337"/>
  <c r="N449"/>
  <c r="N1388"/>
  <c r="N1390" s="1"/>
  <c r="X1133"/>
  <c r="N899"/>
  <c r="N902" s="1"/>
  <c r="N954"/>
  <c r="N956" s="1"/>
  <c r="X1229"/>
  <c r="X126"/>
  <c r="Y125"/>
  <c r="X116"/>
  <c r="Y115"/>
  <c r="X423"/>
  <c r="X433"/>
  <c r="X435" s="1"/>
  <c r="X227"/>
  <c r="AA153"/>
  <c r="AA146"/>
  <c r="AA147" s="1"/>
  <c r="I1597"/>
  <c r="I1601" s="1"/>
  <c r="I1602" s="1"/>
  <c r="Y1276"/>
  <c r="I575"/>
  <c r="I576" s="1"/>
  <c r="S1213"/>
  <c r="S1216" s="1"/>
  <c r="N783"/>
  <c r="N787" s="1"/>
  <c r="N797"/>
  <c r="N1727"/>
  <c r="N1721" s="1"/>
  <c r="N1722" s="1"/>
  <c r="N1795"/>
  <c r="N1796" s="1"/>
  <c r="Y1794"/>
  <c r="I1876"/>
  <c r="I1523"/>
  <c r="I1527" s="1"/>
  <c r="I1537"/>
  <c r="N1175"/>
  <c r="O1174"/>
  <c r="T1090"/>
  <c r="I711"/>
  <c r="I38" i="13" s="1"/>
  <c r="X638" i="10"/>
  <c r="N786"/>
  <c r="X1831"/>
  <c r="Y1830"/>
  <c r="N648"/>
  <c r="X1969"/>
  <c r="Y1968"/>
  <c r="Y942"/>
  <c r="S933"/>
  <c r="T932"/>
  <c r="I1525"/>
  <c r="I170" i="13" s="1"/>
  <c r="I173" s="1"/>
  <c r="J1524" i="10"/>
  <c r="I319"/>
  <c r="X1636"/>
  <c r="N1931"/>
  <c r="N1925" s="1"/>
  <c r="N1926" s="1"/>
  <c r="S1324"/>
  <c r="S1326" s="1"/>
  <c r="S1684"/>
  <c r="S1686" s="1"/>
  <c r="N1027"/>
  <c r="Q1787"/>
  <c r="Q1790" s="1"/>
  <c r="Q1345"/>
  <c r="Q1346" s="1"/>
  <c r="V1361"/>
  <c r="V1364" s="1"/>
  <c r="N424"/>
  <c r="N425" s="1"/>
  <c r="N126"/>
  <c r="O125"/>
  <c r="S1124"/>
  <c r="O1998"/>
  <c r="N931"/>
  <c r="N935" s="1"/>
  <c r="N936" s="1"/>
  <c r="I1102"/>
  <c r="I1104" s="1"/>
  <c r="I638"/>
  <c r="X40"/>
  <c r="V895"/>
  <c r="V889" s="1"/>
  <c r="V890" s="1"/>
  <c r="U600"/>
  <c r="U747"/>
  <c r="U741" s="1"/>
  <c r="U742" s="1"/>
  <c r="Z1674"/>
  <c r="Z1375"/>
  <c r="Z1379" s="1"/>
  <c r="Z1380" s="1"/>
  <c r="Z127"/>
  <c r="Z14"/>
  <c r="Z15" s="1"/>
  <c r="AA239"/>
  <c r="Z497"/>
  <c r="Z499" s="1"/>
  <c r="AA1876"/>
  <c r="Z857"/>
  <c r="Z861" s="1"/>
  <c r="Z871"/>
  <c r="AA723"/>
  <c r="AA724" s="1"/>
  <c r="Z1358"/>
  <c r="AA574"/>
  <c r="AA1526"/>
  <c r="Z862"/>
  <c r="Z748"/>
  <c r="Z741"/>
  <c r="Z742" s="1"/>
  <c r="Z667"/>
  <c r="Z668" s="1"/>
  <c r="AA294"/>
  <c r="AA295" s="1"/>
  <c r="Q1932"/>
  <c r="V20"/>
  <c r="V14" s="1"/>
  <c r="U188"/>
  <c r="U192" s="1"/>
  <c r="U193" s="1"/>
  <c r="U202"/>
  <c r="U203" s="1"/>
  <c r="U1972"/>
  <c r="V188"/>
  <c r="V192" s="1"/>
  <c r="V202"/>
  <c r="V392"/>
  <c r="V393" s="1"/>
  <c r="U1536"/>
  <c r="U1538" s="1"/>
  <c r="V244"/>
  <c r="V238" s="1"/>
  <c r="V239" s="1"/>
  <c r="V1227"/>
  <c r="V1231" s="1"/>
  <c r="V1232" s="1"/>
  <c r="V1241"/>
  <c r="U467"/>
  <c r="U276"/>
  <c r="U277" s="1"/>
  <c r="V424"/>
  <c r="P2006"/>
  <c r="U170"/>
  <c r="U1135"/>
  <c r="U1129" s="1"/>
  <c r="U1130" s="1"/>
  <c r="P895"/>
  <c r="P889" s="1"/>
  <c r="P890" s="1"/>
  <c r="P969"/>
  <c r="P963" s="1"/>
  <c r="P964" s="1"/>
  <c r="U1352"/>
  <c r="P1561"/>
  <c r="P1555" s="1"/>
  <c r="P1556" s="1"/>
  <c r="U1061"/>
  <c r="U1062" s="1"/>
  <c r="Q1956"/>
  <c r="L1512"/>
  <c r="Q1142"/>
  <c r="L177"/>
  <c r="L103"/>
  <c r="Q1653"/>
  <c r="Q1654" s="1"/>
  <c r="Q1061"/>
  <c r="Q1062" s="1"/>
  <c r="L913"/>
  <c r="L914" s="1"/>
  <c r="L319"/>
  <c r="P20"/>
  <c r="P14" s="1"/>
  <c r="P15" s="1"/>
  <c r="P691"/>
  <c r="P685" s="1"/>
  <c r="P686" s="1"/>
  <c r="K618"/>
  <c r="K1802"/>
  <c r="P1061"/>
  <c r="P1055" s="1"/>
  <c r="P1056" s="1"/>
  <c r="K1875"/>
  <c r="K1869" s="1"/>
  <c r="K1870" s="1"/>
  <c r="Q1601"/>
  <c r="P1611"/>
  <c r="Q857"/>
  <c r="Q861" s="1"/>
  <c r="Q871"/>
  <c r="P1232"/>
  <c r="Q488"/>
  <c r="Q934"/>
  <c r="Q936" s="1"/>
  <c r="P192"/>
  <c r="Q191"/>
  <c r="Q193" s="1"/>
  <c r="Q192"/>
  <c r="P1907"/>
  <c r="I116"/>
  <c r="J115"/>
  <c r="I276"/>
  <c r="N523"/>
  <c r="S129"/>
  <c r="N226"/>
  <c r="N220" s="1"/>
  <c r="N221" s="1"/>
  <c r="I919"/>
  <c r="I920" s="1"/>
  <c r="N833"/>
  <c r="N834" s="1"/>
  <c r="N1841"/>
  <c r="O1840"/>
  <c r="S1545"/>
  <c r="T1544"/>
  <c r="S522"/>
  <c r="S523" s="1"/>
  <c r="S517"/>
  <c r="T515"/>
  <c r="X128"/>
  <c r="X274"/>
  <c r="X340"/>
  <c r="X341" s="1"/>
  <c r="X466"/>
  <c r="X467" s="1"/>
  <c r="S378"/>
  <c r="S381" s="1"/>
  <c r="X136"/>
  <c r="Y135"/>
  <c r="Y89"/>
  <c r="X103"/>
  <c r="Y209"/>
  <c r="I1139"/>
  <c r="I1142" s="1"/>
  <c r="N1061"/>
  <c r="N1062" s="1"/>
  <c r="X1130"/>
  <c r="Y1128"/>
  <c r="I1301"/>
  <c r="I1305" s="1"/>
  <c r="I1306" s="1"/>
  <c r="I1315"/>
  <c r="Y980"/>
  <c r="T1794"/>
  <c r="I1981"/>
  <c r="N857"/>
  <c r="N861" s="1"/>
  <c r="N862" s="1"/>
  <c r="S970"/>
  <c r="N1231"/>
  <c r="N1232" s="1"/>
  <c r="N1876"/>
  <c r="N1506"/>
  <c r="X1313"/>
  <c r="Y1312"/>
  <c r="J1302"/>
  <c r="X1027"/>
  <c r="Y1026"/>
  <c r="N573"/>
  <c r="O572"/>
  <c r="N798"/>
  <c r="I1979"/>
  <c r="J1978"/>
  <c r="T1534"/>
  <c r="N174"/>
  <c r="I96"/>
  <c r="I90" s="1"/>
  <c r="I91" s="1"/>
  <c r="I245"/>
  <c r="I991"/>
  <c r="I994" s="1"/>
  <c r="I1674"/>
  <c r="N1747"/>
  <c r="P1197"/>
  <c r="P1198" s="1"/>
  <c r="Q751"/>
  <c r="Q754" s="1"/>
  <c r="V1289"/>
  <c r="U1067"/>
  <c r="U1068" s="1"/>
  <c r="V697"/>
  <c r="V698" s="1"/>
  <c r="V24"/>
  <c r="V27" s="1"/>
  <c r="U250"/>
  <c r="U238" s="1"/>
  <c r="U239" s="1"/>
  <c r="U176"/>
  <c r="U177" s="1"/>
  <c r="U1808"/>
  <c r="N339"/>
  <c r="O339" s="1"/>
  <c r="N1315"/>
  <c r="N1316" s="1"/>
  <c r="N1121"/>
  <c r="N1124" s="1"/>
  <c r="X1102"/>
  <c r="X1104" s="1"/>
  <c r="Y878"/>
  <c r="S657"/>
  <c r="T656"/>
  <c r="U1784"/>
  <c r="V821"/>
  <c r="V76"/>
  <c r="U1266"/>
  <c r="V1191"/>
  <c r="V1192" s="1"/>
  <c r="V1118"/>
  <c r="U70"/>
  <c r="Z1005"/>
  <c r="Z1009" s="1"/>
  <c r="Z1010" s="1"/>
  <c r="Z872"/>
  <c r="AA339"/>
  <c r="AA341" s="1"/>
  <c r="Z935"/>
  <c r="Z936" s="1"/>
  <c r="AA635"/>
  <c r="AA639" s="1"/>
  <c r="AA649"/>
  <c r="AA1611"/>
  <c r="Z981"/>
  <c r="Z982" s="1"/>
  <c r="Z766"/>
  <c r="AA97"/>
  <c r="AA1315"/>
  <c r="Z266"/>
  <c r="Z267" s="1"/>
  <c r="N1005"/>
  <c r="N1009" s="1"/>
  <c r="N1019"/>
  <c r="N1020" s="1"/>
  <c r="S731"/>
  <c r="I1363"/>
  <c r="I1364" s="1"/>
  <c r="N1068"/>
  <c r="N1449"/>
  <c r="N1453" s="1"/>
  <c r="N1454" s="1"/>
  <c r="N1463"/>
  <c r="N1464" s="1"/>
  <c r="T888"/>
  <c r="S75"/>
  <c r="I1464"/>
  <c r="X1915"/>
  <c r="Y1914"/>
  <c r="T1904"/>
  <c r="L15"/>
  <c r="Q982"/>
  <c r="I959"/>
  <c r="K1842"/>
  <c r="K1844" s="1"/>
  <c r="U732"/>
  <c r="U734" s="1"/>
  <c r="U211"/>
  <c r="U213" s="1"/>
  <c r="U1716"/>
  <c r="V679"/>
  <c r="V1417"/>
  <c r="V1420" s="1"/>
  <c r="U1863"/>
  <c r="U1864" s="1"/>
  <c r="AA1438"/>
  <c r="Z1807"/>
  <c r="Z1808" s="1"/>
  <c r="Z26"/>
  <c r="Z27" s="1"/>
  <c r="Z919"/>
  <c r="Z920" s="1"/>
  <c r="Z359"/>
  <c r="Z361" s="1"/>
  <c r="Z399"/>
  <c r="J135"/>
  <c r="N230"/>
  <c r="N233" s="1"/>
  <c r="I1230"/>
  <c r="X1141"/>
  <c r="X1129" s="1"/>
  <c r="N1043"/>
  <c r="N1037" s="1"/>
  <c r="N1038" s="1"/>
  <c r="T1128"/>
  <c r="N1191"/>
  <c r="N1185" s="1"/>
  <c r="N1186" s="1"/>
  <c r="N599"/>
  <c r="N593" s="1"/>
  <c r="N594" s="1"/>
  <c r="T1350"/>
  <c r="S913"/>
  <c r="X919"/>
  <c r="X920" s="1"/>
  <c r="I760"/>
  <c r="O1554"/>
  <c r="I1239"/>
  <c r="J1238"/>
  <c r="Y1692"/>
  <c r="X795"/>
  <c r="Y794"/>
  <c r="T784"/>
  <c r="K1833"/>
  <c r="K1980"/>
  <c r="K1982" s="1"/>
  <c r="Q1630"/>
  <c r="Q2000"/>
  <c r="L1378"/>
  <c r="L1380" s="1"/>
  <c r="K1449"/>
  <c r="K1453" s="1"/>
  <c r="K1454" s="1"/>
  <c r="K635"/>
  <c r="K639" s="1"/>
  <c r="K649"/>
  <c r="L50"/>
  <c r="L340"/>
  <c r="L341" s="1"/>
  <c r="Q152"/>
  <c r="Q146" s="1"/>
  <c r="Q147" s="1"/>
  <c r="L648"/>
  <c r="L650" s="1"/>
  <c r="Q1858"/>
  <c r="U564"/>
  <c r="U566" s="1"/>
  <c r="V170"/>
  <c r="V617"/>
  <c r="V611" s="1"/>
  <c r="V612" s="1"/>
  <c r="V1950"/>
  <c r="V1601"/>
  <c r="V1602" s="1"/>
  <c r="U117"/>
  <c r="U119" s="1"/>
  <c r="V988"/>
  <c r="V1463"/>
  <c r="V1464" s="1"/>
  <c r="V1727"/>
  <c r="U787"/>
  <c r="U788" s="1"/>
  <c r="V498"/>
  <c r="V319"/>
  <c r="V1758"/>
  <c r="V1760" s="1"/>
  <c r="V97"/>
  <c r="U618"/>
  <c r="U392"/>
  <c r="U393" s="1"/>
  <c r="U1801"/>
  <c r="U1802" s="1"/>
  <c r="U765"/>
  <c r="U759" s="1"/>
  <c r="U760" s="1"/>
  <c r="L1808"/>
  <c r="Q399"/>
  <c r="Q103"/>
  <c r="K473"/>
  <c r="L473"/>
  <c r="P322"/>
  <c r="P325" s="1"/>
  <c r="L1949"/>
  <c r="L1950" s="1"/>
  <c r="Q1579"/>
  <c r="Q1580" s="1"/>
  <c r="L1283"/>
  <c r="L1284" s="1"/>
  <c r="L1135"/>
  <c r="L1136" s="1"/>
  <c r="K543"/>
  <c r="K537" s="1"/>
  <c r="K538" s="1"/>
  <c r="Q170"/>
  <c r="Q171" s="1"/>
  <c r="K1950"/>
  <c r="P1727"/>
  <c r="P1721" s="1"/>
  <c r="P1722" s="1"/>
  <c r="K244"/>
  <c r="K238" s="1"/>
  <c r="K239" s="1"/>
  <c r="P1802"/>
  <c r="Q788"/>
  <c r="Q1082"/>
  <c r="Q1084" s="1"/>
  <c r="P277"/>
  <c r="Q265"/>
  <c r="Q267" s="1"/>
  <c r="Q648"/>
  <c r="Q650" s="1"/>
  <c r="P1979"/>
  <c r="O1978"/>
  <c r="I203"/>
  <c r="I413"/>
  <c r="S264"/>
  <c r="S496"/>
  <c r="T495"/>
  <c r="S116"/>
  <c r="T115"/>
  <c r="O219"/>
  <c r="N295"/>
  <c r="S1955"/>
  <c r="S1956" s="1"/>
  <c r="X1808"/>
  <c r="S647"/>
  <c r="T646"/>
  <c r="S59"/>
  <c r="T58"/>
  <c r="X193"/>
  <c r="Y191"/>
  <c r="X203"/>
  <c r="Y337"/>
  <c r="Y163"/>
  <c r="N1413"/>
  <c r="N1407" s="1"/>
  <c r="N1408" s="1"/>
  <c r="N1610"/>
  <c r="S981"/>
  <c r="S982" s="1"/>
  <c r="T684"/>
  <c r="X685"/>
  <c r="X686" s="1"/>
  <c r="I1801"/>
  <c r="I1802" s="1"/>
  <c r="T1850"/>
  <c r="I635"/>
  <c r="I639" s="1"/>
  <c r="I649"/>
  <c r="X913"/>
  <c r="S1537"/>
  <c r="S1538" s="1"/>
  <c r="X1602"/>
  <c r="Y1600"/>
  <c r="N1600"/>
  <c r="O712"/>
  <c r="N714"/>
  <c r="X1303"/>
  <c r="N1091"/>
  <c r="S1313"/>
  <c r="X714"/>
  <c r="Y712"/>
  <c r="I1747"/>
  <c r="I206" i="13" s="1"/>
  <c r="I209" s="1"/>
  <c r="J1746" i="10"/>
  <c r="I1008"/>
  <c r="J1008" s="1"/>
  <c r="J934"/>
  <c r="I936"/>
  <c r="O1228"/>
  <c r="N238"/>
  <c r="N239" s="1"/>
  <c r="O980"/>
  <c r="T1868"/>
  <c r="J1682"/>
  <c r="N1767"/>
  <c r="O1766"/>
  <c r="N1471"/>
  <c r="O1470"/>
  <c r="N870"/>
  <c r="N872" s="1"/>
  <c r="Q1420"/>
  <c r="P2012"/>
  <c r="U312"/>
  <c r="U313" s="1"/>
  <c r="N118"/>
  <c r="N119" s="1"/>
  <c r="N1301"/>
  <c r="N1305" s="1"/>
  <c r="N1306" s="1"/>
  <c r="S1065"/>
  <c r="I1950"/>
  <c r="Y1942"/>
  <c r="X1956"/>
  <c r="T636"/>
  <c r="I870"/>
  <c r="I872" s="1"/>
  <c r="V449"/>
  <c r="V963"/>
  <c r="V964" s="1"/>
  <c r="U220"/>
  <c r="U221" s="1"/>
  <c r="AA839"/>
  <c r="AA833" s="1"/>
  <c r="AA834" s="1"/>
  <c r="Z1822"/>
  <c r="Z1824" s="1"/>
  <c r="AA1284"/>
  <c r="AA1082"/>
  <c r="AA982"/>
  <c r="AA1351"/>
  <c r="AA1352" s="1"/>
  <c r="AA691"/>
  <c r="Z265"/>
  <c r="AA640"/>
  <c r="S709"/>
  <c r="S713" s="1"/>
  <c r="S723"/>
  <c r="S724" s="1"/>
  <c r="I1619"/>
  <c r="J1618"/>
  <c r="T720"/>
  <c r="S1345"/>
  <c r="S1346" s="1"/>
  <c r="Y1720"/>
  <c r="J1424"/>
  <c r="S82"/>
  <c r="X21"/>
  <c r="Y1682"/>
  <c r="O1452"/>
  <c r="I1896"/>
  <c r="J1896" s="1"/>
  <c r="N1526"/>
  <c r="Q1278"/>
  <c r="L1352"/>
  <c r="I512"/>
  <c r="I1107"/>
  <c r="K1768"/>
  <c r="K1770" s="1"/>
  <c r="U806"/>
  <c r="U808" s="1"/>
  <c r="AA880"/>
  <c r="AA882" s="1"/>
  <c r="S358"/>
  <c r="T357"/>
  <c r="T431"/>
  <c r="S1230"/>
  <c r="T1230" s="1"/>
  <c r="X1352"/>
  <c r="S1805"/>
  <c r="S1808" s="1"/>
  <c r="J1082"/>
  <c r="S544"/>
  <c r="N1745"/>
  <c r="N1749" s="1"/>
  <c r="N1750" s="1"/>
  <c r="N1759"/>
  <c r="N1760" s="1"/>
  <c r="S765"/>
  <c r="S759" s="1"/>
  <c r="S760" s="1"/>
  <c r="I913"/>
  <c r="I39"/>
  <c r="I40"/>
  <c r="J40" s="1"/>
  <c r="S1841"/>
  <c r="T1840"/>
  <c r="T794"/>
  <c r="Y784"/>
  <c r="S1390"/>
  <c r="X954"/>
  <c r="X956" s="1"/>
  <c r="I1916"/>
  <c r="I1918" s="1"/>
  <c r="K1758"/>
  <c r="K1760" s="1"/>
  <c r="Q1488"/>
  <c r="L1597"/>
  <c r="L1601" s="1"/>
  <c r="L1602" s="1"/>
  <c r="L1611"/>
  <c r="L1612" s="1"/>
  <c r="K1538"/>
  <c r="Q1118"/>
  <c r="P600"/>
  <c r="L575"/>
  <c r="L576" s="1"/>
  <c r="L128"/>
  <c r="K349"/>
  <c r="K351" s="1"/>
  <c r="U1982"/>
  <c r="U1453"/>
  <c r="U1454" s="1"/>
  <c r="V497"/>
  <c r="V499" s="1"/>
  <c r="U544"/>
  <c r="V1875"/>
  <c r="V1869" s="1"/>
  <c r="V1870" s="1"/>
  <c r="V1819"/>
  <c r="V1823" s="1"/>
  <c r="V1833"/>
  <c r="V1834" s="1"/>
  <c r="V1378"/>
  <c r="V1380" s="1"/>
  <c r="U575"/>
  <c r="U576" s="1"/>
  <c r="V934"/>
  <c r="V936" s="1"/>
  <c r="V1671"/>
  <c r="V1675" s="1"/>
  <c r="V1685"/>
  <c r="V1686" s="1"/>
  <c r="V1061"/>
  <c r="V1062" s="1"/>
  <c r="V1748"/>
  <c r="V1750" s="1"/>
  <c r="U1092"/>
  <c r="U1094" s="1"/>
  <c r="V712"/>
  <c r="V714" s="1"/>
  <c r="P448"/>
  <c r="P442" s="1"/>
  <c r="P443" s="1"/>
  <c r="U1209"/>
  <c r="U1203" s="1"/>
  <c r="U1204" s="1"/>
  <c r="U1505"/>
  <c r="U1499" s="1"/>
  <c r="U1500" s="1"/>
  <c r="U1580"/>
  <c r="P70"/>
  <c r="L1216"/>
  <c r="P1250"/>
  <c r="P1252" s="1"/>
  <c r="Q1216"/>
  <c r="P658"/>
  <c r="P660" s="1"/>
  <c r="K772"/>
  <c r="Q285"/>
  <c r="Q287" s="1"/>
  <c r="Q1505"/>
  <c r="Q1506" s="1"/>
  <c r="L21"/>
  <c r="L466"/>
  <c r="L467" s="1"/>
  <c r="K1431"/>
  <c r="K988"/>
  <c r="P1135"/>
  <c r="P1129" s="1"/>
  <c r="P1130" s="1"/>
  <c r="P611"/>
  <c r="P612" s="1"/>
  <c r="P1506"/>
  <c r="P1600"/>
  <c r="P1602" s="1"/>
  <c r="Q1242"/>
  <c r="Q566"/>
  <c r="Q425"/>
  <c r="Q119"/>
  <c r="I274"/>
  <c r="J273"/>
  <c r="S422"/>
  <c r="T459"/>
  <c r="S487"/>
  <c r="S412"/>
  <c r="T411"/>
  <c r="N443"/>
  <c r="S245"/>
  <c r="AA963"/>
  <c r="AA964" s="1"/>
  <c r="N753"/>
  <c r="N741" s="1"/>
  <c r="N742" s="1"/>
  <c r="X1216"/>
  <c r="X1907"/>
  <c r="X1908" s="1"/>
  <c r="T1988"/>
  <c r="J1248"/>
  <c r="I60"/>
  <c r="I62" s="1"/>
  <c r="S300"/>
  <c r="S294" s="1"/>
  <c r="S295" s="1"/>
  <c r="X1611"/>
  <c r="X1612" s="1"/>
  <c r="N1092"/>
  <c r="N1094" s="1"/>
  <c r="S692"/>
  <c r="S1745"/>
  <c r="S1749" s="1"/>
  <c r="S1759"/>
  <c r="S1795"/>
  <c r="S1796" s="1"/>
  <c r="N635"/>
  <c r="N639" s="1"/>
  <c r="N640" s="1"/>
  <c r="N649"/>
  <c r="I617"/>
  <c r="I611" s="1"/>
  <c r="I612" s="1"/>
  <c r="S896"/>
  <c r="S931"/>
  <c r="S935" s="1"/>
  <c r="N1155"/>
  <c r="O1154"/>
  <c r="S1304"/>
  <c r="T1304" s="1"/>
  <c r="X722"/>
  <c r="X724" s="1"/>
  <c r="Y656"/>
  <c r="J1756"/>
  <c r="J1820"/>
  <c r="T1248"/>
  <c r="O638"/>
  <c r="I1538"/>
  <c r="S1876"/>
  <c r="S1674"/>
  <c r="T1674" s="1"/>
  <c r="N1007"/>
  <c r="U1213"/>
  <c r="U1216" s="1"/>
  <c r="P751"/>
  <c r="P754" s="1"/>
  <c r="N497"/>
  <c r="N499" s="1"/>
  <c r="N1165"/>
  <c r="N1081"/>
  <c r="I657"/>
  <c r="N944"/>
  <c r="N946" s="1"/>
  <c r="X50"/>
  <c r="X52" s="1"/>
  <c r="U1710"/>
  <c r="U2006"/>
  <c r="U895"/>
  <c r="U889" s="1"/>
  <c r="U890" s="1"/>
  <c r="V2005"/>
  <c r="V1999" s="1"/>
  <c r="V2000" s="1"/>
  <c r="U970"/>
  <c r="AA1745"/>
  <c r="AA1749" s="1"/>
  <c r="AA1750" s="1"/>
  <c r="AA1759"/>
  <c r="AA1760" s="1"/>
  <c r="AA611"/>
  <c r="AA612" s="1"/>
  <c r="AA1079"/>
  <c r="AA1083" s="1"/>
  <c r="AA1093"/>
  <c r="AA1094" s="1"/>
  <c r="AA1018"/>
  <c r="Z1203"/>
  <c r="Z1204" s="1"/>
  <c r="AA913"/>
  <c r="Z1156"/>
  <c r="Z1158" s="1"/>
  <c r="AA201"/>
  <c r="AA203" s="1"/>
  <c r="AA188"/>
  <c r="AA192" s="1"/>
  <c r="Z1876"/>
  <c r="AA1684"/>
  <c r="AA1686" s="1"/>
  <c r="AA1580"/>
  <c r="AA870"/>
  <c r="AA872" s="1"/>
  <c r="AA564"/>
  <c r="AA566" s="1"/>
  <c r="AA424"/>
  <c r="AA1266"/>
  <c r="AA1259"/>
  <c r="AA1260" s="1"/>
  <c r="S1671"/>
  <c r="S1675" s="1"/>
  <c r="S1676" s="1"/>
  <c r="S1685"/>
  <c r="I1807"/>
  <c r="I1808" s="1"/>
  <c r="J1174"/>
  <c r="S1783"/>
  <c r="N1209"/>
  <c r="N1210" s="1"/>
  <c r="S860"/>
  <c r="T860" s="1"/>
  <c r="S833"/>
  <c r="S834" s="1"/>
  <c r="X27"/>
  <c r="N1303"/>
  <c r="S1980"/>
  <c r="S1982" s="1"/>
  <c r="I1451"/>
  <c r="I158" i="13" s="1"/>
  <c r="I161" s="1"/>
  <c r="J1450" i="10"/>
  <c r="J1904"/>
  <c r="Q1204"/>
  <c r="L1574"/>
  <c r="Q1130"/>
  <c r="L686"/>
  <c r="I1181"/>
  <c r="K14"/>
  <c r="K15" s="1"/>
  <c r="I1847"/>
  <c r="K880"/>
  <c r="K882" s="1"/>
  <c r="L732"/>
  <c r="L734" s="1"/>
  <c r="U1694"/>
  <c r="U1696" s="1"/>
  <c r="T1396"/>
  <c r="V1102"/>
  <c r="V1104" s="1"/>
  <c r="V1861"/>
  <c r="V1864" s="1"/>
  <c r="Z1472"/>
  <c r="Z1474" s="1"/>
  <c r="Z1289"/>
  <c r="Z1290" s="1"/>
  <c r="AA550"/>
  <c r="AA285"/>
  <c r="AA287" s="1"/>
  <c r="Z1955"/>
  <c r="Z1956" s="1"/>
  <c r="I284"/>
  <c r="N304"/>
  <c r="N307" s="1"/>
  <c r="N1265"/>
  <c r="S1197"/>
  <c r="S1185" s="1"/>
  <c r="S1186" s="1"/>
  <c r="S1283"/>
  <c r="S1277" s="1"/>
  <c r="S1278" s="1"/>
  <c r="J1128"/>
  <c r="S1156"/>
  <c r="T1156" s="1"/>
  <c r="T38"/>
  <c r="X1377"/>
  <c r="I1081"/>
  <c r="I98" i="13" s="1"/>
  <c r="I101" s="1"/>
  <c r="S574" i="10"/>
  <c r="S576" s="1"/>
  <c r="I1018"/>
  <c r="I1020" s="1"/>
  <c r="K1748"/>
  <c r="K1750" s="1"/>
  <c r="Q2005"/>
  <c r="Q2006" s="1"/>
  <c r="L1832"/>
  <c r="L1834" s="1"/>
  <c r="L1674"/>
  <c r="L1676" s="1"/>
  <c r="L1301"/>
  <c r="L1305" s="1"/>
  <c r="L1315"/>
  <c r="L1316" s="1"/>
  <c r="L1389"/>
  <c r="L1390" s="1"/>
  <c r="L1314"/>
  <c r="K783"/>
  <c r="K787" s="1"/>
  <c r="K788" s="1"/>
  <c r="L1156"/>
  <c r="K1092"/>
  <c r="K1094" s="1"/>
  <c r="Q1265"/>
  <c r="Q1259" s="1"/>
  <c r="Q1260" s="1"/>
  <c r="L1082"/>
  <c r="K484"/>
  <c r="K488" s="1"/>
  <c r="K498"/>
  <c r="K499" s="1"/>
  <c r="L349"/>
  <c r="L351" s="1"/>
  <c r="L931"/>
  <c r="L935" s="1"/>
  <c r="L936" s="1"/>
  <c r="K709"/>
  <c r="K713" s="1"/>
  <c r="K723"/>
  <c r="K724" s="1"/>
  <c r="Q599"/>
  <c r="Q600" s="1"/>
  <c r="L423"/>
  <c r="L425" s="1"/>
  <c r="Q821"/>
  <c r="Q815" s="1"/>
  <c r="Q816" s="1"/>
  <c r="L487"/>
  <c r="L489" s="1"/>
  <c r="U1981"/>
  <c r="V1209"/>
  <c r="V1203" s="1"/>
  <c r="V1204" s="1"/>
  <c r="V649"/>
  <c r="V650" s="1"/>
  <c r="U1611"/>
  <c r="U1612" s="1"/>
  <c r="V1907"/>
  <c r="V1908" s="1"/>
  <c r="V1079"/>
  <c r="V1083" s="1"/>
  <c r="V1084" s="1"/>
  <c r="V1981"/>
  <c r="V1982" s="1"/>
  <c r="V1431"/>
  <c r="V1432" s="1"/>
  <c r="U1597"/>
  <c r="U1601" s="1"/>
  <c r="V1129"/>
  <c r="V1130" s="1"/>
  <c r="V276"/>
  <c r="V277" s="1"/>
  <c r="V15"/>
  <c r="V575"/>
  <c r="V576" s="1"/>
  <c r="V201"/>
  <c r="V203" s="1"/>
  <c r="P1266"/>
  <c r="P1784"/>
  <c r="U1949"/>
  <c r="U1943" s="1"/>
  <c r="U1944" s="1"/>
  <c r="P1660"/>
  <c r="P1215"/>
  <c r="P1203" s="1"/>
  <c r="P1204" s="1"/>
  <c r="Q698"/>
  <c r="P473"/>
  <c r="Q251"/>
  <c r="K697"/>
  <c r="K685" s="1"/>
  <c r="K686" s="1"/>
  <c r="K919"/>
  <c r="K920" s="1"/>
  <c r="K467"/>
  <c r="P97"/>
  <c r="P1869"/>
  <c r="P1870" s="1"/>
  <c r="P171"/>
  <c r="K171"/>
  <c r="P1684"/>
  <c r="P1686" s="1"/>
  <c r="P635"/>
  <c r="P639" s="1"/>
  <c r="P640" s="1"/>
  <c r="P649"/>
  <c r="P650" s="1"/>
  <c r="P201"/>
  <c r="P203" s="1"/>
  <c r="P574"/>
  <c r="P114"/>
  <c r="P118" s="1"/>
  <c r="P119" s="1"/>
  <c r="Q1893"/>
  <c r="Q1897" s="1"/>
  <c r="Q1898" s="1"/>
  <c r="Q1907"/>
  <c r="Q1908" s="1"/>
  <c r="I423"/>
  <c r="I425" s="1"/>
  <c r="I264"/>
  <c r="J263"/>
  <c r="I126"/>
  <c r="J125"/>
  <c r="S200"/>
  <c r="S267"/>
  <c r="S94"/>
  <c r="S97" s="1"/>
  <c r="S171"/>
  <c r="S1259"/>
  <c r="S1260" s="1"/>
  <c r="S1864"/>
  <c r="J906"/>
  <c r="Y1202"/>
  <c r="O1820"/>
  <c r="Y1840"/>
  <c r="J1544"/>
  <c r="T293"/>
  <c r="X245"/>
  <c r="X127"/>
  <c r="X262"/>
  <c r="X266" s="1"/>
  <c r="X267" s="1"/>
  <c r="X117"/>
  <c r="S232"/>
  <c r="S220" s="1"/>
  <c r="S221" s="1"/>
  <c r="S307"/>
  <c r="Z375"/>
  <c r="Z368"/>
  <c r="Z369" s="1"/>
  <c r="Z1044"/>
  <c r="Z1037"/>
  <c r="Z1038" s="1"/>
  <c r="S1357"/>
  <c r="I1745"/>
  <c r="I1749" s="1"/>
  <c r="I1759"/>
  <c r="I1760" s="1"/>
  <c r="I1721"/>
  <c r="I1722" s="1"/>
  <c r="N1858"/>
  <c r="N1487"/>
  <c r="I1970"/>
  <c r="J1970" s="1"/>
  <c r="I27"/>
  <c r="J1598"/>
  <c r="N564"/>
  <c r="X637"/>
  <c r="Y636"/>
  <c r="T1746"/>
  <c r="X1832"/>
  <c r="X1834" s="1"/>
  <c r="S1452"/>
  <c r="S1028"/>
  <c r="S1030" s="1"/>
  <c r="X1970"/>
  <c r="X944"/>
  <c r="X946" s="1"/>
  <c r="S934"/>
  <c r="I460"/>
  <c r="I461" s="1"/>
  <c r="O89"/>
  <c r="O505"/>
  <c r="I171"/>
  <c r="X1435"/>
  <c r="S828"/>
  <c r="S815"/>
  <c r="S816" s="1"/>
  <c r="N1932"/>
  <c r="S1683"/>
  <c r="X1895"/>
  <c r="Y1894"/>
  <c r="V772"/>
  <c r="N264"/>
  <c r="O263"/>
  <c r="N487"/>
  <c r="O487" s="1"/>
  <c r="N2005"/>
  <c r="N1999" s="1"/>
  <c r="N2000" s="1"/>
  <c r="S1833"/>
  <c r="S1834" s="1"/>
  <c r="O1396"/>
  <c r="V1629"/>
  <c r="V1630" s="1"/>
  <c r="V1265"/>
  <c r="V1043"/>
  <c r="V1037" s="1"/>
  <c r="V1038" s="1"/>
  <c r="V1931"/>
  <c r="V1925" s="1"/>
  <c r="V1926" s="1"/>
  <c r="V1858"/>
  <c r="V226"/>
  <c r="V220" s="1"/>
  <c r="V221" s="1"/>
  <c r="V1340"/>
  <c r="U301"/>
  <c r="V599"/>
  <c r="V593" s="1"/>
  <c r="V594" s="1"/>
  <c r="Z114"/>
  <c r="Z118" s="1"/>
  <c r="Z119" s="1"/>
  <c r="Z128"/>
  <c r="Z129" s="1"/>
  <c r="AA857"/>
  <c r="AA861" s="1"/>
  <c r="AA862" s="1"/>
  <c r="Z1166"/>
  <c r="Z1168" s="1"/>
  <c r="Z336"/>
  <c r="Z340" s="1"/>
  <c r="Z341" s="1"/>
  <c r="Z1425"/>
  <c r="Z1426" s="1"/>
  <c r="AA765"/>
  <c r="AA759" s="1"/>
  <c r="AA760" s="1"/>
  <c r="AA575"/>
  <c r="AA576" s="1"/>
  <c r="AA191"/>
  <c r="AA193" s="1"/>
  <c r="Z1602"/>
  <c r="AA797"/>
  <c r="AA798" s="1"/>
  <c r="AA368"/>
  <c r="AA369" s="1"/>
  <c r="X1488"/>
  <c r="Z1999"/>
  <c r="Z2000" s="1"/>
  <c r="AA889"/>
  <c r="AA890" s="1"/>
  <c r="H63" i="4"/>
  <c r="J31" i="8" s="1"/>
  <c r="I43" i="4"/>
  <c r="H44"/>
  <c r="H24"/>
  <c r="J16" i="8" s="1"/>
  <c r="H27" i="4"/>
  <c r="H33"/>
  <c r="H31"/>
  <c r="H32" s="1"/>
  <c r="H36"/>
  <c r="J19" i="8" s="1"/>
  <c r="H69" i="4"/>
  <c r="J36" i="8" s="1"/>
  <c r="H67" i="4"/>
  <c r="H68" s="1"/>
  <c r="H72"/>
  <c r="J35" i="8" s="1"/>
  <c r="H58" i="4"/>
  <c r="H59" s="1"/>
  <c r="H60"/>
  <c r="J32" i="8" s="1"/>
  <c r="H71" i="4"/>
  <c r="I70"/>
  <c r="H54"/>
  <c r="J27" i="8" s="1"/>
  <c r="I52" i="4"/>
  <c r="H53"/>
  <c r="H49"/>
  <c r="H50" s="1"/>
  <c r="H51"/>
  <c r="J28" i="8" s="1"/>
  <c r="H35" i="4"/>
  <c r="I34"/>
  <c r="H62"/>
  <c r="I61"/>
  <c r="J20" i="8"/>
  <c r="H42" i="4"/>
  <c r="J24" i="8" s="1"/>
  <c r="H40" i="4"/>
  <c r="H41" s="1"/>
  <c r="H45"/>
  <c r="J23" i="8" s="1"/>
  <c r="H80" i="5"/>
  <c r="I80" s="1"/>
  <c r="I79"/>
  <c r="H108"/>
  <c r="I123" i="13" s="1"/>
  <c r="L123" s="1"/>
  <c r="H105" i="5"/>
  <c r="H103"/>
  <c r="H104" s="1"/>
  <c r="I115"/>
  <c r="H116"/>
  <c r="I116" s="1"/>
  <c r="I124"/>
  <c r="H125"/>
  <c r="I125" s="1"/>
  <c r="H153"/>
  <c r="I183" i="13" s="1"/>
  <c r="L183" s="1"/>
  <c r="I180" s="1"/>
  <c r="G13" i="14" s="1"/>
  <c r="H150" i="5"/>
  <c r="H148"/>
  <c r="H149" s="1"/>
  <c r="I160"/>
  <c r="H161"/>
  <c r="I161" s="1"/>
  <c r="H189"/>
  <c r="I231" i="13" s="1"/>
  <c r="L231" s="1"/>
  <c r="H186" i="5"/>
  <c r="H184"/>
  <c r="H185" s="1"/>
  <c r="I196"/>
  <c r="H197"/>
  <c r="I197" s="1"/>
  <c r="H96"/>
  <c r="H94"/>
  <c r="H95" s="1"/>
  <c r="H99"/>
  <c r="I111" i="13" s="1"/>
  <c r="L111" s="1"/>
  <c r="H107" i="5"/>
  <c r="I107" s="1"/>
  <c r="I106"/>
  <c r="H123"/>
  <c r="H121"/>
  <c r="H122" s="1"/>
  <c r="H126"/>
  <c r="I147" i="13" s="1"/>
  <c r="L147" s="1"/>
  <c r="H134" i="5"/>
  <c r="I134" s="1"/>
  <c r="I133"/>
  <c r="H159"/>
  <c r="H157"/>
  <c r="H158" s="1"/>
  <c r="H162"/>
  <c r="I195" i="13" s="1"/>
  <c r="L195" s="1"/>
  <c r="I192" s="1"/>
  <c r="G14" i="14" s="1"/>
  <c r="H170" i="5"/>
  <c r="I170" s="1"/>
  <c r="I169"/>
  <c r="H195"/>
  <c r="H193"/>
  <c r="H194" s="1"/>
  <c r="H198"/>
  <c r="I243" i="13" s="1"/>
  <c r="L243" s="1"/>
  <c r="I240" s="1"/>
  <c r="G25" i="14" s="1"/>
  <c r="H81" i="5"/>
  <c r="I87" i="13" s="1"/>
  <c r="L87" s="1"/>
  <c r="H78" i="5"/>
  <c r="H76"/>
  <c r="H77" s="1"/>
  <c r="H90"/>
  <c r="I99" i="13" s="1"/>
  <c r="L99" s="1"/>
  <c r="H87" i="5"/>
  <c r="H85"/>
  <c r="H86" s="1"/>
  <c r="I97"/>
  <c r="H98"/>
  <c r="I98" s="1"/>
  <c r="H135"/>
  <c r="I159" i="13" s="1"/>
  <c r="L159" s="1"/>
  <c r="H132" i="5"/>
  <c r="H130"/>
  <c r="H131" s="1"/>
  <c r="I142"/>
  <c r="H143"/>
  <c r="I143" s="1"/>
  <c r="H171"/>
  <c r="I207" i="13" s="1"/>
  <c r="L207" s="1"/>
  <c r="H168" i="5"/>
  <c r="H166"/>
  <c r="H167" s="1"/>
  <c r="I178"/>
  <c r="H179"/>
  <c r="I179" s="1"/>
  <c r="H89"/>
  <c r="I89" s="1"/>
  <c r="I88"/>
  <c r="H114"/>
  <c r="H112"/>
  <c r="H113" s="1"/>
  <c r="H117"/>
  <c r="I135" i="13" s="1"/>
  <c r="L135" s="1"/>
  <c r="H141" i="5"/>
  <c r="H139"/>
  <c r="H140" s="1"/>
  <c r="H144"/>
  <c r="I171" i="13" s="1"/>
  <c r="L171" s="1"/>
  <c r="H152" i="5"/>
  <c r="I152" s="1"/>
  <c r="I151"/>
  <c r="H177"/>
  <c r="H175"/>
  <c r="H176" s="1"/>
  <c r="H180"/>
  <c r="I219" i="13" s="1"/>
  <c r="L219" s="1"/>
  <c r="H188" i="5"/>
  <c r="I188" s="1"/>
  <c r="I187"/>
  <c r="I12"/>
  <c r="H26"/>
  <c r="I26" s="1"/>
  <c r="I25"/>
  <c r="H40"/>
  <c r="H41" s="1"/>
  <c r="H42"/>
  <c r="H44"/>
  <c r="I44" s="1"/>
  <c r="I43"/>
  <c r="H58"/>
  <c r="H59" s="1"/>
  <c r="H63"/>
  <c r="I63" i="13" s="1"/>
  <c r="L63" s="1"/>
  <c r="H60" i="5"/>
  <c r="H62"/>
  <c r="I62" s="1"/>
  <c r="I61"/>
  <c r="H18"/>
  <c r="H13"/>
  <c r="H14" s="1"/>
  <c r="H15"/>
  <c r="I11"/>
  <c r="H10"/>
  <c r="H17"/>
  <c r="I16"/>
  <c r="H36"/>
  <c r="I27" i="13" s="1"/>
  <c r="L27" s="1"/>
  <c r="H33" i="5"/>
  <c r="H31"/>
  <c r="H32" s="1"/>
  <c r="I34"/>
  <c r="H35"/>
  <c r="I35" s="1"/>
  <c r="H54"/>
  <c r="I51" i="13" s="1"/>
  <c r="L51" s="1"/>
  <c r="H51" i="5"/>
  <c r="H49"/>
  <c r="H50" s="1"/>
  <c r="I52"/>
  <c r="H53"/>
  <c r="I53" s="1"/>
  <c r="H72"/>
  <c r="I75" i="13" s="1"/>
  <c r="L75" s="1"/>
  <c r="H69" i="5"/>
  <c r="H67"/>
  <c r="H68" s="1"/>
  <c r="I70"/>
  <c r="H71"/>
  <c r="I71" s="1"/>
  <c r="H22"/>
  <c r="H23" s="1"/>
  <c r="H24"/>
  <c r="H27"/>
  <c r="I15" i="13" s="1"/>
  <c r="L15" s="1"/>
  <c r="I12" s="1"/>
  <c r="G29" i="14" s="1"/>
  <c r="H22" i="4"/>
  <c r="H23" s="1"/>
  <c r="I25"/>
  <c r="H17"/>
  <c r="H18"/>
  <c r="H13"/>
  <c r="H10"/>
  <c r="H15"/>
  <c r="K16" i="3"/>
  <c r="K17" s="1"/>
  <c r="T68" i="10" s="1"/>
  <c r="K25" i="3"/>
  <c r="K26" s="1"/>
  <c r="K21"/>
  <c r="M5" i="1"/>
  <c r="L8" i="3"/>
  <c r="L9" s="1"/>
  <c r="L34" s="1"/>
  <c r="L35" s="1"/>
  <c r="K20"/>
  <c r="K30"/>
  <c r="K29"/>
  <c r="K11"/>
  <c r="K12"/>
  <c r="I22" i="14" l="1"/>
  <c r="I41" i="13"/>
  <c r="I13" i="12"/>
  <c r="I18"/>
  <c r="I60" i="13"/>
  <c r="G28" i="14" s="1"/>
  <c r="I16"/>
  <c r="I11"/>
  <c r="I25"/>
  <c r="I132" i="13"/>
  <c r="G11" i="14" s="1"/>
  <c r="I20"/>
  <c r="I10"/>
  <c r="I27"/>
  <c r="I14"/>
  <c r="I13"/>
  <c r="L230" i="13"/>
  <c r="I15" i="14"/>
  <c r="I23"/>
  <c r="I18"/>
  <c r="I21"/>
  <c r="I17"/>
  <c r="I26"/>
  <c r="I24"/>
  <c r="I12"/>
  <c r="I216" i="13"/>
  <c r="G24" i="14" s="1"/>
  <c r="I19"/>
  <c r="I28"/>
  <c r="L206" i="13"/>
  <c r="I204" s="1"/>
  <c r="G23" i="14" s="1"/>
  <c r="L170" i="13"/>
  <c r="I168" s="1"/>
  <c r="G20" i="14" s="1"/>
  <c r="L158" i="13"/>
  <c r="I156" s="1"/>
  <c r="G19" i="14" s="1"/>
  <c r="I72" i="13"/>
  <c r="G12" i="14" s="1"/>
  <c r="L146" i="13"/>
  <c r="I144" s="1"/>
  <c r="G27" i="14" s="1"/>
  <c r="L122" i="13"/>
  <c r="I120" s="1"/>
  <c r="G17" i="14" s="1"/>
  <c r="L110" i="13"/>
  <c r="I108" s="1"/>
  <c r="G10" i="14" s="1"/>
  <c r="L98" i="13"/>
  <c r="I96" s="1"/>
  <c r="G16" i="14" s="1"/>
  <c r="L86" i="13"/>
  <c r="I84" s="1"/>
  <c r="G18" i="14" s="1"/>
  <c r="L50" i="13"/>
  <c r="I48" s="1"/>
  <c r="G26" i="14" s="1"/>
  <c r="L38" i="13"/>
  <c r="I36" s="1"/>
  <c r="G22" i="14" s="1"/>
  <c r="I228" i="13"/>
  <c r="G15" i="14" s="1"/>
  <c r="L26" i="13"/>
  <c r="I24" s="1"/>
  <c r="G21" i="14" s="1"/>
  <c r="Y1424" i="10"/>
  <c r="X1438"/>
  <c r="N1488"/>
  <c r="N1481"/>
  <c r="N1482" s="1"/>
  <c r="X119"/>
  <c r="Y117"/>
  <c r="N1266"/>
  <c r="N1259"/>
  <c r="N1260" s="1"/>
  <c r="AA914"/>
  <c r="AA907"/>
  <c r="AA908" s="1"/>
  <c r="I914"/>
  <c r="I907"/>
  <c r="I908" s="1"/>
  <c r="V1728"/>
  <c r="V1721"/>
  <c r="V1722" s="1"/>
  <c r="I1232"/>
  <c r="J1230"/>
  <c r="V1932"/>
  <c r="N788"/>
  <c r="O786"/>
  <c r="J265"/>
  <c r="I267"/>
  <c r="I42" i="12" s="1"/>
  <c r="I40" s="1"/>
  <c r="I35" s="1"/>
  <c r="V425" i="10"/>
  <c r="O1008"/>
  <c r="N1010"/>
  <c r="K1358"/>
  <c r="K1351"/>
  <c r="K1352" s="1"/>
  <c r="U1210"/>
  <c r="Z97"/>
  <c r="Z90"/>
  <c r="Z91" s="1"/>
  <c r="K245"/>
  <c r="Z1316"/>
  <c r="N2006"/>
  <c r="N1728"/>
  <c r="Q862"/>
  <c r="P1950"/>
  <c r="U1284"/>
  <c r="P1858"/>
  <c r="I1580"/>
  <c r="N600"/>
  <c r="I1284"/>
  <c r="I1982"/>
  <c r="T1424"/>
  <c r="AA21"/>
  <c r="AA14"/>
  <c r="AA15" s="1"/>
  <c r="U1858"/>
  <c r="U1851"/>
  <c r="U1852" s="1"/>
  <c r="P1216"/>
  <c r="S1158"/>
  <c r="AA1216"/>
  <c r="AA1203"/>
  <c r="AA1204" s="1"/>
  <c r="AA714"/>
  <c r="Q724"/>
  <c r="K624"/>
  <c r="K611"/>
  <c r="K612" s="1"/>
  <c r="K489"/>
  <c r="Z193"/>
  <c r="AA840"/>
  <c r="N1943"/>
  <c r="N1944" s="1"/>
  <c r="L1158"/>
  <c r="X1390"/>
  <c r="AA650"/>
  <c r="I97"/>
  <c r="P1438"/>
  <c r="L1306"/>
  <c r="I1972"/>
  <c r="U1136"/>
  <c r="K566"/>
  <c r="S301"/>
  <c r="Q1333"/>
  <c r="Q1334" s="1"/>
  <c r="S1333"/>
  <c r="S1334" s="1"/>
  <c r="V21"/>
  <c r="L1898"/>
  <c r="X988"/>
  <c r="X981"/>
  <c r="X982" s="1"/>
  <c r="S862"/>
  <c r="P692"/>
  <c r="J1054"/>
  <c r="I1068"/>
  <c r="V1266"/>
  <c r="V1259"/>
  <c r="V1260" s="1"/>
  <c r="T934"/>
  <c r="S936"/>
  <c r="T1452"/>
  <c r="S1454"/>
  <c r="S1358"/>
  <c r="S1351"/>
  <c r="S1352" s="1"/>
  <c r="T1054"/>
  <c r="S1068"/>
  <c r="O1600"/>
  <c r="N1602"/>
  <c r="X914"/>
  <c r="X907"/>
  <c r="X908" s="1"/>
  <c r="I1795"/>
  <c r="I1796" s="1"/>
  <c r="S914"/>
  <c r="S907"/>
  <c r="S908" s="1"/>
  <c r="V1290"/>
  <c r="V1277"/>
  <c r="V1278" s="1"/>
  <c r="J1674"/>
  <c r="I1676"/>
  <c r="O163"/>
  <c r="N177"/>
  <c r="U164"/>
  <c r="U165" s="1"/>
  <c r="J638"/>
  <c r="I640"/>
  <c r="N650"/>
  <c r="Y638"/>
  <c r="X640"/>
  <c r="Q822"/>
  <c r="S1414"/>
  <c r="S1407"/>
  <c r="S1408" s="1"/>
  <c r="J487"/>
  <c r="I489"/>
  <c r="I75" i="12" s="1"/>
  <c r="I73" s="1"/>
  <c r="I68" s="1"/>
  <c r="K907" i="10"/>
  <c r="K908" s="1"/>
  <c r="N1784"/>
  <c r="N1777"/>
  <c r="N1778" s="1"/>
  <c r="P193"/>
  <c r="P1728"/>
  <c r="Z1802"/>
  <c r="Z1795"/>
  <c r="Z1796" s="1"/>
  <c r="U748"/>
  <c r="S1306"/>
  <c r="Y1378"/>
  <c r="X1380"/>
  <c r="N754"/>
  <c r="P822"/>
  <c r="U650"/>
  <c r="S766"/>
  <c r="S1232"/>
  <c r="J1748"/>
  <c r="I1750"/>
  <c r="P1414"/>
  <c r="N1192"/>
  <c r="U1636"/>
  <c r="AA425"/>
  <c r="AA766"/>
  <c r="U1488"/>
  <c r="U1481"/>
  <c r="U1482" s="1"/>
  <c r="Q1568"/>
  <c r="Q1555"/>
  <c r="Q1556" s="1"/>
  <c r="I1062"/>
  <c r="I1055"/>
  <c r="I1056" s="1"/>
  <c r="N1824"/>
  <c r="O1822"/>
  <c r="S341"/>
  <c r="P1380"/>
  <c r="K698"/>
  <c r="K714"/>
  <c r="AA1232"/>
  <c r="P1272"/>
  <c r="P1259"/>
  <c r="P1260" s="1"/>
  <c r="U386"/>
  <c r="U387" s="1"/>
  <c r="O1202"/>
  <c r="N1216"/>
  <c r="I277"/>
  <c r="Q489"/>
  <c r="U1834"/>
  <c r="Q76"/>
  <c r="Q69"/>
  <c r="Q70" s="1"/>
  <c r="S1136"/>
  <c r="S1129"/>
  <c r="S1130" s="1"/>
  <c r="X1586"/>
  <c r="X1573"/>
  <c r="X1574" s="1"/>
  <c r="P1908"/>
  <c r="K97"/>
  <c r="K90"/>
  <c r="K91" s="1"/>
  <c r="U97"/>
  <c r="U90"/>
  <c r="U91" s="1"/>
  <c r="V312"/>
  <c r="V313" s="1"/>
  <c r="I1898"/>
  <c r="AA1528"/>
  <c r="K1721"/>
  <c r="K1722" s="1"/>
  <c r="P1562"/>
  <c r="Q227"/>
  <c r="S14"/>
  <c r="S15" s="1"/>
  <c r="I862"/>
  <c r="S467"/>
  <c r="U171"/>
  <c r="Z611"/>
  <c r="Z612" s="1"/>
  <c r="O1424"/>
  <c r="N1438"/>
  <c r="P566"/>
  <c r="K1876"/>
  <c r="P21"/>
  <c r="O1350"/>
  <c r="N1364"/>
  <c r="O564"/>
  <c r="N566"/>
  <c r="X129"/>
  <c r="S1512"/>
  <c r="K1432"/>
  <c r="K1425"/>
  <c r="K1426" s="1"/>
  <c r="V1562"/>
  <c r="J413"/>
  <c r="I415"/>
  <c r="I64" i="12" s="1"/>
  <c r="I62" s="1"/>
  <c r="I57" s="1"/>
  <c r="V822" i="10"/>
  <c r="V815"/>
  <c r="V816" s="1"/>
  <c r="Z1676"/>
  <c r="X425"/>
  <c r="X1136"/>
  <c r="S203"/>
  <c r="P1538"/>
  <c r="P1185"/>
  <c r="P1186" s="1"/>
  <c r="V1580"/>
  <c r="I1136"/>
  <c r="AA936"/>
  <c r="N467"/>
  <c r="P449"/>
  <c r="V1824"/>
  <c r="AA1316"/>
  <c r="I1351"/>
  <c r="I1352" s="1"/>
  <c r="N618"/>
  <c r="I692"/>
  <c r="I685"/>
  <c r="I686" s="1"/>
  <c r="Q1306"/>
  <c r="K544"/>
  <c r="U766"/>
  <c r="V618"/>
  <c r="N76"/>
  <c r="N69"/>
  <c r="N70" s="1"/>
  <c r="N674"/>
  <c r="Z714"/>
  <c r="V227"/>
  <c r="N544"/>
  <c r="K650"/>
  <c r="K1834"/>
  <c r="S42"/>
  <c r="S1284"/>
  <c r="V2006"/>
  <c r="N319"/>
  <c r="Y1156"/>
  <c r="X1158"/>
  <c r="K840"/>
  <c r="P227"/>
  <c r="V1676"/>
  <c r="K1908"/>
  <c r="Z1580"/>
  <c r="S1432"/>
  <c r="N1612"/>
  <c r="S153"/>
  <c r="I351"/>
  <c r="P840"/>
  <c r="U988"/>
  <c r="P1118"/>
  <c r="V981"/>
  <c r="V982" s="1"/>
  <c r="K872"/>
  <c r="N1044"/>
  <c r="U1340"/>
  <c r="S640"/>
  <c r="Y1822"/>
  <c r="X1824"/>
  <c r="I1528"/>
  <c r="J1526"/>
  <c r="J712"/>
  <c r="I714"/>
  <c r="Q1094"/>
  <c r="K1062"/>
  <c r="K1055"/>
  <c r="K1056" s="1"/>
  <c r="U1950"/>
  <c r="K798"/>
  <c r="S1198"/>
  <c r="J1452"/>
  <c r="I1454"/>
  <c r="Z1943"/>
  <c r="Z1944" s="1"/>
  <c r="AA277"/>
  <c r="U896"/>
  <c r="P1790"/>
  <c r="P1777"/>
  <c r="P1778" s="1"/>
  <c r="J980"/>
  <c r="I1506"/>
  <c r="I1499"/>
  <c r="I1500" s="1"/>
  <c r="V692"/>
  <c r="V685"/>
  <c r="V686" s="1"/>
  <c r="V1876"/>
  <c r="N52"/>
  <c r="Y684"/>
  <c r="X698"/>
  <c r="I650"/>
  <c r="P1612"/>
  <c r="L277"/>
  <c r="Q1192"/>
  <c r="Q1185"/>
  <c r="Q1186" s="1"/>
  <c r="X1464"/>
  <c r="X1142"/>
  <c r="T1822"/>
  <c r="S1824"/>
  <c r="Y758"/>
  <c r="X772"/>
  <c r="Y610"/>
  <c r="X624"/>
  <c r="N227"/>
  <c r="V294"/>
  <c r="V295" s="1"/>
  <c r="V1795"/>
  <c r="V1796" s="1"/>
  <c r="U2012"/>
  <c r="U1999"/>
  <c r="U2000" s="1"/>
  <c r="S1898"/>
  <c r="P970"/>
  <c r="P1710"/>
  <c r="I42"/>
  <c r="I1358"/>
  <c r="N1272"/>
  <c r="N624"/>
  <c r="P42"/>
  <c r="P914"/>
  <c r="P907"/>
  <c r="P908" s="1"/>
  <c r="K1290"/>
  <c r="K1277"/>
  <c r="K1278" s="1"/>
  <c r="V245"/>
  <c r="Q1044"/>
  <c r="Q1037"/>
  <c r="Q1038" s="1"/>
  <c r="T1276"/>
  <c r="U1037"/>
  <c r="U1038" s="1"/>
  <c r="P1062"/>
  <c r="P1290"/>
  <c r="P1277"/>
  <c r="P1278" s="1"/>
  <c r="L1084"/>
  <c r="N1118"/>
  <c r="V1185"/>
  <c r="V1186" s="1"/>
  <c r="X42"/>
  <c r="Y1970"/>
  <c r="X1972"/>
  <c r="S1784"/>
  <c r="S1777"/>
  <c r="S1778" s="1"/>
  <c r="T487"/>
  <c r="S489"/>
  <c r="O1526"/>
  <c r="N1528"/>
  <c r="AA692"/>
  <c r="AA685"/>
  <c r="AA686" s="1"/>
  <c r="AA1084"/>
  <c r="T89"/>
  <c r="V171"/>
  <c r="V164"/>
  <c r="V165" s="1"/>
  <c r="V680"/>
  <c r="V667"/>
  <c r="V668" s="1"/>
  <c r="S76"/>
  <c r="S69"/>
  <c r="S70" s="1"/>
  <c r="U1055"/>
  <c r="U1056" s="1"/>
  <c r="V1044"/>
  <c r="P1136"/>
  <c r="V193"/>
  <c r="U1414"/>
  <c r="U1407"/>
  <c r="U1408" s="1"/>
  <c r="S714"/>
  <c r="T712"/>
  <c r="U1795"/>
  <c r="U1796" s="1"/>
  <c r="K1506"/>
  <c r="U1876"/>
  <c r="I946"/>
  <c r="Y1674"/>
  <c r="X1676"/>
  <c r="Q153"/>
  <c r="I1432"/>
  <c r="S1528"/>
  <c r="U449"/>
  <c r="U442"/>
  <c r="U443" s="1"/>
  <c r="S1750"/>
  <c r="T1748"/>
  <c r="I1316"/>
  <c r="S233"/>
  <c r="P576"/>
  <c r="V1210"/>
  <c r="Z914"/>
  <c r="Z907"/>
  <c r="Z908" s="1"/>
  <c r="AA1020"/>
  <c r="P872"/>
  <c r="Q42"/>
  <c r="V914"/>
  <c r="K640"/>
  <c r="AA319"/>
  <c r="AA312"/>
  <c r="AA313" s="1"/>
  <c r="V1414"/>
  <c r="U1555"/>
  <c r="U1556" s="1"/>
  <c r="Q381"/>
  <c r="Q368"/>
  <c r="Q369" s="1"/>
  <c r="N766"/>
  <c r="N759"/>
  <c r="N760" s="1"/>
  <c r="V119"/>
  <c r="L52"/>
  <c r="N341"/>
  <c r="U251"/>
  <c r="N1358"/>
  <c r="N1351"/>
  <c r="N1352" s="1"/>
  <c r="X1316"/>
  <c r="S1943"/>
  <c r="S1944" s="1"/>
  <c r="P896"/>
  <c r="Z833"/>
  <c r="Z834" s="1"/>
  <c r="N1136"/>
  <c r="N1129"/>
  <c r="N1130" s="1"/>
  <c r="X1898"/>
  <c r="Z1277"/>
  <c r="Z1278" s="1"/>
  <c r="Q872"/>
  <c r="K994"/>
  <c r="U914"/>
  <c r="U907"/>
  <c r="U908" s="1"/>
  <c r="Q294"/>
  <c r="Q295" s="1"/>
  <c r="Q748"/>
  <c r="J786"/>
  <c r="I788"/>
  <c r="N1340"/>
  <c r="V1198"/>
  <c r="I71" i="4"/>
  <c r="J37" i="8"/>
  <c r="I13" i="4"/>
  <c r="K18" i="3"/>
  <c r="I62" i="4"/>
  <c r="J33" i="8"/>
  <c r="I44" i="4"/>
  <c r="J25" i="8"/>
  <c r="H14" i="4"/>
  <c r="I35"/>
  <c r="J21" i="8"/>
  <c r="I53" i="4"/>
  <c r="J29" i="8"/>
  <c r="I13" i="5"/>
  <c r="C8" s="1"/>
  <c r="I26" i="4"/>
  <c r="J17" i="8"/>
  <c r="J15"/>
  <c r="K36" i="3"/>
  <c r="K27"/>
  <c r="L16"/>
  <c r="L17" s="1"/>
  <c r="Y68" i="10" s="1"/>
  <c r="L25" i="3"/>
  <c r="L26" s="1"/>
  <c r="K31"/>
  <c r="K32" s="1"/>
  <c r="L7"/>
  <c r="L12"/>
  <c r="H9"/>
  <c r="K15"/>
  <c r="T40" i="10" s="1"/>
  <c r="N5" i="1"/>
  <c r="K24" i="3"/>
  <c r="K22"/>
  <c r="K23" s="1"/>
  <c r="K33"/>
  <c r="L30"/>
  <c r="L21"/>
  <c r="L20"/>
  <c r="L29"/>
  <c r="L11"/>
  <c r="K13"/>
  <c r="K14" s="1"/>
  <c r="I11" i="12" l="1"/>
  <c r="C8" i="4"/>
  <c r="L27" i="3"/>
  <c r="L36"/>
  <c r="H25"/>
  <c r="H34"/>
  <c r="I34" s="1"/>
  <c r="L18"/>
  <c r="H29"/>
  <c r="H36" s="1"/>
  <c r="H16"/>
  <c r="H17" s="1"/>
  <c r="J13" i="8" s="1"/>
  <c r="L15" i="3"/>
  <c r="Y40" i="10" s="1"/>
  <c r="J234" s="1"/>
  <c r="H11" i="3"/>
  <c r="H12"/>
  <c r="H21"/>
  <c r="H20"/>
  <c r="H30"/>
  <c r="O5" i="1"/>
  <c r="L33" i="3"/>
  <c r="L31"/>
  <c r="L32" s="1"/>
  <c r="L24"/>
  <c r="L22"/>
  <c r="L23" s="1"/>
  <c r="L13"/>
  <c r="L14" s="1"/>
  <c r="J607" i="10" l="1"/>
  <c r="J1125"/>
  <c r="J1347"/>
  <c r="J1495"/>
  <c r="J1643"/>
  <c r="J456"/>
  <c r="J533"/>
  <c r="J382"/>
  <c r="J1199"/>
  <c r="J1791"/>
  <c r="J1717"/>
  <c r="J1939"/>
  <c r="J86"/>
  <c r="J681"/>
  <c r="J829"/>
  <c r="J903"/>
  <c r="J1569"/>
  <c r="J10"/>
  <c r="J1865"/>
  <c r="J977"/>
  <c r="J755"/>
  <c r="J160"/>
  <c r="J1051"/>
  <c r="J1421"/>
  <c r="J1273"/>
  <c r="J308"/>
  <c r="H27" i="3"/>
  <c r="H26"/>
  <c r="I26" s="1"/>
  <c r="I25"/>
  <c r="I16"/>
  <c r="H35"/>
  <c r="I35" s="1"/>
  <c r="H18"/>
  <c r="J11" i="8" s="1"/>
  <c r="H10" i="3"/>
  <c r="H15"/>
  <c r="J12" i="8" s="1"/>
  <c r="I11" i="3"/>
  <c r="I12"/>
  <c r="H24"/>
  <c r="H22"/>
  <c r="H13"/>
  <c r="H14" s="1"/>
  <c r="H33"/>
  <c r="H31"/>
  <c r="H32" s="1"/>
  <c r="P5" i="1"/>
  <c r="C8" i="10" l="1"/>
  <c r="I10" i="8"/>
  <c r="C8" s="1"/>
  <c r="I13" i="3"/>
  <c r="C8" s="1"/>
  <c r="H23"/>
  <c r="C7" i="7" l="1"/>
</calcChain>
</file>

<file path=xl/sharedStrings.xml><?xml version="1.0" encoding="utf-8"?>
<sst xmlns="http://schemas.openxmlformats.org/spreadsheetml/2006/main" count="9011" uniqueCount="384">
  <si>
    <t>сумма покупки</t>
  </si>
  <si>
    <t>сумма продажи</t>
  </si>
  <si>
    <t>количество товаров</t>
  </si>
  <si>
    <t>цена покупки</t>
  </si>
  <si>
    <t>цена продажи</t>
  </si>
  <si>
    <t>товар</t>
  </si>
  <si>
    <t>поставщик</t>
  </si>
  <si>
    <t>категория товара</t>
  </si>
  <si>
    <t>детализация_1</t>
  </si>
  <si>
    <t>детализация_2</t>
  </si>
  <si>
    <t>детализация_3</t>
  </si>
  <si>
    <t>детализация_4</t>
  </si>
  <si>
    <t>детализация_5</t>
  </si>
  <si>
    <t>База данных операций</t>
  </si>
  <si>
    <t>покупки и продажи товаров</t>
  </si>
  <si>
    <t>в разрезе актуальных детализаций</t>
  </si>
  <si>
    <t>поля базы данных:</t>
  </si>
  <si>
    <t>тип поля:</t>
  </si>
  <si>
    <t>текст</t>
  </si>
  <si>
    <t>целое число</t>
  </si>
  <si>
    <t>дата дд.мм.гг</t>
  </si>
  <si>
    <t>денежный</t>
  </si>
  <si>
    <t>способ получения данных:</t>
  </si>
  <si>
    <t>дата покупки_план</t>
  </si>
  <si>
    <t>дата покупки_факт</t>
  </si>
  <si>
    <t>дата продажи_план</t>
  </si>
  <si>
    <t>дата продажи_факт</t>
  </si>
  <si>
    <t>расчет</t>
  </si>
  <si>
    <t>наименования детализаций:</t>
  </si>
  <si>
    <t>выгрузка из УС*</t>
  </si>
  <si>
    <t>Бизнес-Микс</t>
  </si>
  <si>
    <t>классификация операций купли-продажи</t>
  </si>
  <si>
    <t>№ типа детализации</t>
  </si>
  <si>
    <t>название типа детализации*</t>
  </si>
  <si>
    <t>детализация_1_1</t>
  </si>
  <si>
    <t>продажа со склада</t>
  </si>
  <si>
    <t>детализация_1_2</t>
  </si>
  <si>
    <t>продажа под заказ</t>
  </si>
  <si>
    <t>детализация_2_1</t>
  </si>
  <si>
    <t>детализация_2_2</t>
  </si>
  <si>
    <t>детализация_2_3</t>
  </si>
  <si>
    <t>детализация_3_1</t>
  </si>
  <si>
    <t>детализация_3_2</t>
  </si>
  <si>
    <t>детализация_3_3</t>
  </si>
  <si>
    <t>детализация_4_1</t>
  </si>
  <si>
    <t>детализация_4_2</t>
  </si>
  <si>
    <t>детализация_4_3</t>
  </si>
  <si>
    <t>бизнес-модель</t>
  </si>
  <si>
    <t>название поставщика</t>
  </si>
  <si>
    <t>название детализации*</t>
  </si>
  <si>
    <t>название детализации_3</t>
  </si>
  <si>
    <t>название детализации_2</t>
  </si>
  <si>
    <t>детализация_5_1</t>
  </si>
  <si>
    <t>детализация_5_2</t>
  </si>
  <si>
    <t>детализация_5_3</t>
  </si>
  <si>
    <t>№ строки</t>
  </si>
  <si>
    <t>название категории товаров</t>
  </si>
  <si>
    <t>название бизнес-модели</t>
  </si>
  <si>
    <t>Конвектор</t>
  </si>
  <si>
    <t>Стульчик для кормления</t>
  </si>
  <si>
    <t>Санки</t>
  </si>
  <si>
    <t>Манеж</t>
  </si>
  <si>
    <t>Пылесос</t>
  </si>
  <si>
    <t>Коляска-трость</t>
  </si>
  <si>
    <t>Наушники</t>
  </si>
  <si>
    <t>Мяч</t>
  </si>
  <si>
    <t>Набор кастрюль</t>
  </si>
  <si>
    <t>Масляный обогреватель</t>
  </si>
  <si>
    <t>Увлажнитель воздуха</t>
  </si>
  <si>
    <t>Эпилятор</t>
  </si>
  <si>
    <t>Эспандер-жгут</t>
  </si>
  <si>
    <t>Набор</t>
  </si>
  <si>
    <t>Хоккейные коньки</t>
  </si>
  <si>
    <t>Снегокат</t>
  </si>
  <si>
    <t>Стиральная машина</t>
  </si>
  <si>
    <t>Радиотелефон</t>
  </si>
  <si>
    <t>Волейбольный мяч</t>
  </si>
  <si>
    <t>Мясорубка</t>
  </si>
  <si>
    <t>Гиря</t>
  </si>
  <si>
    <t>Набор посуды</t>
  </si>
  <si>
    <t>Скамья</t>
  </si>
  <si>
    <t>Электробритва мужская</t>
  </si>
  <si>
    <t>Турник</t>
  </si>
  <si>
    <t>Министеппер</t>
  </si>
  <si>
    <t>Автосигнализация</t>
  </si>
  <si>
    <t>Степ платформа</t>
  </si>
  <si>
    <t>Коврик для фитнеса</t>
  </si>
  <si>
    <t>Фигурные коньки</t>
  </si>
  <si>
    <t>Диск</t>
  </si>
  <si>
    <t>Гантель</t>
  </si>
  <si>
    <t>Гантели</t>
  </si>
  <si>
    <t>Каталка</t>
  </si>
  <si>
    <t>Детская палатка</t>
  </si>
  <si>
    <t>Плечевой эспандер</t>
  </si>
  <si>
    <t>Парка</t>
  </si>
  <si>
    <t>Прогулочная коляска</t>
  </si>
  <si>
    <t>Колонки</t>
  </si>
  <si>
    <t>Люстра потолочная</t>
  </si>
  <si>
    <t>Горка</t>
  </si>
  <si>
    <t>Степпер</t>
  </si>
  <si>
    <t>Чайник электрический</t>
  </si>
  <si>
    <t>Люстра подвесная</t>
  </si>
  <si>
    <t>Электромобиль</t>
  </si>
  <si>
    <t>Бассейн</t>
  </si>
  <si>
    <t>Спот</t>
  </si>
  <si>
    <t>Песочница</t>
  </si>
  <si>
    <t>Ходунки</t>
  </si>
  <si>
    <t>Сотейник</t>
  </si>
  <si>
    <t>Качели</t>
  </si>
  <si>
    <t>Домик</t>
  </si>
  <si>
    <t>Бра</t>
  </si>
  <si>
    <t>Детская площадка</t>
  </si>
  <si>
    <t>Сушилка напольная</t>
  </si>
  <si>
    <t>Самокат</t>
  </si>
  <si>
    <t>Комод</t>
  </si>
  <si>
    <t>Качалка</t>
  </si>
  <si>
    <t>Велотренажер</t>
  </si>
  <si>
    <t>Весы</t>
  </si>
  <si>
    <t>Детская кроватка</t>
  </si>
  <si>
    <t>Детский велосипед</t>
  </si>
  <si>
    <t>Стол</t>
  </si>
  <si>
    <t>Беговая дорожка</t>
  </si>
  <si>
    <t>Блендер погружной</t>
  </si>
  <si>
    <t>Кофемашина</t>
  </si>
  <si>
    <t>Сушилка настенная</t>
  </si>
  <si>
    <t>Мойка воздуха</t>
  </si>
  <si>
    <t>Водонагреватель</t>
  </si>
  <si>
    <t>АвтоКомп</t>
  </si>
  <si>
    <t>ОдеждаКомп</t>
  </si>
  <si>
    <t>Брюки</t>
  </si>
  <si>
    <t>Куртка</t>
  </si>
  <si>
    <t>Пуховик</t>
  </si>
  <si>
    <t>Лента</t>
  </si>
  <si>
    <t>Игрушка</t>
  </si>
  <si>
    <t>Позитив</t>
  </si>
  <si>
    <t>Вега</t>
  </si>
  <si>
    <t>ВалентаСпорт</t>
  </si>
  <si>
    <t>Гранта</t>
  </si>
  <si>
    <t>Детство</t>
  </si>
  <si>
    <t>ИнтКид</t>
  </si>
  <si>
    <t>КидсТрейд</t>
  </si>
  <si>
    <t>С-спортКид</t>
  </si>
  <si>
    <t>Лекс</t>
  </si>
  <si>
    <t>Лайтс</t>
  </si>
  <si>
    <t>СуперСпорт</t>
  </si>
  <si>
    <t>КлиматКо</t>
  </si>
  <si>
    <t>С-Тойз</t>
  </si>
  <si>
    <t>СпортИн</t>
  </si>
  <si>
    <t>ФорКидс</t>
  </si>
  <si>
    <t>ЭлектроФор</t>
  </si>
  <si>
    <t>Гуливерт</t>
  </si>
  <si>
    <t>ИгрушкаФест</t>
  </si>
  <si>
    <t>детализация_5_4</t>
  </si>
  <si>
    <t>детализация_5_5</t>
  </si>
  <si>
    <t>детализация_5_6</t>
  </si>
  <si>
    <t>Электроника и бытовая техника</t>
  </si>
  <si>
    <t>Спортивный инвентарь</t>
  </si>
  <si>
    <t>Товары для детей</t>
  </si>
  <si>
    <t>Одежда и обувь</t>
  </si>
  <si>
    <t>Авто</t>
  </si>
  <si>
    <t>Домашнее хозяйство</t>
  </si>
  <si>
    <t>расчеты:</t>
  </si>
  <si>
    <t>дата * сумму покупки</t>
  </si>
  <si>
    <t>дата * сумму продажи</t>
  </si>
  <si>
    <t>детализация_4_4</t>
  </si>
  <si>
    <t>детализация_4_5</t>
  </si>
  <si>
    <t>детализация_4_6</t>
  </si>
  <si>
    <t>детализация_4_7</t>
  </si>
  <si>
    <t>детализация_4_8</t>
  </si>
  <si>
    <t>детализация_4_9</t>
  </si>
  <si>
    <t>детализация_4_10</t>
  </si>
  <si>
    <t>детализация_4_11</t>
  </si>
  <si>
    <t>детализация_4_12</t>
  </si>
  <si>
    <t>детализация_4_13</t>
  </si>
  <si>
    <t>детализация_4_14</t>
  </si>
  <si>
    <t>детализация_4_15</t>
  </si>
  <si>
    <t>детализация_4_16</t>
  </si>
  <si>
    <t>детализация_4_17</t>
  </si>
  <si>
    <t>детализация_4_18</t>
  </si>
  <si>
    <t>детализация_4_19</t>
  </si>
  <si>
    <t>детализация_4_20</t>
  </si>
  <si>
    <t>поставщик_1</t>
  </si>
  <si>
    <t>поставщик_2</t>
  </si>
  <si>
    <t>поставщик_3</t>
  </si>
  <si>
    <t>поставщик_4</t>
  </si>
  <si>
    <t>поставщик_5</t>
  </si>
  <si>
    <t>поставщик_6</t>
  </si>
  <si>
    <t>поставщик_7</t>
  </si>
  <si>
    <t>поставщик_8</t>
  </si>
  <si>
    <t>поставщик_9</t>
  </si>
  <si>
    <t>поставщик_10</t>
  </si>
  <si>
    <t>поставщик_11</t>
  </si>
  <si>
    <t>поставщик_12</t>
  </si>
  <si>
    <t>поставщик_13</t>
  </si>
  <si>
    <t>поставщик_14</t>
  </si>
  <si>
    <t>поставщик_15</t>
  </si>
  <si>
    <t>поставщик_16</t>
  </si>
  <si>
    <t>поставщик_17</t>
  </si>
  <si>
    <t>поставщик_18</t>
  </si>
  <si>
    <t>поставщик_19</t>
  </si>
  <si>
    <t>поставщик_20</t>
  </si>
  <si>
    <t>категория товара_1</t>
  </si>
  <si>
    <t>категория товара_2</t>
  </si>
  <si>
    <t>категория товара_3</t>
  </si>
  <si>
    <t>категория товара_4</t>
  </si>
  <si>
    <t>категория товара_5</t>
  </si>
  <si>
    <t>категория товара_6</t>
  </si>
  <si>
    <t>бизнес-модель_1</t>
  </si>
  <si>
    <t>бизнес-модель_2</t>
  </si>
  <si>
    <t>Детализация:</t>
  </si>
  <si>
    <t>выручка</t>
  </si>
  <si>
    <t>себестоимость</t>
  </si>
  <si>
    <t>валовая прибыль/маржа</t>
  </si>
  <si>
    <t>рентабельность продаж</t>
  </si>
  <si>
    <t>итого</t>
  </si>
  <si>
    <t>показатель</t>
  </si>
  <si>
    <t>ед.изм.</t>
  </si>
  <si>
    <t>руб.</t>
  </si>
  <si>
    <t>%</t>
  </si>
  <si>
    <t>дни</t>
  </si>
  <si>
    <t>период оборачиваемости продаж</t>
  </si>
  <si>
    <t>4кв2015</t>
  </si>
  <si>
    <t>контроль</t>
  </si>
  <si>
    <t>За период:</t>
  </si>
  <si>
    <t>ОГЛАВЛЕНИЕ</t>
  </si>
  <si>
    <t>микс</t>
  </si>
  <si>
    <t>раздел</t>
  </si>
  <si>
    <t>вкладка</t>
  </si>
  <si>
    <t>описание</t>
  </si>
  <si>
    <t>уровни и направления детализации/классификации покупок-продаж</t>
  </si>
  <si>
    <t>ПОбТЗ_1</t>
  </si>
  <si>
    <t>ПОбТЗ_2</t>
  </si>
  <si>
    <t>Входящие данные</t>
  </si>
  <si>
    <t>база данных о датах покупки и продажи товаров, их количествах и ценах</t>
  </si>
  <si>
    <t>операции</t>
  </si>
  <si>
    <t>в оглавление</t>
  </si>
  <si>
    <t>Период оборачиваемости товарных запасов (ТЗ = продажи + остатки)</t>
  </si>
  <si>
    <t>период оборачиваемости ТЗ</t>
  </si>
  <si>
    <t>остатки ТЗ на конец периода</t>
  </si>
  <si>
    <t>возраст остатков ТЗ на конец периода</t>
  </si>
  <si>
    <t>По состоянию остатков ТЗ на конец периода</t>
  </si>
  <si>
    <t>Отчет по оборачиваемости товарных запасов</t>
  </si>
  <si>
    <t>периоды оборачиваемости товарных запасов за 4кв2015 в разрезе бизнес-направлений и категорий товаров/поставщиков</t>
  </si>
  <si>
    <t>Оборачиваемость товарных запасов в разрезе бизнес-моделей</t>
  </si>
  <si>
    <t>периоды оборачиваемости товарных запасов за 4кв2015 в разрезе месяцев и бизнес-направлений</t>
  </si>
  <si>
    <t>Оборачиваемость товарных запасов в разрезе категорий товара</t>
  </si>
  <si>
    <t>периоды оборачиваемости товарных запасов за 4кв2015 в разрезе месяцев и категорий товаров</t>
  </si>
  <si>
    <t>Оборачиваемость товарных запасов в разрезе поставщиков</t>
  </si>
  <si>
    <t>периоды оборачиваемости товарных запасов за 4кв2015 в разрезе месяцев и поставщиков</t>
  </si>
  <si>
    <t>ПОбТЗ</t>
  </si>
  <si>
    <t>дата оплаты_план</t>
  </si>
  <si>
    <t>дата оплаты_факт</t>
  </si>
  <si>
    <t>сумма оплаты</t>
  </si>
  <si>
    <t>дата * сумму оплаты</t>
  </si>
  <si>
    <t>По состоянию балансовых статей на конец периода</t>
  </si>
  <si>
    <t>средняя дата закупки</t>
  </si>
  <si>
    <t>остатки ТЗ на начало периода</t>
  </si>
  <si>
    <t>возраст остатков ТЗ на начало периода</t>
  </si>
  <si>
    <t>оплаченные остатки ТЗ на начало периода</t>
  </si>
  <si>
    <t>средняя дата оплаты</t>
  </si>
  <si>
    <t>возраст оплаченных остатков ТЗ на начало периода</t>
  </si>
  <si>
    <t>руб</t>
  </si>
  <si>
    <t>дата</t>
  </si>
  <si>
    <t>возраст неоплаченных остатков ТЗ на начало периода</t>
  </si>
  <si>
    <t>оборачиваемость КЗ на начало периода по неоплаченным остаткам ТЗ</t>
  </si>
  <si>
    <t>оборачиваемость КЗ на начало периода по оплаченным остаткам ТЗ</t>
  </si>
  <si>
    <t>уровень детализации</t>
  </si>
  <si>
    <t>оборачиваемость КЗ на начало периода по остаткам ТЗ</t>
  </si>
  <si>
    <t>"финансовый цикл" по оплаченным остаткам ТЗ на начало периода</t>
  </si>
  <si>
    <t>"финансовый цикл" по неоплаченным остаткам ТЗ на начало периода</t>
  </si>
  <si>
    <t>"финансовый цикл" на начало периода по остаткам ТЗ</t>
  </si>
  <si>
    <t>Балансовые показатели на начало периода</t>
  </si>
  <si>
    <t>Обороты за период</t>
  </si>
  <si>
    <t>поступление ТЗ за период (закупки за период)</t>
  </si>
  <si>
    <t>выручка за период (продажи ТЗ за период)</t>
  </si>
  <si>
    <t>себестоимость проданных ТЗ за период</t>
  </si>
  <si>
    <t>неоплаченные остатки ТЗ на начало периода (КЗ на начало периода)</t>
  </si>
  <si>
    <t>рентабельность продаж (маржа)</t>
  </si>
  <si>
    <t>валовая прибыль за период</t>
  </si>
  <si>
    <t>Балансовые показатели на конец периода</t>
  </si>
  <si>
    <t>оборачиваемость КЗ на конец периода по остаткам ТЗ</t>
  </si>
  <si>
    <t>"финансовый цикл" на конец периода по остаткам ТЗ</t>
  </si>
  <si>
    <t>оплаченные остатки ТЗ на конец периода</t>
  </si>
  <si>
    <t>возраст оплаченных остатков ТЗ на конец периода</t>
  </si>
  <si>
    <t>оборачиваемость КЗ на конец периода по оплаченным остаткам ТЗ</t>
  </si>
  <si>
    <t>"финансовый цикл" по оплаченным остаткам ТЗ на конец периода</t>
  </si>
  <si>
    <t>неоплаченные остатки ТЗ на конец периода</t>
  </si>
  <si>
    <t>возраст неоплаченных остатков ТЗ на конец периода</t>
  </si>
  <si>
    <t>оборачиваемость КЗ на конец периода по неоплаченным остаткам ТЗ</t>
  </si>
  <si>
    <t>"финансовый цикл" по неоплаченным остаткам ТЗ на конец периода</t>
  </si>
  <si>
    <t>средняя дата продажи</t>
  </si>
  <si>
    <t>средняя дата покупки проданных за период ТЗ</t>
  </si>
  <si>
    <t>себестоимость проданных и оплаченных ТЗ за период</t>
  </si>
  <si>
    <t>продажи оплаченных (поставщикам) ТЗ за период</t>
  </si>
  <si>
    <t>средняя дата покупки проданных за период и оплаченных ТЗ</t>
  </si>
  <si>
    <t>средняя дата продажи оплаченных ТЗ</t>
  </si>
  <si>
    <t>валовая прибыль за период по оплаченным ТЗ</t>
  </si>
  <si>
    <t>рентабельность продаж (маржа) по оплаченным ТЗ</t>
  </si>
  <si>
    <t>оборачиваемость продаж оплаченных ТЗ за период</t>
  </si>
  <si>
    <t>средняя дата оплаты проданных за период и оплаченных ТЗ</t>
  </si>
  <si>
    <t>оборачиваемость КЗ по проданным за период и оплаченным ТЗ</t>
  </si>
  <si>
    <t>финансовый цикл по проданным за период и оплаченным ТЗ</t>
  </si>
  <si>
    <t>продажи неоплаченных (поставщикам) ТЗ за период</t>
  </si>
  <si>
    <t>средняя дата продажи неоплаченных ТЗ</t>
  </si>
  <si>
    <t>себестоимость проданных и неоплаченных ТЗ за период</t>
  </si>
  <si>
    <t>средняя дата покупки проданных за период и неоплаченных ТЗ</t>
  </si>
  <si>
    <t>оборачиваемость продаж неоплаченных ТЗ за период</t>
  </si>
  <si>
    <t>средняя дата оплаты* проданных за период и неоплаченных ТЗ</t>
  </si>
  <si>
    <t>средняя дата оплаты* проданных за период ТЗ</t>
  </si>
  <si>
    <t>оборачиваемость КЗ по проданным за период ТЗ</t>
  </si>
  <si>
    <t>финансовый цикл* по проданным за период ТЗ</t>
  </si>
  <si>
    <t>средняя дата оплаты*</t>
  </si>
  <si>
    <t>оплаты поставщикам за ТЗ за период (оттоки ДС поставщикам за период)</t>
  </si>
  <si>
    <t>Детализация по товарным категориям</t>
  </si>
  <si>
    <t>Детализация по поставщикам</t>
  </si>
  <si>
    <t>Расчет бонуса (мотивации) департамента продаж</t>
  </si>
  <si>
    <t>S</t>
  </si>
  <si>
    <t>FC</t>
  </si>
  <si>
    <t>финансовый цикл</t>
  </si>
  <si>
    <t>C</t>
  </si>
  <si>
    <t>I</t>
  </si>
  <si>
    <t>m</t>
  </si>
  <si>
    <t>мотивационный коэффициент</t>
  </si>
  <si>
    <t>NFC</t>
  </si>
  <si>
    <t>целевой (нормальный) финансовый цикл</t>
  </si>
  <si>
    <t>R</t>
  </si>
  <si>
    <t>корпоративная ставка стоимости ДС</t>
  </si>
  <si>
    <t>%г</t>
  </si>
  <si>
    <t>M</t>
  </si>
  <si>
    <t>бонус (мотивация)</t>
  </si>
  <si>
    <t>ИТОГО</t>
  </si>
  <si>
    <t>количество проданных товаров</t>
  </si>
  <si>
    <t>доля выручки</t>
  </si>
  <si>
    <t>средняя стоимость одного проданного товара</t>
  </si>
  <si>
    <t>шт</t>
  </si>
  <si>
    <t>рейтинг поставщика</t>
  </si>
  <si>
    <t>Расчет рейтинга поставщиков</t>
  </si>
  <si>
    <t>K1</t>
  </si>
  <si>
    <t>K2</t>
  </si>
  <si>
    <t>K3</t>
  </si>
  <si>
    <t>K4</t>
  </si>
  <si>
    <t>L1</t>
  </si>
  <si>
    <t>L2</t>
  </si>
  <si>
    <t>L3</t>
  </si>
  <si>
    <t>L4</t>
  </si>
  <si>
    <t>V1</t>
  </si>
  <si>
    <t>V2</t>
  </si>
  <si>
    <t>V3</t>
  </si>
  <si>
    <t>V4</t>
  </si>
  <si>
    <t>баллы</t>
  </si>
  <si>
    <t>ранг, баллы</t>
  </si>
  <si>
    <t>веса, %</t>
  </si>
  <si>
    <t>L</t>
  </si>
  <si>
    <t>Целевые условия на ключевые показатели системы KPI</t>
  </si>
  <si>
    <t>цель</t>
  </si>
  <si>
    <t>Li</t>
  </si>
  <si>
    <t>баллы рейтинга</t>
  </si>
  <si>
    <t>понижающий коэффициент</t>
  </si>
  <si>
    <t>повышающий коэффициент</t>
  </si>
  <si>
    <t>k1</t>
  </si>
  <si>
    <t>k2</t>
  </si>
  <si>
    <t>k3</t>
  </si>
  <si>
    <t>k4</t>
  </si>
  <si>
    <t>Условия на рейтингование поставщиков</t>
  </si>
  <si>
    <t>Условия мотивации менеджеров отдела продаж</t>
  </si>
  <si>
    <t>веса</t>
  </si>
  <si>
    <t>Расчеты базовых ключевых показателей системы KPI</t>
  </si>
  <si>
    <t>Рейтинг поставщиков</t>
  </si>
  <si>
    <t>условия_KPI</t>
  </si>
  <si>
    <t>условия на рейтингование поставщиков и на мотивационные ориентиры</t>
  </si>
  <si>
    <t>мотивация</t>
  </si>
  <si>
    <t>расчет мотивации в разрезе товарных категорий</t>
  </si>
  <si>
    <t>рейтинг_поставщиков</t>
  </si>
  <si>
    <t>рейтинг_расчет</t>
  </si>
  <si>
    <t>представление основных KPI в разрезе поставщиков и расчет рейтингов</t>
  </si>
  <si>
    <t>расчеты</t>
  </si>
  <si>
    <t>расчеты базовых ключевых показателей системы KPI в разрезе направлений бизнеса,категорий товаров и поставщиков</t>
  </si>
  <si>
    <t>эффективная маржа</t>
  </si>
  <si>
    <t>ER</t>
  </si>
  <si>
    <t>отчет о рейтинговании поставщиков "от лучшего к худшему", эффективная маржа в разрезе поставщиков</t>
  </si>
  <si>
    <t>валовая прибыль за период по неоплаченным ТЗ</t>
  </si>
  <si>
    <t>рентабельность продаж (маржа) по неоплаченным ТЗ</t>
  </si>
  <si>
    <t>оборачиваемость КЗ по проданным за период и неоплаченным ТЗ</t>
  </si>
  <si>
    <t>финансовый цикл* по проданным за период и неоплаченным ТЗ</t>
  </si>
</sst>
</file>

<file path=xl/styles.xml><?xml version="1.0" encoding="utf-8"?>
<styleSheet xmlns="http://schemas.openxmlformats.org/spreadsheetml/2006/main">
  <numFmts count="4">
    <numFmt numFmtId="164" formatCode="dd/mm/yy;@"/>
    <numFmt numFmtId="165" formatCode="[$-419]mmmm\ yyyy;@"/>
    <numFmt numFmtId="166" formatCode="0.0%"/>
    <numFmt numFmtId="167" formatCode="#,##0.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u/>
      <sz val="9"/>
      <color rgb="FFC0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8"/>
      <color rgb="FFFF0000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lightUp">
        <fgColor theme="0" tint="-0.34998626667073579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auto="1"/>
      </right>
      <top/>
      <bottom/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double">
        <color auto="1"/>
      </bottom>
      <diagonal/>
    </border>
    <border>
      <left/>
      <right/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 style="thin">
        <color auto="1"/>
      </bottom>
      <diagonal/>
    </border>
    <border>
      <left style="thin">
        <color theme="0" tint="-0.499984740745262"/>
      </left>
      <right/>
      <top/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/>
      <diagonal/>
    </border>
    <border>
      <left style="thin">
        <color theme="0" tint="-0.499984740745262"/>
      </left>
      <right/>
      <top style="thin">
        <color auto="1"/>
      </top>
      <bottom/>
      <diagonal/>
    </border>
    <border>
      <left/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1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 style="thin">
        <color auto="1"/>
      </bottom>
      <diagonal/>
    </border>
    <border>
      <left style="medium">
        <color theme="0" tint="-0.499984740745262"/>
      </left>
      <right/>
      <top/>
      <bottom style="thin">
        <color auto="1"/>
      </bottom>
      <diagonal/>
    </border>
    <border>
      <left/>
      <right style="medium">
        <color theme="0" tint="-0.499984740745262"/>
      </right>
      <top style="thin">
        <color auto="1"/>
      </top>
      <bottom/>
      <diagonal/>
    </border>
    <border>
      <left style="medium">
        <color theme="0" tint="-0.499984740745262"/>
      </left>
      <right/>
      <top style="thin">
        <color auto="1"/>
      </top>
      <bottom/>
      <diagonal/>
    </border>
    <border>
      <left/>
      <right style="medium">
        <color theme="0" tint="-0.499984740745262"/>
      </right>
      <top/>
      <bottom style="thin">
        <color theme="0" tint="-0.34998626667073579"/>
      </bottom>
      <diagonal/>
    </border>
    <border>
      <left style="medium">
        <color theme="0" tint="-0.499984740745262"/>
      </left>
      <right/>
      <top/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auto="1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auto="1"/>
      </bottom>
      <diagonal/>
    </border>
    <border>
      <left/>
      <right style="medium">
        <color theme="0" tint="-0.499984740745262"/>
      </right>
      <top style="thin">
        <color auto="1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auto="1"/>
      </top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1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theme="0" tint="-0.499984740745262"/>
      </right>
      <top style="medium">
        <color auto="1"/>
      </top>
      <bottom/>
      <diagonal/>
    </border>
    <border>
      <left style="medium">
        <color theme="0" tint="-0.499984740745262"/>
      </left>
      <right/>
      <top style="medium">
        <color auto="1"/>
      </top>
      <bottom/>
      <diagonal/>
    </border>
    <border>
      <left/>
      <right style="thin">
        <color theme="0" tint="-0.499984740745262"/>
      </right>
      <top style="medium">
        <color auto="1"/>
      </top>
      <bottom/>
      <diagonal/>
    </border>
    <border>
      <left style="thin">
        <color theme="0" tint="-0.499984740745262"/>
      </left>
      <right/>
      <top style="medium">
        <color auto="1"/>
      </top>
      <bottom/>
      <diagonal/>
    </border>
    <border>
      <left/>
      <right/>
      <top style="thin">
        <color theme="0" tint="-0.34998626667073579"/>
      </top>
      <bottom style="medium">
        <color auto="1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medium">
        <color auto="1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468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2" fillId="2" borderId="1" xfId="0" applyFont="1" applyFill="1" applyBorder="1"/>
    <xf numFmtId="0" fontId="2" fillId="2" borderId="2" xfId="0" applyFont="1" applyFill="1" applyBorder="1"/>
    <xf numFmtId="0" fontId="2" fillId="0" borderId="0" xfId="0" applyFont="1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0" xfId="0" applyFont="1"/>
    <xf numFmtId="0" fontId="2" fillId="3" borderId="0" xfId="0" applyFont="1" applyFill="1"/>
    <xf numFmtId="0" fontId="3" fillId="3" borderId="0" xfId="0" applyFont="1" applyFill="1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5" fillId="0" borderId="0" xfId="0" applyFont="1"/>
    <xf numFmtId="0" fontId="6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3" fontId="2" fillId="2" borderId="5" xfId="0" applyNumberFormat="1" applyFont="1" applyFill="1" applyBorder="1"/>
    <xf numFmtId="3" fontId="3" fillId="2" borderId="5" xfId="0" applyNumberFormat="1" applyFont="1" applyFill="1" applyBorder="1"/>
    <xf numFmtId="3" fontId="3" fillId="0" borderId="0" xfId="0" applyNumberFormat="1" applyFont="1"/>
    <xf numFmtId="164" fontId="2" fillId="2" borderId="3" xfId="0" applyNumberFormat="1" applyFont="1" applyFill="1" applyBorder="1"/>
    <xf numFmtId="164" fontId="3" fillId="2" borderId="3" xfId="0" applyNumberFormat="1" applyFont="1" applyFill="1" applyBorder="1"/>
    <xf numFmtId="164" fontId="3" fillId="0" borderId="0" xfId="0" applyNumberFormat="1" applyFont="1"/>
    <xf numFmtId="164" fontId="2" fillId="2" borderId="4" xfId="0" applyNumberFormat="1" applyFont="1" applyFill="1" applyBorder="1"/>
    <xf numFmtId="164" fontId="3" fillId="2" borderId="4" xfId="0" applyNumberFormat="1" applyFont="1" applyFill="1" applyBorder="1"/>
    <xf numFmtId="4" fontId="2" fillId="2" borderId="4" xfId="0" applyNumberFormat="1" applyFont="1" applyFill="1" applyBorder="1"/>
    <xf numFmtId="4" fontId="3" fillId="2" borderId="4" xfId="0" applyNumberFormat="1" applyFont="1" applyFill="1" applyBorder="1"/>
    <xf numFmtId="4" fontId="3" fillId="0" borderId="0" xfId="0" applyNumberFormat="1" applyFont="1"/>
    <xf numFmtId="4" fontId="2" fillId="2" borderId="5" xfId="0" applyNumberFormat="1" applyFont="1" applyFill="1" applyBorder="1"/>
    <xf numFmtId="4" fontId="3" fillId="2" borderId="5" xfId="0" applyNumberFormat="1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right"/>
    </xf>
    <xf numFmtId="0" fontId="8" fillId="2" borderId="1" xfId="0" applyFont="1" applyFill="1" applyBorder="1"/>
    <xf numFmtId="0" fontId="8" fillId="2" borderId="3" xfId="0" applyFont="1" applyFill="1" applyBorder="1"/>
    <xf numFmtId="0" fontId="8" fillId="2" borderId="4" xfId="0" applyFont="1" applyFill="1" applyBorder="1"/>
    <xf numFmtId="0" fontId="8" fillId="2" borderId="5" xfId="0" applyFont="1" applyFill="1" applyBorder="1"/>
    <xf numFmtId="3" fontId="8" fillId="2" borderId="5" xfId="0" applyNumberFormat="1" applyFont="1" applyFill="1" applyBorder="1"/>
    <xf numFmtId="164" fontId="8" fillId="2" borderId="3" xfId="0" applyNumberFormat="1" applyFont="1" applyFill="1" applyBorder="1"/>
    <xf numFmtId="164" fontId="8" fillId="2" borderId="4" xfId="0" applyNumberFormat="1" applyFont="1" applyFill="1" applyBorder="1"/>
    <xf numFmtId="4" fontId="8" fillId="2" borderId="4" xfId="0" applyNumberFormat="1" applyFont="1" applyFill="1" applyBorder="1"/>
    <xf numFmtId="4" fontId="8" fillId="2" borderId="5" xfId="0" applyNumberFormat="1" applyFont="1" applyFill="1" applyBorder="1"/>
    <xf numFmtId="0" fontId="9" fillId="2" borderId="0" xfId="0" applyFont="1" applyFill="1"/>
    <xf numFmtId="165" fontId="9" fillId="2" borderId="0" xfId="0" applyNumberFormat="1" applyFont="1" applyFill="1"/>
    <xf numFmtId="0" fontId="9" fillId="0" borderId="0" xfId="0" applyFont="1"/>
    <xf numFmtId="3" fontId="2" fillId="2" borderId="3" xfId="0" applyNumberFormat="1" applyFont="1" applyFill="1" applyBorder="1"/>
    <xf numFmtId="3" fontId="3" fillId="2" borderId="3" xfId="0" applyNumberFormat="1" applyFont="1" applyFill="1" applyBorder="1"/>
    <xf numFmtId="3" fontId="4" fillId="2" borderId="0" xfId="0" applyNumberFormat="1" applyFont="1" applyFill="1"/>
    <xf numFmtId="0" fontId="4" fillId="2" borderId="6" xfId="0" applyFont="1" applyFill="1" applyBorder="1"/>
    <xf numFmtId="0" fontId="6" fillId="2" borderId="7" xfId="0" applyFont="1" applyFill="1" applyBorder="1" applyAlignment="1">
      <alignment horizontal="left"/>
    </xf>
    <xf numFmtId="0" fontId="4" fillId="2" borderId="7" xfId="0" applyFont="1" applyFill="1" applyBorder="1"/>
    <xf numFmtId="0" fontId="4" fillId="2" borderId="8" xfId="0" applyFont="1" applyFill="1" applyBorder="1"/>
    <xf numFmtId="0" fontId="4" fillId="2" borderId="9" xfId="0" applyFont="1" applyFill="1" applyBorder="1"/>
    <xf numFmtId="0" fontId="6" fillId="2" borderId="10" xfId="0" applyFont="1" applyFill="1" applyBorder="1" applyAlignment="1">
      <alignment horizontal="left"/>
    </xf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0" fontId="6" fillId="2" borderId="13" xfId="0" applyFont="1" applyFill="1" applyBorder="1" applyAlignment="1">
      <alignment horizontal="left"/>
    </xf>
    <xf numFmtId="0" fontId="4" fillId="2" borderId="13" xfId="0" applyFont="1" applyFill="1" applyBorder="1"/>
    <xf numFmtId="0" fontId="4" fillId="2" borderId="14" xfId="0" applyFont="1" applyFill="1" applyBorder="1"/>
    <xf numFmtId="0" fontId="2" fillId="2" borderId="15" xfId="0" applyFont="1" applyFill="1" applyBorder="1"/>
    <xf numFmtId="0" fontId="7" fillId="2" borderId="16" xfId="0" applyFont="1" applyFill="1" applyBorder="1" applyAlignment="1">
      <alignment horizontal="left"/>
    </xf>
    <xf numFmtId="0" fontId="2" fillId="2" borderId="16" xfId="0" applyFont="1" applyFill="1" applyBorder="1"/>
    <xf numFmtId="0" fontId="2" fillId="2" borderId="17" xfId="0" applyFont="1" applyFill="1" applyBorder="1"/>
    <xf numFmtId="0" fontId="2" fillId="2" borderId="7" xfId="0" applyFont="1" applyFill="1" applyBorder="1"/>
    <xf numFmtId="0" fontId="0" fillId="2" borderId="0" xfId="0" applyFill="1"/>
    <xf numFmtId="0" fontId="10" fillId="5" borderId="3" xfId="0" applyFont="1" applyFill="1" applyBorder="1"/>
    <xf numFmtId="0" fontId="10" fillId="5" borderId="4" xfId="0" applyFont="1" applyFill="1" applyBorder="1"/>
    <xf numFmtId="0" fontId="10" fillId="5" borderId="5" xfId="0" applyFont="1" applyFill="1" applyBorder="1"/>
    <xf numFmtId="3" fontId="10" fillId="5" borderId="5" xfId="0" applyNumberFormat="1" applyFont="1" applyFill="1" applyBorder="1"/>
    <xf numFmtId="164" fontId="10" fillId="5" borderId="3" xfId="0" applyNumberFormat="1" applyFont="1" applyFill="1" applyBorder="1"/>
    <xf numFmtId="164" fontId="10" fillId="5" borderId="4" xfId="0" applyNumberFormat="1" applyFont="1" applyFill="1" applyBorder="1"/>
    <xf numFmtId="4" fontId="10" fillId="5" borderId="4" xfId="0" applyNumberFormat="1" applyFont="1" applyFill="1" applyBorder="1"/>
    <xf numFmtId="4" fontId="10" fillId="5" borderId="5" xfId="0" applyNumberFormat="1" applyFont="1" applyFill="1" applyBorder="1"/>
    <xf numFmtId="3" fontId="10" fillId="5" borderId="3" xfId="0" applyNumberFormat="1" applyFont="1" applyFill="1" applyBorder="1"/>
    <xf numFmtId="0" fontId="10" fillId="5" borderId="7" xfId="0" applyFont="1" applyFill="1" applyBorder="1"/>
    <xf numFmtId="0" fontId="11" fillId="5" borderId="7" xfId="0" applyFont="1" applyFill="1" applyBorder="1"/>
    <xf numFmtId="0" fontId="12" fillId="5" borderId="0" xfId="0" applyFont="1" applyFill="1"/>
    <xf numFmtId="0" fontId="13" fillId="5" borderId="0" xfId="0" applyFont="1" applyFill="1" applyAlignment="1">
      <alignment horizontal="left"/>
    </xf>
    <xf numFmtId="3" fontId="8" fillId="2" borderId="3" xfId="0" applyNumberFormat="1" applyFont="1" applyFill="1" applyBorder="1"/>
    <xf numFmtId="164" fontId="9" fillId="4" borderId="0" xfId="0" applyNumberFormat="1" applyFont="1" applyFill="1"/>
    <xf numFmtId="0" fontId="16" fillId="2" borderId="0" xfId="0" applyFont="1" applyFill="1"/>
    <xf numFmtId="164" fontId="17" fillId="5" borderId="0" xfId="0" applyNumberFormat="1" applyFont="1" applyFill="1"/>
    <xf numFmtId="165" fontId="9" fillId="2" borderId="0" xfId="0" applyNumberFormat="1" applyFont="1" applyFill="1" applyAlignment="1">
      <alignment horizontal="right"/>
    </xf>
    <xf numFmtId="3" fontId="2" fillId="2" borderId="0" xfId="0" applyNumberFormat="1" applyFont="1" applyFill="1"/>
    <xf numFmtId="0" fontId="4" fillId="2" borderId="18" xfId="0" applyFont="1" applyFill="1" applyBorder="1"/>
    <xf numFmtId="0" fontId="15" fillId="2" borderId="0" xfId="0" applyFont="1" applyFill="1"/>
    <xf numFmtId="0" fontId="15" fillId="0" borderId="0" xfId="0" applyFont="1"/>
    <xf numFmtId="0" fontId="9" fillId="2" borderId="19" xfId="0" applyFont="1" applyFill="1" applyBorder="1"/>
    <xf numFmtId="164" fontId="17" fillId="5" borderId="19" xfId="0" applyNumberFormat="1" applyFont="1" applyFill="1" applyBorder="1"/>
    <xf numFmtId="164" fontId="9" fillId="4" borderId="19" xfId="0" applyNumberFormat="1" applyFont="1" applyFill="1" applyBorder="1"/>
    <xf numFmtId="0" fontId="4" fillId="2" borderId="20" xfId="0" applyFont="1" applyFill="1" applyBorder="1"/>
    <xf numFmtId="0" fontId="15" fillId="2" borderId="19" xfId="0" applyFont="1" applyFill="1" applyBorder="1"/>
    <xf numFmtId="3" fontId="15" fillId="2" borderId="19" xfId="0" applyNumberFormat="1" applyFont="1" applyFill="1" applyBorder="1"/>
    <xf numFmtId="0" fontId="2" fillId="2" borderId="20" xfId="0" applyFont="1" applyFill="1" applyBorder="1"/>
    <xf numFmtId="0" fontId="2" fillId="2" borderId="18" xfId="0" applyFont="1" applyFill="1" applyBorder="1"/>
    <xf numFmtId="0" fontId="9" fillId="4" borderId="0" xfId="0" applyFont="1" applyFill="1"/>
    <xf numFmtId="0" fontId="9" fillId="4" borderId="19" xfId="0" applyFont="1" applyFill="1" applyBorder="1"/>
    <xf numFmtId="0" fontId="18" fillId="2" borderId="0" xfId="0" applyFont="1" applyFill="1"/>
    <xf numFmtId="0" fontId="18" fillId="2" borderId="20" xfId="0" applyFont="1" applyFill="1" applyBorder="1"/>
    <xf numFmtId="0" fontId="18" fillId="0" borderId="0" xfId="0" applyFont="1"/>
    <xf numFmtId="0" fontId="20" fillId="2" borderId="0" xfId="0" applyFont="1" applyFill="1"/>
    <xf numFmtId="0" fontId="21" fillId="2" borderId="0" xfId="0" applyFont="1" applyFill="1"/>
    <xf numFmtId="0" fontId="21" fillId="2" borderId="20" xfId="0" applyFont="1" applyFill="1" applyBorder="1"/>
    <xf numFmtId="3" fontId="21" fillId="2" borderId="20" xfId="0" applyNumberFormat="1" applyFont="1" applyFill="1" applyBorder="1"/>
    <xf numFmtId="0" fontId="21" fillId="0" borderId="0" xfId="0" applyFont="1"/>
    <xf numFmtId="0" fontId="19" fillId="2" borderId="0" xfId="0" applyFont="1" applyFill="1"/>
    <xf numFmtId="0" fontId="19" fillId="2" borderId="19" xfId="0" applyFont="1" applyFill="1" applyBorder="1"/>
    <xf numFmtId="0" fontId="18" fillId="2" borderId="18" xfId="0" applyFont="1" applyFill="1" applyBorder="1"/>
    <xf numFmtId="3" fontId="20" fillId="2" borderId="0" xfId="0" applyNumberFormat="1" applyFont="1" applyFill="1" applyAlignment="1">
      <alignment horizontal="left"/>
    </xf>
    <xf numFmtId="166" fontId="22" fillId="2" borderId="0" xfId="0" applyNumberFormat="1" applyFont="1" applyFill="1"/>
    <xf numFmtId="0" fontId="23" fillId="2" borderId="0" xfId="0" applyFont="1" applyFill="1"/>
    <xf numFmtId="166" fontId="16" fillId="2" borderId="0" xfId="0" applyNumberFormat="1" applyFont="1" applyFill="1"/>
    <xf numFmtId="0" fontId="16" fillId="0" borderId="0" xfId="0" applyFont="1"/>
    <xf numFmtId="0" fontId="14" fillId="5" borderId="19" xfId="0" applyFont="1" applyFill="1" applyBorder="1"/>
    <xf numFmtId="0" fontId="17" fillId="5" borderId="19" xfId="0" applyFont="1" applyFill="1" applyBorder="1"/>
    <xf numFmtId="164" fontId="9" fillId="4" borderId="19" xfId="0" applyNumberFormat="1" applyFont="1" applyFill="1" applyBorder="1" applyAlignment="1">
      <alignment horizontal="right"/>
    </xf>
    <xf numFmtId="0" fontId="3" fillId="2" borderId="18" xfId="0" applyFont="1" applyFill="1" applyBorder="1"/>
    <xf numFmtId="0" fontId="3" fillId="2" borderId="20" xfId="0" applyFont="1" applyFill="1" applyBorder="1"/>
    <xf numFmtId="0" fontId="24" fillId="2" borderId="0" xfId="0" applyFont="1" applyFill="1"/>
    <xf numFmtId="0" fontId="24" fillId="0" borderId="0" xfId="0" applyFont="1"/>
    <xf numFmtId="0" fontId="26" fillId="2" borderId="21" xfId="0" applyFont="1" applyFill="1" applyBorder="1"/>
    <xf numFmtId="0" fontId="24" fillId="2" borderId="21" xfId="0" applyFont="1" applyFill="1" applyBorder="1"/>
    <xf numFmtId="3" fontId="24" fillId="2" borderId="21" xfId="0" applyNumberFormat="1" applyFont="1" applyFill="1" applyBorder="1"/>
    <xf numFmtId="3" fontId="25" fillId="2" borderId="21" xfId="0" applyNumberFormat="1" applyFont="1" applyFill="1" applyBorder="1"/>
    <xf numFmtId="0" fontId="4" fillId="2" borderId="23" xfId="0" applyFont="1" applyFill="1" applyBorder="1"/>
    <xf numFmtId="0" fontId="2" fillId="2" borderId="23" xfId="0" applyFont="1" applyFill="1" applyBorder="1"/>
    <xf numFmtId="0" fontId="18" fillId="2" borderId="23" xfId="0" applyFont="1" applyFill="1" applyBorder="1"/>
    <xf numFmtId="0" fontId="3" fillId="2" borderId="23" xfId="0" applyFont="1" applyFill="1" applyBorder="1"/>
    <xf numFmtId="0" fontId="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8" fillId="2" borderId="0" xfId="0" applyFont="1" applyFill="1"/>
    <xf numFmtId="0" fontId="29" fillId="2" borderId="0" xfId="1" applyFont="1" applyFill="1"/>
    <xf numFmtId="0" fontId="28" fillId="0" borderId="0" xfId="0" applyFont="1"/>
    <xf numFmtId="0" fontId="15" fillId="0" borderId="0" xfId="0" applyFont="1" applyAlignment="1">
      <alignment horizontal="center" vertical="center"/>
    </xf>
    <xf numFmtId="0" fontId="0" fillId="2" borderId="20" xfId="0" applyFill="1" applyBorder="1"/>
    <xf numFmtId="0" fontId="2" fillId="2" borderId="20" xfId="0" applyFont="1" applyFill="1" applyBorder="1" applyAlignment="1">
      <alignment horizontal="center" vertical="center"/>
    </xf>
    <xf numFmtId="0" fontId="24" fillId="4" borderId="19" xfId="0" applyFont="1" applyFill="1" applyBorder="1"/>
    <xf numFmtId="0" fontId="24" fillId="4" borderId="19" xfId="0" applyFont="1" applyFill="1" applyBorder="1" applyAlignment="1">
      <alignment horizontal="center" vertical="center"/>
    </xf>
    <xf numFmtId="0" fontId="30" fillId="8" borderId="0" xfId="1" applyFont="1" applyFill="1"/>
    <xf numFmtId="0" fontId="30" fillId="8" borderId="0" xfId="1" applyFont="1" applyFill="1" applyAlignment="1">
      <alignment horizontal="left"/>
    </xf>
    <xf numFmtId="0" fontId="25" fillId="2" borderId="0" xfId="0" applyFont="1" applyFill="1"/>
    <xf numFmtId="0" fontId="28" fillId="0" borderId="0" xfId="0" applyFont="1" applyFill="1"/>
    <xf numFmtId="0" fontId="14" fillId="9" borderId="0" xfId="0" applyFont="1" applyFill="1"/>
    <xf numFmtId="0" fontId="6" fillId="2" borderId="0" xfId="0" applyFont="1" applyFill="1"/>
    <xf numFmtId="0" fontId="15" fillId="2" borderId="21" xfId="0" applyFont="1" applyFill="1" applyBorder="1"/>
    <xf numFmtId="3" fontId="15" fillId="2" borderId="21" xfId="0" applyNumberFormat="1" applyFont="1" applyFill="1" applyBorder="1"/>
    <xf numFmtId="3" fontId="1" fillId="2" borderId="21" xfId="0" applyNumberFormat="1" applyFont="1" applyFill="1" applyBorder="1"/>
    <xf numFmtId="0" fontId="9" fillId="2" borderId="22" xfId="0" applyFont="1" applyFill="1" applyBorder="1"/>
    <xf numFmtId="3" fontId="9" fillId="2" borderId="22" xfId="0" applyNumberFormat="1" applyFont="1" applyFill="1" applyBorder="1"/>
    <xf numFmtId="3" fontId="8" fillId="2" borderId="22" xfId="0" applyNumberFormat="1" applyFont="1" applyFill="1" applyBorder="1"/>
    <xf numFmtId="0" fontId="9" fillId="2" borderId="24" xfId="0" applyFont="1" applyFill="1" applyBorder="1"/>
    <xf numFmtId="3" fontId="9" fillId="2" borderId="24" xfId="0" applyNumberFormat="1" applyFont="1" applyFill="1" applyBorder="1"/>
    <xf numFmtId="3" fontId="8" fillId="2" borderId="24" xfId="0" applyNumberFormat="1" applyFont="1" applyFill="1" applyBorder="1"/>
    <xf numFmtId="0" fontId="9" fillId="2" borderId="25" xfId="0" applyFont="1" applyFill="1" applyBorder="1"/>
    <xf numFmtId="3" fontId="9" fillId="2" borderId="25" xfId="0" applyNumberFormat="1" applyFont="1" applyFill="1" applyBorder="1"/>
    <xf numFmtId="3" fontId="8" fillId="2" borderId="25" xfId="0" applyNumberFormat="1" applyFont="1" applyFill="1" applyBorder="1"/>
    <xf numFmtId="0" fontId="19" fillId="2" borderId="21" xfId="0" applyFont="1" applyFill="1" applyBorder="1"/>
    <xf numFmtId="0" fontId="15" fillId="2" borderId="24" xfId="0" applyFont="1" applyFill="1" applyBorder="1"/>
    <xf numFmtId="3" fontId="15" fillId="2" borderId="24" xfId="0" applyNumberFormat="1" applyFont="1" applyFill="1" applyBorder="1"/>
    <xf numFmtId="3" fontId="2" fillId="2" borderId="23" xfId="0" applyNumberFormat="1" applyFont="1" applyFill="1" applyBorder="1"/>
    <xf numFmtId="3" fontId="4" fillId="2" borderId="23" xfId="0" applyNumberFormat="1" applyFont="1" applyFill="1" applyBorder="1"/>
    <xf numFmtId="0" fontId="2" fillId="2" borderId="21" xfId="0" applyFont="1" applyFill="1" applyBorder="1"/>
    <xf numFmtId="3" fontId="2" fillId="2" borderId="21" xfId="0" applyNumberFormat="1" applyFont="1" applyFill="1" applyBorder="1"/>
    <xf numFmtId="3" fontId="19" fillId="2" borderId="21" xfId="0" applyNumberFormat="1" applyFont="1" applyFill="1" applyBorder="1"/>
    <xf numFmtId="0" fontId="19" fillId="2" borderId="22" xfId="0" applyFont="1" applyFill="1" applyBorder="1"/>
    <xf numFmtId="0" fontId="19" fillId="2" borderId="25" xfId="0" applyFont="1" applyFill="1" applyBorder="1"/>
    <xf numFmtId="3" fontId="19" fillId="2" borderId="22" xfId="0" applyNumberFormat="1" applyFont="1" applyFill="1" applyBorder="1"/>
    <xf numFmtId="3" fontId="19" fillId="2" borderId="24" xfId="0" applyNumberFormat="1" applyFont="1" applyFill="1" applyBorder="1"/>
    <xf numFmtId="0" fontId="21" fillId="2" borderId="19" xfId="0" applyFont="1" applyFill="1" applyBorder="1"/>
    <xf numFmtId="3" fontId="21" fillId="2" borderId="0" xfId="0" applyNumberFormat="1" applyFont="1" applyFill="1"/>
    <xf numFmtId="0" fontId="32" fillId="2" borderId="21" xfId="0" applyFont="1" applyFill="1" applyBorder="1"/>
    <xf numFmtId="3" fontId="21" fillId="2" borderId="23" xfId="0" applyNumberFormat="1" applyFont="1" applyFill="1" applyBorder="1"/>
    <xf numFmtId="0" fontId="31" fillId="2" borderId="24" xfId="0" applyFont="1" applyFill="1" applyBorder="1"/>
    <xf numFmtId="0" fontId="21" fillId="2" borderId="18" xfId="0" applyFont="1" applyFill="1" applyBorder="1"/>
    <xf numFmtId="3" fontId="19" fillId="2" borderId="25" xfId="0" applyNumberFormat="1" applyFont="1" applyFill="1" applyBorder="1"/>
    <xf numFmtId="0" fontId="33" fillId="2" borderId="0" xfId="1" applyFont="1" applyFill="1"/>
    <xf numFmtId="4" fontId="10" fillId="5" borderId="26" xfId="0" applyNumberFormat="1" applyFont="1" applyFill="1" applyBorder="1"/>
    <xf numFmtId="164" fontId="10" fillId="5" borderId="27" xfId="0" applyNumberFormat="1" applyFont="1" applyFill="1" applyBorder="1"/>
    <xf numFmtId="4" fontId="8" fillId="2" borderId="26" xfId="0" applyNumberFormat="1" applyFont="1" applyFill="1" applyBorder="1"/>
    <xf numFmtId="164" fontId="8" fillId="2" borderId="27" xfId="0" applyNumberFormat="1" applyFont="1" applyFill="1" applyBorder="1"/>
    <xf numFmtId="4" fontId="2" fillId="2" borderId="26" xfId="0" applyNumberFormat="1" applyFont="1" applyFill="1" applyBorder="1"/>
    <xf numFmtId="164" fontId="2" fillId="2" borderId="27" xfId="0" applyNumberFormat="1" applyFont="1" applyFill="1" applyBorder="1"/>
    <xf numFmtId="4" fontId="3" fillId="2" borderId="26" xfId="0" applyNumberFormat="1" applyFont="1" applyFill="1" applyBorder="1"/>
    <xf numFmtId="164" fontId="3" fillId="2" borderId="27" xfId="0" applyNumberFormat="1" applyFont="1" applyFill="1" applyBorder="1"/>
    <xf numFmtId="0" fontId="8" fillId="2" borderId="22" xfId="0" applyFont="1" applyFill="1" applyBorder="1"/>
    <xf numFmtId="0" fontId="8" fillId="0" borderId="0" xfId="0" applyFont="1"/>
    <xf numFmtId="164" fontId="8" fillId="2" borderId="22" xfId="0" applyNumberFormat="1" applyFont="1" applyFill="1" applyBorder="1"/>
    <xf numFmtId="0" fontId="2" fillId="2" borderId="0" xfId="0" applyFont="1" applyFill="1" applyBorder="1"/>
    <xf numFmtId="3" fontId="2" fillId="2" borderId="0" xfId="0" applyNumberFormat="1" applyFont="1" applyFill="1" applyBorder="1"/>
    <xf numFmtId="3" fontId="18" fillId="2" borderId="22" xfId="0" applyNumberFormat="1" applyFont="1" applyFill="1" applyBorder="1"/>
    <xf numFmtId="0" fontId="25" fillId="0" borderId="0" xfId="0" applyFont="1"/>
    <xf numFmtId="0" fontId="15" fillId="2" borderId="22" xfId="0" applyFont="1" applyFill="1" applyBorder="1"/>
    <xf numFmtId="3" fontId="15" fillId="2" borderId="22" xfId="0" applyNumberFormat="1" applyFont="1" applyFill="1" applyBorder="1"/>
    <xf numFmtId="0" fontId="8" fillId="2" borderId="28" xfId="0" applyFont="1" applyFill="1" applyBorder="1"/>
    <xf numFmtId="3" fontId="18" fillId="2" borderId="28" xfId="0" applyNumberFormat="1" applyFont="1" applyFill="1" applyBorder="1"/>
    <xf numFmtId="0" fontId="4" fillId="2" borderId="29" xfId="0" applyFont="1" applyFill="1" applyBorder="1"/>
    <xf numFmtId="0" fontId="2" fillId="2" borderId="29" xfId="0" applyFont="1" applyFill="1" applyBorder="1"/>
    <xf numFmtId="0" fontId="18" fillId="2" borderId="29" xfId="0" applyFont="1" applyFill="1" applyBorder="1"/>
    <xf numFmtId="0" fontId="3" fillId="2" borderId="29" xfId="0" applyFont="1" applyFill="1" applyBorder="1"/>
    <xf numFmtId="0" fontId="4" fillId="2" borderId="0" xfId="0" applyFont="1" applyFill="1" applyBorder="1"/>
    <xf numFmtId="0" fontId="8" fillId="2" borderId="25" xfId="0" applyFont="1" applyFill="1" applyBorder="1"/>
    <xf numFmtId="3" fontId="18" fillId="2" borderId="25" xfId="0" applyNumberFormat="1" applyFont="1" applyFill="1" applyBorder="1"/>
    <xf numFmtId="0" fontId="21" fillId="2" borderId="0" xfId="0" applyFont="1" applyFill="1" applyBorder="1"/>
    <xf numFmtId="0" fontId="22" fillId="2" borderId="0" xfId="0" applyFont="1" applyFill="1"/>
    <xf numFmtId="0" fontId="22" fillId="0" borderId="0" xfId="0" applyFont="1"/>
    <xf numFmtId="0" fontId="15" fillId="2" borderId="30" xfId="0" applyFont="1" applyFill="1" applyBorder="1"/>
    <xf numFmtId="3" fontId="15" fillId="2" borderId="30" xfId="0" applyNumberFormat="1" applyFont="1" applyFill="1" applyBorder="1"/>
    <xf numFmtId="0" fontId="15" fillId="2" borderId="0" xfId="0" applyFont="1" applyFill="1" applyBorder="1"/>
    <xf numFmtId="3" fontId="18" fillId="2" borderId="20" xfId="0" applyNumberFormat="1" applyFont="1" applyFill="1" applyBorder="1"/>
    <xf numFmtId="3" fontId="19" fillId="2" borderId="30" xfId="0" applyNumberFormat="1" applyFont="1" applyFill="1" applyBorder="1"/>
    <xf numFmtId="164" fontId="8" fillId="2" borderId="25" xfId="0" applyNumberFormat="1" applyFont="1" applyFill="1" applyBorder="1"/>
    <xf numFmtId="0" fontId="22" fillId="2" borderId="22" xfId="0" applyFont="1" applyFill="1" applyBorder="1"/>
    <xf numFmtId="166" fontId="22" fillId="2" borderId="22" xfId="0" applyNumberFormat="1" applyFont="1" applyFill="1" applyBorder="1"/>
    <xf numFmtId="3" fontId="35" fillId="2" borderId="22" xfId="0" applyNumberFormat="1" applyFont="1" applyFill="1" applyBorder="1"/>
    <xf numFmtId="0" fontId="15" fillId="2" borderId="25" xfId="0" applyFont="1" applyFill="1" applyBorder="1"/>
    <xf numFmtId="3" fontId="15" fillId="2" borderId="25" xfId="0" applyNumberFormat="1" applyFont="1" applyFill="1" applyBorder="1"/>
    <xf numFmtId="0" fontId="2" fillId="2" borderId="30" xfId="0" applyFont="1" applyFill="1" applyBorder="1"/>
    <xf numFmtId="3" fontId="2" fillId="2" borderId="30" xfId="0" applyNumberFormat="1" applyFont="1" applyFill="1" applyBorder="1"/>
    <xf numFmtId="0" fontId="2" fillId="2" borderId="25" xfId="0" applyFont="1" applyFill="1" applyBorder="1"/>
    <xf numFmtId="3" fontId="2" fillId="2" borderId="25" xfId="0" applyNumberFormat="1" applyFont="1" applyFill="1" applyBorder="1"/>
    <xf numFmtId="0" fontId="2" fillId="2" borderId="22" xfId="0" applyFont="1" applyFill="1" applyBorder="1"/>
    <xf numFmtId="3" fontId="2" fillId="2" borderId="22" xfId="0" applyNumberFormat="1" applyFont="1" applyFill="1" applyBorder="1"/>
    <xf numFmtId="164" fontId="9" fillId="4" borderId="31" xfId="0" applyNumberFormat="1" applyFont="1" applyFill="1" applyBorder="1"/>
    <xf numFmtId="0" fontId="9" fillId="2" borderId="32" xfId="0" applyFont="1" applyFill="1" applyBorder="1"/>
    <xf numFmtId="164" fontId="9" fillId="4" borderId="33" xfId="0" applyNumberFormat="1" applyFont="1" applyFill="1" applyBorder="1" applyAlignment="1">
      <alignment horizontal="right"/>
    </xf>
    <xf numFmtId="0" fontId="9" fillId="2" borderId="34" xfId="0" applyFont="1" applyFill="1" applyBorder="1"/>
    <xf numFmtId="0" fontId="21" fillId="2" borderId="35" xfId="0" applyFont="1" applyFill="1" applyBorder="1"/>
    <xf numFmtId="0" fontId="21" fillId="2" borderId="36" xfId="0" applyFont="1" applyFill="1" applyBorder="1"/>
    <xf numFmtId="3" fontId="15" fillId="2" borderId="37" xfId="0" applyNumberFormat="1" applyFont="1" applyFill="1" applyBorder="1"/>
    <xf numFmtId="0" fontId="15" fillId="2" borderId="38" xfId="0" applyFont="1" applyFill="1" applyBorder="1"/>
    <xf numFmtId="164" fontId="8" fillId="2" borderId="39" xfId="0" applyNumberFormat="1" applyFont="1" applyFill="1" applyBorder="1"/>
    <xf numFmtId="0" fontId="8" fillId="2" borderId="40" xfId="0" applyFont="1" applyFill="1" applyBorder="1"/>
    <xf numFmtId="3" fontId="9" fillId="2" borderId="39" xfId="0" applyNumberFormat="1" applyFont="1" applyFill="1" applyBorder="1"/>
    <xf numFmtId="0" fontId="9" fillId="2" borderId="40" xfId="0" applyFont="1" applyFill="1" applyBorder="1"/>
    <xf numFmtId="3" fontId="15" fillId="2" borderId="39" xfId="0" applyNumberFormat="1" applyFont="1" applyFill="1" applyBorder="1"/>
    <xf numFmtId="0" fontId="15" fillId="2" borderId="40" xfId="0" applyFont="1" applyFill="1" applyBorder="1"/>
    <xf numFmtId="3" fontId="2" fillId="2" borderId="37" xfId="0" applyNumberFormat="1" applyFont="1" applyFill="1" applyBorder="1"/>
    <xf numFmtId="0" fontId="2" fillId="2" borderId="38" xfId="0" applyFont="1" applyFill="1" applyBorder="1"/>
    <xf numFmtId="3" fontId="8" fillId="2" borderId="39" xfId="0" applyNumberFormat="1" applyFont="1" applyFill="1" applyBorder="1"/>
    <xf numFmtId="3" fontId="8" fillId="2" borderId="41" xfId="0" applyNumberFormat="1" applyFont="1" applyFill="1" applyBorder="1"/>
    <xf numFmtId="0" fontId="8" fillId="2" borderId="42" xfId="0" applyFont="1" applyFill="1" applyBorder="1"/>
    <xf numFmtId="3" fontId="21" fillId="2" borderId="35" xfId="0" applyNumberFormat="1" applyFont="1" applyFill="1" applyBorder="1"/>
    <xf numFmtId="164" fontId="8" fillId="2" borderId="41" xfId="0" applyNumberFormat="1" applyFont="1" applyFill="1" applyBorder="1"/>
    <xf numFmtId="3" fontId="15" fillId="2" borderId="43" xfId="0" applyNumberFormat="1" applyFont="1" applyFill="1" applyBorder="1"/>
    <xf numFmtId="0" fontId="15" fillId="2" borderId="44" xfId="0" applyFont="1" applyFill="1" applyBorder="1"/>
    <xf numFmtId="166" fontId="22" fillId="2" borderId="39" xfId="0" applyNumberFormat="1" applyFont="1" applyFill="1" applyBorder="1"/>
    <xf numFmtId="0" fontId="22" fillId="2" borderId="40" xfId="0" applyFont="1" applyFill="1" applyBorder="1"/>
    <xf numFmtId="3" fontId="2" fillId="2" borderId="39" xfId="0" applyNumberFormat="1" applyFont="1" applyFill="1" applyBorder="1"/>
    <xf numFmtId="0" fontId="2" fillId="2" borderId="40" xfId="0" applyFont="1" applyFill="1" applyBorder="1"/>
    <xf numFmtId="3" fontId="2" fillId="2" borderId="41" xfId="0" applyNumberFormat="1" applyFont="1" applyFill="1" applyBorder="1"/>
    <xf numFmtId="0" fontId="2" fillId="2" borderId="42" xfId="0" applyFont="1" applyFill="1" applyBorder="1"/>
    <xf numFmtId="3" fontId="2" fillId="2" borderId="43" xfId="0" applyNumberFormat="1" applyFont="1" applyFill="1" applyBorder="1"/>
    <xf numFmtId="0" fontId="2" fillId="2" borderId="44" xfId="0" applyFont="1" applyFill="1" applyBorder="1"/>
    <xf numFmtId="3" fontId="15" fillId="2" borderId="41" xfId="0" applyNumberFormat="1" applyFont="1" applyFill="1" applyBorder="1"/>
    <xf numFmtId="0" fontId="15" fillId="2" borderId="42" xfId="0" applyFont="1" applyFill="1" applyBorder="1"/>
    <xf numFmtId="0" fontId="8" fillId="2" borderId="45" xfId="0" applyFont="1" applyFill="1" applyBorder="1"/>
    <xf numFmtId="0" fontId="21" fillId="2" borderId="32" xfId="0" applyFont="1" applyFill="1" applyBorder="1"/>
    <xf numFmtId="0" fontId="15" fillId="2" borderId="32" xfId="0" applyFont="1" applyFill="1" applyBorder="1"/>
    <xf numFmtId="0" fontId="8" fillId="2" borderId="32" xfId="0" applyFont="1" applyFill="1" applyBorder="1"/>
    <xf numFmtId="0" fontId="2" fillId="2" borderId="32" xfId="0" applyFont="1" applyFill="1" applyBorder="1"/>
    <xf numFmtId="0" fontId="22" fillId="2" borderId="32" xfId="0" applyFont="1" applyFill="1" applyBorder="1"/>
    <xf numFmtId="164" fontId="9" fillId="4" borderId="46" xfId="0" applyNumberFormat="1" applyFont="1" applyFill="1" applyBorder="1"/>
    <xf numFmtId="0" fontId="9" fillId="2" borderId="47" xfId="0" applyFont="1" applyFill="1" applyBorder="1"/>
    <xf numFmtId="164" fontId="9" fillId="4" borderId="48" xfId="0" applyNumberFormat="1" applyFont="1" applyFill="1" applyBorder="1" applyAlignment="1">
      <alignment horizontal="right"/>
    </xf>
    <xf numFmtId="0" fontId="9" fillId="2" borderId="49" xfId="0" applyFont="1" applyFill="1" applyBorder="1"/>
    <xf numFmtId="0" fontId="21" fillId="2" borderId="51" xfId="0" applyFont="1" applyFill="1" applyBorder="1"/>
    <xf numFmtId="0" fontId="15" fillId="2" borderId="53" xfId="0" applyFont="1" applyFill="1" applyBorder="1"/>
    <xf numFmtId="0" fontId="8" fillId="2" borderId="55" xfId="0" applyFont="1" applyFill="1" applyBorder="1"/>
    <xf numFmtId="0" fontId="9" fillId="2" borderId="55" xfId="0" applyFont="1" applyFill="1" applyBorder="1"/>
    <xf numFmtId="0" fontId="15" fillId="2" borderId="55" xfId="0" applyFont="1" applyFill="1" applyBorder="1"/>
    <xf numFmtId="0" fontId="2" fillId="2" borderId="53" xfId="0" applyFont="1" applyFill="1" applyBorder="1"/>
    <xf numFmtId="0" fontId="8" fillId="2" borderId="57" xfId="0" applyFont="1" applyFill="1" applyBorder="1"/>
    <xf numFmtId="0" fontId="15" fillId="2" borderId="59" xfId="0" applyFont="1" applyFill="1" applyBorder="1"/>
    <xf numFmtId="0" fontId="22" fillId="2" borderId="55" xfId="0" applyFont="1" applyFill="1" applyBorder="1"/>
    <xf numFmtId="0" fontId="2" fillId="2" borderId="55" xfId="0" applyFont="1" applyFill="1" applyBorder="1"/>
    <xf numFmtId="0" fontId="2" fillId="2" borderId="57" xfId="0" applyFont="1" applyFill="1" applyBorder="1"/>
    <xf numFmtId="0" fontId="2" fillId="2" borderId="59" xfId="0" applyFont="1" applyFill="1" applyBorder="1"/>
    <xf numFmtId="0" fontId="15" fillId="2" borderId="57" xfId="0" applyFont="1" applyFill="1" applyBorder="1"/>
    <xf numFmtId="0" fontId="8" fillId="2" borderId="61" xfId="0" applyFont="1" applyFill="1" applyBorder="1"/>
    <xf numFmtId="0" fontId="14" fillId="5" borderId="21" xfId="0" applyFont="1" applyFill="1" applyBorder="1"/>
    <xf numFmtId="0" fontId="4" fillId="2" borderId="62" xfId="0" applyFont="1" applyFill="1" applyBorder="1"/>
    <xf numFmtId="0" fontId="2" fillId="2" borderId="62" xfId="0" applyFont="1" applyFill="1" applyBorder="1"/>
    <xf numFmtId="0" fontId="18" fillId="2" borderId="62" xfId="0" applyFont="1" applyFill="1" applyBorder="1"/>
    <xf numFmtId="0" fontId="3" fillId="2" borderId="62" xfId="0" applyFont="1" applyFill="1" applyBorder="1"/>
    <xf numFmtId="0" fontId="21" fillId="2" borderId="63" xfId="0" applyFont="1" applyFill="1" applyBorder="1"/>
    <xf numFmtId="3" fontId="21" fillId="2" borderId="63" xfId="0" applyNumberFormat="1" applyFont="1" applyFill="1" applyBorder="1"/>
    <xf numFmtId="0" fontId="21" fillId="2" borderId="65" xfId="0" applyFont="1" applyFill="1" applyBorder="1"/>
    <xf numFmtId="0" fontId="18" fillId="2" borderId="63" xfId="0" applyFont="1" applyFill="1" applyBorder="1"/>
    <xf numFmtId="0" fontId="21" fillId="2" borderId="66" xfId="0" applyFont="1" applyFill="1" applyBorder="1"/>
    <xf numFmtId="0" fontId="21" fillId="2" borderId="67" xfId="0" applyFont="1" applyFill="1" applyBorder="1"/>
    <xf numFmtId="0" fontId="8" fillId="2" borderId="68" xfId="0" applyFont="1" applyFill="1" applyBorder="1"/>
    <xf numFmtId="3" fontId="8" fillId="2" borderId="68" xfId="0" applyNumberFormat="1" applyFont="1" applyFill="1" applyBorder="1"/>
    <xf numFmtId="3" fontId="18" fillId="2" borderId="68" xfId="0" applyNumberFormat="1" applyFont="1" applyFill="1" applyBorder="1"/>
    <xf numFmtId="0" fontId="8" fillId="2" borderId="70" xfId="0" applyFont="1" applyFill="1" applyBorder="1"/>
    <xf numFmtId="3" fontId="8" fillId="2" borderId="71" xfId="0" applyNumberFormat="1" applyFont="1" applyFill="1" applyBorder="1"/>
    <xf numFmtId="0" fontId="8" fillId="2" borderId="72" xfId="0" applyFont="1" applyFill="1" applyBorder="1"/>
    <xf numFmtId="0" fontId="4" fillId="2" borderId="63" xfId="0" applyFont="1" applyFill="1" applyBorder="1"/>
    <xf numFmtId="0" fontId="2" fillId="2" borderId="63" xfId="0" applyFont="1" applyFill="1" applyBorder="1"/>
    <xf numFmtId="0" fontId="3" fillId="2" borderId="63" xfId="0" applyFont="1" applyFill="1" applyBorder="1"/>
    <xf numFmtId="0" fontId="19" fillId="2" borderId="0" xfId="0" applyFont="1" applyFill="1" applyBorder="1"/>
    <xf numFmtId="0" fontId="21" fillId="11" borderId="20" xfId="0" applyFont="1" applyFill="1" applyBorder="1"/>
    <xf numFmtId="3" fontId="21" fillId="11" borderId="20" xfId="0" applyNumberFormat="1" applyFont="1" applyFill="1" applyBorder="1"/>
    <xf numFmtId="3" fontId="18" fillId="11" borderId="20" xfId="0" applyNumberFormat="1" applyFont="1" applyFill="1" applyBorder="1"/>
    <xf numFmtId="0" fontId="21" fillId="11" borderId="50" xfId="0" applyFont="1" applyFill="1" applyBorder="1"/>
    <xf numFmtId="0" fontId="15" fillId="11" borderId="21" xfId="0" applyFont="1" applyFill="1" applyBorder="1"/>
    <xf numFmtId="3" fontId="15" fillId="11" borderId="21" xfId="0" applyNumberFormat="1" applyFont="1" applyFill="1" applyBorder="1"/>
    <xf numFmtId="3" fontId="19" fillId="11" borderId="21" xfId="0" applyNumberFormat="1" applyFont="1" applyFill="1" applyBorder="1"/>
    <xf numFmtId="3" fontId="15" fillId="11" borderId="52" xfId="0" applyNumberFormat="1" applyFont="1" applyFill="1" applyBorder="1"/>
    <xf numFmtId="0" fontId="8" fillId="11" borderId="22" xfId="0" applyFont="1" applyFill="1" applyBorder="1"/>
    <xf numFmtId="164" fontId="8" fillId="11" borderId="22" xfId="0" applyNumberFormat="1" applyFont="1" applyFill="1" applyBorder="1"/>
    <xf numFmtId="3" fontId="18" fillId="11" borderId="22" xfId="0" applyNumberFormat="1" applyFont="1" applyFill="1" applyBorder="1"/>
    <xf numFmtId="164" fontId="8" fillId="11" borderId="54" xfId="0" applyNumberFormat="1" applyFont="1" applyFill="1" applyBorder="1"/>
    <xf numFmtId="0" fontId="9" fillId="11" borderId="22" xfId="0" applyFont="1" applyFill="1" applyBorder="1"/>
    <xf numFmtId="3" fontId="9" fillId="11" borderId="22" xfId="0" applyNumberFormat="1" applyFont="1" applyFill="1" applyBorder="1"/>
    <xf numFmtId="3" fontId="19" fillId="11" borderId="22" xfId="0" applyNumberFormat="1" applyFont="1" applyFill="1" applyBorder="1"/>
    <xf numFmtId="3" fontId="9" fillId="11" borderId="54" xfId="0" applyNumberFormat="1" applyFont="1" applyFill="1" applyBorder="1"/>
    <xf numFmtId="0" fontId="15" fillId="11" borderId="22" xfId="0" applyFont="1" applyFill="1" applyBorder="1"/>
    <xf numFmtId="3" fontId="15" fillId="11" borderId="22" xfId="0" applyNumberFormat="1" applyFont="1" applyFill="1" applyBorder="1"/>
    <xf numFmtId="3" fontId="15" fillId="11" borderId="54" xfId="0" applyNumberFormat="1" applyFont="1" applyFill="1" applyBorder="1"/>
    <xf numFmtId="0" fontId="2" fillId="11" borderId="21" xfId="0" applyFont="1" applyFill="1" applyBorder="1"/>
    <xf numFmtId="3" fontId="2" fillId="11" borderId="21" xfId="0" applyNumberFormat="1" applyFont="1" applyFill="1" applyBorder="1"/>
    <xf numFmtId="3" fontId="2" fillId="11" borderId="52" xfId="0" applyNumberFormat="1" applyFont="1" applyFill="1" applyBorder="1"/>
    <xf numFmtId="3" fontId="8" fillId="11" borderId="22" xfId="0" applyNumberFormat="1" applyFont="1" applyFill="1" applyBorder="1"/>
    <xf numFmtId="3" fontId="8" fillId="11" borderId="54" xfId="0" applyNumberFormat="1" applyFont="1" applyFill="1" applyBorder="1"/>
    <xf numFmtId="0" fontId="8" fillId="11" borderId="25" xfId="0" applyFont="1" applyFill="1" applyBorder="1"/>
    <xf numFmtId="3" fontId="8" fillId="11" borderId="25" xfId="0" applyNumberFormat="1" applyFont="1" applyFill="1" applyBorder="1"/>
    <xf numFmtId="3" fontId="18" fillId="11" borderId="25" xfId="0" applyNumberFormat="1" applyFont="1" applyFill="1" applyBorder="1"/>
    <xf numFmtId="3" fontId="8" fillId="11" borderId="56" xfId="0" applyNumberFormat="1" applyFont="1" applyFill="1" applyBorder="1"/>
    <xf numFmtId="0" fontId="18" fillId="11" borderId="20" xfId="0" applyFont="1" applyFill="1" applyBorder="1"/>
    <xf numFmtId="3" fontId="21" fillId="11" borderId="50" xfId="0" applyNumberFormat="1" applyFont="1" applyFill="1" applyBorder="1"/>
    <xf numFmtId="164" fontId="8" fillId="11" borderId="25" xfId="0" applyNumberFormat="1" applyFont="1" applyFill="1" applyBorder="1"/>
    <xf numFmtId="164" fontId="8" fillId="11" borderId="56" xfId="0" applyNumberFormat="1" applyFont="1" applyFill="1" applyBorder="1"/>
    <xf numFmtId="0" fontId="15" fillId="11" borderId="30" xfId="0" applyFont="1" applyFill="1" applyBorder="1"/>
    <xf numFmtId="3" fontId="15" fillId="11" borderId="30" xfId="0" applyNumberFormat="1" applyFont="1" applyFill="1" applyBorder="1"/>
    <xf numFmtId="3" fontId="19" fillId="11" borderId="30" xfId="0" applyNumberFormat="1" applyFont="1" applyFill="1" applyBorder="1"/>
    <xf numFmtId="3" fontId="15" fillId="11" borderId="58" xfId="0" applyNumberFormat="1" applyFont="1" applyFill="1" applyBorder="1"/>
    <xf numFmtId="0" fontId="22" fillId="11" borderId="22" xfId="0" applyFont="1" applyFill="1" applyBorder="1"/>
    <xf numFmtId="166" fontId="22" fillId="11" borderId="22" xfId="0" applyNumberFormat="1" applyFont="1" applyFill="1" applyBorder="1"/>
    <xf numFmtId="3" fontId="35" fillId="11" borderId="22" xfId="0" applyNumberFormat="1" applyFont="1" applyFill="1" applyBorder="1"/>
    <xf numFmtId="166" fontId="22" fillId="11" borderId="54" xfId="0" applyNumberFormat="1" applyFont="1" applyFill="1" applyBorder="1"/>
    <xf numFmtId="0" fontId="2" fillId="11" borderId="22" xfId="0" applyFont="1" applyFill="1" applyBorder="1"/>
    <xf numFmtId="3" fontId="2" fillId="11" borderId="22" xfId="0" applyNumberFormat="1" applyFont="1" applyFill="1" applyBorder="1"/>
    <xf numFmtId="3" fontId="2" fillId="11" borderId="54" xfId="0" applyNumberFormat="1" applyFont="1" applyFill="1" applyBorder="1"/>
    <xf numFmtId="0" fontId="2" fillId="11" borderId="25" xfId="0" applyFont="1" applyFill="1" applyBorder="1"/>
    <xf numFmtId="3" fontId="2" fillId="11" borderId="25" xfId="0" applyNumberFormat="1" applyFont="1" applyFill="1" applyBorder="1"/>
    <xf numFmtId="3" fontId="19" fillId="11" borderId="25" xfId="0" applyNumberFormat="1" applyFont="1" applyFill="1" applyBorder="1"/>
    <xf numFmtId="3" fontId="2" fillId="11" borderId="56" xfId="0" applyNumberFormat="1" applyFont="1" applyFill="1" applyBorder="1"/>
    <xf numFmtId="0" fontId="2" fillId="11" borderId="30" xfId="0" applyFont="1" applyFill="1" applyBorder="1"/>
    <xf numFmtId="3" fontId="2" fillId="11" borderId="30" xfId="0" applyNumberFormat="1" applyFont="1" applyFill="1" applyBorder="1"/>
    <xf numFmtId="3" fontId="2" fillId="11" borderId="58" xfId="0" applyNumberFormat="1" applyFont="1" applyFill="1" applyBorder="1"/>
    <xf numFmtId="0" fontId="15" fillId="11" borderId="25" xfId="0" applyFont="1" applyFill="1" applyBorder="1"/>
    <xf numFmtId="3" fontId="15" fillId="11" borderId="25" xfId="0" applyNumberFormat="1" applyFont="1" applyFill="1" applyBorder="1"/>
    <xf numFmtId="3" fontId="15" fillId="11" borderId="56" xfId="0" applyNumberFormat="1" applyFont="1" applyFill="1" applyBorder="1"/>
    <xf numFmtId="0" fontId="8" fillId="11" borderId="28" xfId="0" applyFont="1" applyFill="1" applyBorder="1"/>
    <xf numFmtId="3" fontId="18" fillId="11" borderId="28" xfId="0" applyNumberFormat="1" applyFont="1" applyFill="1" applyBorder="1"/>
    <xf numFmtId="3" fontId="8" fillId="11" borderId="60" xfId="0" applyNumberFormat="1" applyFont="1" applyFill="1" applyBorder="1"/>
    <xf numFmtId="0" fontId="4" fillId="11" borderId="29" xfId="0" applyFont="1" applyFill="1" applyBorder="1"/>
    <xf numFmtId="0" fontId="2" fillId="11" borderId="29" xfId="0" applyFont="1" applyFill="1" applyBorder="1"/>
    <xf numFmtId="0" fontId="18" fillId="11" borderId="29" xfId="0" applyFont="1" applyFill="1" applyBorder="1"/>
    <xf numFmtId="0" fontId="3" fillId="11" borderId="29" xfId="0" applyFont="1" applyFill="1" applyBorder="1"/>
    <xf numFmtId="0" fontId="2" fillId="11" borderId="0" xfId="0" applyFont="1" applyFill="1" applyBorder="1"/>
    <xf numFmtId="0" fontId="19" fillId="11" borderId="0" xfId="0" applyFont="1" applyFill="1" applyBorder="1"/>
    <xf numFmtId="0" fontId="4" fillId="11" borderId="62" xfId="0" applyFont="1" applyFill="1" applyBorder="1"/>
    <xf numFmtId="0" fontId="2" fillId="11" borderId="62" xfId="0" applyFont="1" applyFill="1" applyBorder="1"/>
    <xf numFmtId="0" fontId="18" fillId="11" borderId="62" xfId="0" applyFont="1" applyFill="1" applyBorder="1"/>
    <xf numFmtId="0" fontId="3" fillId="11" borderId="62" xfId="0" applyFont="1" applyFill="1" applyBorder="1"/>
    <xf numFmtId="0" fontId="21" fillId="11" borderId="63" xfId="0" applyFont="1" applyFill="1" applyBorder="1"/>
    <xf numFmtId="3" fontId="21" fillId="11" borderId="63" xfId="0" applyNumberFormat="1" applyFont="1" applyFill="1" applyBorder="1"/>
    <xf numFmtId="3" fontId="18" fillId="11" borderId="63" xfId="0" applyNumberFormat="1" applyFont="1" applyFill="1" applyBorder="1"/>
    <xf numFmtId="0" fontId="21" fillId="11" borderId="64" xfId="0" applyFont="1" applyFill="1" applyBorder="1"/>
    <xf numFmtId="0" fontId="8" fillId="11" borderId="68" xfId="0" applyFont="1" applyFill="1" applyBorder="1"/>
    <xf numFmtId="3" fontId="8" fillId="11" borderId="68" xfId="0" applyNumberFormat="1" applyFont="1" applyFill="1" applyBorder="1"/>
    <xf numFmtId="3" fontId="18" fillId="11" borderId="68" xfId="0" applyNumberFormat="1" applyFont="1" applyFill="1" applyBorder="1"/>
    <xf numFmtId="3" fontId="8" fillId="11" borderId="69" xfId="0" applyNumberFormat="1" applyFont="1" applyFill="1" applyBorder="1"/>
    <xf numFmtId="0" fontId="4" fillId="11" borderId="63" xfId="0" applyFont="1" applyFill="1" applyBorder="1"/>
    <xf numFmtId="0" fontId="2" fillId="11" borderId="63" xfId="0" applyFont="1" applyFill="1" applyBorder="1"/>
    <xf numFmtId="0" fontId="18" fillId="11" borderId="63" xfId="0" applyFont="1" applyFill="1" applyBorder="1"/>
    <xf numFmtId="0" fontId="3" fillId="11" borderId="63" xfId="0" applyFont="1" applyFill="1" applyBorder="1"/>
    <xf numFmtId="0" fontId="4" fillId="11" borderId="0" xfId="0" applyFont="1" applyFill="1"/>
    <xf numFmtId="0" fontId="2" fillId="11" borderId="0" xfId="0" applyFont="1" applyFill="1"/>
    <xf numFmtId="0" fontId="18" fillId="11" borderId="0" xfId="0" applyFont="1" applyFill="1"/>
    <xf numFmtId="0" fontId="3" fillId="11" borderId="0" xfId="0" applyFont="1" applyFill="1"/>
    <xf numFmtId="165" fontId="9" fillId="11" borderId="0" xfId="0" applyNumberFormat="1" applyFont="1" applyFill="1" applyAlignment="1">
      <alignment horizontal="right"/>
    </xf>
    <xf numFmtId="165" fontId="9" fillId="11" borderId="0" xfId="0" applyNumberFormat="1" applyFont="1" applyFill="1"/>
    <xf numFmtId="0" fontId="19" fillId="11" borderId="0" xfId="0" applyFont="1" applyFill="1"/>
    <xf numFmtId="0" fontId="19" fillId="11" borderId="19" xfId="0" applyFont="1" applyFill="1" applyBorder="1"/>
    <xf numFmtId="0" fontId="9" fillId="11" borderId="0" xfId="0" applyFont="1" applyFill="1"/>
    <xf numFmtId="0" fontId="9" fillId="11" borderId="19" xfId="0" applyFont="1" applyFill="1" applyBorder="1"/>
    <xf numFmtId="0" fontId="34" fillId="2" borderId="0" xfId="0" applyFont="1" applyFill="1"/>
    <xf numFmtId="3" fontId="3" fillId="2" borderId="0" xfId="0" applyNumberFormat="1" applyFont="1" applyFill="1"/>
    <xf numFmtId="9" fontId="16" fillId="2" borderId="0" xfId="0" applyNumberFormat="1" applyFont="1" applyFill="1"/>
    <xf numFmtId="0" fontId="15" fillId="2" borderId="73" xfId="0" applyFont="1" applyFill="1" applyBorder="1"/>
    <xf numFmtId="0" fontId="15" fillId="2" borderId="74" xfId="0" applyFont="1" applyFill="1" applyBorder="1"/>
    <xf numFmtId="3" fontId="15" fillId="2" borderId="75" xfId="0" applyNumberFormat="1" applyFont="1" applyFill="1" applyBorder="1"/>
    <xf numFmtId="0" fontId="14" fillId="5" borderId="74" xfId="0" applyFont="1" applyFill="1" applyBorder="1"/>
    <xf numFmtId="3" fontId="8" fillId="2" borderId="55" xfId="0" applyNumberFormat="1" applyFont="1" applyFill="1" applyBorder="1"/>
    <xf numFmtId="3" fontId="8" fillId="2" borderId="40" xfId="0" applyNumberFormat="1" applyFont="1" applyFill="1" applyBorder="1"/>
    <xf numFmtId="0" fontId="36" fillId="2" borderId="0" xfId="0" applyFont="1" applyFill="1"/>
    <xf numFmtId="0" fontId="36" fillId="2" borderId="22" xfId="0" applyFont="1" applyFill="1" applyBorder="1"/>
    <xf numFmtId="0" fontId="36" fillId="2" borderId="32" xfId="0" applyFont="1" applyFill="1" applyBorder="1"/>
    <xf numFmtId="0" fontId="36" fillId="0" borderId="0" xfId="0" applyFont="1"/>
    <xf numFmtId="166" fontId="36" fillId="11" borderId="22" xfId="0" applyNumberFormat="1" applyFont="1" applyFill="1" applyBorder="1"/>
    <xf numFmtId="166" fontId="23" fillId="11" borderId="22" xfId="0" applyNumberFormat="1" applyFont="1" applyFill="1" applyBorder="1"/>
    <xf numFmtId="166" fontId="36" fillId="11" borderId="54" xfId="0" applyNumberFormat="1" applyFont="1" applyFill="1" applyBorder="1"/>
    <xf numFmtId="166" fontId="36" fillId="2" borderId="55" xfId="0" applyNumberFormat="1" applyFont="1" applyFill="1" applyBorder="1"/>
    <xf numFmtId="166" fontId="36" fillId="2" borderId="22" xfId="0" applyNumberFormat="1" applyFont="1" applyFill="1" applyBorder="1"/>
    <xf numFmtId="166" fontId="23" fillId="2" borderId="22" xfId="0" applyNumberFormat="1" applyFont="1" applyFill="1" applyBorder="1"/>
    <xf numFmtId="166" fontId="36" fillId="2" borderId="39" xfId="0" applyNumberFormat="1" applyFont="1" applyFill="1" applyBorder="1"/>
    <xf numFmtId="166" fontId="36" fillId="2" borderId="40" xfId="0" applyNumberFormat="1" applyFont="1" applyFill="1" applyBorder="1"/>
    <xf numFmtId="3" fontId="22" fillId="2" borderId="0" xfId="0" applyNumberFormat="1" applyFont="1" applyFill="1"/>
    <xf numFmtId="9" fontId="22" fillId="2" borderId="0" xfId="0" applyNumberFormat="1" applyFont="1" applyFill="1"/>
    <xf numFmtId="0" fontId="9" fillId="4" borderId="19" xfId="0" applyFont="1" applyFill="1" applyBorder="1" applyAlignment="1">
      <alignment horizontal="center"/>
    </xf>
    <xf numFmtId="0" fontId="2" fillId="2" borderId="76" xfId="0" applyFont="1" applyFill="1" applyBorder="1"/>
    <xf numFmtId="0" fontId="3" fillId="2" borderId="76" xfId="0" applyFont="1" applyFill="1" applyBorder="1"/>
    <xf numFmtId="167" fontId="15" fillId="2" borderId="75" xfId="0" applyNumberFormat="1" applyFont="1" applyFill="1" applyBorder="1"/>
    <xf numFmtId="9" fontId="16" fillId="2" borderId="76" xfId="0" applyNumberFormat="1" applyFont="1" applyFill="1" applyBorder="1"/>
    <xf numFmtId="3" fontId="3" fillId="2" borderId="76" xfId="0" applyNumberFormat="1" applyFont="1" applyFill="1" applyBorder="1"/>
    <xf numFmtId="0" fontId="10" fillId="10" borderId="0" xfId="1" applyFont="1" applyFill="1" applyAlignment="1">
      <alignment horizontal="center" vertical="center"/>
    </xf>
    <xf numFmtId="0" fontId="37" fillId="2" borderId="76" xfId="0" applyFont="1" applyFill="1" applyBorder="1"/>
    <xf numFmtId="0" fontId="38" fillId="2" borderId="0" xfId="0" applyFont="1" applyFill="1"/>
    <xf numFmtId="0" fontId="38" fillId="2" borderId="76" xfId="0" applyFont="1" applyFill="1" applyBorder="1"/>
    <xf numFmtId="0" fontId="22" fillId="13" borderId="0" xfId="0" applyFont="1" applyFill="1"/>
    <xf numFmtId="9" fontId="22" fillId="13" borderId="76" xfId="0" applyNumberFormat="1" applyFont="1" applyFill="1" applyBorder="1"/>
    <xf numFmtId="166" fontId="39" fillId="13" borderId="0" xfId="0" applyNumberFormat="1" applyFont="1" applyFill="1"/>
    <xf numFmtId="166" fontId="22" fillId="13" borderId="0" xfId="0" applyNumberFormat="1" applyFont="1" applyFill="1"/>
    <xf numFmtId="166" fontId="22" fillId="13" borderId="76" xfId="0" applyNumberFormat="1" applyFont="1" applyFill="1" applyBorder="1"/>
    <xf numFmtId="0" fontId="2" fillId="13" borderId="0" xfId="0" applyFont="1" applyFill="1"/>
    <xf numFmtId="3" fontId="2" fillId="13" borderId="76" xfId="0" applyNumberFormat="1" applyFont="1" applyFill="1" applyBorder="1"/>
    <xf numFmtId="0" fontId="37" fillId="13" borderId="0" xfId="0" applyFont="1" applyFill="1"/>
    <xf numFmtId="3" fontId="37" fillId="13" borderId="0" xfId="0" applyNumberFormat="1" applyFont="1" applyFill="1"/>
    <xf numFmtId="3" fontId="2" fillId="13" borderId="0" xfId="0" applyNumberFormat="1" applyFont="1" applyFill="1"/>
    <xf numFmtId="0" fontId="3" fillId="0" borderId="0" xfId="0" applyFont="1" applyFill="1"/>
    <xf numFmtId="0" fontId="9" fillId="0" borderId="0" xfId="0" applyFont="1" applyFill="1"/>
    <xf numFmtId="0" fontId="2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9" fontId="22" fillId="2" borderId="76" xfId="0" applyNumberFormat="1" applyFont="1" applyFill="1" applyBorder="1" applyAlignment="1">
      <alignment horizontal="center"/>
    </xf>
    <xf numFmtId="0" fontId="40" fillId="2" borderId="22" xfId="0" applyFont="1" applyFill="1" applyBorder="1"/>
    <xf numFmtId="167" fontId="15" fillId="2" borderId="22" xfId="0" applyNumberFormat="1" applyFont="1" applyFill="1" applyBorder="1"/>
    <xf numFmtId="0" fontId="15" fillId="2" borderId="22" xfId="0" applyFont="1" applyFill="1" applyBorder="1" applyAlignment="1">
      <alignment horizontal="center"/>
    </xf>
    <xf numFmtId="164" fontId="17" fillId="5" borderId="77" xfId="0" applyNumberFormat="1" applyFont="1" applyFill="1" applyBorder="1" applyAlignment="1">
      <alignment horizontal="right" indent="2"/>
    </xf>
    <xf numFmtId="0" fontId="41" fillId="2" borderId="0" xfId="1" applyFont="1" applyFill="1"/>
    <xf numFmtId="0" fontId="42" fillId="6" borderId="0" xfId="1" applyFont="1" applyFill="1" applyAlignment="1">
      <alignment horizontal="center" vertical="center"/>
    </xf>
    <xf numFmtId="0" fontId="43" fillId="2" borderId="0" xfId="1" applyFont="1" applyFill="1"/>
    <xf numFmtId="0" fontId="42" fillId="15" borderId="0" xfId="1" applyFont="1" applyFill="1" applyAlignment="1">
      <alignment horizontal="center" vertical="center"/>
    </xf>
    <xf numFmtId="0" fontId="42" fillId="5" borderId="0" xfId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2" fillId="14" borderId="0" xfId="1" applyFont="1" applyFill="1" applyAlignment="1">
      <alignment horizontal="center" vertical="center"/>
    </xf>
    <xf numFmtId="0" fontId="42" fillId="12" borderId="0" xfId="1" applyFont="1" applyFill="1" applyAlignment="1">
      <alignment horizontal="center" vertical="center"/>
    </xf>
    <xf numFmtId="0" fontId="42" fillId="7" borderId="0" xfId="1" applyFont="1" applyFill="1" applyAlignment="1">
      <alignment horizontal="center" vertical="center"/>
    </xf>
    <xf numFmtId="0" fontId="22" fillId="2" borderId="21" xfId="0" applyFont="1" applyFill="1" applyBorder="1"/>
    <xf numFmtId="9" fontId="22" fillId="2" borderId="21" xfId="0" applyNumberFormat="1" applyFont="1" applyFill="1" applyBorder="1"/>
    <xf numFmtId="0" fontId="22" fillId="2" borderId="23" xfId="0" applyFont="1" applyFill="1" applyBorder="1"/>
    <xf numFmtId="3" fontId="22" fillId="2" borderId="23" xfId="0" applyNumberFormat="1" applyFont="1" applyFill="1" applyBorder="1"/>
    <xf numFmtId="9" fontId="22" fillId="2" borderId="23" xfId="0" applyNumberFormat="1" applyFont="1" applyFill="1" applyBorder="1"/>
    <xf numFmtId="166" fontId="15" fillId="2" borderId="22" xfId="0" applyNumberFormat="1" applyFont="1" applyFill="1" applyBorder="1"/>
    <xf numFmtId="0" fontId="22" fillId="16" borderId="23" xfId="0" applyFont="1" applyFill="1" applyBorder="1"/>
    <xf numFmtId="166" fontId="22" fillId="16" borderId="23" xfId="0" applyNumberFormat="1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66673</xdr:colOff>
      <xdr:row>5</xdr:row>
      <xdr:rowOff>133350</xdr:rowOff>
    </xdr:from>
    <xdr:to>
      <xdr:col>7</xdr:col>
      <xdr:colOff>5962650</xdr:colOff>
      <xdr:row>7</xdr:row>
      <xdr:rowOff>57150</xdr:rowOff>
    </xdr:to>
    <xdr:sp macro="" textlink="">
      <xdr:nvSpPr>
        <xdr:cNvPr id="2" name="Прямоугольник 1"/>
        <xdr:cNvSpPr/>
      </xdr:nvSpPr>
      <xdr:spPr>
        <a:xfrm>
          <a:off x="3609973" y="809625"/>
          <a:ext cx="7038977" cy="304800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ru-RU" sz="1000">
              <a:solidFill>
                <a:srgbClr val="C00000"/>
              </a:solidFill>
            </a:rPr>
            <a:t>Перемещайтесь по файлу с использованием гиперссылок! На кждом листе в левом верхнем углу ссылка</a:t>
          </a:r>
          <a:r>
            <a:rPr lang="ru-RU" sz="1000" baseline="0">
              <a:solidFill>
                <a:srgbClr val="C00000"/>
              </a:solidFill>
            </a:rPr>
            <a:t> "в оглавление"</a:t>
          </a:r>
          <a:endParaRPr lang="ru-RU" sz="1000">
            <a:solidFill>
              <a:srgbClr val="C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1</xdr:row>
      <xdr:rowOff>85724</xdr:rowOff>
    </xdr:from>
    <xdr:to>
      <xdr:col>7</xdr:col>
      <xdr:colOff>1866900</xdr:colOff>
      <xdr:row>5</xdr:row>
      <xdr:rowOff>76199</xdr:rowOff>
    </xdr:to>
    <xdr:sp macro="" textlink="">
      <xdr:nvSpPr>
        <xdr:cNvPr id="2" name="Прямоугольник 1"/>
        <xdr:cNvSpPr/>
      </xdr:nvSpPr>
      <xdr:spPr>
        <a:xfrm>
          <a:off x="4991100" y="238124"/>
          <a:ext cx="1809750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ru-RU" sz="900">
              <a:solidFill>
                <a:schemeClr val="accent2">
                  <a:lumMod val="50000"/>
                </a:schemeClr>
              </a:solidFill>
            </a:rPr>
            <a:t>все названия поставщиков выдуманы, но при этом имеют вполне конкретные аналоги в реальной жизни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2990849</xdr:colOff>
      <xdr:row>2</xdr:row>
      <xdr:rowOff>0</xdr:rowOff>
    </xdr:from>
    <xdr:to>
      <xdr:col>7</xdr:col>
      <xdr:colOff>66674</xdr:colOff>
      <xdr:row>5</xdr:row>
      <xdr:rowOff>152400</xdr:rowOff>
    </xdr:to>
    <xdr:sp macro="" textlink="">
      <xdr:nvSpPr>
        <xdr:cNvPr id="3" name="Прямоугольник 2"/>
        <xdr:cNvSpPr/>
      </xdr:nvSpPr>
      <xdr:spPr>
        <a:xfrm>
          <a:off x="3714749" y="314325"/>
          <a:ext cx="2886075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ru-RU" sz="900" b="1">
              <a:solidFill>
                <a:schemeClr val="accent2">
                  <a:lumMod val="50000"/>
                </a:schemeClr>
              </a:solidFill>
            </a:rPr>
            <a:t>ФОРМУЛА</a:t>
          </a:r>
          <a:r>
            <a:rPr lang="ru-RU" sz="900" b="1" baseline="0">
              <a:solidFill>
                <a:schemeClr val="accent2">
                  <a:lumMod val="50000"/>
                </a:schemeClr>
              </a:solidFill>
            </a:rPr>
            <a:t> РАСЧЕТА МОТИВАЦИИ</a:t>
          </a:r>
        </a:p>
        <a:p>
          <a:pPr algn="ctr"/>
          <a:r>
            <a:rPr lang="en-US" sz="900" b="1">
              <a:solidFill>
                <a:schemeClr val="accent2">
                  <a:lumMod val="50000"/>
                </a:schemeClr>
              </a:solidFill>
            </a:rPr>
            <a:t>M = m * [</a:t>
          </a:r>
          <a:r>
            <a:rPr lang="en-US" sz="900" b="1" baseline="0">
              <a:solidFill>
                <a:schemeClr val="accent2">
                  <a:lumMod val="50000"/>
                </a:schemeClr>
              </a:solidFill>
            </a:rPr>
            <a:t> S - C - ( C + I ) * ( ( 1 + R ) ^ ( FC </a:t>
          </a:r>
          <a:r>
            <a:rPr lang="ru-RU" sz="900" b="1" baseline="0">
              <a:solidFill>
                <a:schemeClr val="accent2">
                  <a:lumMod val="50000"/>
                </a:schemeClr>
              </a:solidFill>
            </a:rPr>
            <a:t>/ </a:t>
          </a:r>
          <a:r>
            <a:rPr lang="en-US" sz="900" b="1" baseline="0">
              <a:solidFill>
                <a:schemeClr val="accent2">
                  <a:lumMod val="50000"/>
                </a:schemeClr>
              </a:solidFill>
            </a:rPr>
            <a:t>NFC ) - 1 ) ] </a:t>
          </a:r>
          <a:endParaRPr lang="ru-RU" sz="900" b="1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1647825</xdr:colOff>
      <xdr:row>2</xdr:row>
      <xdr:rowOff>0</xdr:rowOff>
    </xdr:from>
    <xdr:to>
      <xdr:col>6</xdr:col>
      <xdr:colOff>180975</xdr:colOff>
      <xdr:row>5</xdr:row>
      <xdr:rowOff>152400</xdr:rowOff>
    </xdr:to>
    <xdr:sp macro="" textlink="">
      <xdr:nvSpPr>
        <xdr:cNvPr id="2" name="Прямоугольник 1"/>
        <xdr:cNvSpPr/>
      </xdr:nvSpPr>
      <xdr:spPr>
        <a:xfrm>
          <a:off x="2495550" y="314325"/>
          <a:ext cx="2638425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ru-RU" sz="900" b="1">
              <a:solidFill>
                <a:schemeClr val="accent2">
                  <a:lumMod val="50000"/>
                </a:schemeClr>
              </a:solidFill>
            </a:rPr>
            <a:t>ФОРМУЛА</a:t>
          </a:r>
          <a:r>
            <a:rPr lang="ru-RU" sz="900" b="1" baseline="0">
              <a:solidFill>
                <a:schemeClr val="accent2">
                  <a:lumMod val="50000"/>
                </a:schemeClr>
              </a:solidFill>
            </a:rPr>
            <a:t> РАСЧЕТА РЕЙТИНГА ПОСТАВЩИКА</a:t>
          </a:r>
        </a:p>
        <a:p>
          <a:pPr algn="ctr"/>
          <a:r>
            <a:rPr lang="en-US" sz="900" b="1">
              <a:solidFill>
                <a:schemeClr val="accent2">
                  <a:lumMod val="50000"/>
                </a:schemeClr>
              </a:solidFill>
            </a:rPr>
            <a:t>L = L1 * V1 + L2 * V2 + L3 * V3 + L4 * V4</a:t>
          </a:r>
          <a:r>
            <a:rPr lang="en-US" sz="900" b="1" baseline="0">
              <a:solidFill>
                <a:schemeClr val="accent2">
                  <a:lumMod val="50000"/>
                </a:schemeClr>
              </a:solidFill>
            </a:rPr>
            <a:t> </a:t>
          </a:r>
          <a:endParaRPr lang="ru-RU" sz="900" b="1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257175</xdr:colOff>
      <xdr:row>2</xdr:row>
      <xdr:rowOff>9525</xdr:rowOff>
    </xdr:from>
    <xdr:to>
      <xdr:col>14</xdr:col>
      <xdr:colOff>333375</xdr:colOff>
      <xdr:row>6</xdr:row>
      <xdr:rowOff>0</xdr:rowOff>
    </xdr:to>
    <xdr:sp macro="" textlink="">
      <xdr:nvSpPr>
        <xdr:cNvPr id="3" name="Прямоугольник 2"/>
        <xdr:cNvSpPr/>
      </xdr:nvSpPr>
      <xdr:spPr>
        <a:xfrm>
          <a:off x="5210175" y="323850"/>
          <a:ext cx="2638425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ru-RU" sz="1000" b="1">
              <a:solidFill>
                <a:schemeClr val="accent2">
                  <a:lumMod val="50000"/>
                </a:schemeClr>
              </a:solidFill>
            </a:rPr>
            <a:t>ФОРМУЛА</a:t>
          </a:r>
          <a:r>
            <a:rPr lang="ru-RU" sz="1000" b="1" baseline="0">
              <a:solidFill>
                <a:schemeClr val="accent2">
                  <a:lumMod val="50000"/>
                </a:schemeClr>
              </a:solidFill>
            </a:rPr>
            <a:t> РАСЧЕТА ЭФФЕКТИВНОЙ МАРЖИ</a:t>
          </a:r>
        </a:p>
        <a:p>
          <a:pPr algn="ctr"/>
          <a:r>
            <a:rPr lang="en-US" sz="1000" b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ER = 1 - </a:t>
          </a:r>
          <a:r>
            <a:rPr lang="en-US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( 1 - K2 ) ^ ( NFC </a:t>
          </a:r>
          <a:r>
            <a:rPr lang="ru-RU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/ </a:t>
          </a:r>
          <a:r>
            <a:rPr lang="en-US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K3 )</a:t>
          </a:r>
        </a:p>
        <a:p>
          <a:pPr algn="ctr"/>
          <a:r>
            <a:rPr lang="ru-RU" sz="9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(вместо финансового цикла рассматривается период оборачиваемости ТЗ)</a:t>
          </a:r>
          <a:endParaRPr lang="en-US" sz="900" b="1" baseline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Z123"/>
  <sheetViews>
    <sheetView tabSelected="1" workbookViewId="0">
      <pane ySplit="9" topLeftCell="A10" activePane="bottomLeft" state="frozen"/>
      <selection pane="bottomLeft"/>
    </sheetView>
  </sheetViews>
  <sheetFormatPr defaultRowHeight="15"/>
  <cols>
    <col min="1" max="3" width="2.7109375" customWidth="1"/>
    <col min="4" max="4" width="53.140625" bestFit="1" customWidth="1"/>
    <col min="5" max="5" width="1.7109375" customWidth="1"/>
    <col min="6" max="6" width="19" style="140" customWidth="1"/>
    <col min="7" max="7" width="1.7109375" customWidth="1"/>
    <col min="8" max="8" width="103.28515625" bestFit="1" customWidth="1"/>
    <col min="9" max="9" width="1.7109375" customWidth="1"/>
  </cols>
  <sheetData>
    <row r="1" spans="1:26">
      <c r="A1" s="71"/>
      <c r="B1" s="71"/>
      <c r="C1" s="71"/>
      <c r="D1" s="71"/>
      <c r="E1" s="71"/>
      <c r="F1" s="136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s="5" customFormat="1" ht="12.75">
      <c r="A2" s="1"/>
      <c r="B2" s="1"/>
      <c r="C2" s="1" t="s">
        <v>236</v>
      </c>
      <c r="D2" s="1"/>
      <c r="E2" s="1"/>
      <c r="F2" s="135"/>
      <c r="G2" s="1"/>
      <c r="H2" s="1"/>
      <c r="I2" s="1"/>
      <c r="J2" s="6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5" customFormat="1" ht="12.75">
      <c r="A3" s="1"/>
      <c r="B3" s="1"/>
      <c r="C3" s="1" t="s">
        <v>223</v>
      </c>
      <c r="D3" s="1"/>
      <c r="E3" s="12"/>
      <c r="F3" s="135"/>
      <c r="G3" s="12"/>
      <c r="H3" s="1"/>
      <c r="I3" s="12"/>
      <c r="J3" s="6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13" customFormat="1" ht="12.75">
      <c r="A4" s="12"/>
      <c r="B4" s="12"/>
      <c r="C4" s="87" t="s">
        <v>221</v>
      </c>
      <c r="D4" s="12"/>
      <c r="E4" s="12"/>
      <c r="F4" s="135"/>
      <c r="G4" s="12"/>
      <c r="H4" s="1"/>
      <c r="I4" s="12"/>
      <c r="J4" s="6"/>
      <c r="K4" s="6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s="13" customFormat="1" ht="12.75">
      <c r="A5" s="12"/>
      <c r="B5" s="12"/>
      <c r="C5" s="1" t="s">
        <v>240</v>
      </c>
      <c r="D5" s="12"/>
      <c r="E5" s="12"/>
      <c r="F5" s="135"/>
      <c r="G5" s="12"/>
      <c r="H5" s="1"/>
      <c r="I5" s="12"/>
      <c r="J5" s="6"/>
      <c r="K5" s="6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>
      <c r="A6" s="71"/>
      <c r="B6" s="71"/>
      <c r="C6" s="107" t="s">
        <v>222</v>
      </c>
      <c r="D6" s="71"/>
      <c r="E6" s="71"/>
      <c r="F6" s="136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s="93" customFormat="1">
      <c r="A7" s="92"/>
      <c r="B7" s="92"/>
      <c r="C7" s="115">
        <f>ПОбТЗ!C8+ПОбТЗ_1!C8+ПОбТЗ_2!C8+ПОбТЗ_3!C8</f>
        <v>-3.7834979593753815E-9</v>
      </c>
      <c r="D7" s="149" t="s">
        <v>224</v>
      </c>
      <c r="E7" s="92"/>
      <c r="F7" s="136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spans="1:26">
      <c r="A8" s="71"/>
      <c r="B8" s="71"/>
      <c r="C8" s="71"/>
      <c r="D8" s="71"/>
      <c r="E8" s="71"/>
      <c r="F8" s="136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s="126" customFormat="1" ht="12">
      <c r="A9" s="125"/>
      <c r="B9" s="125"/>
      <c r="C9" s="125"/>
      <c r="D9" s="143" t="s">
        <v>226</v>
      </c>
      <c r="E9" s="143"/>
      <c r="F9" s="144" t="s">
        <v>227</v>
      </c>
      <c r="G9" s="143"/>
      <c r="H9" s="143" t="s">
        <v>228</v>
      </c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>
      <c r="A10" s="71"/>
      <c r="B10" s="71"/>
      <c r="C10" s="71"/>
      <c r="D10" s="141"/>
      <c r="E10" s="141"/>
      <c r="F10" s="142"/>
      <c r="G10" s="141"/>
      <c r="H10" s="14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s="139" customFormat="1" ht="12">
      <c r="A11" s="137"/>
      <c r="B11" s="137"/>
      <c r="C11" s="137"/>
      <c r="D11" s="138" t="s">
        <v>30</v>
      </c>
      <c r="E11" s="138"/>
      <c r="F11" s="455" t="s">
        <v>225</v>
      </c>
      <c r="G11" s="138"/>
      <c r="H11" s="138" t="s">
        <v>229</v>
      </c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1:26" s="139" customFormat="1" ht="12">
      <c r="A12" s="137"/>
      <c r="B12" s="137"/>
      <c r="C12" s="137"/>
      <c r="D12" s="137"/>
      <c r="E12" s="137"/>
      <c r="F12" s="456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</row>
    <row r="13" spans="1:26" s="139" customFormat="1" ht="12">
      <c r="A13" s="137"/>
      <c r="B13" s="137"/>
      <c r="C13" s="137"/>
      <c r="D13" s="138" t="s">
        <v>353</v>
      </c>
      <c r="E13" s="138"/>
      <c r="F13" s="457" t="s">
        <v>368</v>
      </c>
      <c r="G13" s="138"/>
      <c r="H13" s="138" t="s">
        <v>369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</row>
    <row r="14" spans="1:26" s="139" customFormat="1" ht="12">
      <c r="A14" s="137"/>
      <c r="B14" s="137"/>
      <c r="C14" s="137"/>
      <c r="D14" s="137"/>
      <c r="E14" s="137"/>
      <c r="F14" s="456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1:26" s="126" customFormat="1" ht="12">
      <c r="A15" s="125"/>
      <c r="B15" s="125"/>
      <c r="C15" s="125"/>
      <c r="D15" s="451" t="s">
        <v>315</v>
      </c>
      <c r="E15" s="451"/>
      <c r="F15" s="452" t="s">
        <v>370</v>
      </c>
      <c r="G15" s="451"/>
      <c r="H15" s="451" t="s">
        <v>371</v>
      </c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spans="1:26" s="139" customFormat="1" ht="12">
      <c r="A16" s="137"/>
      <c r="B16" s="137"/>
      <c r="C16" s="137"/>
      <c r="D16" s="137"/>
      <c r="E16" s="137"/>
      <c r="F16" s="456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spans="1:26" s="126" customFormat="1" ht="12">
      <c r="A17" s="125"/>
      <c r="B17" s="125"/>
      <c r="C17" s="125"/>
      <c r="D17" s="451" t="s">
        <v>367</v>
      </c>
      <c r="E17" s="451"/>
      <c r="F17" s="452" t="s">
        <v>372</v>
      </c>
      <c r="G17" s="451"/>
      <c r="H17" s="451" t="s">
        <v>379</v>
      </c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s="139" customFormat="1" ht="12">
      <c r="A18" s="137"/>
      <c r="B18" s="137"/>
      <c r="C18" s="137"/>
      <c r="D18" s="137"/>
      <c r="E18" s="137"/>
      <c r="F18" s="456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</row>
    <row r="19" spans="1:26" s="197" customFormat="1" ht="12">
      <c r="A19" s="147"/>
      <c r="B19" s="147"/>
      <c r="C19" s="147"/>
      <c r="D19" s="453" t="s">
        <v>336</v>
      </c>
      <c r="E19" s="453"/>
      <c r="F19" s="454" t="s">
        <v>373</v>
      </c>
      <c r="G19" s="453"/>
      <c r="H19" s="453" t="s">
        <v>374</v>
      </c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s="139" customFormat="1" ht="12">
      <c r="A20" s="137"/>
      <c r="B20" s="137"/>
      <c r="C20" s="137"/>
      <c r="D20" s="137"/>
      <c r="E20" s="137"/>
      <c r="F20" s="456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</row>
    <row r="21" spans="1:26" s="5" customFormat="1" ht="12.75">
      <c r="A21" s="1"/>
      <c r="B21" s="1"/>
      <c r="C21" s="1"/>
      <c r="D21" s="182" t="s">
        <v>241</v>
      </c>
      <c r="E21" s="182"/>
      <c r="F21" s="424" t="s">
        <v>249</v>
      </c>
      <c r="G21" s="182"/>
      <c r="H21" s="182" t="s">
        <v>242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139" customFormat="1" ht="12">
      <c r="A22" s="137"/>
      <c r="B22" s="137"/>
      <c r="C22" s="137"/>
      <c r="D22" s="137"/>
      <c r="E22" s="137"/>
      <c r="F22" s="456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s="139" customFormat="1" ht="12">
      <c r="A23" s="137"/>
      <c r="B23" s="137"/>
      <c r="C23" s="137"/>
      <c r="D23" s="138" t="s">
        <v>243</v>
      </c>
      <c r="E23" s="138"/>
      <c r="F23" s="458" t="s">
        <v>230</v>
      </c>
      <c r="G23" s="138"/>
      <c r="H23" s="138" t="s">
        <v>244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s="139" customFormat="1" ht="12">
      <c r="A24" s="137"/>
      <c r="B24" s="137"/>
      <c r="C24" s="137"/>
      <c r="D24" s="137"/>
      <c r="E24" s="137"/>
      <c r="F24" s="456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</row>
    <row r="25" spans="1:26" s="139" customFormat="1" ht="12">
      <c r="A25" s="137"/>
      <c r="B25" s="137"/>
      <c r="C25" s="137"/>
      <c r="D25" s="138" t="s">
        <v>245</v>
      </c>
      <c r="E25" s="138"/>
      <c r="F25" s="458" t="s">
        <v>231</v>
      </c>
      <c r="G25" s="138"/>
      <c r="H25" s="138" t="s">
        <v>246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</row>
    <row r="26" spans="1:26" s="139" customFormat="1" ht="12">
      <c r="A26" s="137"/>
      <c r="B26" s="137"/>
      <c r="C26" s="137"/>
      <c r="D26" s="137"/>
      <c r="E26" s="137"/>
      <c r="F26" s="456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s="139" customFormat="1" ht="12">
      <c r="A27" s="137"/>
      <c r="B27" s="137"/>
      <c r="C27" s="137"/>
      <c r="D27" s="138" t="s">
        <v>247</v>
      </c>
      <c r="E27" s="138"/>
      <c r="F27" s="458" t="s">
        <v>231</v>
      </c>
      <c r="G27" s="138"/>
      <c r="H27" s="138" t="s">
        <v>248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s="139" customFormat="1" ht="12">
      <c r="A28" s="137"/>
      <c r="B28" s="137"/>
      <c r="C28" s="137"/>
      <c r="D28" s="137"/>
      <c r="E28" s="137"/>
      <c r="F28" s="456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</row>
    <row r="29" spans="1:26" s="139" customFormat="1" ht="12">
      <c r="A29" s="137"/>
      <c r="B29" s="137"/>
      <c r="C29" s="137"/>
      <c r="D29" s="138" t="s">
        <v>366</v>
      </c>
      <c r="E29" s="138"/>
      <c r="F29" s="454" t="s">
        <v>375</v>
      </c>
      <c r="G29" s="138"/>
      <c r="H29" s="138" t="s">
        <v>376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</row>
    <row r="30" spans="1:26" s="139" customFormat="1" ht="12">
      <c r="A30" s="137"/>
      <c r="B30" s="137"/>
      <c r="C30" s="137"/>
      <c r="D30" s="137"/>
      <c r="E30" s="137"/>
      <c r="F30" s="456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</row>
    <row r="31" spans="1:26" s="139" customFormat="1" ht="12">
      <c r="A31" s="137"/>
      <c r="B31" s="137"/>
      <c r="C31" s="137"/>
      <c r="D31" s="138" t="s">
        <v>232</v>
      </c>
      <c r="E31" s="138"/>
      <c r="F31" s="459" t="s">
        <v>234</v>
      </c>
      <c r="G31" s="138"/>
      <c r="H31" s="138" t="s">
        <v>233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</row>
    <row r="32" spans="1:26" s="139" customFormat="1" ht="12">
      <c r="A32" s="137"/>
      <c r="B32" s="137"/>
      <c r="C32" s="137"/>
      <c r="D32" s="137"/>
      <c r="E32" s="137"/>
      <c r="F32" s="456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</row>
    <row r="33" spans="1:26" s="139" customFormat="1" ht="12.75">
      <c r="A33" s="137"/>
      <c r="B33" s="137"/>
      <c r="C33" s="137"/>
      <c r="D33" s="137"/>
      <c r="E33" s="137"/>
      <c r="F33" s="135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1:26" s="139" customFormat="1" ht="12.75">
      <c r="A34" s="137"/>
      <c r="B34" s="137"/>
      <c r="C34" s="137"/>
      <c r="D34" s="137"/>
      <c r="E34" s="137"/>
      <c r="F34" s="135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  <row r="35" spans="1:26" s="139" customFormat="1" ht="12.75">
      <c r="A35" s="137"/>
      <c r="B35" s="137"/>
      <c r="C35" s="137"/>
      <c r="D35" s="137"/>
      <c r="E35" s="137"/>
      <c r="F35" s="135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</row>
    <row r="36" spans="1:26" s="139" customFormat="1" ht="12.75">
      <c r="A36" s="137"/>
      <c r="B36" s="137"/>
      <c r="C36" s="137"/>
      <c r="D36" s="137"/>
      <c r="E36" s="137"/>
      <c r="F36" s="135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</row>
    <row r="37" spans="1:26" s="139" customFormat="1" ht="12.75">
      <c r="A37" s="137"/>
      <c r="B37" s="137"/>
      <c r="C37" s="137"/>
      <c r="D37" s="137"/>
      <c r="E37" s="137"/>
      <c r="F37" s="135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</row>
    <row r="38" spans="1:26" s="139" customFormat="1" ht="12.75">
      <c r="A38" s="137"/>
      <c r="B38" s="137"/>
      <c r="C38" s="137"/>
      <c r="D38" s="137"/>
      <c r="E38" s="137"/>
      <c r="F38" s="135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s="139" customFormat="1" ht="12.75">
      <c r="A39" s="137"/>
      <c r="B39" s="137"/>
      <c r="C39" s="137"/>
      <c r="D39" s="137"/>
      <c r="E39" s="137"/>
      <c r="F39" s="135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s="139" customFormat="1" ht="12.75">
      <c r="A40" s="137"/>
      <c r="B40" s="137"/>
      <c r="C40" s="137"/>
      <c r="D40" s="137"/>
      <c r="E40" s="137"/>
      <c r="F40" s="135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s="139" customFormat="1" ht="12.75">
      <c r="A41" s="137"/>
      <c r="B41" s="137"/>
      <c r="C41" s="137"/>
      <c r="D41" s="137"/>
      <c r="E41" s="137"/>
      <c r="F41" s="135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s="139" customFormat="1" ht="12.75">
      <c r="A42" s="137"/>
      <c r="B42" s="137"/>
      <c r="C42" s="137"/>
      <c r="D42" s="137"/>
      <c r="E42" s="137"/>
      <c r="F42" s="135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s="139" customFormat="1" ht="12.75">
      <c r="A43" s="137"/>
      <c r="B43" s="137"/>
      <c r="C43" s="137"/>
      <c r="D43" s="137"/>
      <c r="E43" s="137"/>
      <c r="F43" s="135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s="139" customFormat="1" ht="12.75">
      <c r="A44" s="137"/>
      <c r="B44" s="137"/>
      <c r="C44" s="137"/>
      <c r="D44" s="137"/>
      <c r="E44" s="137"/>
      <c r="F44" s="135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</row>
    <row r="45" spans="1:26" s="139" customFormat="1" ht="12.75">
      <c r="A45" s="137"/>
      <c r="B45" s="137"/>
      <c r="C45" s="137"/>
      <c r="D45" s="137"/>
      <c r="E45" s="137"/>
      <c r="F45" s="135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</row>
    <row r="46" spans="1:26" s="139" customFormat="1" ht="12.75">
      <c r="A46" s="137"/>
      <c r="B46" s="137"/>
      <c r="C46" s="137"/>
      <c r="D46" s="137"/>
      <c r="E46" s="137"/>
      <c r="F46" s="135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</row>
    <row r="47" spans="1:26" s="139" customFormat="1" ht="12.75">
      <c r="A47" s="137"/>
      <c r="B47" s="137"/>
      <c r="C47" s="137"/>
      <c r="D47" s="137"/>
      <c r="E47" s="137"/>
      <c r="F47" s="135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</row>
    <row r="48" spans="1:26" s="139" customFormat="1" ht="12.75">
      <c r="A48" s="137"/>
      <c r="B48" s="137"/>
      <c r="C48" s="137"/>
      <c r="D48" s="137"/>
      <c r="E48" s="137"/>
      <c r="F48" s="135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</row>
    <row r="49" spans="1:26" s="139" customFormat="1" ht="12.75">
      <c r="A49" s="137"/>
      <c r="B49" s="137"/>
      <c r="C49" s="137"/>
      <c r="D49" s="137"/>
      <c r="E49" s="137"/>
      <c r="F49" s="135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</row>
    <row r="50" spans="1:26" s="139" customFormat="1" ht="12.75">
      <c r="A50" s="137"/>
      <c r="B50" s="137"/>
      <c r="C50" s="137"/>
      <c r="D50" s="137"/>
      <c r="E50" s="137"/>
      <c r="F50" s="135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</row>
    <row r="51" spans="1:26" s="139" customFormat="1" ht="12.75">
      <c r="A51" s="137"/>
      <c r="B51" s="137"/>
      <c r="C51" s="137"/>
      <c r="D51" s="137"/>
      <c r="E51" s="137"/>
      <c r="F51" s="135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</row>
    <row r="52" spans="1:26" s="139" customFormat="1" ht="12.75">
      <c r="A52" s="137"/>
      <c r="B52" s="137"/>
      <c r="C52" s="137"/>
      <c r="D52" s="137"/>
      <c r="E52" s="137"/>
      <c r="F52" s="135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</row>
    <row r="53" spans="1:26" s="139" customFormat="1" ht="12.75">
      <c r="A53" s="137"/>
      <c r="B53" s="137"/>
      <c r="C53" s="137"/>
      <c r="D53" s="137"/>
      <c r="E53" s="137"/>
      <c r="F53" s="135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</row>
    <row r="54" spans="1:26">
      <c r="A54" s="71"/>
      <c r="B54" s="71"/>
      <c r="C54" s="71"/>
      <c r="D54" s="71"/>
      <c r="E54" s="71"/>
      <c r="F54" s="135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>
      <c r="A55" s="71"/>
      <c r="B55" s="71"/>
      <c r="C55" s="71"/>
      <c r="D55" s="71"/>
      <c r="E55" s="71"/>
      <c r="F55" s="135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>
      <c r="A56" s="71"/>
      <c r="B56" s="71"/>
      <c r="C56" s="71"/>
      <c r="D56" s="71"/>
      <c r="E56" s="71"/>
      <c r="F56" s="135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>
      <c r="A57" s="71"/>
      <c r="B57" s="71"/>
      <c r="C57" s="71"/>
      <c r="D57" s="71"/>
      <c r="E57" s="71"/>
      <c r="F57" s="135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>
      <c r="A58" s="71"/>
      <c r="B58" s="71"/>
      <c r="C58" s="71"/>
      <c r="D58" s="71"/>
      <c r="E58" s="71"/>
      <c r="F58" s="135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>
      <c r="A59" s="71"/>
      <c r="B59" s="71"/>
      <c r="C59" s="71"/>
      <c r="D59" s="71"/>
      <c r="E59" s="71"/>
      <c r="F59" s="135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>
      <c r="A60" s="71"/>
      <c r="B60" s="71"/>
      <c r="C60" s="71"/>
      <c r="D60" s="71"/>
      <c r="E60" s="71"/>
      <c r="F60" s="136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>
      <c r="A61" s="71"/>
      <c r="B61" s="71"/>
      <c r="C61" s="71"/>
      <c r="D61" s="71"/>
      <c r="E61" s="71"/>
      <c r="F61" s="136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>
      <c r="A62" s="71"/>
      <c r="B62" s="71"/>
      <c r="C62" s="71"/>
      <c r="D62" s="71"/>
      <c r="E62" s="71"/>
      <c r="F62" s="136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>
      <c r="A63" s="71"/>
      <c r="B63" s="71"/>
      <c r="C63" s="71"/>
      <c r="D63" s="71"/>
      <c r="E63" s="71"/>
      <c r="F63" s="136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>
      <c r="A64" s="71"/>
      <c r="B64" s="71"/>
      <c r="C64" s="71"/>
      <c r="D64" s="71"/>
      <c r="E64" s="71"/>
      <c r="F64" s="136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>
      <c r="A65" s="71"/>
      <c r="B65" s="71"/>
      <c r="C65" s="71"/>
      <c r="D65" s="71"/>
      <c r="E65" s="71"/>
      <c r="F65" s="136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>
      <c r="A66" s="71"/>
      <c r="B66" s="71"/>
      <c r="C66" s="71"/>
      <c r="D66" s="71"/>
      <c r="E66" s="71"/>
      <c r="F66" s="136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>
      <c r="A67" s="71"/>
      <c r="B67" s="71"/>
      <c r="C67" s="71"/>
      <c r="D67" s="71"/>
      <c r="E67" s="71"/>
      <c r="F67" s="136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>
      <c r="A68" s="71"/>
      <c r="B68" s="71"/>
      <c r="C68" s="71"/>
      <c r="D68" s="71"/>
      <c r="E68" s="71"/>
      <c r="F68" s="136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>
      <c r="A69" s="71"/>
      <c r="B69" s="71"/>
      <c r="C69" s="71"/>
      <c r="D69" s="71"/>
      <c r="E69" s="71"/>
      <c r="F69" s="136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>
      <c r="A70" s="71"/>
      <c r="B70" s="71"/>
      <c r="C70" s="71"/>
      <c r="D70" s="71"/>
      <c r="E70" s="71"/>
      <c r="F70" s="136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>
      <c r="A71" s="71"/>
      <c r="B71" s="71"/>
      <c r="C71" s="71"/>
      <c r="D71" s="71"/>
      <c r="E71" s="71"/>
      <c r="F71" s="136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>
      <c r="A72" s="71"/>
      <c r="B72" s="71"/>
      <c r="C72" s="71"/>
      <c r="D72" s="71"/>
      <c r="E72" s="71"/>
      <c r="F72" s="136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>
      <c r="A73" s="71"/>
      <c r="B73" s="71"/>
      <c r="C73" s="71"/>
      <c r="D73" s="71"/>
      <c r="E73" s="71"/>
      <c r="F73" s="136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>
      <c r="A74" s="71"/>
      <c r="B74" s="71"/>
      <c r="C74" s="71"/>
      <c r="D74" s="71"/>
      <c r="E74" s="71"/>
      <c r="F74" s="136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>
      <c r="A75" s="71"/>
      <c r="B75" s="71"/>
      <c r="C75" s="71"/>
      <c r="D75" s="71"/>
      <c r="E75" s="71"/>
      <c r="F75" s="136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>
      <c r="A76" s="71"/>
      <c r="B76" s="71"/>
      <c r="C76" s="71"/>
      <c r="D76" s="71"/>
      <c r="E76" s="71"/>
      <c r="F76" s="136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 spans="1:26">
      <c r="A77" s="71"/>
      <c r="B77" s="71"/>
      <c r="C77" s="71"/>
      <c r="D77" s="71"/>
      <c r="E77" s="71"/>
      <c r="F77" s="136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 spans="1:26">
      <c r="A78" s="71"/>
      <c r="B78" s="71"/>
      <c r="C78" s="71"/>
      <c r="D78" s="71"/>
      <c r="E78" s="71"/>
      <c r="F78" s="136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>
      <c r="A79" s="71"/>
      <c r="B79" s="71"/>
      <c r="C79" s="71"/>
      <c r="D79" s="71"/>
      <c r="E79" s="71"/>
      <c r="F79" s="136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 spans="1:26">
      <c r="A80" s="71"/>
      <c r="B80" s="71"/>
      <c r="C80" s="71"/>
      <c r="D80" s="71"/>
      <c r="E80" s="71"/>
      <c r="F80" s="136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 spans="1:26">
      <c r="A81" s="71"/>
      <c r="B81" s="71"/>
      <c r="C81" s="71"/>
      <c r="D81" s="71"/>
      <c r="E81" s="71"/>
      <c r="F81" s="136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>
      <c r="A82" s="71"/>
      <c r="B82" s="71"/>
      <c r="C82" s="71"/>
      <c r="D82" s="71"/>
      <c r="E82" s="71"/>
      <c r="F82" s="136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>
      <c r="A83" s="71"/>
      <c r="B83" s="71"/>
      <c r="C83" s="71"/>
      <c r="D83" s="71"/>
      <c r="E83" s="71"/>
      <c r="F83" s="136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>
      <c r="A84" s="71"/>
      <c r="B84" s="71"/>
      <c r="C84" s="71"/>
      <c r="D84" s="71"/>
      <c r="E84" s="71"/>
      <c r="F84" s="136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>
      <c r="A85" s="71"/>
      <c r="B85" s="71"/>
      <c r="C85" s="71"/>
      <c r="D85" s="71"/>
      <c r="E85" s="71"/>
      <c r="F85" s="136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>
      <c r="A86" s="71"/>
      <c r="B86" s="71"/>
      <c r="C86" s="71"/>
      <c r="D86" s="71"/>
      <c r="E86" s="71"/>
      <c r="F86" s="136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>
      <c r="A87" s="71"/>
      <c r="B87" s="71"/>
      <c r="C87" s="71"/>
      <c r="D87" s="71"/>
      <c r="E87" s="71"/>
      <c r="F87" s="136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>
      <c r="A88" s="71"/>
      <c r="B88" s="71"/>
      <c r="C88" s="71"/>
      <c r="D88" s="71"/>
      <c r="E88" s="71"/>
      <c r="F88" s="136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>
      <c r="A89" s="71"/>
      <c r="B89" s="71"/>
      <c r="C89" s="71"/>
      <c r="D89" s="71"/>
      <c r="E89" s="71"/>
      <c r="F89" s="136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>
      <c r="A90" s="71"/>
      <c r="B90" s="71"/>
      <c r="C90" s="71"/>
      <c r="D90" s="71"/>
      <c r="E90" s="71"/>
      <c r="F90" s="136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>
      <c r="A91" s="71"/>
      <c r="B91" s="71"/>
      <c r="C91" s="71"/>
      <c r="D91" s="71"/>
      <c r="E91" s="71"/>
      <c r="F91" s="136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>
      <c r="A92" s="71"/>
      <c r="B92" s="71"/>
      <c r="C92" s="71"/>
      <c r="D92" s="71"/>
      <c r="E92" s="71"/>
      <c r="F92" s="136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>
      <c r="A93" s="71"/>
      <c r="B93" s="71"/>
      <c r="C93" s="71"/>
      <c r="D93" s="71"/>
      <c r="E93" s="71"/>
      <c r="F93" s="136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>
      <c r="A94" s="71"/>
      <c r="B94" s="71"/>
      <c r="C94" s="71"/>
      <c r="D94" s="71"/>
      <c r="E94" s="71"/>
      <c r="F94" s="136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>
      <c r="A95" s="71"/>
      <c r="B95" s="71"/>
      <c r="C95" s="71"/>
      <c r="D95" s="71"/>
      <c r="E95" s="71"/>
      <c r="F95" s="136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>
      <c r="A96" s="71"/>
      <c r="B96" s="71"/>
      <c r="C96" s="71"/>
      <c r="D96" s="71"/>
      <c r="E96" s="71"/>
      <c r="F96" s="136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>
      <c r="A97" s="71"/>
      <c r="B97" s="71"/>
      <c r="C97" s="71"/>
      <c r="D97" s="71"/>
      <c r="E97" s="71"/>
      <c r="F97" s="136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>
      <c r="A98" s="71"/>
      <c r="B98" s="71"/>
      <c r="C98" s="71"/>
      <c r="D98" s="71"/>
      <c r="E98" s="71"/>
      <c r="F98" s="136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>
      <c r="A99" s="71"/>
      <c r="B99" s="71"/>
      <c r="C99" s="71"/>
      <c r="D99" s="71"/>
      <c r="E99" s="71"/>
      <c r="F99" s="136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>
      <c r="A100" s="71"/>
      <c r="B100" s="71"/>
      <c r="C100" s="71"/>
      <c r="D100" s="71"/>
      <c r="E100" s="71"/>
      <c r="F100" s="136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>
      <c r="A101" s="71"/>
      <c r="B101" s="71"/>
      <c r="C101" s="71"/>
      <c r="D101" s="71"/>
      <c r="E101" s="71"/>
      <c r="F101" s="136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>
      <c r="A102" s="71"/>
      <c r="B102" s="71"/>
      <c r="C102" s="71"/>
      <c r="D102" s="71"/>
      <c r="E102" s="71"/>
      <c r="F102" s="136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>
      <c r="A103" s="71"/>
      <c r="B103" s="71"/>
      <c r="C103" s="71"/>
      <c r="D103" s="71"/>
      <c r="E103" s="71"/>
      <c r="F103" s="136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>
      <c r="A104" s="71"/>
      <c r="B104" s="71"/>
      <c r="C104" s="71"/>
      <c r="D104" s="71"/>
      <c r="E104" s="71"/>
      <c r="F104" s="136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>
      <c r="A105" s="71"/>
      <c r="B105" s="71"/>
      <c r="C105" s="71"/>
      <c r="D105" s="71"/>
      <c r="E105" s="71"/>
      <c r="F105" s="136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>
      <c r="A106" s="71"/>
      <c r="B106" s="71"/>
      <c r="C106" s="71"/>
      <c r="D106" s="71"/>
      <c r="E106" s="71"/>
      <c r="F106" s="136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>
      <c r="A107" s="71"/>
      <c r="B107" s="71"/>
      <c r="C107" s="71"/>
      <c r="D107" s="71"/>
      <c r="E107" s="71"/>
      <c r="F107" s="136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>
      <c r="A108" s="71"/>
      <c r="B108" s="71"/>
      <c r="C108" s="71"/>
      <c r="D108" s="71"/>
      <c r="E108" s="71"/>
      <c r="F108" s="136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>
      <c r="A109" s="71"/>
      <c r="B109" s="71"/>
      <c r="C109" s="71"/>
      <c r="D109" s="71"/>
      <c r="E109" s="71"/>
      <c r="F109" s="136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>
      <c r="A110" s="71"/>
      <c r="B110" s="71"/>
      <c r="C110" s="71"/>
      <c r="D110" s="71"/>
      <c r="E110" s="71"/>
      <c r="F110" s="136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>
      <c r="A111" s="71"/>
      <c r="B111" s="71"/>
      <c r="C111" s="71"/>
      <c r="D111" s="71"/>
      <c r="E111" s="71"/>
      <c r="F111" s="136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>
      <c r="A112" s="71"/>
      <c r="B112" s="71"/>
      <c r="C112" s="71"/>
      <c r="D112" s="71"/>
      <c r="E112" s="71"/>
      <c r="F112" s="136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>
      <c r="A113" s="71"/>
      <c r="B113" s="71"/>
      <c r="C113" s="71"/>
      <c r="D113" s="71"/>
      <c r="E113" s="71"/>
      <c r="F113" s="136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>
      <c r="A114" s="71"/>
      <c r="B114" s="71"/>
      <c r="C114" s="71"/>
      <c r="D114" s="71"/>
      <c r="E114" s="71"/>
      <c r="F114" s="136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>
      <c r="A115" s="71"/>
      <c r="B115" s="71"/>
      <c r="C115" s="71"/>
      <c r="D115" s="71"/>
      <c r="E115" s="71"/>
      <c r="F115" s="136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>
      <c r="A116" s="71"/>
      <c r="B116" s="71"/>
      <c r="C116" s="71"/>
      <c r="D116" s="71"/>
      <c r="E116" s="71"/>
      <c r="F116" s="136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>
      <c r="A117" s="71"/>
      <c r="B117" s="71"/>
      <c r="C117" s="71"/>
      <c r="D117" s="71"/>
      <c r="E117" s="71"/>
      <c r="F117" s="136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>
      <c r="A118" s="71"/>
      <c r="B118" s="71"/>
      <c r="C118" s="71"/>
      <c r="D118" s="71"/>
      <c r="E118" s="71"/>
      <c r="F118" s="136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>
      <c r="A119" s="71"/>
      <c r="B119" s="71"/>
      <c r="C119" s="71"/>
      <c r="D119" s="71"/>
      <c r="E119" s="71"/>
      <c r="F119" s="136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>
      <c r="A120" s="71"/>
      <c r="B120" s="71"/>
      <c r="C120" s="71"/>
      <c r="D120" s="71"/>
      <c r="E120" s="71"/>
      <c r="F120" s="136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>
      <c r="A121" s="71"/>
      <c r="B121" s="71"/>
      <c r="C121" s="71"/>
      <c r="D121" s="71"/>
      <c r="E121" s="71"/>
      <c r="F121" s="136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>
      <c r="A122" s="71"/>
      <c r="B122" s="71"/>
      <c r="C122" s="71"/>
      <c r="D122" s="71"/>
      <c r="E122" s="71"/>
      <c r="F122" s="136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>
      <c r="A123" s="71"/>
      <c r="B123" s="71"/>
      <c r="C123" s="71"/>
      <c r="D123" s="71"/>
      <c r="E123" s="71"/>
      <c r="F123" s="136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</sheetData>
  <hyperlinks>
    <hyperlink ref="D11:H11" location="микс!A1" tooltip="бизнес-микс" display="Бизнес-Микс"/>
    <hyperlink ref="D21:H21" location="ПОбТЗ!A1" tooltip="к отчету об оборачиваемости ТЗ" display="Отчет по оборачиваемости товарных запасов"/>
    <hyperlink ref="D23:H23" location="ПОбТЗ_1!A1" tooltip="к отчету в разрезе бизнес-моделей" display="Оборачиваемость продаж в разрезе бизнес-моделей"/>
    <hyperlink ref="D25:H25" location="ПОбТЗ_2!A1" tooltip="к отчету в разрезе категорий товаров" display="Оборачиваемость продаж в разрезе категорий товара"/>
    <hyperlink ref="D27:H27" location="ПОбТЗ_3!A1" tooltip="к отчету в разрезе поставщиков" display="Оборачиваемость продаж в разрезе поставщиков"/>
    <hyperlink ref="D31:H31" location="операции!A1" tooltip="к базе данных операций" display="Входящие данные"/>
    <hyperlink ref="D13:H13" location="условия_KPI!A1" tooltip="условия_KPI" display="Целевые условия на ключевые показатели системы KPI"/>
    <hyperlink ref="D15:H15" location="мотивация!A1" tooltip="мотивация" display="Расчет бонуса (мотивации) департамента продаж"/>
    <hyperlink ref="D17:H17" location="рейтинг_поставщиков!A1" tooltip="рейтинг поставщиков" display="Рейтинг поставщиков"/>
    <hyperlink ref="D19:H19" location="рейтинг_расчет!A1" tooltip="расчет рейтингов" display="Расчет рейтинга поставщиков"/>
    <hyperlink ref="D29:H29" location="расчеты!A1" tooltip="основные расчеты" display="Расчеты базовых ключевых показателей системы KPI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F271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A2" sqref="A2"/>
    </sheetView>
  </sheetViews>
  <sheetFormatPr defaultRowHeight="12.75"/>
  <cols>
    <col min="1" max="3" width="2.7109375" style="13" customWidth="1"/>
    <col min="4" max="4" width="33.28515625" style="13" bestFit="1" customWidth="1"/>
    <col min="5" max="5" width="31" style="13" bestFit="1" customWidth="1"/>
    <col min="6" max="6" width="7.7109375" style="13" customWidth="1"/>
    <col min="7" max="7" width="2.7109375" style="13" customWidth="1"/>
    <col min="8" max="8" width="12.7109375" style="5" customWidth="1"/>
    <col min="9" max="9" width="2.7109375" style="111" customWidth="1"/>
    <col min="10" max="12" width="12.7109375" style="13" customWidth="1"/>
    <col min="13" max="16384" width="9.140625" style="13"/>
  </cols>
  <sheetData>
    <row r="1" spans="1:32" s="139" customFormat="1" ht="12">
      <c r="A1" s="145" t="s">
        <v>235</v>
      </c>
      <c r="B1" s="145"/>
      <c r="C1" s="145"/>
      <c r="D1" s="145"/>
      <c r="E1" s="146"/>
      <c r="F1" s="137"/>
      <c r="G1" s="137"/>
      <c r="H1" s="137"/>
      <c r="I1" s="14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>
      <c r="A2" s="12"/>
      <c r="B2" s="12"/>
      <c r="C2" s="12"/>
      <c r="D2" s="12"/>
      <c r="E2" s="12"/>
      <c r="F2" s="12"/>
      <c r="G2" s="12"/>
      <c r="H2" s="1"/>
      <c r="I2" s="10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>
      <c r="A3" s="1"/>
      <c r="B3" s="1"/>
      <c r="C3" s="1" t="s">
        <v>236</v>
      </c>
      <c r="D3" s="1"/>
      <c r="E3" s="1"/>
      <c r="F3" s="1"/>
      <c r="G3" s="1"/>
      <c r="H3" s="1"/>
      <c r="I3" s="1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>
      <c r="A4" s="1"/>
      <c r="B4" s="1"/>
      <c r="C4" s="1" t="s">
        <v>209</v>
      </c>
      <c r="D4" s="1"/>
      <c r="E4" s="12"/>
      <c r="F4" s="1"/>
      <c r="G4" s="1"/>
      <c r="H4" s="1"/>
      <c r="I4" s="10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>
      <c r="A5" s="12"/>
      <c r="B5" s="12"/>
      <c r="C5" s="87" t="str">
        <f>"в разрезе "&amp;микс!$G$23</f>
        <v>в разрезе поставщик</v>
      </c>
      <c r="D5" s="12"/>
      <c r="E5" s="12"/>
      <c r="F5" s="12"/>
      <c r="G5" s="12"/>
      <c r="H5" s="1"/>
      <c r="I5" s="10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>
      <c r="A6" s="1"/>
      <c r="B6" s="1"/>
      <c r="C6" s="1" t="s">
        <v>240</v>
      </c>
      <c r="D6" s="1"/>
      <c r="E6" s="12"/>
      <c r="F6" s="1"/>
      <c r="G6" s="1"/>
      <c r="H6" s="1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>
      <c r="A7" s="48"/>
      <c r="B7" s="48"/>
      <c r="C7" s="107" t="s">
        <v>222</v>
      </c>
      <c r="D7" s="48"/>
      <c r="E7" s="48"/>
      <c r="F7" s="48"/>
      <c r="G7" s="48"/>
      <c r="H7" s="89" t="s">
        <v>221</v>
      </c>
      <c r="I7" s="108"/>
      <c r="J7" s="49">
        <f>J8</f>
        <v>42278</v>
      </c>
      <c r="K7" s="49">
        <f t="shared" ref="K7:L7" si="0">K8</f>
        <v>42309</v>
      </c>
      <c r="L7" s="49">
        <f t="shared" si="0"/>
        <v>42339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>
      <c r="A8" s="48"/>
      <c r="B8" s="48"/>
      <c r="C8" s="115">
        <f>H10+SUM(I:I)</f>
        <v>-1.4551915228366852E-9</v>
      </c>
      <c r="D8" s="48"/>
      <c r="E8" s="48"/>
      <c r="F8" s="48"/>
      <c r="G8" s="48"/>
      <c r="H8" s="88">
        <v>42278</v>
      </c>
      <c r="I8" s="108"/>
      <c r="J8" s="86">
        <f>H8</f>
        <v>42278</v>
      </c>
      <c r="K8" s="86">
        <f>J9+1</f>
        <v>42309</v>
      </c>
      <c r="L8" s="86">
        <f>K9+1</f>
        <v>42339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>
      <c r="A9" s="48"/>
      <c r="B9" s="48"/>
      <c r="C9" s="102"/>
      <c r="D9" s="103" t="s">
        <v>215</v>
      </c>
      <c r="E9" s="121" t="str">
        <f>микс!$G$23</f>
        <v>поставщик</v>
      </c>
      <c r="F9" s="103" t="s">
        <v>216</v>
      </c>
      <c r="G9" s="94"/>
      <c r="H9" s="95">
        <f>L9</f>
        <v>42369</v>
      </c>
      <c r="I9" s="175"/>
      <c r="J9" s="96">
        <f>EOMONTH(J8,0)</f>
        <v>42308</v>
      </c>
      <c r="K9" s="96">
        <f>EOMONTH(K8,0)</f>
        <v>42338</v>
      </c>
      <c r="L9" s="96">
        <f>EOMONTH(L8,0)</f>
        <v>42369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>
      <c r="A10" s="108"/>
      <c r="B10" s="108"/>
      <c r="C10" s="108"/>
      <c r="D10" s="109"/>
      <c r="E10" s="109"/>
      <c r="F10" s="109"/>
      <c r="G10" s="109"/>
      <c r="H10" s="110">
        <f>H11-SUM(J11:M11)</f>
        <v>0</v>
      </c>
      <c r="I10" s="109"/>
      <c r="J10" s="109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>
      <c r="A11" s="12"/>
      <c r="B11" s="12"/>
      <c r="C11" s="12"/>
      <c r="D11" s="12" t="s">
        <v>210</v>
      </c>
      <c r="E11" s="12" t="s">
        <v>214</v>
      </c>
      <c r="F11" s="12" t="s">
        <v>217</v>
      </c>
      <c r="G11" s="12"/>
      <c r="H11" s="90">
        <f>SUMIFS(операции!$Z:$Z,операции!$X:$X,"&gt;="&amp;H$8,операции!$X:$X,"&lt;="&amp;H$9)</f>
        <v>3709776</v>
      </c>
      <c r="I11" s="176">
        <f>H11-SUMIFS(H$19:H$199,$D$19:$D$199,$D11)</f>
        <v>0</v>
      </c>
      <c r="J11" s="53">
        <f>SUMIFS(операции!$Z:$Z,операции!$X:$X,"&gt;="&amp;J$8,операции!$X:$X,"&lt;="&amp;J$9)</f>
        <v>775003</v>
      </c>
      <c r="K11" s="53">
        <f>SUMIFS(операции!$Z:$Z,операции!$X:$X,"&gt;="&amp;K$8,операции!$X:$X,"&lt;="&amp;K$9)</f>
        <v>1774695</v>
      </c>
      <c r="L11" s="53">
        <f>SUMIFS(операции!$Z:$Z,операции!$X:$X,"&gt;="&amp;L$8,операции!$X:$X,"&lt;="&amp;L$9)</f>
        <v>1160078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32">
      <c r="A12" s="12"/>
      <c r="B12" s="12"/>
      <c r="C12" s="12"/>
      <c r="D12" s="12" t="s">
        <v>211</v>
      </c>
      <c r="E12" s="12" t="s">
        <v>214</v>
      </c>
      <c r="F12" s="12" t="s">
        <v>217</v>
      </c>
      <c r="G12" s="12"/>
      <c r="H12" s="90">
        <f>SUMIFS(операции!$V:$V,операции!$X:$X,"&gt;="&amp;H$8,операции!$X:$X,"&lt;="&amp;H$9)</f>
        <v>3281881.1100000008</v>
      </c>
      <c r="I12" s="176">
        <f t="shared" ref="I12:I13" si="1">H12-SUMIFS(H$19:H$199,$D$19:$D$199,$D12)</f>
        <v>0</v>
      </c>
      <c r="J12" s="53">
        <f>SUMIFS(операции!$V:$V,операции!$X:$X,"&gt;="&amp;J$8,операции!$X:$X,"&lt;="&amp;J$9)</f>
        <v>695840.68000000063</v>
      </c>
      <c r="K12" s="53">
        <f>SUMIFS(операции!$V:$V,операции!$X:$X,"&gt;="&amp;K$8,операции!$X:$X,"&lt;="&amp;K$9)</f>
        <v>1533189.2299999986</v>
      </c>
      <c r="L12" s="53">
        <f>SUMIFS(операции!$V:$V,операции!$X:$X,"&gt;="&amp;L$8,операции!$X:$X,"&lt;="&amp;L$9)</f>
        <v>1052851.199999999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32">
      <c r="A13" s="12"/>
      <c r="B13" s="12"/>
      <c r="C13" s="12"/>
      <c r="D13" s="12" t="s">
        <v>212</v>
      </c>
      <c r="E13" s="12" t="s">
        <v>214</v>
      </c>
      <c r="F13" s="12" t="s">
        <v>217</v>
      </c>
      <c r="G13" s="12"/>
      <c r="H13" s="90">
        <f>H11-H12</f>
        <v>427894.8899999992</v>
      </c>
      <c r="I13" s="176">
        <f t="shared" si="1"/>
        <v>-1.4551915228366852E-9</v>
      </c>
      <c r="J13" s="53">
        <f>J11-J12</f>
        <v>79162.319999999367</v>
      </c>
      <c r="K13" s="53">
        <f t="shared" ref="K13:L13" si="2">K11-K12</f>
        <v>241505.77000000142</v>
      </c>
      <c r="L13" s="53">
        <f t="shared" si="2"/>
        <v>107226.80000000098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32" s="119" customFormat="1">
      <c r="A14" s="87"/>
      <c r="B14" s="87"/>
      <c r="C14" s="87"/>
      <c r="D14" s="87" t="s">
        <v>213</v>
      </c>
      <c r="E14" s="87" t="s">
        <v>214</v>
      </c>
      <c r="F14" s="87" t="s">
        <v>218</v>
      </c>
      <c r="G14" s="87"/>
      <c r="H14" s="116">
        <f>IF(H11=0,0,H13/H11)</f>
        <v>0.11534251394154235</v>
      </c>
      <c r="I14" s="117"/>
      <c r="J14" s="118">
        <f>IF(J11=0,0,J13/J11)</f>
        <v>0.10214453363406253</v>
      </c>
      <c r="K14" s="118">
        <f t="shared" ref="K14:L14" si="3">IF(K11=0,0,K13/K11)</f>
        <v>0.13608297200364086</v>
      </c>
      <c r="L14" s="118">
        <f t="shared" si="3"/>
        <v>9.2430681385218039E-2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32" s="5" customFormat="1">
      <c r="A15" s="1"/>
      <c r="B15" s="1"/>
      <c r="C15" s="1"/>
      <c r="D15" s="168" t="s">
        <v>220</v>
      </c>
      <c r="E15" s="168" t="s">
        <v>214</v>
      </c>
      <c r="F15" s="168" t="s">
        <v>219</v>
      </c>
      <c r="G15" s="168"/>
      <c r="H15" s="169">
        <f>IF(H11=0,0,SUMIFS(операции!$AG:$AG,операции!$X:$X,"&gt;="&amp;H$8,операции!$X:$X,"&lt;="&amp;H$9)/H11-SUMIFS(операции!$AF:$AF,операции!$X:$X,"&gt;="&amp;H$8,операции!$X:$X,"&lt;="&amp;H$9)/H12)</f>
        <v>44.170271222967131</v>
      </c>
      <c r="I15" s="177"/>
      <c r="J15" s="169">
        <f>IF(J11=0,0,SUMIFS(операции!$AG:$AG,операции!$X:$X,"&gt;="&amp;J$8,операции!$X:$X,"&lt;="&amp;J$9)/J11-SUMIFS(операции!$AF:$AF,операции!$X:$X,"&gt;="&amp;J$8,операции!$X:$X,"&lt;="&amp;J$9)/J12)</f>
        <v>68.095689724919794</v>
      </c>
      <c r="K15" s="169">
        <f>IF(K11=0,0,SUMIFS(операции!$AG:$AG,операции!$X:$X,"&gt;="&amp;K$8,операции!$X:$X,"&lt;="&amp;K$9)/K11-SUMIFS(операции!$AF:$AF,операции!$X:$X,"&gt;="&amp;K$8,операции!$X:$X,"&lt;="&amp;K$9)/K12)</f>
        <v>46.975307434026035</v>
      </c>
      <c r="L15" s="169">
        <f>IF(L11=0,0,SUMIFS(операции!$AG:$AG,операции!$X:$X,"&gt;="&amp;L$8,операции!$X:$X,"&lt;="&amp;L$9)/L11-SUMIFS(операции!$AF:$AF,операции!$X:$X,"&gt;="&amp;L$8,операции!$X:$X,"&lt;="&amp;L$9)/L12)</f>
        <v>24.472686407214496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32">
      <c r="A16" s="12"/>
      <c r="B16" s="12"/>
      <c r="C16" s="12"/>
      <c r="D16" s="131" t="s">
        <v>238</v>
      </c>
      <c r="E16" s="131" t="s">
        <v>214</v>
      </c>
      <c r="F16" s="131" t="s">
        <v>217</v>
      </c>
      <c r="G16" s="131"/>
      <c r="H16" s="166">
        <f>SUMIFS(операции!$V:$V,операции!$T:$T,"&lt;="&amp;$H$9,операции!$X:$X,"")</f>
        <v>914632.67000000062</v>
      </c>
      <c r="I16" s="178">
        <f>H16-SUMIFS(H$19:H$199,$D$19:$D$199,$D16)+H16-L16</f>
        <v>0</v>
      </c>
      <c r="J16" s="167">
        <f>SUMIFS(операции!$V:$V,операции!$T:$T,"&lt;="&amp;J$9,операции!$X:$X,"")+SUMIFS(операции!$V:$V,операции!$T:$T,"&lt;="&amp;J$9,операции!$X:$X,"&gt;"&amp;J$9)</f>
        <v>1494105.1600000004</v>
      </c>
      <c r="K16" s="167">
        <f>SUMIFS(операции!$V:$V,операции!$T:$T,"&lt;="&amp;K$9,операции!$X:$X,"")+SUMIFS(операции!$V:$V,операции!$T:$T,"&lt;="&amp;K$9,операции!$X:$X,"&gt;"&amp;K$9)</f>
        <v>1748502.0699999996</v>
      </c>
      <c r="L16" s="167">
        <f>SUMIFS(операции!$V:$V,операции!$T:$T,"&lt;="&amp;L$9,операции!$X:$X,"")+SUMIFS(операции!$V:$V,операции!$T:$T,"&lt;="&amp;L$9,операции!$X:$X,"&gt;"&amp;L$9)</f>
        <v>914632.67000000062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5" customFormat="1">
      <c r="A17" s="1"/>
      <c r="B17" s="1"/>
      <c r="C17" s="1"/>
      <c r="D17" s="168" t="s">
        <v>239</v>
      </c>
      <c r="E17" s="168" t="s">
        <v>214</v>
      </c>
      <c r="F17" s="168" t="s">
        <v>219</v>
      </c>
      <c r="G17" s="168"/>
      <c r="H17" s="169">
        <f>IF(H16=0,0,$H$9-SUMIFS(операции!$AF:$AF,операции!$T:$T,"&lt;="&amp;$H$9,операции!$X:$X,"")/H16)</f>
        <v>131.23125652184535</v>
      </c>
      <c r="I17" s="177"/>
      <c r="J17" s="169">
        <f>IF(J16=0,0,J$9-(SUMIFS(операции!$AF:$AF,операции!$T:$T,"&lt;="&amp;J$9,операции!$X:$X,"")+SUMIFS(операции!$AF:$AF,операции!$T:$T,"&lt;="&amp;J$9,операции!$X:$X,"&gt;"&amp;J$9))/J16)</f>
        <v>98.515001715146354</v>
      </c>
      <c r="K17" s="169">
        <f>IF(K16=0,0,K$9-(SUMIFS(операции!$AF:$AF,операции!$T:$T,"&lt;="&amp;K$9,операции!$X:$X,"")+SUMIFS(операции!$AF:$AF,операции!$T:$T,"&lt;="&amp;K$9,операции!$X:$X,"&gt;"&amp;K$9))/K16)</f>
        <v>67.352078153366165</v>
      </c>
      <c r="L17" s="169">
        <f>IF(L16=0,0,L$9-(SUMIFS(операции!$AF:$AF,операции!$T:$T,"&lt;="&amp;L$9,операции!$X:$X,"")+SUMIFS(операции!$AF:$AF,операции!$T:$T,"&lt;="&amp;L$9,операции!$X:$X,"&gt;"&amp;L$9))/L16)</f>
        <v>131.23125652184535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93" customFormat="1" ht="15.75" thickBot="1">
      <c r="A18" s="92"/>
      <c r="B18" s="92"/>
      <c r="C18" s="92"/>
      <c r="D18" s="164" t="s">
        <v>237</v>
      </c>
      <c r="E18" s="164" t="s">
        <v>214</v>
      </c>
      <c r="F18" s="164" t="s">
        <v>219</v>
      </c>
      <c r="G18" s="164"/>
      <c r="H18" s="165">
        <f>IF(H11=0,H17,(SUMIFS(операции!$AG:$AG,операции!$X:$X,"&gt;="&amp;$H$8,операции!$X:$X,"&lt;="&amp;$H$9)+$H$9*H16)/(H11+H16)-(SUMIFS(операции!$AF:$AF,операции!$X:$X,"&gt;="&amp;$H$8,операции!$X:$X,"&lt;="&amp;$H$9)+SUMIFS(операции!$AF:$AF,операции!$T:$T,"&lt;="&amp;$H$9,операции!$X:$X,""))/(H12+H16))</f>
        <v>62.28391637349705</v>
      </c>
      <c r="I18" s="179"/>
      <c r="J18" s="165">
        <f>IF(J11=0,J17,(SUMIFS(операции!$AG:$AG,операции!$X:$X,"&gt;="&amp;J$8,операции!$X:$X,"&lt;="&amp;J$9)+J$9*J16)/(J11+J16)-(SUMIFS(операции!$AF:$AF,операции!$X:$X,"&gt;="&amp;J$8,операции!$X:$X,"&lt;="&amp;J$9)+SUMIFS(операции!$AF:$AF,операции!$T:$T,"&lt;="&amp;J$9,операции!$X:$X,"")+SUMIFS(операции!$AF:$AF,операции!$T:$T,"&lt;="&amp;J$9,операции!$X:$X,"&gt;"&amp;J$9))/(J12+J16))</f>
        <v>88.715862287805066</v>
      </c>
      <c r="K18" s="165">
        <f>IF(K11=0,K17,(SUMIFS(операции!$AG:$AG,операции!$X:$X,"&gt;="&amp;K$8,операции!$X:$X,"&lt;="&amp;K$9)+K$9*K16)/(K11+K16)-(SUMIFS(операции!$AF:$AF,операции!$X:$X,"&gt;="&amp;K$8,операции!$X:$X,"&lt;="&amp;K$9)+SUMIFS(операции!$AF:$AF,операции!$T:$T,"&lt;="&amp;K$9,операции!$X:$X,"")+SUMIFS(операции!$AF:$AF,операции!$T:$T,"&lt;="&amp;K$9,операции!$X:$X,"&gt;"&amp;K$9))/(K12+K16))</f>
        <v>57.390128011633351</v>
      </c>
      <c r="L18" s="165">
        <f>IF(L11=0,L17,(SUMIFS(операции!$AG:$AG,операции!$X:$X,"&gt;="&amp;L$8,операции!$X:$X,"&lt;="&amp;L$9)+L$9*L16)/(L11+L16)-(SUMIFS(операции!$AF:$AF,операции!$X:$X,"&gt;="&amp;L$8,операции!$X:$X,"&lt;="&amp;L$9)+SUMIFS(операции!$AF:$AF,операции!$T:$T,"&lt;="&amp;L$9,операции!$X:$X,"")+SUMIFS(операции!$AF:$AF,операции!$T:$T,"&lt;="&amp;L$9,операции!$X:$X,"&gt;"&amp;L$9))/(L12+L16))</f>
        <v>73.473882944512297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</row>
    <row r="19" spans="1:27" ht="13.5" thickTop="1">
      <c r="A19" s="12"/>
      <c r="B19" s="12"/>
      <c r="C19" s="12"/>
      <c r="D19" s="91"/>
      <c r="E19" s="91"/>
      <c r="F19" s="91"/>
      <c r="G19" s="91"/>
      <c r="H19" s="101"/>
      <c r="I19" s="180"/>
      <c r="J19" s="91"/>
      <c r="K19" s="91"/>
      <c r="L19" s="9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>
      <c r="A20" s="12"/>
      <c r="B20" s="12"/>
      <c r="C20" s="12"/>
      <c r="D20" s="12" t="s">
        <v>210</v>
      </c>
      <c r="E20" s="12" t="str">
        <f>микс!$H$24</f>
        <v>АвтоКомп</v>
      </c>
      <c r="F20" s="12" t="s">
        <v>217</v>
      </c>
      <c r="G20" s="12"/>
      <c r="H20" s="90">
        <f>SUMIFS(операции!$Z:$Z,операции!$X:$X,"&gt;="&amp;H$8,операции!$X:$X,"&lt;="&amp;H$9,операции!$O:$O,$E20)</f>
        <v>9690</v>
      </c>
      <c r="I20" s="108"/>
      <c r="J20" s="53">
        <f>SUMIFS(операции!$Z:$Z,операции!$X:$X,"&gt;="&amp;J$8,операции!$X:$X,"&lt;="&amp;J$9,операции!$O:$O,$E20)</f>
        <v>6460</v>
      </c>
      <c r="K20" s="53">
        <f>SUMIFS(операции!$Z:$Z,операции!$X:$X,"&gt;="&amp;K$8,операции!$X:$X,"&lt;="&amp;K$9,операции!$O:$O,$E20)</f>
        <v>3230</v>
      </c>
      <c r="L20" s="53">
        <f>SUMIFS(операции!$Z:$Z,операции!$X:$X,"&gt;="&amp;L$8,операции!$X:$X,"&lt;="&amp;L$9,операции!$O:$O,$E20)</f>
        <v>0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>
      <c r="A21" s="12"/>
      <c r="B21" s="12"/>
      <c r="C21" s="12"/>
      <c r="D21" s="12" t="s">
        <v>211</v>
      </c>
      <c r="E21" s="12" t="str">
        <f>E20</f>
        <v>АвтоКомп</v>
      </c>
      <c r="F21" s="12" t="s">
        <v>217</v>
      </c>
      <c r="G21" s="12"/>
      <c r="H21" s="90">
        <f>SUMIFS(операции!$V:$V,операции!$X:$X,"&gt;="&amp;H$8,операции!$X:$X,"&lt;="&amp;H$9,операции!$O:$O,$E21)</f>
        <v>15300</v>
      </c>
      <c r="I21" s="108"/>
      <c r="J21" s="53">
        <f>SUMIFS(операции!$V:$V,операции!$X:$X,"&gt;="&amp;J$8,операции!$X:$X,"&lt;="&amp;J$9,операции!$O:$O,$E21)</f>
        <v>10200</v>
      </c>
      <c r="K21" s="53">
        <f>SUMIFS(операции!$V:$V,операции!$X:$X,"&gt;="&amp;K$8,операции!$X:$X,"&lt;="&amp;K$9,операции!$O:$O,$E21)</f>
        <v>5100</v>
      </c>
      <c r="L21" s="53">
        <f>SUMIFS(операции!$V:$V,операции!$X:$X,"&gt;="&amp;L$8,операции!$X:$X,"&lt;="&amp;L$9,операции!$O:$O,$E21)</f>
        <v>0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>
      <c r="A22" s="12"/>
      <c r="B22" s="12"/>
      <c r="C22" s="12"/>
      <c r="D22" s="12" t="s">
        <v>212</v>
      </c>
      <c r="E22" s="12" t="str">
        <f t="shared" ref="E22:E27" si="4">E21</f>
        <v>АвтоКомп</v>
      </c>
      <c r="F22" s="12" t="s">
        <v>217</v>
      </c>
      <c r="G22" s="12"/>
      <c r="H22" s="90">
        <f>H20-H21</f>
        <v>-5610</v>
      </c>
      <c r="I22" s="108"/>
      <c r="J22" s="53">
        <f>J20-J21</f>
        <v>-3740</v>
      </c>
      <c r="K22" s="53">
        <f t="shared" ref="K22:L22" si="5">K20-K21</f>
        <v>-1870</v>
      </c>
      <c r="L22" s="53">
        <f t="shared" si="5"/>
        <v>0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9" customFormat="1">
      <c r="A23" s="87"/>
      <c r="B23" s="87"/>
      <c r="C23" s="87"/>
      <c r="D23" s="87" t="s">
        <v>213</v>
      </c>
      <c r="E23" s="87" t="str">
        <f t="shared" si="4"/>
        <v>АвтоКомп</v>
      </c>
      <c r="F23" s="87" t="s">
        <v>218</v>
      </c>
      <c r="G23" s="87"/>
      <c r="H23" s="116">
        <f>IF(H20=0,0,H22/H20)</f>
        <v>-0.57894736842105265</v>
      </c>
      <c r="I23" s="117"/>
      <c r="J23" s="118">
        <f>IF(J20=0,0,J22/J20)</f>
        <v>-0.57894736842105265</v>
      </c>
      <c r="K23" s="118">
        <f t="shared" ref="K23:L23" si="6">IF(K20=0,0,K22/K20)</f>
        <v>-0.57894736842105265</v>
      </c>
      <c r="L23" s="118">
        <f t="shared" si="6"/>
        <v>0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s="5" customFormat="1">
      <c r="A24" s="1"/>
      <c r="B24" s="1"/>
      <c r="C24" s="1"/>
      <c r="D24" s="168" t="s">
        <v>220</v>
      </c>
      <c r="E24" s="168" t="str">
        <f t="shared" si="4"/>
        <v>АвтоКомп</v>
      </c>
      <c r="F24" s="168" t="s">
        <v>219</v>
      </c>
      <c r="G24" s="168"/>
      <c r="H24" s="169">
        <f>IF(H20=0,0,SUMIFS(операции!$AG:$AG,операции!$X:$X,"&gt;="&amp;H$8,операции!$X:$X,"&lt;="&amp;H$9,операции!$O:$O,$E24)/H20-SUMIFS(операции!$AF:$AF,операции!$X:$X,"&gt;="&amp;H$8,операции!$X:$X,"&lt;="&amp;H$9,операции!$O:$O,$E24)/H21)</f>
        <v>161</v>
      </c>
      <c r="I24" s="177"/>
      <c r="J24" s="169">
        <f>IF(J20=0,0,SUMIFS(операции!$AG:$AG,операции!$X:$X,"&gt;="&amp;J$8,операции!$X:$X,"&lt;="&amp;J$9,операции!$O:$O,$E24)/J20-SUMIFS(операции!$AF:$AF,операции!$X:$X,"&gt;="&amp;J$8,операции!$X:$X,"&lt;="&amp;J$9,операции!$O:$O,$E24)/J21)</f>
        <v>152.5</v>
      </c>
      <c r="K24" s="169">
        <f>IF(K20=0,0,SUMIFS(операции!$AG:$AG,операции!$X:$X,"&gt;="&amp;K$8,операции!$X:$X,"&lt;="&amp;K$9,операции!$O:$O,$E24)/K20-SUMIFS(операции!$AF:$AF,операции!$X:$X,"&gt;="&amp;K$8,операции!$X:$X,"&lt;="&amp;K$9,операции!$O:$O,$E24)/K21)</f>
        <v>178</v>
      </c>
      <c r="L24" s="169">
        <f>IF(L20=0,0,SUMIFS(операции!$AG:$AG,операции!$X:$X,"&gt;="&amp;L$8,операции!$X:$X,"&lt;="&amp;L$9,операции!$O:$O,$E24)/L20-SUMIFS(операции!$AF:$AF,операции!$X:$X,"&gt;="&amp;L$8,операции!$X:$X,"&lt;="&amp;L$9,операции!$O:$O,$E24)/L21)</f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12"/>
      <c r="B25" s="12"/>
      <c r="C25" s="12"/>
      <c r="D25" s="131" t="s">
        <v>238</v>
      </c>
      <c r="E25" s="131" t="str">
        <f t="shared" si="4"/>
        <v>АвтоКомп</v>
      </c>
      <c r="F25" s="131" t="s">
        <v>217</v>
      </c>
      <c r="G25" s="131"/>
      <c r="H25" s="166">
        <f>SUMIFS(операции!$V:$V,операции!$T:$T,"&lt;="&amp;$H$9,операции!$X:$X,"",операции!$O:$O,$E25)</f>
        <v>0</v>
      </c>
      <c r="I25" s="178">
        <f>H25-L25</f>
        <v>0</v>
      </c>
      <c r="J25" s="167">
        <f>SUMIFS(операции!$V:$V,операции!$T:$T,"&lt;="&amp;J$9,операции!$X:$X,"",операции!$O:$O,$E25)+SUMIFS(операции!$V:$V,операции!$T:$T,"&lt;="&amp;J$9,операции!$X:$X,"&gt;"&amp;J$9,операции!$O:$O,$E25)</f>
        <v>5100</v>
      </c>
      <c r="K25" s="167">
        <f>SUMIFS(операции!$V:$V,операции!$T:$T,"&lt;="&amp;K$9,операции!$X:$X,"",операции!$O:$O,$E25)+SUMIFS(операции!$V:$V,операции!$T:$T,"&lt;="&amp;K$9,операции!$X:$X,"&gt;"&amp;K$9,операции!$O:$O,$E25)</f>
        <v>0</v>
      </c>
      <c r="L25" s="167">
        <f>SUMIFS(операции!$V:$V,операции!$T:$T,"&lt;="&amp;L$9,операции!$X:$X,"",операции!$O:$O,$E25)+SUMIFS(операции!$V:$V,операции!$T:$T,"&lt;="&amp;L$9,операции!$X:$X,"&gt;"&amp;L$9,операции!$O:$O,$E25)</f>
        <v>0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5" customFormat="1">
      <c r="A26" s="1"/>
      <c r="B26" s="1"/>
      <c r="C26" s="1"/>
      <c r="D26" s="168" t="s">
        <v>239</v>
      </c>
      <c r="E26" s="168" t="str">
        <f t="shared" si="4"/>
        <v>АвтоКомп</v>
      </c>
      <c r="F26" s="168" t="s">
        <v>219</v>
      </c>
      <c r="G26" s="168"/>
      <c r="H26" s="169">
        <f>IF(H25=0,0,$H$9-SUMIFS(операции!$AF:$AF,операции!$T:$T,"&lt;="&amp;$H$9,операции!$X:$X,"",операции!$O:$O,$E26)/H25)</f>
        <v>0</v>
      </c>
      <c r="I26" s="177">
        <f>H26-L26</f>
        <v>0</v>
      </c>
      <c r="J26" s="169">
        <f>IF(J25=0,0,J$9-(SUMIFS(операции!$AF:$AF,операции!$T:$T,"&lt;="&amp;J$9,операции!$X:$X,"",операции!$O:$O,$E26)+SUMIFS(операции!$AF:$AF,операции!$T:$T,"&lt;="&amp;J$9,операции!$X:$X,"&gt;"&amp;J$9,операции!$O:$O,$E26))/J25)</f>
        <v>157</v>
      </c>
      <c r="K26" s="169">
        <f>IF(K25=0,0,K$9-(SUMIFS(операции!$AF:$AF,операции!$T:$T,"&lt;="&amp;K$9,операции!$X:$X,"",операции!$O:$O,$E26)+SUMIFS(операции!$AF:$AF,операции!$T:$T,"&lt;="&amp;K$9,операции!$X:$X,"&gt;"&amp;K$9,операции!$O:$O,$E26))/K25)</f>
        <v>0</v>
      </c>
      <c r="L26" s="169">
        <f>IF(L25=0,0,L$9-(SUMIFS(операции!$AF:$AF,операции!$T:$T,"&lt;="&amp;L$9,операции!$X:$X,"",операции!$O:$O,$E26)+SUMIFS(операции!$AF:$AF,операции!$T:$T,"&lt;="&amp;L$9,операции!$X:$X,"&gt;"&amp;L$9,операции!$O:$O,$E26))/L25)</f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93" customFormat="1" ht="15">
      <c r="A27" s="92"/>
      <c r="B27" s="92"/>
      <c r="C27" s="92"/>
      <c r="D27" s="98" t="s">
        <v>237</v>
      </c>
      <c r="E27" s="120" t="str">
        <f t="shared" si="4"/>
        <v>АвтоКомп</v>
      </c>
      <c r="F27" s="98" t="s">
        <v>219</v>
      </c>
      <c r="G27" s="98"/>
      <c r="H27" s="99">
        <f>IF(H20=0,H26,(SUMIFS(операции!$AG:$AG,операции!$X:$X,"&gt;="&amp;$H$8,операции!$X:$X,"&lt;="&amp;$H$9,операции!$O:$O,$E27)+$H$9*H25)/(H20+H25)-(SUMIFS(операции!$AF:$AF,операции!$X:$X,"&gt;="&amp;$H$8,операции!$X:$X,"&lt;="&amp;$H$9,операции!$O:$O,$E27)+SUMIFS(операции!$AF:$AF,операции!$T:$T,"&lt;="&amp;$H$9,операции!$X:$X,"",операции!$O:$O,$E27))/(H21+H25))</f>
        <v>161</v>
      </c>
      <c r="I27" s="175"/>
      <c r="J27" s="99">
        <f>IF(J20=0,J26,(SUMIFS(операции!$AG:$AG,операции!$X:$X,"&gt;="&amp;J$8,операции!$X:$X,"&lt;="&amp;J$9,операции!$O:$O,$E27)+J$9*J25)/(J20+J25)-(SUMIFS(операции!$AF:$AF,операции!$X:$X,"&gt;="&amp;J$8,операции!$X:$X,"&lt;="&amp;J$9,операции!$O:$O,$E27)+SUMIFS(операции!$AF:$AF,операции!$T:$T,"&lt;="&amp;J$9,операции!$X:$X,"",операции!$O:$O,$E27)+SUMIFS(операции!$AF:$AF,операции!$T:$T,"&lt;="&amp;J$9,операции!$X:$X,"&gt;"&amp;J$9,операции!$O:$O,$E27))/(J21+J25))</f>
        <v>155.07843137254531</v>
      </c>
      <c r="K27" s="99">
        <f>IF(K20=0,K26,(SUMIFS(операции!$AG:$AG,операции!$X:$X,"&gt;="&amp;K$8,операции!$X:$X,"&lt;="&amp;K$9,операции!$O:$O,$E27)+K$9*K25)/(K20+K25)-(SUMIFS(операции!$AF:$AF,операции!$X:$X,"&gt;="&amp;K$8,операции!$X:$X,"&lt;="&amp;K$9,операции!$O:$O,$E27)+SUMIFS(операции!$AF:$AF,операции!$T:$T,"&lt;="&amp;K$9,операции!$X:$X,"",операции!$O:$O,$E27)+SUMIFS(операции!$AF:$AF,операции!$T:$T,"&lt;="&amp;K$9,операции!$X:$X,"&gt;"&amp;K$9,операции!$O:$O,$E27))/(K21+K25))</f>
        <v>178</v>
      </c>
      <c r="L27" s="99">
        <f>IF(L20=0,L26,(SUMIFS(операции!$AG:$AG,операции!$X:$X,"&gt;="&amp;L$8,операции!$X:$X,"&lt;="&amp;L$9,операции!$O:$O,$E27)+L$9*L25)/(L20+L25)-(SUMIFS(операции!$AF:$AF,операции!$X:$X,"&gt;="&amp;L$8,операции!$X:$X,"&lt;="&amp;L$9,операции!$O:$O,$E27)+SUMIFS(операции!$AF:$AF,операции!$T:$T,"&lt;="&amp;L$9,операции!$X:$X,"",операции!$O:$O,$E27)+SUMIFS(операции!$AF:$AF,операции!$T:$T,"&lt;="&amp;L$9,операции!$X:$X,"&gt;"&amp;L$9,операции!$O:$O,$E27))/(L21+L25))</f>
        <v>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>
      <c r="A28" s="12"/>
      <c r="B28" s="12"/>
      <c r="C28" s="12"/>
      <c r="D28" s="97"/>
      <c r="E28" s="97"/>
      <c r="F28" s="97"/>
      <c r="G28" s="97"/>
      <c r="H28" s="100"/>
      <c r="I28" s="109"/>
      <c r="J28" s="97"/>
      <c r="K28" s="97"/>
      <c r="L28" s="9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>
      <c r="A29" s="12"/>
      <c r="B29" s="12"/>
      <c r="C29" s="12"/>
      <c r="D29" s="12" t="s">
        <v>210</v>
      </c>
      <c r="E29" s="12" t="str">
        <f>микс!$H$25</f>
        <v>ВалентаСпорт</v>
      </c>
      <c r="F29" s="12" t="s">
        <v>217</v>
      </c>
      <c r="G29" s="12"/>
      <c r="H29" s="90">
        <f>SUMIFS(операции!$Z:$Z,операции!$X:$X,"&gt;="&amp;H$8,операции!$X:$X,"&lt;="&amp;H$9,операции!$O:$O,$E29)</f>
        <v>76300</v>
      </c>
      <c r="I29" s="108"/>
      <c r="J29" s="53">
        <f>SUMIFS(операции!$Z:$Z,операции!$X:$X,"&gt;="&amp;J$8,операции!$X:$X,"&lt;="&amp;J$9,операции!$O:$O,$E29)</f>
        <v>18679</v>
      </c>
      <c r="K29" s="53">
        <f>SUMIFS(операции!$Z:$Z,операции!$X:$X,"&gt;="&amp;K$8,операции!$X:$X,"&lt;="&amp;K$9,операции!$O:$O,$E29)</f>
        <v>40496</v>
      </c>
      <c r="L29" s="53">
        <f>SUMIFS(операции!$Z:$Z,операции!$X:$X,"&gt;="&amp;L$8,операции!$X:$X,"&lt;="&amp;L$9,операции!$O:$O,$E29)</f>
        <v>17125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>
      <c r="A30" s="12"/>
      <c r="B30" s="12"/>
      <c r="C30" s="12"/>
      <c r="D30" s="12" t="s">
        <v>211</v>
      </c>
      <c r="E30" s="12" t="str">
        <f>E29</f>
        <v>ВалентаСпорт</v>
      </c>
      <c r="F30" s="12" t="s">
        <v>217</v>
      </c>
      <c r="G30" s="12"/>
      <c r="H30" s="90">
        <f>SUMIFS(операции!$V:$V,операции!$X:$X,"&gt;="&amp;H$8,операции!$X:$X,"&lt;="&amp;H$9,операции!$O:$O,$E30)</f>
        <v>66924.840000000011</v>
      </c>
      <c r="I30" s="108"/>
      <c r="J30" s="53">
        <f>SUMIFS(операции!$V:$V,операции!$X:$X,"&gt;="&amp;J$8,операции!$X:$X,"&lt;="&amp;J$9,операции!$O:$O,$E30)</f>
        <v>17748.240000000005</v>
      </c>
      <c r="K30" s="53">
        <f>SUMIFS(операции!$V:$V,операции!$X:$X,"&gt;="&amp;K$8,операции!$X:$X,"&lt;="&amp;K$9,операции!$O:$O,$E30)</f>
        <v>33318.600000000006</v>
      </c>
      <c r="L30" s="53">
        <f>SUMIFS(операции!$V:$V,операции!$X:$X,"&gt;="&amp;L$8,операции!$X:$X,"&lt;="&amp;L$9,операции!$O:$O,$E30)</f>
        <v>15858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>
      <c r="A31" s="12"/>
      <c r="B31" s="12"/>
      <c r="C31" s="12"/>
      <c r="D31" s="12" t="s">
        <v>212</v>
      </c>
      <c r="E31" s="12" t="str">
        <f t="shared" ref="E31:E36" si="7">E30</f>
        <v>ВалентаСпорт</v>
      </c>
      <c r="F31" s="12" t="s">
        <v>217</v>
      </c>
      <c r="G31" s="12"/>
      <c r="H31" s="90">
        <f>H29-H30</f>
        <v>9375.1599999999889</v>
      </c>
      <c r="I31" s="108"/>
      <c r="J31" s="53">
        <f>J29-J30</f>
        <v>930.75999999999476</v>
      </c>
      <c r="K31" s="53">
        <f t="shared" ref="K31:L31" si="8">K29-K30</f>
        <v>7177.3999999999942</v>
      </c>
      <c r="L31" s="53">
        <f t="shared" si="8"/>
        <v>1267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119" customFormat="1">
      <c r="A32" s="87"/>
      <c r="B32" s="87"/>
      <c r="C32" s="87"/>
      <c r="D32" s="87" t="s">
        <v>213</v>
      </c>
      <c r="E32" s="87" t="str">
        <f t="shared" si="7"/>
        <v>ВалентаСпорт</v>
      </c>
      <c r="F32" s="87" t="s">
        <v>218</v>
      </c>
      <c r="G32" s="87"/>
      <c r="H32" s="116">
        <f>IF(H29=0,0,H31/H29)</f>
        <v>0.12287234600262109</v>
      </c>
      <c r="I32" s="117"/>
      <c r="J32" s="118">
        <f>IF(J29=0,0,J31/J29)</f>
        <v>4.9829219979656017E-2</v>
      </c>
      <c r="K32" s="118">
        <f t="shared" ref="K32:L32" si="9">IF(K29=0,0,K31/K29)</f>
        <v>0.17723725800079007</v>
      </c>
      <c r="L32" s="118">
        <f t="shared" si="9"/>
        <v>7.3985401459854008E-2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5" customFormat="1">
      <c r="A33" s="1"/>
      <c r="B33" s="1"/>
      <c r="C33" s="1"/>
      <c r="D33" s="168" t="s">
        <v>220</v>
      </c>
      <c r="E33" s="168" t="str">
        <f t="shared" si="7"/>
        <v>ВалентаСпорт</v>
      </c>
      <c r="F33" s="168" t="s">
        <v>219</v>
      </c>
      <c r="G33" s="168"/>
      <c r="H33" s="169">
        <f>IF(H29=0,0,SUMIFS(операции!$AG:$AG,операции!$X:$X,"&gt;="&amp;H$8,операции!$X:$X,"&lt;="&amp;H$9,операции!$O:$O,$E33)/H29-SUMIFS(операции!$AF:$AF,операции!$X:$X,"&gt;="&amp;H$8,операции!$X:$X,"&lt;="&amp;H$9,операции!$O:$O,$E33)/H30)</f>
        <v>19.687220935840742</v>
      </c>
      <c r="I33" s="177"/>
      <c r="J33" s="169">
        <f>IF(J29=0,0,SUMIFS(операции!$AG:$AG,операции!$X:$X,"&gt;="&amp;J$8,операции!$X:$X,"&lt;="&amp;J$9,операции!$O:$O,$E33)/J29-SUMIFS(операции!$AF:$AF,операции!$X:$X,"&gt;="&amp;J$8,операции!$X:$X,"&lt;="&amp;J$9,операции!$O:$O,$E33)/J30)</f>
        <v>36.438290014935774</v>
      </c>
      <c r="K33" s="169">
        <f>IF(K29=0,0,SUMIFS(операции!$AG:$AG,операции!$X:$X,"&gt;="&amp;K$8,операции!$X:$X,"&lt;="&amp;K$9,операции!$O:$O,$E33)/K29-SUMIFS(операции!$AF:$AF,операции!$X:$X,"&gt;="&amp;K$8,операции!$X:$X,"&lt;="&amp;K$9,операции!$O:$O,$E33)/K30)</f>
        <v>16.647595543756324</v>
      </c>
      <c r="L33" s="169">
        <f>IF(L29=0,0,SUMIFS(операции!$AG:$AG,операции!$X:$X,"&gt;="&amp;L$8,операции!$X:$X,"&lt;="&amp;L$9,операции!$O:$O,$E33)/L29-SUMIFS(операции!$AF:$AF,операции!$X:$X,"&gt;="&amp;L$8,операции!$X:$X,"&lt;="&amp;L$9,операции!$O:$O,$E33)/L30)</f>
        <v>7.2737559342785971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>
      <c r="A34" s="12"/>
      <c r="B34" s="12"/>
      <c r="C34" s="12"/>
      <c r="D34" s="131" t="s">
        <v>238</v>
      </c>
      <c r="E34" s="131" t="str">
        <f t="shared" si="7"/>
        <v>ВалентаСпорт</v>
      </c>
      <c r="F34" s="131" t="s">
        <v>217</v>
      </c>
      <c r="G34" s="131"/>
      <c r="H34" s="166">
        <f>SUMIFS(операции!$V:$V,операции!$T:$T,"&lt;="&amp;$H$9,операции!$X:$X,"",операции!$O:$O,$E34)</f>
        <v>15876.64</v>
      </c>
      <c r="I34" s="178">
        <f>H34-L34</f>
        <v>0</v>
      </c>
      <c r="J34" s="167">
        <f>SUMIFS(операции!$V:$V,операции!$T:$T,"&lt;="&amp;J$9,операции!$X:$X,"",операции!$O:$O,$E34)+SUMIFS(операции!$V:$V,операции!$T:$T,"&lt;="&amp;J$9,операции!$X:$X,"&gt;"&amp;J$9,операции!$O:$O,$E34)</f>
        <v>18498.079999999998</v>
      </c>
      <c r="K34" s="167">
        <f>SUMIFS(операции!$V:$V,операции!$T:$T,"&lt;="&amp;K$9,операции!$X:$X,"",операции!$O:$O,$E34)+SUMIFS(операции!$V:$V,операции!$T:$T,"&lt;="&amp;K$9,операции!$X:$X,"&gt;"&amp;K$9,операции!$O:$O,$E34)</f>
        <v>20732.64</v>
      </c>
      <c r="L34" s="167">
        <f>SUMIFS(операции!$V:$V,операции!$T:$T,"&lt;="&amp;L$9,операции!$X:$X,"",операции!$O:$O,$E34)+SUMIFS(операции!$V:$V,операции!$T:$T,"&lt;="&amp;L$9,операции!$X:$X,"&gt;"&amp;L$9,операции!$O:$O,$E34)</f>
        <v>15876.64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5" customFormat="1">
      <c r="A35" s="1"/>
      <c r="B35" s="1"/>
      <c r="C35" s="1"/>
      <c r="D35" s="168" t="s">
        <v>239</v>
      </c>
      <c r="E35" s="168" t="str">
        <f t="shared" si="7"/>
        <v>ВалентаСпорт</v>
      </c>
      <c r="F35" s="168" t="s">
        <v>219</v>
      </c>
      <c r="G35" s="168"/>
      <c r="H35" s="169">
        <f>IF(H34=0,0,$H$9-SUMIFS(операции!$AF:$AF,операции!$T:$T,"&lt;="&amp;$H$9,операции!$X:$X,"",операции!$O:$O,$E35)/H34)</f>
        <v>69.822146247570345</v>
      </c>
      <c r="I35" s="177">
        <f>H35-L35</f>
        <v>0</v>
      </c>
      <c r="J35" s="169">
        <f>IF(J34=0,0,J$9-(SUMIFS(операции!$AF:$AF,операции!$T:$T,"&lt;="&amp;J$9,операции!$X:$X,"",операции!$O:$O,$E35)+SUMIFS(операции!$AF:$AF,операции!$T:$T,"&lt;="&amp;J$9,операции!$X:$X,"&gt;"&amp;J$9,операции!$O:$O,$E35))/J34)</f>
        <v>52.189453175677045</v>
      </c>
      <c r="K35" s="169">
        <f>IF(K34=0,0,K$9-(SUMIFS(операции!$AF:$AF,операции!$T:$T,"&lt;="&amp;K$9,операции!$X:$X,"",операции!$O:$O,$E35)+SUMIFS(операции!$AF:$AF,операции!$T:$T,"&lt;="&amp;K$9,операции!$X:$X,"&gt;"&amp;K$9,операции!$O:$O,$E35))/K34)</f>
        <v>40.322179905699159</v>
      </c>
      <c r="L35" s="169">
        <f>IF(L34=0,0,L$9-(SUMIFS(операции!$AF:$AF,операции!$T:$T,"&lt;="&amp;L$9,операции!$X:$X,"",операции!$O:$O,$E35)+SUMIFS(операции!$AF:$AF,операции!$T:$T,"&lt;="&amp;L$9,операции!$X:$X,"&gt;"&amp;L$9,операции!$O:$O,$E35))/L34)</f>
        <v>69.822146247570345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93" customFormat="1" ht="15">
      <c r="A36" s="92"/>
      <c r="B36" s="92"/>
      <c r="C36" s="92"/>
      <c r="D36" s="98" t="s">
        <v>237</v>
      </c>
      <c r="E36" s="120" t="str">
        <f t="shared" si="7"/>
        <v>ВалентаСпорт</v>
      </c>
      <c r="F36" s="98" t="s">
        <v>219</v>
      </c>
      <c r="G36" s="98"/>
      <c r="H36" s="99">
        <f>IF(H29=0,H35,(SUMIFS(операции!$AG:$AG,операции!$X:$X,"&gt;="&amp;$H$8,операции!$X:$X,"&lt;="&amp;$H$9,операции!$O:$O,$E36)+$H$9*H34)/(H29+H34)-(SUMIFS(операции!$AF:$AF,операции!$X:$X,"&gt;="&amp;$H$8,операции!$X:$X,"&lt;="&amp;$H$9,операции!$O:$O,$E36)+SUMIFS(операции!$AF:$AF,операции!$T:$T,"&lt;="&amp;$H$9,операции!$X:$X,"",операции!$O:$O,$E36))/(H30+H34))</f>
        <v>28.373684483587567</v>
      </c>
      <c r="I36" s="175"/>
      <c r="J36" s="99">
        <f>IF(J29=0,J35,(SUMIFS(операции!$AG:$AG,операции!$X:$X,"&gt;="&amp;J$8,операции!$X:$X,"&lt;="&amp;J$9,операции!$O:$O,$E36)+J$9*J34)/(J29+J34)-(SUMIFS(операции!$AF:$AF,операции!$X:$X,"&gt;="&amp;J$8,операции!$X:$X,"&lt;="&amp;J$9,операции!$O:$O,$E36)+SUMIFS(операции!$AF:$AF,операции!$T:$T,"&lt;="&amp;J$9,операции!$X:$X,"",операции!$O:$O,$E36)+SUMIFS(операции!$AF:$AF,операции!$T:$T,"&lt;="&amp;J$9,операции!$X:$X,"&gt;"&amp;J$9,операции!$O:$O,$E36))/(J30+J34))</f>
        <v>44.431682300673856</v>
      </c>
      <c r="K36" s="99">
        <f>IF(K29=0,K35,(SUMIFS(операции!$AG:$AG,операции!$X:$X,"&gt;="&amp;K$8,операции!$X:$X,"&lt;="&amp;K$9,операции!$O:$O,$E36)+K$9*K34)/(K29+K34)-(SUMIFS(операции!$AF:$AF,операции!$X:$X,"&gt;="&amp;K$8,операции!$X:$X,"&lt;="&amp;K$9,операции!$O:$O,$E36)+SUMIFS(операции!$AF:$AF,операции!$T:$T,"&lt;="&amp;K$9,операции!$X:$X,"",операции!$O:$O,$E36)+SUMIFS(операции!$AF:$AF,операции!$T:$T,"&lt;="&amp;K$9,операции!$X:$X,"&gt;"&amp;K$9,операции!$O:$O,$E36))/(K30+K34))</f>
        <v>24.912415298400447</v>
      </c>
      <c r="L36" s="99">
        <f>IF(L29=0,L35,(SUMIFS(операции!$AG:$AG,операции!$X:$X,"&gt;="&amp;L$8,операции!$X:$X,"&lt;="&amp;L$9,операции!$O:$O,$E36)+L$9*L34)/(L29+L34)-(SUMIFS(операции!$AF:$AF,операции!$X:$X,"&gt;="&amp;L$8,операции!$X:$X,"&lt;="&amp;L$9,операции!$O:$O,$E36)+SUMIFS(операции!$AF:$AF,операции!$T:$T,"&lt;="&amp;L$9,операции!$X:$X,"",операции!$O:$O,$E36)+SUMIFS(операции!$AF:$AF,операции!$T:$T,"&lt;="&amp;L$9,операции!$X:$X,"&gt;"&amp;L$9,операции!$O:$O,$E36))/(L30+L34))</f>
        <v>38.084725158812944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</row>
    <row r="37" spans="1:27">
      <c r="A37" s="12"/>
      <c r="B37" s="12"/>
      <c r="C37" s="12"/>
      <c r="D37" s="97"/>
      <c r="E37" s="97"/>
      <c r="F37" s="97"/>
      <c r="G37" s="97"/>
      <c r="H37" s="100"/>
      <c r="I37" s="109"/>
      <c r="J37" s="97"/>
      <c r="K37" s="97"/>
      <c r="L37" s="9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>
      <c r="A38" s="12"/>
      <c r="B38" s="12"/>
      <c r="C38" s="12"/>
      <c r="D38" s="12" t="s">
        <v>210</v>
      </c>
      <c r="E38" s="12" t="str">
        <f>микс!$H$26</f>
        <v>Вега</v>
      </c>
      <c r="F38" s="12" t="s">
        <v>217</v>
      </c>
      <c r="G38" s="12"/>
      <c r="H38" s="90">
        <f>SUMIFS(операции!$Z:$Z,операции!$X:$X,"&gt;="&amp;H$8,операции!$X:$X,"&lt;="&amp;H$9,операции!$O:$O,$E38)</f>
        <v>71384</v>
      </c>
      <c r="I38" s="108"/>
      <c r="J38" s="53">
        <f>SUMIFS(операции!$Z:$Z,операции!$X:$X,"&gt;="&amp;J$8,операции!$X:$X,"&lt;="&amp;J$9,операции!$O:$O,$E38)</f>
        <v>13367</v>
      </c>
      <c r="K38" s="53">
        <f>SUMIFS(операции!$Z:$Z,операции!$X:$X,"&gt;="&amp;K$8,операции!$X:$X,"&lt;="&amp;K$9,операции!$O:$O,$E38)</f>
        <v>38940</v>
      </c>
      <c r="L38" s="53">
        <f>SUMIFS(операции!$Z:$Z,операции!$X:$X,"&gt;="&amp;L$8,операции!$X:$X,"&lt;="&amp;L$9,операции!$O:$O,$E38)</f>
        <v>19077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>
      <c r="A39" s="12"/>
      <c r="B39" s="12"/>
      <c r="C39" s="12"/>
      <c r="D39" s="12" t="s">
        <v>211</v>
      </c>
      <c r="E39" s="12" t="str">
        <f>E38</f>
        <v>Вега</v>
      </c>
      <c r="F39" s="12" t="s">
        <v>217</v>
      </c>
      <c r="G39" s="12"/>
      <c r="H39" s="90">
        <f>SUMIFS(операции!$V:$V,операции!$X:$X,"&gt;="&amp;H$8,операции!$X:$X,"&lt;="&amp;H$9,операции!$O:$O,$E39)</f>
        <v>57854.350000000013</v>
      </c>
      <c r="I39" s="108"/>
      <c r="J39" s="53">
        <f>SUMIFS(операции!$V:$V,операции!$X:$X,"&gt;="&amp;J$8,операции!$X:$X,"&lt;="&amp;J$9,операции!$O:$O,$E39)</f>
        <v>10394.549999999999</v>
      </c>
      <c r="K39" s="53">
        <f>SUMIFS(операции!$V:$V,операции!$X:$X,"&gt;="&amp;K$8,операции!$X:$X,"&lt;="&amp;K$9,операции!$O:$O,$E39)</f>
        <v>31938.979999999996</v>
      </c>
      <c r="L39" s="53">
        <f>SUMIFS(операции!$V:$V,операции!$X:$X,"&gt;="&amp;L$8,операции!$X:$X,"&lt;="&amp;L$9,операции!$O:$O,$E39)</f>
        <v>15520.820000000002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27">
      <c r="A40" s="12"/>
      <c r="B40" s="12"/>
      <c r="C40" s="12"/>
      <c r="D40" s="12" t="s">
        <v>212</v>
      </c>
      <c r="E40" s="12" t="str">
        <f t="shared" ref="E40:E45" si="10">E39</f>
        <v>Вега</v>
      </c>
      <c r="F40" s="12" t="s">
        <v>217</v>
      </c>
      <c r="G40" s="12"/>
      <c r="H40" s="90">
        <f>H38-H39</f>
        <v>13529.649999999987</v>
      </c>
      <c r="I40" s="108"/>
      <c r="J40" s="53">
        <f>J38-J39</f>
        <v>2972.4500000000007</v>
      </c>
      <c r="K40" s="53">
        <f t="shared" ref="K40:L40" si="11">K38-K39</f>
        <v>7001.0200000000041</v>
      </c>
      <c r="L40" s="53">
        <f t="shared" si="11"/>
        <v>3556.1799999999985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s="119" customFormat="1">
      <c r="A41" s="87"/>
      <c r="B41" s="87"/>
      <c r="C41" s="87"/>
      <c r="D41" s="87" t="s">
        <v>213</v>
      </c>
      <c r="E41" s="87" t="str">
        <f t="shared" si="10"/>
        <v>Вега</v>
      </c>
      <c r="F41" s="87" t="s">
        <v>218</v>
      </c>
      <c r="G41" s="87"/>
      <c r="H41" s="116">
        <f>IF(H38=0,0,H40/H38)</f>
        <v>0.18953336882214483</v>
      </c>
      <c r="I41" s="117"/>
      <c r="J41" s="118">
        <f>IF(J38=0,0,J40/J38)</f>
        <v>0.2223722600433905</v>
      </c>
      <c r="K41" s="118">
        <f t="shared" ref="K41:L41" si="12">IF(K38=0,0,K40/K38)</f>
        <v>0.17978993323061129</v>
      </c>
      <c r="L41" s="118">
        <f t="shared" si="12"/>
        <v>0.18641190962939658</v>
      </c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s="5" customFormat="1">
      <c r="A42" s="1"/>
      <c r="B42" s="1"/>
      <c r="C42" s="1"/>
      <c r="D42" s="168" t="s">
        <v>220</v>
      </c>
      <c r="E42" s="168" t="str">
        <f t="shared" si="10"/>
        <v>Вега</v>
      </c>
      <c r="F42" s="168" t="s">
        <v>219</v>
      </c>
      <c r="G42" s="168"/>
      <c r="H42" s="169">
        <f>IF(H38=0,0,SUMIFS(операции!$AG:$AG,операции!$X:$X,"&gt;="&amp;H$8,операции!$X:$X,"&lt;="&amp;H$9,операции!$O:$O,$E42)/H38-SUMIFS(операции!$AF:$AF,операции!$X:$X,"&gt;="&amp;H$8,операции!$X:$X,"&lt;="&amp;H$9,операции!$O:$O,$E42)/H39)</f>
        <v>35.604552056080138</v>
      </c>
      <c r="I42" s="177"/>
      <c r="J42" s="169">
        <f>IF(J38=0,0,SUMIFS(операции!$AG:$AG,операции!$X:$X,"&gt;="&amp;J$8,операции!$X:$X,"&lt;="&amp;J$9,операции!$O:$O,$E42)/J38-SUMIFS(операции!$AF:$AF,операции!$X:$X,"&gt;="&amp;J$8,операции!$X:$X,"&lt;="&amp;J$9,операции!$O:$O,$E42)/J39)</f>
        <v>10.97650823778531</v>
      </c>
      <c r="K42" s="169">
        <f>IF(K38=0,0,SUMIFS(операции!$AG:$AG,операции!$X:$X,"&gt;="&amp;K$8,операции!$X:$X,"&lt;="&amp;K$9,операции!$O:$O,$E42)/K38-SUMIFS(операции!$AF:$AF,операции!$X:$X,"&gt;="&amp;K$8,операции!$X:$X,"&lt;="&amp;K$9,операции!$O:$O,$E42)/K39)</f>
        <v>41.606631846982054</v>
      </c>
      <c r="L42" s="169">
        <f>IF(L38=0,0,SUMIFS(операции!$AG:$AG,операции!$X:$X,"&gt;="&amp;L$8,операции!$X:$X,"&lt;="&amp;L$9,операции!$O:$O,$E42)/L38-SUMIFS(операции!$AF:$AF,операции!$X:$X,"&gt;="&amp;L$8,операции!$X:$X,"&lt;="&amp;L$9,операции!$O:$O,$E42)/L39)</f>
        <v>40.36173703786335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>
      <c r="A43" s="12"/>
      <c r="B43" s="12"/>
      <c r="C43" s="12"/>
      <c r="D43" s="131" t="s">
        <v>238</v>
      </c>
      <c r="E43" s="131" t="str">
        <f t="shared" si="10"/>
        <v>Вега</v>
      </c>
      <c r="F43" s="131" t="s">
        <v>217</v>
      </c>
      <c r="G43" s="131"/>
      <c r="H43" s="166">
        <f>SUMIFS(операции!$V:$V,операции!$T:$T,"&lt;="&amp;$H$9,операции!$X:$X,"",операции!$O:$O,$E43)</f>
        <v>21668.799999999999</v>
      </c>
      <c r="I43" s="178">
        <f>H43-L43</f>
        <v>0</v>
      </c>
      <c r="J43" s="167">
        <f>SUMIFS(операции!$V:$V,операции!$T:$T,"&lt;="&amp;J$9,операции!$X:$X,"",операции!$O:$O,$E43)+SUMIFS(операции!$V:$V,операции!$T:$T,"&lt;="&amp;J$9,операции!$X:$X,"&gt;"&amp;J$9,операции!$O:$O,$E43)</f>
        <v>19116.79</v>
      </c>
      <c r="K43" s="167">
        <f>SUMIFS(операции!$V:$V,операции!$T:$T,"&lt;="&amp;K$9,операции!$X:$X,"",операции!$O:$O,$E43)+SUMIFS(операции!$V:$V,операции!$T:$T,"&lt;="&amp;K$9,операции!$X:$X,"&gt;"&amp;K$9,операции!$O:$O,$E43)</f>
        <v>23634.13</v>
      </c>
      <c r="L43" s="167">
        <f>SUMIFS(операции!$V:$V,операции!$T:$T,"&lt;="&amp;L$9,операции!$X:$X,"",операции!$O:$O,$E43)+SUMIFS(операции!$V:$V,операции!$T:$T,"&lt;="&amp;L$9,операции!$X:$X,"&gt;"&amp;L$9,операции!$O:$O,$E43)</f>
        <v>21668.799999999999</v>
      </c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27" s="5" customFormat="1">
      <c r="A44" s="1"/>
      <c r="B44" s="1"/>
      <c r="C44" s="1"/>
      <c r="D44" s="168" t="s">
        <v>239</v>
      </c>
      <c r="E44" s="168" t="str">
        <f t="shared" si="10"/>
        <v>Вега</v>
      </c>
      <c r="F44" s="168" t="s">
        <v>219</v>
      </c>
      <c r="G44" s="168"/>
      <c r="H44" s="169">
        <f>IF(H43=0,0,$H$9-SUMIFS(операции!$AF:$AF,операции!$T:$T,"&lt;="&amp;$H$9,операции!$X:$X,"",операции!$O:$O,$E44)/H43)</f>
        <v>103.9364874843086</v>
      </c>
      <c r="I44" s="177">
        <f>H44-L44</f>
        <v>0</v>
      </c>
      <c r="J44" s="169">
        <f>IF(J43=0,0,J$9-(SUMIFS(операции!$AF:$AF,операции!$T:$T,"&lt;="&amp;J$9,операции!$X:$X,"",операции!$O:$O,$E44)+SUMIFS(операции!$AF:$AF,операции!$T:$T,"&lt;="&amp;J$9,операции!$X:$X,"&gt;"&amp;J$9,операции!$O:$O,$E44))/J43)</f>
        <v>169.43198308921274</v>
      </c>
      <c r="K44" s="169">
        <f>IF(K43=0,0,K$9-(SUMIFS(операции!$AF:$AF,операции!$T:$T,"&lt;="&amp;K$9,операции!$X:$X,"",операции!$O:$O,$E44)+SUMIFS(операции!$AF:$AF,операции!$T:$T,"&lt;="&amp;K$9,операции!$X:$X,"&gt;"&amp;K$9,операции!$O:$O,$E44))/K43)</f>
        <v>102.54968132950307</v>
      </c>
      <c r="L44" s="169">
        <f>IF(L43=0,0,L$9-(SUMIFS(операции!$AF:$AF,операции!$T:$T,"&lt;="&amp;L$9,операции!$X:$X,"",операции!$O:$O,$E44)+SUMIFS(операции!$AF:$AF,операции!$T:$T,"&lt;="&amp;L$9,операции!$X:$X,"&gt;"&amp;L$9,операции!$O:$O,$E44))/L43)</f>
        <v>103.9364874843086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s="93" customFormat="1" ht="15">
      <c r="A45" s="92"/>
      <c r="B45" s="92"/>
      <c r="C45" s="92"/>
      <c r="D45" s="98" t="s">
        <v>237</v>
      </c>
      <c r="E45" s="120" t="str">
        <f t="shared" si="10"/>
        <v>Вега</v>
      </c>
      <c r="F45" s="98" t="s">
        <v>219</v>
      </c>
      <c r="G45" s="98"/>
      <c r="H45" s="99">
        <f>IF(H38=0,H44,(SUMIFS(операции!$AG:$AG,операции!$X:$X,"&gt;="&amp;$H$8,операции!$X:$X,"&lt;="&amp;$H$9,операции!$O:$O,$E45)+$H$9*H43)/(H38+H43)-(SUMIFS(операции!$AF:$AF,операции!$X:$X,"&gt;="&amp;$H$8,операции!$X:$X,"&lt;="&amp;$H$9,операции!$O:$O,$E45)+SUMIFS(операции!$AF:$AF,операции!$T:$T,"&lt;="&amp;$H$9,операции!$X:$X,"",операции!$O:$O,$E45))/(H39+H43))</f>
        <v>52.512305264172028</v>
      </c>
      <c r="I45" s="175"/>
      <c r="J45" s="99">
        <f>IF(J38=0,J44,(SUMIFS(операции!$AG:$AG,операции!$X:$X,"&gt;="&amp;J$8,операции!$X:$X,"&lt;="&amp;J$9,операции!$O:$O,$E45)+J$9*J43)/(J38+J43)-(SUMIFS(операции!$AF:$AF,операции!$X:$X,"&gt;="&amp;J$8,операции!$X:$X,"&lt;="&amp;J$9,операции!$O:$O,$E45)+SUMIFS(операции!$AF:$AF,операции!$T:$T,"&lt;="&amp;J$9,операции!$X:$X,"",операции!$O:$O,$E45)+SUMIFS(операции!$AF:$AF,операции!$T:$T,"&lt;="&amp;J$9,операции!$X:$X,"&gt;"&amp;J$9,операции!$O:$O,$E45))/(J39+J43))</f>
        <v>113.47025628190022</v>
      </c>
      <c r="K45" s="99">
        <f>IF(K38=0,K44,(SUMIFS(операции!$AG:$AG,операции!$X:$X,"&gt;="&amp;K$8,операции!$X:$X,"&lt;="&amp;K$9,операции!$O:$O,$E45)+K$9*K43)/(K38+K43)-(SUMIFS(операции!$AF:$AF,операции!$X:$X,"&gt;="&amp;K$8,операции!$X:$X,"&lt;="&amp;K$9,операции!$O:$O,$E45)+SUMIFS(операции!$AF:$AF,операции!$T:$T,"&lt;="&amp;K$9,операции!$X:$X,"",операции!$O:$O,$E45)+SUMIFS(операции!$AF:$AF,операции!$T:$T,"&lt;="&amp;K$9,операции!$X:$X,"&gt;"&amp;K$9,операции!$O:$O,$E45))/(K39+K43))</f>
        <v>66.900587933218048</v>
      </c>
      <c r="L45" s="99">
        <f>IF(L38=0,L44,(SUMIFS(операции!$AG:$AG,операции!$X:$X,"&gt;="&amp;L$8,операции!$X:$X,"&lt;="&amp;L$9,операции!$O:$O,$E45)+L$9*L43)/(L38+L43)-(SUMIFS(операции!$AF:$AF,операции!$X:$X,"&gt;="&amp;L$8,операции!$X:$X,"&lt;="&amp;L$9,операции!$O:$O,$E45)+SUMIFS(операции!$AF:$AF,операции!$T:$T,"&lt;="&amp;L$9,операции!$X:$X,"",операции!$O:$O,$E45)+SUMIFS(операции!$AF:$AF,операции!$T:$T,"&lt;="&amp;L$9,операции!$X:$X,"&gt;"&amp;L$9,операции!$O:$O,$E45))/(L39+L43))</f>
        <v>76.02593042254739</v>
      </c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</row>
    <row r="46" spans="1:27">
      <c r="A46" s="12"/>
      <c r="B46" s="12"/>
      <c r="C46" s="12"/>
      <c r="D46" s="12"/>
      <c r="E46" s="12"/>
      <c r="F46" s="12"/>
      <c r="G46" s="12"/>
      <c r="H46" s="1"/>
      <c r="I46" s="108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>
      <c r="A47" s="12"/>
      <c r="B47" s="12"/>
      <c r="C47" s="12"/>
      <c r="D47" s="12" t="s">
        <v>210</v>
      </c>
      <c r="E47" s="12" t="str">
        <f>микс!$H$27</f>
        <v>Гранта</v>
      </c>
      <c r="F47" s="12" t="s">
        <v>217</v>
      </c>
      <c r="G47" s="12"/>
      <c r="H47" s="90">
        <f>SUMIFS(операции!$Z:$Z,операции!$X:$X,"&gt;="&amp;H$8,операции!$X:$X,"&lt;="&amp;H$9,операции!$O:$O,$E47)</f>
        <v>81665</v>
      </c>
      <c r="I47" s="108"/>
      <c r="J47" s="53">
        <f>SUMIFS(операции!$Z:$Z,операции!$X:$X,"&gt;="&amp;J$8,операции!$X:$X,"&lt;="&amp;J$9,операции!$O:$O,$E47)</f>
        <v>10300</v>
      </c>
      <c r="K47" s="53">
        <f>SUMIFS(операции!$Z:$Z,операции!$X:$X,"&gt;="&amp;K$8,операции!$X:$X,"&lt;="&amp;K$9,операции!$O:$O,$E47)</f>
        <v>39666</v>
      </c>
      <c r="L47" s="53">
        <f>SUMIFS(операции!$Z:$Z,операции!$X:$X,"&gt;="&amp;L$8,операции!$X:$X,"&lt;="&amp;L$9,операции!$O:$O,$E47)</f>
        <v>31699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>
      <c r="A48" s="12"/>
      <c r="B48" s="12"/>
      <c r="C48" s="12"/>
      <c r="D48" s="12" t="s">
        <v>211</v>
      </c>
      <c r="E48" s="12" t="str">
        <f>E47</f>
        <v>Гранта</v>
      </c>
      <c r="F48" s="12" t="s">
        <v>217</v>
      </c>
      <c r="G48" s="12"/>
      <c r="H48" s="90">
        <f>SUMIFS(операции!$V:$V,операции!$X:$X,"&gt;="&amp;H$8,операции!$X:$X,"&lt;="&amp;H$9,операции!$O:$O,$E48)</f>
        <v>77675.61</v>
      </c>
      <c r="I48" s="108"/>
      <c r="J48" s="53">
        <f>SUMIFS(операции!$V:$V,операции!$X:$X,"&gt;="&amp;J$8,операции!$X:$X,"&lt;="&amp;J$9,операции!$O:$O,$E48)</f>
        <v>9975.35</v>
      </c>
      <c r="K48" s="53">
        <f>SUMIFS(операции!$V:$V,операции!$X:$X,"&gt;="&amp;K$8,операции!$X:$X,"&lt;="&amp;K$9,операции!$O:$O,$E48)</f>
        <v>38461.08</v>
      </c>
      <c r="L48" s="53">
        <f>SUMIFS(операции!$V:$V,операции!$X:$X,"&gt;="&amp;L$8,операции!$X:$X,"&lt;="&amp;L$9,операции!$O:$O,$E48)</f>
        <v>29239.18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>
      <c r="A49" s="12"/>
      <c r="B49" s="12"/>
      <c r="C49" s="12"/>
      <c r="D49" s="12" t="s">
        <v>212</v>
      </c>
      <c r="E49" s="12" t="str">
        <f t="shared" ref="E49:E54" si="13">E48</f>
        <v>Гранта</v>
      </c>
      <c r="F49" s="12" t="s">
        <v>217</v>
      </c>
      <c r="G49" s="12"/>
      <c r="H49" s="90">
        <f>H47-H48</f>
        <v>3989.3899999999994</v>
      </c>
      <c r="I49" s="108"/>
      <c r="J49" s="53">
        <f>J47-J48</f>
        <v>324.64999999999964</v>
      </c>
      <c r="K49" s="53">
        <f t="shared" ref="K49:L49" si="14">K47-K48</f>
        <v>1204.9199999999983</v>
      </c>
      <c r="L49" s="53">
        <f t="shared" si="14"/>
        <v>2459.8199999999997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 s="119" customFormat="1">
      <c r="A50" s="87"/>
      <c r="B50" s="87"/>
      <c r="C50" s="87"/>
      <c r="D50" s="87" t="s">
        <v>213</v>
      </c>
      <c r="E50" s="87" t="str">
        <f t="shared" si="13"/>
        <v>Гранта</v>
      </c>
      <c r="F50" s="87" t="s">
        <v>218</v>
      </c>
      <c r="G50" s="87"/>
      <c r="H50" s="116">
        <f>IF(H47=0,0,H49/H47)</f>
        <v>4.8850670421845335E-2</v>
      </c>
      <c r="I50" s="117"/>
      <c r="J50" s="118">
        <f>IF(J47=0,0,J49/J47)</f>
        <v>3.1519417475728118E-2</v>
      </c>
      <c r="K50" s="118">
        <f t="shared" ref="K50:L50" si="15">IF(K47=0,0,K49/K47)</f>
        <v>3.0376644985629968E-2</v>
      </c>
      <c r="L50" s="118">
        <f t="shared" si="15"/>
        <v>7.7599293353102616E-2</v>
      </c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s="5" customFormat="1">
      <c r="A51" s="1"/>
      <c r="B51" s="1"/>
      <c r="C51" s="1"/>
      <c r="D51" s="168" t="s">
        <v>220</v>
      </c>
      <c r="E51" s="168" t="str">
        <f t="shared" si="13"/>
        <v>Гранта</v>
      </c>
      <c r="F51" s="168" t="s">
        <v>219</v>
      </c>
      <c r="G51" s="168"/>
      <c r="H51" s="169">
        <f>IF(H47=0,0,SUMIFS(операции!$AG:$AG,операции!$X:$X,"&gt;="&amp;H$8,операции!$X:$X,"&lt;="&amp;H$9,операции!$O:$O,$E51)/H47-SUMIFS(операции!$AF:$AF,операции!$X:$X,"&gt;="&amp;H$8,операции!$X:$X,"&lt;="&amp;H$9,операции!$O:$O,$E51)/H48)</f>
        <v>65.426797516338411</v>
      </c>
      <c r="I51" s="177"/>
      <c r="J51" s="169">
        <f>IF(J47=0,0,SUMIFS(операции!$AG:$AG,операции!$X:$X,"&gt;="&amp;J$8,операции!$X:$X,"&lt;="&amp;J$9,операции!$O:$O,$E51)/J47-SUMIFS(операции!$AF:$AF,операции!$X:$X,"&gt;="&amp;J$8,операции!$X:$X,"&lt;="&amp;J$9,операции!$O:$O,$E51)/J48)</f>
        <v>102.64336350463418</v>
      </c>
      <c r="K51" s="169">
        <f>IF(K47=0,0,SUMIFS(операции!$AG:$AG,операции!$X:$X,"&gt;="&amp;K$8,операции!$X:$X,"&lt;="&amp;K$9,операции!$O:$O,$E51)/K47-SUMIFS(операции!$AF:$AF,операции!$X:$X,"&gt;="&amp;K$8,операции!$X:$X,"&lt;="&amp;K$9,операции!$O:$O,$E51)/K48)</f>
        <v>99.704359469622432</v>
      </c>
      <c r="L51" s="169">
        <f>IF(L47=0,0,SUMIFS(операции!$AG:$AG,операции!$X:$X,"&gt;="&amp;L$8,операции!$X:$X,"&lt;="&amp;L$9,операции!$O:$O,$E51)/L47-SUMIFS(операции!$AF:$AF,операции!$X:$X,"&gt;="&amp;L$8,операции!$X:$X,"&lt;="&amp;L$9,операции!$O:$O,$E51)/L48)</f>
        <v>6.9575367520810687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>
      <c r="A52" s="12"/>
      <c r="B52" s="12"/>
      <c r="C52" s="12"/>
      <c r="D52" s="131" t="s">
        <v>238</v>
      </c>
      <c r="E52" s="131" t="str">
        <f t="shared" si="13"/>
        <v>Гранта</v>
      </c>
      <c r="F52" s="131" t="s">
        <v>217</v>
      </c>
      <c r="G52" s="131"/>
      <c r="H52" s="166">
        <f>SUMIFS(операции!$V:$V,операции!$T:$T,"&lt;="&amp;$H$9,операции!$X:$X,"",операции!$O:$O,$E52)</f>
        <v>46301.78</v>
      </c>
      <c r="I52" s="178">
        <f>H52-L52</f>
        <v>0</v>
      </c>
      <c r="J52" s="167">
        <f>SUMIFS(операции!$V:$V,операции!$T:$T,"&lt;="&amp;J$9,операции!$X:$X,"",операции!$O:$O,$E52)+SUMIFS(операции!$V:$V,операции!$T:$T,"&lt;="&amp;J$9,операции!$X:$X,"&gt;"&amp;J$9,операции!$O:$O,$E52)</f>
        <v>70773.01999999999</v>
      </c>
      <c r="K52" s="167">
        <f>SUMIFS(операции!$V:$V,операции!$T:$T,"&lt;="&amp;K$9,операции!$X:$X,"",операции!$O:$O,$E52)+SUMIFS(операции!$V:$V,операции!$T:$T,"&lt;="&amp;K$9,операции!$X:$X,"&gt;"&amp;K$9,операции!$O:$O,$E52)</f>
        <v>68156.160000000003</v>
      </c>
      <c r="L52" s="167">
        <f>SUMIFS(операции!$V:$V,операции!$T:$T,"&lt;="&amp;L$9,операции!$X:$X,"",операции!$O:$O,$E52)+SUMIFS(операции!$V:$V,операции!$T:$T,"&lt;="&amp;L$9,операции!$X:$X,"&gt;"&amp;L$9,операции!$O:$O,$E52)</f>
        <v>46301.78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s="5" customFormat="1">
      <c r="A53" s="1"/>
      <c r="B53" s="1"/>
      <c r="C53" s="1"/>
      <c r="D53" s="168" t="s">
        <v>239</v>
      </c>
      <c r="E53" s="168" t="str">
        <f t="shared" si="13"/>
        <v>Гранта</v>
      </c>
      <c r="F53" s="168" t="s">
        <v>219</v>
      </c>
      <c r="G53" s="168"/>
      <c r="H53" s="169">
        <f>IF(H52=0,0,$H$9-SUMIFS(операции!$AF:$AF,операции!$T:$T,"&lt;="&amp;$H$9,операции!$X:$X,"",операции!$O:$O,$E53)/H52)</f>
        <v>141.19241722456354</v>
      </c>
      <c r="I53" s="177">
        <f>H53-L53</f>
        <v>0</v>
      </c>
      <c r="J53" s="169">
        <f>IF(J52=0,0,J$9-(SUMIFS(операции!$AF:$AF,операции!$T:$T,"&lt;="&amp;J$9,операции!$X:$X,"",операции!$O:$O,$E53)+SUMIFS(операции!$AF:$AF,операции!$T:$T,"&lt;="&amp;J$9,операции!$X:$X,"&gt;"&amp;J$9,операции!$O:$O,$E53))/J52)</f>
        <v>103.92039862082311</v>
      </c>
      <c r="K53" s="169">
        <f>IF(K52=0,0,K$9-(SUMIFS(операции!$AF:$AF,операции!$T:$T,"&lt;="&amp;K$9,операции!$X:$X,"",операции!$O:$O,$E53)+SUMIFS(операции!$AF:$AF,операции!$T:$T,"&lt;="&amp;K$9,операции!$X:$X,"&gt;"&amp;K$9,операции!$O:$O,$E53))/K52)</f>
        <v>78.246336354626692</v>
      </c>
      <c r="L53" s="169">
        <f>IF(L52=0,0,L$9-(SUMIFS(операции!$AF:$AF,операции!$T:$T,"&lt;="&amp;L$9,операции!$X:$X,"",операции!$O:$O,$E53)+SUMIFS(операции!$AF:$AF,операции!$T:$T,"&lt;="&amp;L$9,операции!$X:$X,"&gt;"&amp;L$9,операции!$O:$O,$E53))/L52)</f>
        <v>141.19241722456354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s="93" customFormat="1" ht="15">
      <c r="A54" s="92"/>
      <c r="B54" s="92"/>
      <c r="C54" s="92"/>
      <c r="D54" s="98" t="s">
        <v>237</v>
      </c>
      <c r="E54" s="120" t="str">
        <f t="shared" si="13"/>
        <v>Гранта</v>
      </c>
      <c r="F54" s="98" t="s">
        <v>219</v>
      </c>
      <c r="G54" s="98"/>
      <c r="H54" s="99">
        <f>IF(H47=0,H53,(SUMIFS(операции!$AG:$AG,операции!$X:$X,"&gt;="&amp;$H$8,операции!$X:$X,"&lt;="&amp;$H$9,операции!$O:$O,$E54)+$H$9*H52)/(H47+H52)-(SUMIFS(операции!$AF:$AF,операции!$X:$X,"&gt;="&amp;$H$8,операции!$X:$X,"&lt;="&amp;$H$9,операции!$O:$O,$E54)+SUMIFS(операции!$AF:$AF,операции!$T:$T,"&lt;="&amp;$H$9,операции!$X:$X,"",операции!$O:$O,$E54))/(H48+H52))</f>
        <v>93.277841079005157</v>
      </c>
      <c r="I54" s="175"/>
      <c r="J54" s="99">
        <f>IF(J47=0,J53,(SUMIFS(операции!$AG:$AG,операции!$X:$X,"&gt;="&amp;J$8,операции!$X:$X,"&lt;="&amp;J$9,операции!$O:$O,$E54)+J$9*J52)/(J47+J52)-(SUMIFS(операции!$AF:$AF,операции!$X:$X,"&gt;="&amp;J$8,операции!$X:$X,"&lt;="&amp;J$9,операции!$O:$O,$E54)+SUMIFS(операции!$AF:$AF,операции!$T:$T,"&lt;="&amp;J$9,операции!$X:$X,"",операции!$O:$O,$E54)+SUMIFS(операции!$AF:$AF,операции!$T:$T,"&lt;="&amp;J$9,операции!$X:$X,"&gt;"&amp;J$9,операции!$O:$O,$E54))/(J48+J52))</f>
        <v>103.72659124922211</v>
      </c>
      <c r="K54" s="99">
        <f>IF(K47=0,K53,(SUMIFS(операции!$AG:$AG,операции!$X:$X,"&gt;="&amp;K$8,операции!$X:$X,"&lt;="&amp;K$9,операции!$O:$O,$E54)+K$9*K52)/(K47+K52)-(SUMIFS(операции!$AF:$AF,операции!$X:$X,"&gt;="&amp;K$8,операции!$X:$X,"&lt;="&amp;K$9,операции!$O:$O,$E54)+SUMIFS(операции!$AF:$AF,операции!$T:$T,"&lt;="&amp;K$9,операции!$X:$X,"",операции!$O:$O,$E54)+SUMIFS(операции!$AF:$AF,операции!$T:$T,"&lt;="&amp;K$9,операции!$X:$X,"&gt;"&amp;K$9,операции!$O:$O,$E54))/(K48+K52))</f>
        <v>85.919010293408064</v>
      </c>
      <c r="L54" s="99">
        <f>IF(L47=0,L53,(SUMIFS(операции!$AG:$AG,операции!$X:$X,"&gt;="&amp;L$8,операции!$X:$X,"&lt;="&amp;L$9,операции!$O:$O,$E54)+L$9*L52)/(L47+L52)-(SUMIFS(операции!$AF:$AF,операции!$X:$X,"&gt;="&amp;L$8,операции!$X:$X,"&lt;="&amp;L$9,операции!$O:$O,$E54)+SUMIFS(операции!$AF:$AF,операции!$T:$T,"&lt;="&amp;L$9,операции!$X:$X,"",операции!$O:$O,$E54)+SUMIFS(операции!$AF:$AF,операции!$T:$T,"&lt;="&amp;L$9,операции!$X:$X,"&gt;"&amp;L$9,операции!$O:$O,$E54))/(L48+L52))</f>
        <v>88.759166972071398</v>
      </c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</row>
    <row r="55" spans="1:27">
      <c r="A55" s="12"/>
      <c r="B55" s="12"/>
      <c r="C55" s="12"/>
      <c r="D55" s="97"/>
      <c r="E55" s="97"/>
      <c r="F55" s="97"/>
      <c r="G55" s="97"/>
      <c r="H55" s="100"/>
      <c r="I55" s="109"/>
      <c r="J55" s="97"/>
      <c r="K55" s="97"/>
      <c r="L55" s="97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>
      <c r="A56" s="12"/>
      <c r="B56" s="12"/>
      <c r="C56" s="12"/>
      <c r="D56" s="12" t="s">
        <v>210</v>
      </c>
      <c r="E56" s="12" t="str">
        <f>микс!$H$28</f>
        <v>Гуливерт</v>
      </c>
      <c r="F56" s="12" t="s">
        <v>217</v>
      </c>
      <c r="G56" s="12"/>
      <c r="H56" s="90">
        <f>SUMIFS(операции!$Z:$Z,операции!$X:$X,"&gt;="&amp;H$8,операции!$X:$X,"&lt;="&amp;H$9,операции!$O:$O,$E56)</f>
        <v>61671</v>
      </c>
      <c r="I56" s="108"/>
      <c r="J56" s="53">
        <f>SUMIFS(операции!$Z:$Z,операции!$X:$X,"&gt;="&amp;J$8,операции!$X:$X,"&lt;="&amp;J$9,операции!$O:$O,$E56)</f>
        <v>9476</v>
      </c>
      <c r="K56" s="53">
        <f>SUMIFS(операции!$Z:$Z,операции!$X:$X,"&gt;="&amp;K$8,операции!$X:$X,"&lt;="&amp;K$9,операции!$O:$O,$E56)</f>
        <v>39262</v>
      </c>
      <c r="L56" s="53">
        <f>SUMIFS(операции!$Z:$Z,операции!$X:$X,"&gt;="&amp;L$8,операции!$X:$X,"&lt;="&amp;L$9,операции!$O:$O,$E56)</f>
        <v>12933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>
      <c r="A57" s="12"/>
      <c r="B57" s="12"/>
      <c r="C57" s="12"/>
      <c r="D57" s="12" t="s">
        <v>211</v>
      </c>
      <c r="E57" s="12" t="str">
        <f>E56</f>
        <v>Гуливерт</v>
      </c>
      <c r="F57" s="12" t="s">
        <v>217</v>
      </c>
      <c r="G57" s="12"/>
      <c r="H57" s="90">
        <f>SUMIFS(операции!$V:$V,операции!$X:$X,"&gt;="&amp;H$8,операции!$X:$X,"&lt;="&amp;H$9,операции!$O:$O,$E57)</f>
        <v>52983.229999999996</v>
      </c>
      <c r="I57" s="108"/>
      <c r="J57" s="53">
        <f>SUMIFS(операции!$V:$V,операции!$X:$X,"&gt;="&amp;J$8,операции!$X:$X,"&lt;="&amp;J$9,операции!$O:$O,$E57)</f>
        <v>8318.7000000000007</v>
      </c>
      <c r="K57" s="53">
        <f>SUMIFS(операции!$V:$V,операции!$X:$X,"&gt;="&amp;K$8,операции!$X:$X,"&lt;="&amp;K$9,операции!$O:$O,$E57)</f>
        <v>33308.860000000008</v>
      </c>
      <c r="L57" s="53">
        <f>SUMIFS(операции!$V:$V,операции!$X:$X,"&gt;="&amp;L$8,операции!$X:$X,"&lt;="&amp;L$9,операции!$O:$O,$E57)</f>
        <v>11355.67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>
      <c r="A58" s="12"/>
      <c r="B58" s="12"/>
      <c r="C58" s="12"/>
      <c r="D58" s="12" t="s">
        <v>212</v>
      </c>
      <c r="E58" s="12" t="str">
        <f t="shared" ref="E58:E63" si="16">E57</f>
        <v>Гуливерт</v>
      </c>
      <c r="F58" s="12" t="s">
        <v>217</v>
      </c>
      <c r="G58" s="12"/>
      <c r="H58" s="90">
        <f>H56-H57</f>
        <v>8687.7700000000041</v>
      </c>
      <c r="I58" s="108"/>
      <c r="J58" s="53">
        <f>J56-J57</f>
        <v>1157.2999999999993</v>
      </c>
      <c r="K58" s="53">
        <f t="shared" ref="K58:L58" si="17">K56-K57</f>
        <v>5953.1399999999921</v>
      </c>
      <c r="L58" s="53">
        <f t="shared" si="17"/>
        <v>1577.33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s="119" customFormat="1">
      <c r="A59" s="87"/>
      <c r="B59" s="87"/>
      <c r="C59" s="87"/>
      <c r="D59" s="87" t="s">
        <v>213</v>
      </c>
      <c r="E59" s="87" t="str">
        <f t="shared" si="16"/>
        <v>Гуливерт</v>
      </c>
      <c r="F59" s="87" t="s">
        <v>218</v>
      </c>
      <c r="G59" s="87"/>
      <c r="H59" s="116">
        <f>IF(H56=0,0,H58/H56)</f>
        <v>0.14087285758298071</v>
      </c>
      <c r="I59" s="117"/>
      <c r="J59" s="118">
        <f>IF(J56=0,0,J58/J56)</f>
        <v>0.12212959054453348</v>
      </c>
      <c r="K59" s="118">
        <f t="shared" ref="K59:L59" si="18">IF(K56=0,0,K58/K56)</f>
        <v>0.15162599969436075</v>
      </c>
      <c r="L59" s="118">
        <f t="shared" si="18"/>
        <v>0.12196164849609525</v>
      </c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s="5" customFormat="1">
      <c r="A60" s="1"/>
      <c r="B60" s="1"/>
      <c r="C60" s="1"/>
      <c r="D60" s="168" t="s">
        <v>220</v>
      </c>
      <c r="E60" s="168" t="str">
        <f t="shared" si="16"/>
        <v>Гуливерт</v>
      </c>
      <c r="F60" s="168" t="s">
        <v>219</v>
      </c>
      <c r="G60" s="168"/>
      <c r="H60" s="169">
        <f>IF(H56=0,0,SUMIFS(операции!$AG:$AG,операции!$X:$X,"&gt;="&amp;H$8,операции!$X:$X,"&lt;="&amp;H$9,операции!$O:$O,$E60)/H56-SUMIFS(операции!$AF:$AF,операции!$X:$X,"&gt;="&amp;H$8,операции!$X:$X,"&lt;="&amp;H$9,операции!$O:$O,$E60)/H57)</f>
        <v>130.43215359643364</v>
      </c>
      <c r="I60" s="177"/>
      <c r="J60" s="169">
        <f>IF(J56=0,0,SUMIFS(операции!$AG:$AG,операции!$X:$X,"&gt;="&amp;J$8,операции!$X:$X,"&lt;="&amp;J$9,операции!$O:$O,$E60)/J56-SUMIFS(операции!$AF:$AF,операции!$X:$X,"&gt;="&amp;J$8,операции!$X:$X,"&lt;="&amp;J$9,операции!$O:$O,$E60)/J57)</f>
        <v>46.090431588927459</v>
      </c>
      <c r="K60" s="169">
        <f>IF(K56=0,0,SUMIFS(операции!$AG:$AG,операции!$X:$X,"&gt;="&amp;K$8,операции!$X:$X,"&lt;="&amp;K$9,операции!$O:$O,$E60)/K56-SUMIFS(операции!$AF:$AF,операции!$X:$X,"&gt;="&amp;K$8,операции!$X:$X,"&lt;="&amp;K$9,операции!$O:$O,$E60)/K57)</f>
        <v>148.54289245240216</v>
      </c>
      <c r="L60" s="169">
        <f>IF(L56=0,0,SUMIFS(операции!$AG:$AG,операции!$X:$X,"&gt;="&amp;L$8,операции!$X:$X,"&lt;="&amp;L$9,операции!$O:$O,$E60)/L56-SUMIFS(операции!$AF:$AF,операции!$X:$X,"&gt;="&amp;L$8,операции!$X:$X,"&lt;="&amp;L$9,операции!$O:$O,$E60)/L57)</f>
        <v>139.0963815543364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>
      <c r="A61" s="12"/>
      <c r="B61" s="12"/>
      <c r="C61" s="12"/>
      <c r="D61" s="131" t="s">
        <v>238</v>
      </c>
      <c r="E61" s="131" t="str">
        <f t="shared" si="16"/>
        <v>Гуливерт</v>
      </c>
      <c r="F61" s="131" t="s">
        <v>217</v>
      </c>
      <c r="G61" s="131"/>
      <c r="H61" s="166">
        <f>SUMIFS(операции!$V:$V,операции!$T:$T,"&lt;="&amp;$H$9,операции!$X:$X,"",операции!$O:$O,$E61)</f>
        <v>28980.38</v>
      </c>
      <c r="I61" s="178">
        <f>H61-L61</f>
        <v>0</v>
      </c>
      <c r="J61" s="167">
        <f>SUMIFS(операции!$V:$V,операции!$T:$T,"&lt;="&amp;J$9,операции!$X:$X,"",операции!$O:$O,$E61)+SUMIFS(операции!$V:$V,операции!$T:$T,"&lt;="&amp;J$9,операции!$X:$X,"&gt;"&amp;J$9,операции!$O:$O,$E61)</f>
        <v>25804.14</v>
      </c>
      <c r="K61" s="167">
        <f>SUMIFS(операции!$V:$V,операции!$T:$T,"&lt;="&amp;K$9,операции!$X:$X,"",операции!$O:$O,$E61)+SUMIFS(операции!$V:$V,операции!$T:$T,"&lt;="&amp;K$9,операции!$X:$X,"&gt;"&amp;K$9,операции!$O:$O,$E61)</f>
        <v>17819.510000000002</v>
      </c>
      <c r="L61" s="167">
        <f>SUMIFS(операции!$V:$V,операции!$T:$T,"&lt;="&amp;L$9,операции!$X:$X,"",операции!$O:$O,$E61)+SUMIFS(операции!$V:$V,операции!$T:$T,"&lt;="&amp;L$9,операции!$X:$X,"&gt;"&amp;L$9,операции!$O:$O,$E61)</f>
        <v>28980.38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s="5" customFormat="1">
      <c r="A62" s="1"/>
      <c r="B62" s="1"/>
      <c r="C62" s="1"/>
      <c r="D62" s="168" t="s">
        <v>239</v>
      </c>
      <c r="E62" s="168" t="str">
        <f t="shared" si="16"/>
        <v>Гуливерт</v>
      </c>
      <c r="F62" s="168" t="s">
        <v>219</v>
      </c>
      <c r="G62" s="168"/>
      <c r="H62" s="169">
        <f>IF(H61=0,0,$H$9-SUMIFS(операции!$AF:$AF,операции!$T:$T,"&lt;="&amp;$H$9,операции!$X:$X,"",операции!$O:$O,$E62)/H61)</f>
        <v>89.264551396503521</v>
      </c>
      <c r="I62" s="177">
        <f>H62-L62</f>
        <v>0</v>
      </c>
      <c r="J62" s="169">
        <f>IF(J61=0,0,J$9-(SUMIFS(операции!$AF:$AF,операции!$T:$T,"&lt;="&amp;J$9,операции!$X:$X,"",операции!$O:$O,$E62)+SUMIFS(операции!$AF:$AF,операции!$T:$T,"&lt;="&amp;J$9,операции!$X:$X,"&gt;"&amp;J$9,операции!$O:$O,$E62))/J61)</f>
        <v>308.26042991549912</v>
      </c>
      <c r="K62" s="169">
        <f>IF(K61=0,0,K$9-(SUMIFS(операции!$AF:$AF,операции!$T:$T,"&lt;="&amp;K$9,операции!$X:$X,"",операции!$O:$O,$E62)+SUMIFS(операции!$AF:$AF,операции!$T:$T,"&lt;="&amp;K$9,операции!$X:$X,"&gt;"&amp;K$9,операции!$O:$O,$E62))/K61)</f>
        <v>211.49211678660504</v>
      </c>
      <c r="L62" s="169">
        <f>IF(L61=0,0,L$9-(SUMIFS(операции!$AF:$AF,операции!$T:$T,"&lt;="&amp;L$9,операции!$X:$X,"",операции!$O:$O,$E62)+SUMIFS(операции!$AF:$AF,операции!$T:$T,"&lt;="&amp;L$9,операции!$X:$X,"&gt;"&amp;L$9,операции!$O:$O,$E62))/L61)</f>
        <v>89.264551396503521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s="93" customFormat="1" ht="15">
      <c r="A63" s="92"/>
      <c r="B63" s="92"/>
      <c r="C63" s="92"/>
      <c r="D63" s="98" t="s">
        <v>237</v>
      </c>
      <c r="E63" s="120" t="str">
        <f t="shared" si="16"/>
        <v>Гуливерт</v>
      </c>
      <c r="F63" s="98" t="s">
        <v>219</v>
      </c>
      <c r="G63" s="98"/>
      <c r="H63" s="99">
        <f>IF(H56=0,H62,(SUMIFS(операции!$AG:$AG,операции!$X:$X,"&gt;="&amp;$H$8,операции!$X:$X,"&lt;="&amp;$H$9,операции!$O:$O,$E63)+$H$9*H61)/(H56+H61)-(SUMIFS(операции!$AF:$AF,операции!$X:$X,"&gt;="&amp;$H$8,операции!$X:$X,"&lt;="&amp;$H$9,операции!$O:$O,$E63)+SUMIFS(операции!$AF:$AF,операции!$T:$T,"&lt;="&amp;$H$9,операции!$X:$X,"",операции!$O:$O,$E63))/(H57+H61))</f>
        <v>114.46926409719163</v>
      </c>
      <c r="I63" s="175"/>
      <c r="J63" s="99">
        <f>IF(J56=0,J62,(SUMIFS(операции!$AG:$AG,операции!$X:$X,"&gt;="&amp;J$8,операции!$X:$X,"&lt;="&amp;J$9,операции!$O:$O,$E63)+J$9*J61)/(J56+J61)-(SUMIFS(операции!$AF:$AF,операции!$X:$X,"&gt;="&amp;J$8,операции!$X:$X,"&lt;="&amp;J$9,операции!$O:$O,$E63)+SUMIFS(операции!$AF:$AF,операции!$T:$T,"&lt;="&amp;J$9,операции!$X:$X,"",операции!$O:$O,$E63)+SUMIFS(операции!$AF:$AF,операции!$T:$T,"&lt;="&amp;J$9,операции!$X:$X,"&gt;"&amp;J$9,операции!$O:$O,$E63))/(J57+J61))</f>
        <v>244.27981918367732</v>
      </c>
      <c r="K63" s="99">
        <f>IF(K56=0,K62,(SUMIFS(операции!$AG:$AG,операции!$X:$X,"&gt;="&amp;K$8,операции!$X:$X,"&lt;="&amp;K$9,операции!$O:$O,$E63)+K$9*K61)/(K56+K61)-(SUMIFS(операции!$AF:$AF,операции!$X:$X,"&gt;="&amp;K$8,операции!$X:$X,"&lt;="&amp;K$9,операции!$O:$O,$E63)+SUMIFS(операции!$AF:$AF,операции!$T:$T,"&lt;="&amp;K$9,операции!$X:$X,"",операции!$O:$O,$E63)+SUMIFS(операции!$AF:$AF,операции!$T:$T,"&lt;="&amp;K$9,операции!$X:$X,"&gt;"&amp;K$9,операции!$O:$O,$E63))/(K57+K61))</f>
        <v>170.10019786190969</v>
      </c>
      <c r="L63" s="99">
        <f>IF(L56=0,L62,(SUMIFS(операции!$AG:$AG,операции!$X:$X,"&gt;="&amp;L$8,операции!$X:$X,"&lt;="&amp;L$9,операции!$O:$O,$E63)+L$9*L61)/(L56+L61)-(SUMIFS(операции!$AF:$AF,операции!$X:$X,"&gt;="&amp;L$8,операции!$X:$X,"&lt;="&amp;L$9,операции!$O:$O,$E63)+SUMIFS(операции!$AF:$AF,операции!$T:$T,"&lt;="&amp;L$9,операции!$X:$X,"",операции!$O:$O,$E63)+SUMIFS(операции!$AF:$AF,операции!$T:$T,"&lt;="&amp;L$9,операции!$X:$X,"&gt;"&amp;L$9,операции!$O:$O,$E63))/(L57+L61))</f>
        <v>102.6093518672933</v>
      </c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</row>
    <row r="64" spans="1:27">
      <c r="A64" s="12"/>
      <c r="B64" s="12"/>
      <c r="C64" s="12"/>
      <c r="D64" s="12"/>
      <c r="E64" s="12"/>
      <c r="F64" s="12"/>
      <c r="G64" s="12"/>
      <c r="H64" s="1"/>
      <c r="I64" s="108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>
      <c r="A65" s="12"/>
      <c r="B65" s="12"/>
      <c r="C65" s="12"/>
      <c r="D65" s="12" t="s">
        <v>210</v>
      </c>
      <c r="E65" s="12" t="str">
        <f>микс!$H$29</f>
        <v>Детство</v>
      </c>
      <c r="F65" s="12" t="s">
        <v>217</v>
      </c>
      <c r="G65" s="12"/>
      <c r="H65" s="90">
        <f>SUMIFS(операции!$Z:$Z,операции!$X:$X,"&gt;="&amp;H$8,операции!$X:$X,"&lt;="&amp;H$9,операции!$O:$O,$E65)</f>
        <v>1154032</v>
      </c>
      <c r="I65" s="108"/>
      <c r="J65" s="53">
        <f>SUMIFS(операции!$Z:$Z,операции!$X:$X,"&gt;="&amp;J$8,операции!$X:$X,"&lt;="&amp;J$9,операции!$O:$O,$E65)</f>
        <v>329969</v>
      </c>
      <c r="K65" s="53">
        <f>SUMIFS(операции!$Z:$Z,операции!$X:$X,"&gt;="&amp;K$8,операции!$X:$X,"&lt;="&amp;K$9,операции!$O:$O,$E65)</f>
        <v>392803</v>
      </c>
      <c r="L65" s="53">
        <f>SUMIFS(операции!$Z:$Z,операции!$X:$X,"&gt;="&amp;L$8,операции!$X:$X,"&lt;="&amp;L$9,операции!$O:$O,$E65)</f>
        <v>431260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>
      <c r="A66" s="12"/>
      <c r="B66" s="12"/>
      <c r="C66" s="12"/>
      <c r="D66" s="12" t="s">
        <v>211</v>
      </c>
      <c r="E66" s="12" t="str">
        <f>E65</f>
        <v>Детство</v>
      </c>
      <c r="F66" s="12" t="s">
        <v>217</v>
      </c>
      <c r="G66" s="12"/>
      <c r="H66" s="90">
        <f>SUMIFS(операции!$V:$V,операции!$X:$X,"&gt;="&amp;H$8,операции!$X:$X,"&lt;="&amp;H$9,операции!$O:$O,$E66)</f>
        <v>1048368.4699999999</v>
      </c>
      <c r="I66" s="108"/>
      <c r="J66" s="53">
        <f>SUMIFS(операции!$V:$V,операции!$X:$X,"&gt;="&amp;J$8,операции!$X:$X,"&lt;="&amp;J$9,операции!$O:$O,$E66)</f>
        <v>300342.47000000003</v>
      </c>
      <c r="K66" s="53">
        <f>SUMIFS(операции!$V:$V,операции!$X:$X,"&gt;="&amp;K$8,операции!$X:$X,"&lt;="&amp;K$9,операции!$O:$O,$E66)</f>
        <v>343804.02000000025</v>
      </c>
      <c r="L66" s="53">
        <f>SUMIFS(операции!$V:$V,операции!$X:$X,"&gt;="&amp;L$8,операции!$X:$X,"&lt;="&amp;L$9,операции!$O:$O,$E66)</f>
        <v>404221.98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>
      <c r="A67" s="12"/>
      <c r="B67" s="12"/>
      <c r="C67" s="12"/>
      <c r="D67" s="12" t="s">
        <v>212</v>
      </c>
      <c r="E67" s="12" t="str">
        <f t="shared" ref="E67:E72" si="19">E66</f>
        <v>Детство</v>
      </c>
      <c r="F67" s="12" t="s">
        <v>217</v>
      </c>
      <c r="G67" s="12"/>
      <c r="H67" s="90">
        <f>H65-H66</f>
        <v>105663.53000000014</v>
      </c>
      <c r="I67" s="108"/>
      <c r="J67" s="53">
        <f>J65-J66</f>
        <v>29626.52999999997</v>
      </c>
      <c r="K67" s="53">
        <f t="shared" ref="K67:L67" si="20">K65-K66</f>
        <v>48998.979999999749</v>
      </c>
      <c r="L67" s="53">
        <f t="shared" si="20"/>
        <v>27038.020000000019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s="119" customFormat="1">
      <c r="A68" s="87"/>
      <c r="B68" s="87"/>
      <c r="C68" s="87"/>
      <c r="D68" s="87" t="s">
        <v>213</v>
      </c>
      <c r="E68" s="87" t="str">
        <f t="shared" si="19"/>
        <v>Детство</v>
      </c>
      <c r="F68" s="87" t="s">
        <v>218</v>
      </c>
      <c r="G68" s="87"/>
      <c r="H68" s="116">
        <f>IF(H65=0,0,H67/H65)</f>
        <v>9.1560312019077592E-2</v>
      </c>
      <c r="I68" s="117"/>
      <c r="J68" s="118">
        <f>IF(J65=0,0,J67/J65)</f>
        <v>8.9785798059817651E-2</v>
      </c>
      <c r="K68" s="118">
        <f t="shared" ref="K68:L68" si="21">IF(K65=0,0,K67/K65)</f>
        <v>0.1247418680610885</v>
      </c>
      <c r="L68" s="118">
        <f t="shared" si="21"/>
        <v>6.2695404164541155E-2</v>
      </c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s="5" customFormat="1">
      <c r="A69" s="1"/>
      <c r="B69" s="1"/>
      <c r="C69" s="1"/>
      <c r="D69" s="168" t="s">
        <v>220</v>
      </c>
      <c r="E69" s="168" t="str">
        <f t="shared" si="19"/>
        <v>Детство</v>
      </c>
      <c r="F69" s="168" t="s">
        <v>219</v>
      </c>
      <c r="G69" s="168"/>
      <c r="H69" s="169">
        <f>IF(H65=0,0,SUMIFS(операции!$AG:$AG,операции!$X:$X,"&gt;="&amp;H$8,операции!$X:$X,"&lt;="&amp;H$9,операции!$O:$O,$E69)/H65-SUMIFS(операции!$AF:$AF,операции!$X:$X,"&gt;="&amp;H$8,операции!$X:$X,"&lt;="&amp;H$9,операции!$O:$O,$E69)/H66)</f>
        <v>41.030381620083062</v>
      </c>
      <c r="I69" s="177"/>
      <c r="J69" s="169">
        <f>IF(J65=0,0,SUMIFS(операции!$AG:$AG,операции!$X:$X,"&gt;="&amp;J$8,операции!$X:$X,"&lt;="&amp;J$9,операции!$O:$O,$E69)/J65-SUMIFS(операции!$AF:$AF,операции!$X:$X,"&gt;="&amp;J$8,операции!$X:$X,"&lt;="&amp;J$9,операции!$O:$O,$E69)/J66)</f>
        <v>72.189852650422836</v>
      </c>
      <c r="K69" s="169">
        <f>IF(K65=0,0,SUMIFS(операции!$AG:$AG,операции!$X:$X,"&gt;="&amp;K$8,операции!$X:$X,"&lt;="&amp;K$9,операции!$O:$O,$E69)/K65-SUMIFS(операции!$AF:$AF,операции!$X:$X,"&gt;="&amp;K$8,операции!$X:$X,"&lt;="&amp;K$9,операции!$O:$O,$E69)/K66)</f>
        <v>52.03139179552818</v>
      </c>
      <c r="L69" s="169">
        <f>IF(L65=0,0,SUMIFS(операции!$AG:$AG,операции!$X:$X,"&gt;="&amp;L$8,операции!$X:$X,"&lt;="&amp;L$9,операции!$O:$O,$E69)/L65-SUMIFS(операции!$AF:$AF,операции!$X:$X,"&gt;="&amp;L$8,операции!$X:$X,"&lt;="&amp;L$9,операции!$O:$O,$E69)/L66)</f>
        <v>9.0537523263483308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>
      <c r="A70" s="12"/>
      <c r="B70" s="12"/>
      <c r="C70" s="12"/>
      <c r="D70" s="131" t="s">
        <v>238</v>
      </c>
      <c r="E70" s="131" t="str">
        <f t="shared" si="19"/>
        <v>Детство</v>
      </c>
      <c r="F70" s="131" t="s">
        <v>217</v>
      </c>
      <c r="G70" s="131"/>
      <c r="H70" s="166">
        <f>SUMIFS(операции!$V:$V,операции!$T:$T,"&lt;="&amp;$H$9,операции!$X:$X,"",операции!$O:$O,$E70)</f>
        <v>232377.68</v>
      </c>
      <c r="I70" s="178">
        <f>H70-L70</f>
        <v>0</v>
      </c>
      <c r="J70" s="167">
        <f>SUMIFS(операции!$V:$V,операции!$T:$T,"&lt;="&amp;J$9,операции!$X:$X,"",операции!$O:$O,$E70)+SUMIFS(операции!$V:$V,операции!$T:$T,"&lt;="&amp;J$9,операции!$X:$X,"&gt;"&amp;J$9,операции!$O:$O,$E70)</f>
        <v>366530.57000000007</v>
      </c>
      <c r="K70" s="167">
        <f>SUMIFS(операции!$V:$V,операции!$T:$T,"&lt;="&amp;K$9,операции!$X:$X,"",операции!$O:$O,$E70)+SUMIFS(операции!$V:$V,операции!$T:$T,"&lt;="&amp;K$9,операции!$X:$X,"&gt;"&amp;K$9,операции!$O:$O,$E70)</f>
        <v>602478.65999999992</v>
      </c>
      <c r="L70" s="167">
        <f>SUMIFS(операции!$V:$V,операции!$T:$T,"&lt;="&amp;L$9,операции!$X:$X,"",операции!$O:$O,$E70)+SUMIFS(операции!$V:$V,операции!$T:$T,"&lt;="&amp;L$9,операции!$X:$X,"&gt;"&amp;L$9,операции!$O:$O,$E70)</f>
        <v>232377.68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s="5" customFormat="1">
      <c r="A71" s="1"/>
      <c r="B71" s="1"/>
      <c r="C71" s="1"/>
      <c r="D71" s="168" t="s">
        <v>239</v>
      </c>
      <c r="E71" s="168" t="str">
        <f t="shared" si="19"/>
        <v>Детство</v>
      </c>
      <c r="F71" s="168" t="s">
        <v>219</v>
      </c>
      <c r="G71" s="168"/>
      <c r="H71" s="169">
        <f>IF(H70=0,0,$H$9-SUMIFS(операции!$AF:$AF,операции!$T:$T,"&lt;="&amp;$H$9,операции!$X:$X,"",операции!$O:$O,$E71)/H70)</f>
        <v>148.8522738930842</v>
      </c>
      <c r="I71" s="177">
        <f>H71-L71</f>
        <v>0</v>
      </c>
      <c r="J71" s="169">
        <f>IF(J70=0,0,J$9-(SUMIFS(операции!$AF:$AF,операции!$T:$T,"&lt;="&amp;J$9,операции!$X:$X,"",операции!$O:$O,$E71)+SUMIFS(операции!$AF:$AF,операции!$T:$T,"&lt;="&amp;J$9,операции!$X:$X,"&gt;"&amp;J$9,операции!$O:$O,$E71))/J70)</f>
        <v>103.67995370754943</v>
      </c>
      <c r="K71" s="169">
        <f>IF(K70=0,0,K$9-(SUMIFS(операции!$AF:$AF,операции!$T:$T,"&lt;="&amp;K$9,операции!$X:$X,"",операции!$O:$O,$E71)+SUMIFS(операции!$AF:$AF,операции!$T:$T,"&lt;="&amp;K$9,операции!$X:$X,"&gt;"&amp;K$9,операции!$O:$O,$E71))/K70)</f>
        <v>49.66733087276225</v>
      </c>
      <c r="L71" s="169">
        <f>IF(L70=0,0,L$9-(SUMIFS(операции!$AF:$AF,операции!$T:$T,"&lt;="&amp;L$9,операции!$X:$X,"",операции!$O:$O,$E71)+SUMIFS(операции!$AF:$AF,операции!$T:$T,"&lt;="&amp;L$9,операции!$X:$X,"&gt;"&amp;L$9,операции!$O:$O,$E71))/L70)</f>
        <v>148.8522738930842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s="93" customFormat="1" ht="15">
      <c r="A72" s="92"/>
      <c r="B72" s="92"/>
      <c r="C72" s="92"/>
      <c r="D72" s="98" t="s">
        <v>237</v>
      </c>
      <c r="E72" s="120" t="str">
        <f t="shared" si="19"/>
        <v>Детство</v>
      </c>
      <c r="F72" s="98" t="s">
        <v>219</v>
      </c>
      <c r="G72" s="98"/>
      <c r="H72" s="99">
        <f>IF(H65=0,H71,(SUMIFS(операции!$AG:$AG,операции!$X:$X,"&gt;="&amp;$H$8,операции!$X:$X,"&lt;="&amp;$H$9,операции!$O:$O,$E72)+$H$9*H70)/(H65+H70)-(SUMIFS(операции!$AF:$AF,операции!$X:$X,"&gt;="&amp;$H$8,операции!$X:$X,"&lt;="&amp;$H$9,операции!$O:$O,$E72)+SUMIFS(операции!$AF:$AF,операции!$T:$T,"&lt;="&amp;$H$9,операции!$X:$X,"",операции!$O:$O,$E72))/(H66+H70))</f>
        <v>59.985756745518302</v>
      </c>
      <c r="I72" s="175"/>
      <c r="J72" s="99">
        <f>IF(J65=0,J71,(SUMIFS(операции!$AG:$AG,операции!$X:$X,"&gt;="&amp;J$8,операции!$X:$X,"&lt;="&amp;J$9,операции!$O:$O,$E72)+J$9*J70)/(J65+J70)-(SUMIFS(операции!$AF:$AF,операции!$X:$X,"&gt;="&amp;J$8,операции!$X:$X,"&lt;="&amp;J$9,операции!$O:$O,$E72)+SUMIFS(операции!$AF:$AF,операции!$T:$T,"&lt;="&amp;J$9,операции!$X:$X,"",операции!$O:$O,$E72)+SUMIFS(операции!$AF:$AF,операции!$T:$T,"&lt;="&amp;J$9,операции!$X:$X,"&gt;"&amp;J$9,операции!$O:$O,$E72))/(J66+J70))</f>
        <v>89.355264993129822</v>
      </c>
      <c r="K72" s="99">
        <f>IF(K65=0,K71,(SUMIFS(операции!$AG:$AG,операции!$X:$X,"&gt;="&amp;K$8,операции!$X:$X,"&lt;="&amp;K$9,операции!$O:$O,$E72)+K$9*K70)/(K65+K70)-(SUMIFS(операции!$AF:$AF,операции!$X:$X,"&gt;="&amp;K$8,операции!$X:$X,"&lt;="&amp;K$9,операции!$O:$O,$E72)+SUMIFS(операции!$AF:$AF,операции!$T:$T,"&lt;="&amp;K$9,операции!$X:$X,"",операции!$O:$O,$E72)+SUMIFS(операции!$AF:$AF,операции!$T:$T,"&lt;="&amp;K$9,операции!$X:$X,"&gt;"&amp;K$9,операции!$O:$O,$E72))/(K66+K70))</f>
        <v>50.109760692444979</v>
      </c>
      <c r="L72" s="99">
        <f>IF(L65=0,L71,(SUMIFS(операции!$AG:$AG,операции!$X:$X,"&gt;="&amp;L$8,операции!$X:$X,"&lt;="&amp;L$9,операции!$O:$O,$E72)+L$9*L70)/(L65+L70)-(SUMIFS(операции!$AF:$AF,операции!$X:$X,"&gt;="&amp;L$8,операции!$X:$X,"&lt;="&amp;L$9,операции!$O:$O,$E72)+SUMIFS(операции!$AF:$AF,операции!$T:$T,"&lt;="&amp;L$9,операции!$X:$X,"",операции!$O:$O,$E72)+SUMIFS(операции!$AF:$AF,операции!$T:$T,"&lt;="&amp;L$9,операции!$X:$X,"&gt;"&amp;L$9,операции!$O:$O,$E72))/(L66+L70))</f>
        <v>59.698568969819462</v>
      </c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</row>
    <row r="73" spans="1:27">
      <c r="A73" s="12"/>
      <c r="B73" s="12"/>
      <c r="C73" s="12"/>
      <c r="D73" s="97"/>
      <c r="E73" s="97"/>
      <c r="F73" s="97"/>
      <c r="G73" s="97"/>
      <c r="H73" s="100"/>
      <c r="I73" s="109"/>
      <c r="J73" s="97"/>
      <c r="K73" s="97"/>
      <c r="L73" s="97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>
      <c r="A74" s="12"/>
      <c r="B74" s="12"/>
      <c r="C74" s="12"/>
      <c r="D74" s="12" t="s">
        <v>210</v>
      </c>
      <c r="E74" s="12" t="str">
        <f>микс!$H$30</f>
        <v>ИгрушкаФест</v>
      </c>
      <c r="F74" s="12" t="s">
        <v>217</v>
      </c>
      <c r="G74" s="12"/>
      <c r="H74" s="90">
        <f>SUMIFS(операции!$Z:$Z,операции!$X:$X,"&gt;="&amp;H$8,операции!$X:$X,"&lt;="&amp;H$9,операции!$O:$O,$E74)</f>
        <v>39242</v>
      </c>
      <c r="I74" s="108"/>
      <c r="J74" s="53">
        <f>SUMIFS(операции!$Z:$Z,операции!$X:$X,"&gt;="&amp;J$8,операции!$X:$X,"&lt;="&amp;J$9,операции!$O:$O,$E74)</f>
        <v>9315</v>
      </c>
      <c r="K74" s="53">
        <f>SUMIFS(операции!$Z:$Z,операции!$X:$X,"&gt;="&amp;K$8,операции!$X:$X,"&lt;="&amp;K$9,операции!$O:$O,$E74)</f>
        <v>25180</v>
      </c>
      <c r="L74" s="53">
        <f>SUMIFS(операции!$Z:$Z,операции!$X:$X,"&gt;="&amp;L$8,операции!$X:$X,"&lt;="&amp;L$9,операции!$O:$O,$E74)</f>
        <v>4747</v>
      </c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>
      <c r="A75" s="12"/>
      <c r="B75" s="12"/>
      <c r="C75" s="12"/>
      <c r="D75" s="12" t="s">
        <v>211</v>
      </c>
      <c r="E75" s="12" t="str">
        <f>E74</f>
        <v>ИгрушкаФест</v>
      </c>
      <c r="F75" s="12" t="s">
        <v>217</v>
      </c>
      <c r="G75" s="12"/>
      <c r="H75" s="90">
        <f>SUMIFS(операции!$V:$V,операции!$X:$X,"&gt;="&amp;H$8,операции!$X:$X,"&lt;="&amp;H$9,операции!$O:$O,$E75)</f>
        <v>32072.2</v>
      </c>
      <c r="I75" s="108"/>
      <c r="J75" s="53">
        <f>SUMIFS(операции!$V:$V,операции!$X:$X,"&gt;="&amp;J$8,операции!$X:$X,"&lt;="&amp;J$9,операции!$O:$O,$E75)</f>
        <v>8181</v>
      </c>
      <c r="K75" s="53">
        <f>SUMIFS(операции!$V:$V,операции!$X:$X,"&gt;="&amp;K$8,операции!$X:$X,"&lt;="&amp;K$9,операции!$O:$O,$E75)</f>
        <v>20230.2</v>
      </c>
      <c r="L75" s="53">
        <f>SUMIFS(операции!$V:$V,операции!$X:$X,"&gt;="&amp;L$8,операции!$X:$X,"&lt;="&amp;L$9,операции!$O:$O,$E75)</f>
        <v>3661</v>
      </c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>
      <c r="A76" s="12"/>
      <c r="B76" s="12"/>
      <c r="C76" s="12"/>
      <c r="D76" s="12" t="s">
        <v>212</v>
      </c>
      <c r="E76" s="12" t="str">
        <f t="shared" ref="E76:E81" si="22">E75</f>
        <v>ИгрушкаФест</v>
      </c>
      <c r="F76" s="12" t="s">
        <v>217</v>
      </c>
      <c r="G76" s="12"/>
      <c r="H76" s="90">
        <f>H74-H75</f>
        <v>7169.7999999999993</v>
      </c>
      <c r="I76" s="108"/>
      <c r="J76" s="53">
        <f>J74-J75</f>
        <v>1134</v>
      </c>
      <c r="K76" s="53">
        <f t="shared" ref="K76:L76" si="23">K74-K75</f>
        <v>4949.7999999999993</v>
      </c>
      <c r="L76" s="53">
        <f t="shared" si="23"/>
        <v>1086</v>
      </c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s="119" customFormat="1">
      <c r="A77" s="87"/>
      <c r="B77" s="87"/>
      <c r="C77" s="87"/>
      <c r="D77" s="87" t="s">
        <v>213</v>
      </c>
      <c r="E77" s="87" t="str">
        <f t="shared" si="22"/>
        <v>ИгрушкаФест</v>
      </c>
      <c r="F77" s="87" t="s">
        <v>218</v>
      </c>
      <c r="G77" s="87"/>
      <c r="H77" s="116">
        <f>IF(H74=0,0,H76/H74)</f>
        <v>0.18270730339941896</v>
      </c>
      <c r="I77" s="117"/>
      <c r="J77" s="118">
        <f>IF(J74=0,0,J76/J74)</f>
        <v>0.12173913043478261</v>
      </c>
      <c r="K77" s="118">
        <f t="shared" ref="K77:L77" si="24">IF(K74=0,0,K76/K74)</f>
        <v>0.1965766481334392</v>
      </c>
      <c r="L77" s="118">
        <f t="shared" si="24"/>
        <v>0.22877606909627132</v>
      </c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</row>
    <row r="78" spans="1:27" s="5" customFormat="1">
      <c r="A78" s="1"/>
      <c r="B78" s="1"/>
      <c r="C78" s="1"/>
      <c r="D78" s="168" t="s">
        <v>220</v>
      </c>
      <c r="E78" s="168" t="str">
        <f t="shared" si="22"/>
        <v>ИгрушкаФест</v>
      </c>
      <c r="F78" s="168" t="s">
        <v>219</v>
      </c>
      <c r="G78" s="168"/>
      <c r="H78" s="169">
        <f>IF(H74=0,0,SUMIFS(операции!$AG:$AG,операции!$X:$X,"&gt;="&amp;H$8,операции!$X:$X,"&lt;="&amp;H$9,операции!$O:$O,$E78)/H74-SUMIFS(операции!$AF:$AF,операции!$X:$X,"&gt;="&amp;H$8,операции!$X:$X,"&lt;="&amp;H$9,операции!$O:$O,$E78)/H75)</f>
        <v>26.30780221754685</v>
      </c>
      <c r="I78" s="177"/>
      <c r="J78" s="169">
        <f>IF(J74=0,0,SUMIFS(операции!$AG:$AG,операции!$X:$X,"&gt;="&amp;J$8,операции!$X:$X,"&lt;="&amp;J$9,операции!$O:$O,$E78)/J74-SUMIFS(операции!$AF:$AF,операции!$X:$X,"&gt;="&amp;J$8,операции!$X:$X,"&lt;="&amp;J$9,операции!$O:$O,$E78)/J75)</f>
        <v>63.832652540615527</v>
      </c>
      <c r="K78" s="169">
        <f>IF(K74=0,0,SUMIFS(операции!$AG:$AG,операции!$X:$X,"&gt;="&amp;K$8,операции!$X:$X,"&lt;="&amp;K$9,операции!$O:$O,$E78)/K74-SUMIFS(операции!$AF:$AF,операции!$X:$X,"&gt;="&amp;K$8,операции!$X:$X,"&lt;="&amp;K$9,операции!$O:$O,$E78)/K75)</f>
        <v>10.466092304188351</v>
      </c>
      <c r="L78" s="169">
        <f>IF(L74=0,0,SUMIFS(операции!$AG:$AG,операции!$X:$X,"&gt;="&amp;L$8,операции!$X:$X,"&lt;="&amp;L$9,операции!$O:$O,$E78)/L74-SUMIFS(операции!$AF:$AF,операции!$X:$X,"&gt;="&amp;L$8,операции!$X:$X,"&lt;="&amp;L$9,операции!$O:$O,$E78)/L75)</f>
        <v>26.087293534692435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>
      <c r="A79" s="12"/>
      <c r="B79" s="12"/>
      <c r="C79" s="12"/>
      <c r="D79" s="131" t="s">
        <v>238</v>
      </c>
      <c r="E79" s="131" t="str">
        <f t="shared" si="22"/>
        <v>ИгрушкаФест</v>
      </c>
      <c r="F79" s="131" t="s">
        <v>217</v>
      </c>
      <c r="G79" s="131"/>
      <c r="H79" s="166">
        <f>SUMIFS(операции!$V:$V,операции!$T:$T,"&lt;="&amp;$H$9,операции!$X:$X,"",операции!$O:$O,$E79)</f>
        <v>5079</v>
      </c>
      <c r="I79" s="178">
        <f>H79-L79</f>
        <v>0</v>
      </c>
      <c r="J79" s="167">
        <f>SUMIFS(операции!$V:$V,операции!$T:$T,"&lt;="&amp;J$9,операции!$X:$X,"",операции!$O:$O,$E79)+SUMIFS(операции!$V:$V,операции!$T:$T,"&lt;="&amp;J$9,операции!$X:$X,"&gt;"&amp;J$9,операции!$O:$O,$E79)</f>
        <v>10077</v>
      </c>
      <c r="K79" s="167">
        <f>SUMIFS(операции!$V:$V,операции!$T:$T,"&lt;="&amp;K$9,операции!$X:$X,"",операции!$O:$O,$E79)+SUMIFS(операции!$V:$V,операции!$T:$T,"&lt;="&amp;K$9,операции!$X:$X,"&gt;"&amp;K$9,операции!$O:$O,$E79)</f>
        <v>7620</v>
      </c>
      <c r="L79" s="167">
        <f>SUMIFS(операции!$V:$V,операции!$T:$T,"&lt;="&amp;L$9,операции!$X:$X,"",операции!$O:$O,$E79)+SUMIFS(операции!$V:$V,операции!$T:$T,"&lt;="&amp;L$9,операции!$X:$X,"&gt;"&amp;L$9,операции!$O:$O,$E79)</f>
        <v>5079</v>
      </c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7" s="5" customFormat="1">
      <c r="A80" s="1"/>
      <c r="B80" s="1"/>
      <c r="C80" s="1"/>
      <c r="D80" s="168" t="s">
        <v>239</v>
      </c>
      <c r="E80" s="168" t="str">
        <f t="shared" si="22"/>
        <v>ИгрушкаФест</v>
      </c>
      <c r="F80" s="168" t="s">
        <v>219</v>
      </c>
      <c r="G80" s="168"/>
      <c r="H80" s="169">
        <f>IF(H79=0,0,$H$9-SUMIFS(операции!$AF:$AF,операции!$T:$T,"&lt;="&amp;$H$9,операции!$X:$X,"",операции!$O:$O,$E80)/H79)</f>
        <v>158.10592636345973</v>
      </c>
      <c r="I80" s="177">
        <f>H80-L80</f>
        <v>0</v>
      </c>
      <c r="J80" s="169">
        <f>IF(J79=0,0,J$9-(SUMIFS(операции!$AF:$AF,операции!$T:$T,"&lt;="&amp;J$9,операции!$X:$X,"",операции!$O:$O,$E80)+SUMIFS(операции!$AF:$AF,операции!$T:$T,"&lt;="&amp;J$9,операции!$X:$X,"&gt;"&amp;J$9,операции!$O:$O,$E80))/J79)</f>
        <v>67.027190632135898</v>
      </c>
      <c r="K80" s="169">
        <f>IF(K79=0,0,K$9-(SUMIFS(операции!$AF:$AF,операции!$T:$T,"&lt;="&amp;K$9,операции!$X:$X,"",операции!$O:$O,$E80)+SUMIFS(операции!$AF:$AF,операции!$T:$T,"&lt;="&amp;K$9,операции!$X:$X,"&gt;"&amp;K$9,операции!$O:$O,$E80))/K79)</f>
        <v>97.980183727035183</v>
      </c>
      <c r="L80" s="169">
        <f>IF(L79=0,0,L$9-(SUMIFS(операции!$AF:$AF,операции!$T:$T,"&lt;="&amp;L$9,операции!$X:$X,"",операции!$O:$O,$E80)+SUMIFS(операции!$AF:$AF,операции!$T:$T,"&lt;="&amp;L$9,операции!$X:$X,"&gt;"&amp;L$9,операции!$O:$O,$E80))/L79)</f>
        <v>158.10592636345973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s="93" customFormat="1" ht="15">
      <c r="A81" s="92"/>
      <c r="B81" s="92"/>
      <c r="C81" s="92"/>
      <c r="D81" s="98" t="s">
        <v>237</v>
      </c>
      <c r="E81" s="120" t="str">
        <f t="shared" si="22"/>
        <v>ИгрушкаФест</v>
      </c>
      <c r="F81" s="98" t="s">
        <v>219</v>
      </c>
      <c r="G81" s="98"/>
      <c r="H81" s="99">
        <f>IF(H74=0,H80,(SUMIFS(операции!$AG:$AG,операции!$X:$X,"&gt;="&amp;$H$8,операции!$X:$X,"&lt;="&amp;$H$9,операции!$O:$O,$E81)+$H$9*H79)/(H74+H79)-(SUMIFS(операции!$AF:$AF,операции!$X:$X,"&gt;="&amp;$H$8,операции!$X:$X,"&lt;="&amp;$H$9,операции!$O:$O,$E81)+SUMIFS(операции!$AF:$AF,операции!$T:$T,"&lt;="&amp;$H$9,операции!$X:$X,"",операции!$O:$O,$E81))/(H75+H79))</f>
        <v>43.238988902121491</v>
      </c>
      <c r="I81" s="175"/>
      <c r="J81" s="99">
        <f>IF(J74=0,J80,(SUMIFS(операции!$AG:$AG,операции!$X:$X,"&gt;="&amp;J$8,операции!$X:$X,"&lt;="&amp;J$9,операции!$O:$O,$E81)+J$9*J79)/(J74+J79)-(SUMIFS(операции!$AF:$AF,операции!$X:$X,"&gt;="&amp;J$8,операции!$X:$X,"&lt;="&amp;J$9,операции!$O:$O,$E81)+SUMIFS(операции!$AF:$AF,операции!$T:$T,"&lt;="&amp;J$9,операции!$X:$X,"",операции!$O:$O,$E81)+SUMIFS(операции!$AF:$AF,операции!$T:$T,"&lt;="&amp;J$9,операции!$X:$X,"&gt;"&amp;J$9,операции!$O:$O,$E81))/(J75+J79))</f>
        <v>65.466349587433797</v>
      </c>
      <c r="K81" s="99">
        <f>IF(K74=0,K80,(SUMIFS(операции!$AG:$AG,операции!$X:$X,"&gt;="&amp;K$8,операции!$X:$X,"&lt;="&amp;K$9,операции!$O:$O,$E81)+K$9*K79)/(K74+K79)-(SUMIFS(операции!$AF:$AF,операции!$X:$X,"&gt;="&amp;K$8,операции!$X:$X,"&lt;="&amp;K$9,операции!$O:$O,$E81)+SUMIFS(операции!$AF:$AF,операции!$T:$T,"&lt;="&amp;K$9,операции!$X:$X,"",операции!$O:$O,$E81)+SUMIFS(операции!$AF:$AF,операции!$T:$T,"&lt;="&amp;K$9,операции!$X:$X,"&gt;"&amp;K$9,операции!$O:$O,$E81))/(K75+K79))</f>
        <v>33.73770163251902</v>
      </c>
      <c r="L81" s="99">
        <f>IF(L74=0,L80,(SUMIFS(операции!$AG:$AG,операции!$X:$X,"&gt;="&amp;L$8,операции!$X:$X,"&lt;="&amp;L$9,операции!$O:$O,$E81)+L$9*L79)/(L74+L79)-(SUMIFS(операции!$AF:$AF,операции!$X:$X,"&gt;="&amp;L$8,операции!$X:$X,"&lt;="&amp;L$9,операции!$O:$O,$E81)+SUMIFS(операции!$AF:$AF,операции!$T:$T,"&lt;="&amp;L$9,операции!$X:$X,"",операции!$O:$O,$E81)+SUMIFS(операции!$AF:$AF,операции!$T:$T,"&lt;="&amp;L$9,операции!$X:$X,"&gt;"&amp;L$9,операции!$O:$O,$E81))/(L75+L79))</f>
        <v>101.0127580775079</v>
      </c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</row>
    <row r="82" spans="1:27">
      <c r="A82" s="12"/>
      <c r="B82" s="12"/>
      <c r="C82" s="12"/>
      <c r="D82" s="97"/>
      <c r="E82" s="97"/>
      <c r="F82" s="97"/>
      <c r="G82" s="97"/>
      <c r="H82" s="100"/>
      <c r="I82" s="109"/>
      <c r="J82" s="97"/>
      <c r="K82" s="97"/>
      <c r="L82" s="97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>
      <c r="A83" s="12"/>
      <c r="B83" s="12"/>
      <c r="C83" s="12"/>
      <c r="D83" s="12" t="s">
        <v>210</v>
      </c>
      <c r="E83" s="12" t="str">
        <f>микс!$H$31</f>
        <v>ИнтКид</v>
      </c>
      <c r="F83" s="12" t="s">
        <v>217</v>
      </c>
      <c r="G83" s="12"/>
      <c r="H83" s="90">
        <f>SUMIFS(операции!$Z:$Z,операции!$X:$X,"&gt;="&amp;H$8,операции!$X:$X,"&lt;="&amp;H$9,операции!$O:$O,$E83)</f>
        <v>125314</v>
      </c>
      <c r="I83" s="108"/>
      <c r="J83" s="53">
        <f>SUMIFS(операции!$Z:$Z,операции!$X:$X,"&gt;="&amp;J$8,операции!$X:$X,"&lt;="&amp;J$9,операции!$O:$O,$E83)</f>
        <v>10156</v>
      </c>
      <c r="K83" s="53">
        <f>SUMIFS(операции!$Z:$Z,операции!$X:$X,"&gt;="&amp;K$8,операции!$X:$X,"&lt;="&amp;K$9,операции!$O:$O,$E83)</f>
        <v>44026</v>
      </c>
      <c r="L83" s="53">
        <f>SUMIFS(операции!$Z:$Z,операции!$X:$X,"&gt;="&amp;L$8,операции!$X:$X,"&lt;="&amp;L$9,операции!$O:$O,$E83)</f>
        <v>71132</v>
      </c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>
      <c r="A84" s="12"/>
      <c r="B84" s="12"/>
      <c r="C84" s="12"/>
      <c r="D84" s="12" t="s">
        <v>211</v>
      </c>
      <c r="E84" s="12" t="str">
        <f>E83</f>
        <v>ИнтКид</v>
      </c>
      <c r="F84" s="12" t="s">
        <v>217</v>
      </c>
      <c r="G84" s="12"/>
      <c r="H84" s="90">
        <f>SUMIFS(операции!$V:$V,операции!$X:$X,"&gt;="&amp;H$8,операции!$X:$X,"&lt;="&amp;H$9,операции!$O:$O,$E84)</f>
        <v>107903.92000000003</v>
      </c>
      <c r="I84" s="108"/>
      <c r="J84" s="53">
        <f>SUMIFS(операции!$V:$V,операции!$X:$X,"&gt;="&amp;J$8,операции!$X:$X,"&lt;="&amp;J$9,операции!$O:$O,$E84)</f>
        <v>5732.1299999999992</v>
      </c>
      <c r="K84" s="53">
        <f>SUMIFS(операции!$V:$V,операции!$X:$X,"&gt;="&amp;K$8,операции!$X:$X,"&lt;="&amp;K$9,операции!$O:$O,$E84)</f>
        <v>37275.240000000005</v>
      </c>
      <c r="L84" s="53">
        <f>SUMIFS(операции!$V:$V,операции!$X:$X,"&gt;="&amp;L$8,операции!$X:$X,"&lt;="&amp;L$9,операции!$O:$O,$E84)</f>
        <v>64896.549999999996</v>
      </c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>
      <c r="A85" s="12"/>
      <c r="B85" s="12"/>
      <c r="C85" s="12"/>
      <c r="D85" s="12" t="s">
        <v>212</v>
      </c>
      <c r="E85" s="12" t="str">
        <f t="shared" ref="E85:E90" si="25">E84</f>
        <v>ИнтКид</v>
      </c>
      <c r="F85" s="12" t="s">
        <v>217</v>
      </c>
      <c r="G85" s="12"/>
      <c r="H85" s="90">
        <f>H83-H84</f>
        <v>17410.079999999973</v>
      </c>
      <c r="I85" s="108"/>
      <c r="J85" s="53">
        <f>J83-J84</f>
        <v>4423.8700000000008</v>
      </c>
      <c r="K85" s="53">
        <f t="shared" ref="K85:L85" si="26">K83-K84</f>
        <v>6750.7599999999948</v>
      </c>
      <c r="L85" s="53">
        <f t="shared" si="26"/>
        <v>6235.4500000000044</v>
      </c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 s="119" customFormat="1">
      <c r="A86" s="87"/>
      <c r="B86" s="87"/>
      <c r="C86" s="87"/>
      <c r="D86" s="87" t="s">
        <v>213</v>
      </c>
      <c r="E86" s="87" t="str">
        <f t="shared" si="25"/>
        <v>ИнтКид</v>
      </c>
      <c r="F86" s="87" t="s">
        <v>218</v>
      </c>
      <c r="G86" s="87"/>
      <c r="H86" s="116">
        <f>IF(H83=0,0,H85/H83)</f>
        <v>0.13893164371099775</v>
      </c>
      <c r="I86" s="117"/>
      <c r="J86" s="118">
        <f>IF(J83=0,0,J85/J83)</f>
        <v>0.43559176841276098</v>
      </c>
      <c r="K86" s="118">
        <f t="shared" ref="K86:L86" si="27">IF(K83=0,0,K85/K83)</f>
        <v>0.15333575614409656</v>
      </c>
      <c r="L86" s="118">
        <f t="shared" si="27"/>
        <v>8.7660265422032341E-2</v>
      </c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</row>
    <row r="87" spans="1:27" s="5" customFormat="1">
      <c r="A87" s="1"/>
      <c r="B87" s="1"/>
      <c r="C87" s="1"/>
      <c r="D87" s="168" t="s">
        <v>220</v>
      </c>
      <c r="E87" s="168" t="str">
        <f t="shared" si="25"/>
        <v>ИнтКид</v>
      </c>
      <c r="F87" s="168" t="s">
        <v>219</v>
      </c>
      <c r="G87" s="168"/>
      <c r="H87" s="169">
        <f>IF(H83=0,0,SUMIFS(операции!$AG:$AG,операции!$X:$X,"&gt;="&amp;H$8,операции!$X:$X,"&lt;="&amp;H$9,операции!$O:$O,$E87)/H83-SUMIFS(операции!$AF:$AF,операции!$X:$X,"&gt;="&amp;H$8,операции!$X:$X,"&lt;="&amp;H$9,операции!$O:$O,$E87)/H84)</f>
        <v>14.302015086301253</v>
      </c>
      <c r="I87" s="177"/>
      <c r="J87" s="169">
        <f>IF(J83=0,0,SUMIFS(операции!$AG:$AG,операции!$X:$X,"&gt;="&amp;J$8,операции!$X:$X,"&lt;="&amp;J$9,операции!$O:$O,$E87)/J83-SUMIFS(операции!$AF:$AF,операции!$X:$X,"&gt;="&amp;J$8,операции!$X:$X,"&lt;="&amp;J$9,операции!$O:$O,$E87)/J84)</f>
        <v>105.51220591268066</v>
      </c>
      <c r="K87" s="169">
        <f>IF(K83=0,0,SUMIFS(операции!$AG:$AG,операции!$X:$X,"&gt;="&amp;K$8,операции!$X:$X,"&lt;="&amp;K$9,операции!$O:$O,$E87)/K83-SUMIFS(операции!$AF:$AF,операции!$X:$X,"&gt;="&amp;K$8,операции!$X:$X,"&lt;="&amp;K$9,операции!$O:$O,$E87)/K84)</f>
        <v>18.873026336281328</v>
      </c>
      <c r="L87" s="169">
        <f>IF(L83=0,0,SUMIFS(операции!$AG:$AG,операции!$X:$X,"&gt;="&amp;L$8,операции!$X:$X,"&lt;="&amp;L$9,операции!$O:$O,$E87)/L83-SUMIFS(операции!$AF:$AF,операции!$X:$X,"&gt;="&amp;L$8,операции!$X:$X,"&lt;="&amp;L$9,операции!$O:$O,$E87)/L84)</f>
        <v>5.5993067024901393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>
      <c r="A88" s="12"/>
      <c r="B88" s="12"/>
      <c r="C88" s="12"/>
      <c r="D88" s="131" t="s">
        <v>238</v>
      </c>
      <c r="E88" s="131" t="str">
        <f t="shared" si="25"/>
        <v>ИнтКид</v>
      </c>
      <c r="F88" s="131" t="s">
        <v>217</v>
      </c>
      <c r="G88" s="131"/>
      <c r="H88" s="166">
        <f>SUMIFS(операции!$V:$V,операции!$T:$T,"&lt;="&amp;$H$9,операции!$X:$X,"",операции!$O:$O,$E88)</f>
        <v>32675.41</v>
      </c>
      <c r="I88" s="178">
        <f>H88-L88</f>
        <v>0</v>
      </c>
      <c r="J88" s="167">
        <f>SUMIFS(операции!$V:$V,операции!$T:$T,"&lt;="&amp;J$9,операции!$X:$X,"",операции!$O:$O,$E88)+SUMIFS(операции!$V:$V,операции!$T:$T,"&lt;="&amp;J$9,операции!$X:$X,"&gt;"&amp;J$9,операции!$O:$O,$E88)</f>
        <v>8853.48</v>
      </c>
      <c r="K88" s="167">
        <f>SUMIFS(операции!$V:$V,операции!$T:$T,"&lt;="&amp;K$9,операции!$X:$X,"",операции!$O:$O,$E88)+SUMIFS(операции!$V:$V,операции!$T:$T,"&lt;="&amp;K$9,операции!$X:$X,"&gt;"&amp;K$9,операции!$O:$O,$E88)</f>
        <v>67210.409999999989</v>
      </c>
      <c r="L88" s="167">
        <f>SUMIFS(операции!$V:$V,операции!$T:$T,"&lt;="&amp;L$9,операции!$X:$X,"",операции!$O:$O,$E88)+SUMIFS(операции!$V:$V,операции!$T:$T,"&lt;="&amp;L$9,операции!$X:$X,"&gt;"&amp;L$9,операции!$O:$O,$E88)</f>
        <v>32675.41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s="5" customFormat="1">
      <c r="A89" s="1"/>
      <c r="B89" s="1"/>
      <c r="C89" s="1"/>
      <c r="D89" s="168" t="s">
        <v>239</v>
      </c>
      <c r="E89" s="168" t="str">
        <f t="shared" si="25"/>
        <v>ИнтКид</v>
      </c>
      <c r="F89" s="168" t="s">
        <v>219</v>
      </c>
      <c r="G89" s="168"/>
      <c r="H89" s="169">
        <f>IF(H88=0,0,$H$9-SUMIFS(операции!$AF:$AF,операции!$T:$T,"&lt;="&amp;$H$9,операции!$X:$X,"",операции!$O:$O,$E89)/H88)</f>
        <v>11.921089896044577</v>
      </c>
      <c r="I89" s="177">
        <f>H89-L89</f>
        <v>0</v>
      </c>
      <c r="J89" s="169">
        <f>IF(J88=0,0,J$9-(SUMIFS(операции!$AF:$AF,операции!$T:$T,"&lt;="&amp;J$9,операции!$X:$X,"",операции!$O:$O,$E89)+SUMIFS(операции!$AF:$AF,операции!$T:$T,"&lt;="&amp;J$9,операции!$X:$X,"&gt;"&amp;J$9,операции!$O:$O,$E89))/J88)</f>
        <v>75.98764553599176</v>
      </c>
      <c r="K89" s="169">
        <f>IF(K88=0,0,K$9-(SUMIFS(операции!$AF:$AF,операции!$T:$T,"&lt;="&amp;K$9,операции!$X:$X,"",операции!$O:$O,$E89)+SUMIFS(операции!$AF:$AF,операции!$T:$T,"&lt;="&amp;K$9,операции!$X:$X,"&gt;"&amp;K$9,операции!$O:$O,$E89))/K88)</f>
        <v>5.4908086410941905</v>
      </c>
      <c r="L89" s="169">
        <f>IF(L88=0,0,L$9-(SUMIFS(операции!$AF:$AF,операции!$T:$T,"&lt;="&amp;L$9,операции!$X:$X,"",операции!$O:$O,$E89)+SUMIFS(операции!$AF:$AF,операции!$T:$T,"&lt;="&amp;L$9,операции!$X:$X,"&gt;"&amp;L$9,операции!$O:$O,$E89))/L88)</f>
        <v>11.921089896044577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s="93" customFormat="1" ht="15">
      <c r="A90" s="92"/>
      <c r="B90" s="92"/>
      <c r="C90" s="92"/>
      <c r="D90" s="98" t="s">
        <v>237</v>
      </c>
      <c r="E90" s="120" t="str">
        <f t="shared" si="25"/>
        <v>ИнтКид</v>
      </c>
      <c r="F90" s="98" t="s">
        <v>219</v>
      </c>
      <c r="G90" s="98"/>
      <c r="H90" s="99">
        <f>IF(H83=0,H89,(SUMIFS(операции!$AG:$AG,операции!$X:$X,"&gt;="&amp;$H$8,операции!$X:$X,"&lt;="&amp;$H$9,операции!$O:$O,$E90)+$H$9*H88)/(H83+H88)-(SUMIFS(операции!$AF:$AF,операции!$X:$X,"&gt;="&amp;$H$8,операции!$X:$X,"&lt;="&amp;$H$9,операции!$O:$O,$E90)+SUMIFS(операции!$AF:$AF,операции!$T:$T,"&lt;="&amp;$H$9,операции!$X:$X,"",операции!$O:$O,$E90))/(H84+H88))</f>
        <v>12.871996363523067</v>
      </c>
      <c r="I90" s="175"/>
      <c r="J90" s="99">
        <f>IF(J83=0,J89,(SUMIFS(операции!$AG:$AG,операции!$X:$X,"&gt;="&amp;J$8,операции!$X:$X,"&lt;="&amp;J$9,операции!$O:$O,$E90)+J$9*J88)/(J83+J88)-(SUMIFS(операции!$AF:$AF,операции!$X:$X,"&gt;="&amp;J$8,операции!$X:$X,"&lt;="&amp;J$9,операции!$O:$O,$E90)+SUMIFS(операции!$AF:$AF,операции!$T:$T,"&lt;="&amp;J$9,операции!$X:$X,"",операции!$O:$O,$E90)+SUMIFS(операции!$AF:$AF,операции!$T:$T,"&lt;="&amp;J$9,операции!$X:$X,"&gt;"&amp;J$9,операции!$O:$O,$E90))/(J84+J88))</f>
        <v>86.714272482604429</v>
      </c>
      <c r="K90" s="99">
        <f>IF(K83=0,K89,(SUMIFS(операции!$AG:$AG,операции!$X:$X,"&gt;="&amp;K$8,операции!$X:$X,"&lt;="&amp;K$9,операции!$O:$O,$E90)+K$9*K88)/(K83+K88)-(SUMIFS(операции!$AF:$AF,операции!$X:$X,"&gt;="&amp;K$8,операции!$X:$X,"&lt;="&amp;K$9,операции!$O:$O,$E90)+SUMIFS(операции!$AF:$AF,операции!$T:$T,"&lt;="&amp;K$9,операции!$X:$X,"",операции!$O:$O,$E90)+SUMIFS(операции!$AF:$AF,операции!$T:$T,"&lt;="&amp;K$9,операции!$X:$X,"&gt;"&amp;K$9,операции!$O:$O,$E90))/(K84+K88))</f>
        <v>9.978395426129282</v>
      </c>
      <c r="L90" s="99">
        <f>IF(L83=0,L89,(SUMIFS(операции!$AG:$AG,операции!$X:$X,"&gt;="&amp;L$8,операции!$X:$X,"&lt;="&amp;L$9,операции!$O:$O,$E90)+L$9*L88)/(L83+L88)-(SUMIFS(операции!$AF:$AF,операции!$X:$X,"&gt;="&amp;L$8,операции!$X:$X,"&lt;="&amp;L$9,операции!$O:$O,$E90)+SUMIFS(операции!$AF:$AF,операции!$T:$T,"&lt;="&amp;L$9,операции!$X:$X,"",операции!$O:$O,$E90)+SUMIFS(операции!$AF:$AF,операции!$T:$T,"&lt;="&amp;L$9,операции!$X:$X,"&gt;"&amp;L$9,операции!$O:$O,$E90))/(L84+L88))</f>
        <v>7.1738897817194811</v>
      </c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</row>
    <row r="91" spans="1:27">
      <c r="A91" s="12"/>
      <c r="B91" s="12"/>
      <c r="C91" s="12"/>
      <c r="D91" s="12"/>
      <c r="E91" s="12"/>
      <c r="F91" s="12"/>
      <c r="G91" s="12"/>
      <c r="H91" s="1"/>
      <c r="I91" s="108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>
      <c r="A92" s="12"/>
      <c r="B92" s="12"/>
      <c r="C92" s="12"/>
      <c r="D92" s="12" t="s">
        <v>210</v>
      </c>
      <c r="E92" s="12" t="str">
        <f>микс!$H$32</f>
        <v>КидсТрейд</v>
      </c>
      <c r="F92" s="12" t="s">
        <v>217</v>
      </c>
      <c r="G92" s="12"/>
      <c r="H92" s="90">
        <f>SUMIFS(операции!$Z:$Z,операции!$X:$X,"&gt;="&amp;H$8,операции!$X:$X,"&lt;="&amp;H$9,операции!$O:$O,$E92)</f>
        <v>215032</v>
      </c>
      <c r="I92" s="108"/>
      <c r="J92" s="53">
        <f>SUMIFS(операции!$Z:$Z,операции!$X:$X,"&gt;="&amp;J$8,операции!$X:$X,"&lt;="&amp;J$9,операции!$O:$O,$E92)</f>
        <v>31797</v>
      </c>
      <c r="K92" s="53">
        <f>SUMIFS(операции!$Z:$Z,операции!$X:$X,"&gt;="&amp;K$8,операции!$X:$X,"&lt;="&amp;K$9,операции!$O:$O,$E92)</f>
        <v>158547</v>
      </c>
      <c r="L92" s="53">
        <f>SUMIFS(операции!$Z:$Z,операции!$X:$X,"&gt;="&amp;L$8,операции!$X:$X,"&lt;="&amp;L$9,операции!$O:$O,$E92)</f>
        <v>24688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>
      <c r="A93" s="12"/>
      <c r="B93" s="12"/>
      <c r="C93" s="12"/>
      <c r="D93" s="12" t="s">
        <v>211</v>
      </c>
      <c r="E93" s="12" t="str">
        <f>E92</f>
        <v>КидсТрейд</v>
      </c>
      <c r="F93" s="12" t="s">
        <v>217</v>
      </c>
      <c r="G93" s="12"/>
      <c r="H93" s="90">
        <f>SUMIFS(операции!$V:$V,операции!$X:$X,"&gt;="&amp;H$8,операции!$X:$X,"&lt;="&amp;H$9,операции!$O:$O,$E93)</f>
        <v>183954.49999999997</v>
      </c>
      <c r="I93" s="108"/>
      <c r="J93" s="53">
        <f>SUMIFS(операции!$V:$V,операции!$X:$X,"&gt;="&amp;J$8,операции!$X:$X,"&lt;="&amp;J$9,операции!$O:$O,$E93)</f>
        <v>30752.43</v>
      </c>
      <c r="K93" s="53">
        <f>SUMIFS(операции!$V:$V,операции!$X:$X,"&gt;="&amp;K$8,операции!$X:$X,"&lt;="&amp;K$9,операции!$O:$O,$E93)</f>
        <v>130038.26</v>
      </c>
      <c r="L93" s="53">
        <f>SUMIFS(операции!$V:$V,операции!$X:$X,"&gt;="&amp;L$8,операции!$X:$X,"&lt;="&amp;L$9,операции!$O:$O,$E93)</f>
        <v>23163.809999999998</v>
      </c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>
      <c r="A94" s="12"/>
      <c r="B94" s="12"/>
      <c r="C94" s="12"/>
      <c r="D94" s="12" t="s">
        <v>212</v>
      </c>
      <c r="E94" s="12" t="str">
        <f t="shared" ref="E94:E99" si="28">E93</f>
        <v>КидсТрейд</v>
      </c>
      <c r="F94" s="12" t="s">
        <v>217</v>
      </c>
      <c r="G94" s="12"/>
      <c r="H94" s="90">
        <f>H92-H93</f>
        <v>31077.500000000029</v>
      </c>
      <c r="I94" s="108"/>
      <c r="J94" s="53">
        <f>J92-J93</f>
        <v>1044.5699999999997</v>
      </c>
      <c r="K94" s="53">
        <f t="shared" ref="K94:L94" si="29">K92-K93</f>
        <v>28508.740000000005</v>
      </c>
      <c r="L94" s="53">
        <f t="shared" si="29"/>
        <v>1524.1900000000023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 s="119" customFormat="1">
      <c r="A95" s="87"/>
      <c r="B95" s="87"/>
      <c r="C95" s="87"/>
      <c r="D95" s="87" t="s">
        <v>213</v>
      </c>
      <c r="E95" s="87" t="str">
        <f t="shared" si="28"/>
        <v>КидсТрейд</v>
      </c>
      <c r="F95" s="87" t="s">
        <v>218</v>
      </c>
      <c r="G95" s="87"/>
      <c r="H95" s="116">
        <f>IF(H92=0,0,H94/H92)</f>
        <v>0.14452500093009427</v>
      </c>
      <c r="I95" s="117"/>
      <c r="J95" s="118">
        <f>IF(J92=0,0,J94/J92)</f>
        <v>3.2851212378526264E-2</v>
      </c>
      <c r="K95" s="118">
        <f t="shared" ref="K95:L95" si="30">IF(K92=0,0,K94/K92)</f>
        <v>0.17981254769878965</v>
      </c>
      <c r="L95" s="118">
        <f t="shared" si="30"/>
        <v>6.173809138042783E-2</v>
      </c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</row>
    <row r="96" spans="1:27" s="5" customFormat="1">
      <c r="A96" s="1"/>
      <c r="B96" s="1"/>
      <c r="C96" s="1"/>
      <c r="D96" s="168" t="s">
        <v>220</v>
      </c>
      <c r="E96" s="168" t="str">
        <f t="shared" si="28"/>
        <v>КидсТрейд</v>
      </c>
      <c r="F96" s="168" t="s">
        <v>219</v>
      </c>
      <c r="G96" s="168"/>
      <c r="H96" s="169">
        <f>IF(H92=0,0,SUMIFS(операции!$AG:$AG,операции!$X:$X,"&gt;="&amp;H$8,операции!$X:$X,"&lt;="&amp;H$9,операции!$O:$O,$E96)/H92-SUMIFS(операции!$AF:$AF,операции!$X:$X,"&gt;="&amp;H$8,операции!$X:$X,"&lt;="&amp;H$9,операции!$O:$O,$E96)/H93)</f>
        <v>45.34755277352815</v>
      </c>
      <c r="I96" s="177"/>
      <c r="J96" s="169">
        <f>IF(J92=0,0,SUMIFS(операции!$AG:$AG,операции!$X:$X,"&gt;="&amp;J$8,операции!$X:$X,"&lt;="&amp;J$9,операции!$O:$O,$E96)/J92-SUMIFS(операции!$AF:$AF,операции!$X:$X,"&gt;="&amp;J$8,операции!$X:$X,"&lt;="&amp;J$9,операции!$O:$O,$E96)/J93)</f>
        <v>47.517681576209725</v>
      </c>
      <c r="K96" s="169">
        <f>IF(K92=0,0,SUMIFS(операции!$AG:$AG,операции!$X:$X,"&gt;="&amp;K$8,операции!$X:$X,"&lt;="&amp;K$9,операции!$O:$O,$E96)/K92-SUMIFS(операции!$AF:$AF,операции!$X:$X,"&gt;="&amp;K$8,операции!$X:$X,"&lt;="&amp;K$9,операции!$O:$O,$E96)/K93)</f>
        <v>48.204387185411179</v>
      </c>
      <c r="L96" s="169">
        <f>IF(L92=0,0,SUMIFS(операции!$AG:$AG,операции!$X:$X,"&gt;="&amp;L$8,операции!$X:$X,"&lt;="&amp;L$9,операции!$O:$O,$E96)/L92-SUMIFS(операции!$AF:$AF,операции!$X:$X,"&gt;="&amp;L$8,операции!$X:$X,"&lt;="&amp;L$9,операции!$O:$O,$E96)/L93)</f>
        <v>23.036593429489585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>
      <c r="A97" s="12"/>
      <c r="B97" s="12"/>
      <c r="C97" s="12"/>
      <c r="D97" s="131" t="s">
        <v>238</v>
      </c>
      <c r="E97" s="131" t="str">
        <f t="shared" si="28"/>
        <v>КидсТрейд</v>
      </c>
      <c r="F97" s="131" t="s">
        <v>217</v>
      </c>
      <c r="G97" s="131"/>
      <c r="H97" s="166">
        <f>SUMIFS(операции!$V:$V,операции!$T:$T,"&lt;="&amp;$H$9,операции!$X:$X,"",операции!$O:$O,$E97)</f>
        <v>47618.14</v>
      </c>
      <c r="I97" s="178">
        <f>H97-L97</f>
        <v>0</v>
      </c>
      <c r="J97" s="167">
        <f>SUMIFS(операции!$V:$V,операции!$T:$T,"&lt;="&amp;J$9,операции!$X:$X,"",операции!$O:$O,$E97)+SUMIFS(операции!$V:$V,операции!$T:$T,"&lt;="&amp;J$9,операции!$X:$X,"&gt;"&amp;J$9,операции!$O:$O,$E97)</f>
        <v>58248.58</v>
      </c>
      <c r="K97" s="167">
        <f>SUMIFS(операции!$V:$V,операции!$T:$T,"&lt;="&amp;K$9,операции!$X:$X,"",операции!$O:$O,$E97)+SUMIFS(операции!$V:$V,операции!$T:$T,"&lt;="&amp;K$9,операции!$X:$X,"&gt;"&amp;K$9,операции!$O:$O,$E97)</f>
        <v>57624.82</v>
      </c>
      <c r="L97" s="167">
        <f>SUMIFS(операции!$V:$V,операции!$T:$T,"&lt;="&amp;L$9,операции!$X:$X,"",операции!$O:$O,$E97)+SUMIFS(операции!$V:$V,операции!$T:$T,"&lt;="&amp;L$9,операции!$X:$X,"&gt;"&amp;L$9,операции!$O:$O,$E97)</f>
        <v>47618.14</v>
      </c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 s="5" customFormat="1">
      <c r="A98" s="1"/>
      <c r="B98" s="1"/>
      <c r="C98" s="1"/>
      <c r="D98" s="168" t="s">
        <v>239</v>
      </c>
      <c r="E98" s="168" t="str">
        <f t="shared" si="28"/>
        <v>КидсТрейд</v>
      </c>
      <c r="F98" s="168" t="s">
        <v>219</v>
      </c>
      <c r="G98" s="168"/>
      <c r="H98" s="169">
        <f>IF(H97=0,0,$H$9-SUMIFS(операции!$AF:$AF,операции!$T:$T,"&lt;="&amp;$H$9,операции!$X:$X,"",операции!$O:$O,$E98)/H97)</f>
        <v>145.94165731799148</v>
      </c>
      <c r="I98" s="177">
        <f>H98-L98</f>
        <v>0</v>
      </c>
      <c r="J98" s="169">
        <f>IF(J97=0,0,J$9-(SUMIFS(операции!$AF:$AF,операции!$T:$T,"&lt;="&amp;J$9,операции!$X:$X,"",операции!$O:$O,$E98)+SUMIFS(операции!$AF:$AF,операции!$T:$T,"&lt;="&amp;J$9,операции!$X:$X,"&gt;"&amp;J$9,операции!$O:$O,$E98))/J97)</f>
        <v>163.51456842380867</v>
      </c>
      <c r="K98" s="169">
        <f>IF(K97=0,0,K$9-(SUMIFS(операции!$AF:$AF,операции!$T:$T,"&lt;="&amp;K$9,операции!$X:$X,"",операции!$O:$O,$E98)+SUMIFS(операции!$AF:$AF,операции!$T:$T,"&lt;="&amp;K$9,операции!$X:$X,"&gt;"&amp;K$9,операции!$O:$O,$E98))/K97)</f>
        <v>105.82437671822845</v>
      </c>
      <c r="L98" s="169">
        <f>IF(L97=0,0,L$9-(SUMIFS(операции!$AF:$AF,операции!$T:$T,"&lt;="&amp;L$9,операции!$X:$X,"",операции!$O:$O,$E98)+SUMIFS(операции!$AF:$AF,операции!$T:$T,"&lt;="&amp;L$9,операции!$X:$X,"&gt;"&amp;L$9,операции!$O:$O,$E98))/L97)</f>
        <v>145.94165731799148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s="93" customFormat="1" ht="15">
      <c r="A99" s="92"/>
      <c r="B99" s="92"/>
      <c r="C99" s="92"/>
      <c r="D99" s="98" t="s">
        <v>237</v>
      </c>
      <c r="E99" s="120" t="str">
        <f t="shared" si="28"/>
        <v>КидсТрейд</v>
      </c>
      <c r="F99" s="98" t="s">
        <v>219</v>
      </c>
      <c r="G99" s="98"/>
      <c r="H99" s="99">
        <f>IF(H92=0,H98,(SUMIFS(операции!$AG:$AG,операции!$X:$X,"&gt;="&amp;$H$8,операции!$X:$X,"&lt;="&amp;$H$9,операции!$O:$O,$E99)+$H$9*H97)/(H92+H97)-(SUMIFS(операции!$AF:$AF,операции!$X:$X,"&gt;="&amp;$H$8,операции!$X:$X,"&lt;="&amp;$H$9,операции!$O:$O,$E99)+SUMIFS(операции!$AF:$AF,операции!$T:$T,"&lt;="&amp;$H$9,операции!$X:$X,"",операции!$O:$O,$E99))/(H93+H97))</f>
        <v>65.025556949462043</v>
      </c>
      <c r="I99" s="175"/>
      <c r="J99" s="99">
        <f>IF(J92=0,J98,(SUMIFS(операции!$AG:$AG,операции!$X:$X,"&gt;="&amp;J$8,операции!$X:$X,"&lt;="&amp;J$9,операции!$O:$O,$E99)+J$9*J97)/(J92+J97)-(SUMIFS(операции!$AF:$AF,операции!$X:$X,"&gt;="&amp;J$8,операции!$X:$X,"&lt;="&amp;J$9,операции!$O:$O,$E99)+SUMIFS(операции!$AF:$AF,операции!$T:$T,"&lt;="&amp;J$9,операции!$X:$X,"",операции!$O:$O,$E99)+SUMIFS(операции!$AF:$AF,операции!$T:$T,"&lt;="&amp;J$9,операции!$X:$X,"&gt;"&amp;J$9,операции!$O:$O,$E99))/(J93+J97))</f>
        <v>123.37380184444191</v>
      </c>
      <c r="K99" s="99">
        <f>IF(K92=0,K98,(SUMIFS(операции!$AG:$AG,операции!$X:$X,"&gt;="&amp;K$8,операции!$X:$X,"&lt;="&amp;K$9,операции!$O:$O,$E99)+K$9*K97)/(K92+K97)-(SUMIFS(операции!$AF:$AF,операции!$X:$X,"&gt;="&amp;K$8,операции!$X:$X,"&lt;="&amp;K$9,операции!$O:$O,$E99)+SUMIFS(операции!$AF:$AF,операции!$T:$T,"&lt;="&amp;K$9,операции!$X:$X,"",операции!$O:$O,$E99)+SUMIFS(операции!$AF:$AF,операции!$T:$T,"&lt;="&amp;K$9,операции!$X:$X,"&gt;"&amp;K$9,операции!$O:$O,$E99))/(K93+K97))</f>
        <v>65.591825184237678</v>
      </c>
      <c r="L99" s="99">
        <f>IF(L92=0,L98,(SUMIFS(операции!$AG:$AG,операции!$X:$X,"&gt;="&amp;L$8,операции!$X:$X,"&lt;="&amp;L$9,операции!$O:$O,$E99)+L$9*L97)/(L92+L97)-(SUMIFS(операции!$AF:$AF,операции!$X:$X,"&gt;="&amp;L$8,операции!$X:$X,"&lt;="&amp;L$9,операции!$O:$O,$E99)+SUMIFS(операции!$AF:$AF,операции!$T:$T,"&lt;="&amp;L$9,операции!$X:$X,"",операции!$O:$O,$E99)+SUMIFS(операции!$AF:$AF,операции!$T:$T,"&lt;="&amp;L$9,операции!$X:$X,"&gt;"&amp;L$9,операции!$O:$O,$E99))/(L93+L97))</f>
        <v>105.37785175905447</v>
      </c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</row>
    <row r="100" spans="1:27">
      <c r="A100" s="12"/>
      <c r="B100" s="12"/>
      <c r="C100" s="12"/>
      <c r="D100" s="97"/>
      <c r="E100" s="97"/>
      <c r="F100" s="97"/>
      <c r="G100" s="97"/>
      <c r="H100" s="100"/>
      <c r="I100" s="109"/>
      <c r="J100" s="97"/>
      <c r="K100" s="97"/>
      <c r="L100" s="97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>
      <c r="A101" s="12"/>
      <c r="B101" s="12"/>
      <c r="C101" s="12"/>
      <c r="D101" s="12" t="s">
        <v>210</v>
      </c>
      <c r="E101" s="12" t="str">
        <f>микс!$H$33</f>
        <v>КлиматКо</v>
      </c>
      <c r="F101" s="12" t="s">
        <v>217</v>
      </c>
      <c r="G101" s="12"/>
      <c r="H101" s="90">
        <f>SUMIFS(операции!$Z:$Z,операции!$X:$X,"&gt;="&amp;H$8,операции!$X:$X,"&lt;="&amp;H$9,операции!$O:$O,$E101)</f>
        <v>125046</v>
      </c>
      <c r="I101" s="108"/>
      <c r="J101" s="53">
        <f>SUMIFS(операции!$Z:$Z,операции!$X:$X,"&gt;="&amp;J$8,операции!$X:$X,"&lt;="&amp;J$9,операции!$O:$O,$E101)</f>
        <v>25650</v>
      </c>
      <c r="K101" s="53">
        <f>SUMIFS(операции!$Z:$Z,операции!$X:$X,"&gt;="&amp;K$8,операции!$X:$X,"&lt;="&amp;K$9,операции!$O:$O,$E101)</f>
        <v>74665</v>
      </c>
      <c r="L101" s="53">
        <f>SUMIFS(операции!$Z:$Z,операции!$X:$X,"&gt;="&amp;L$8,операции!$X:$X,"&lt;="&amp;L$9,операции!$O:$O,$E101)</f>
        <v>24731</v>
      </c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>
      <c r="A102" s="12"/>
      <c r="B102" s="12"/>
      <c r="C102" s="12"/>
      <c r="D102" s="12" t="s">
        <v>211</v>
      </c>
      <c r="E102" s="12" t="str">
        <f>E101</f>
        <v>КлиматКо</v>
      </c>
      <c r="F102" s="12" t="s">
        <v>217</v>
      </c>
      <c r="G102" s="12"/>
      <c r="H102" s="90">
        <f>SUMIFS(операции!$V:$V,операции!$X:$X,"&gt;="&amp;H$8,операции!$X:$X,"&lt;="&amp;H$9,операции!$O:$O,$E102)</f>
        <v>114182.26000000001</v>
      </c>
      <c r="I102" s="108"/>
      <c r="J102" s="53">
        <f>SUMIFS(операции!$V:$V,операции!$X:$X,"&gt;="&amp;J$8,операции!$X:$X,"&lt;="&amp;J$9,операции!$O:$O,$E102)</f>
        <v>22923.05</v>
      </c>
      <c r="K102" s="53">
        <f>SUMIFS(операции!$V:$V,операции!$X:$X,"&gt;="&amp;K$8,операции!$X:$X,"&lt;="&amp;K$9,операции!$O:$O,$E102)</f>
        <v>68931.760000000009</v>
      </c>
      <c r="L102" s="53">
        <f>SUMIFS(операции!$V:$V,операции!$X:$X,"&gt;="&amp;L$8,операции!$X:$X,"&lt;="&amp;L$9,операции!$O:$O,$E102)</f>
        <v>22327.45</v>
      </c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>
      <c r="A103" s="12"/>
      <c r="B103" s="12"/>
      <c r="C103" s="12"/>
      <c r="D103" s="12" t="s">
        <v>212</v>
      </c>
      <c r="E103" s="12" t="str">
        <f t="shared" ref="E103:E108" si="31">E102</f>
        <v>КлиматКо</v>
      </c>
      <c r="F103" s="12" t="s">
        <v>217</v>
      </c>
      <c r="G103" s="12"/>
      <c r="H103" s="90">
        <f>H101-H102</f>
        <v>10863.739999999991</v>
      </c>
      <c r="I103" s="108"/>
      <c r="J103" s="53">
        <f>J101-J102</f>
        <v>2726.9500000000007</v>
      </c>
      <c r="K103" s="53">
        <f t="shared" ref="K103:L103" si="32">K101-K102</f>
        <v>5733.2399999999907</v>
      </c>
      <c r="L103" s="53">
        <f t="shared" si="32"/>
        <v>2403.5499999999993</v>
      </c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 s="119" customFormat="1">
      <c r="A104" s="87"/>
      <c r="B104" s="87"/>
      <c r="C104" s="87"/>
      <c r="D104" s="87" t="s">
        <v>213</v>
      </c>
      <c r="E104" s="87" t="str">
        <f t="shared" si="31"/>
        <v>КлиматКо</v>
      </c>
      <c r="F104" s="87" t="s">
        <v>218</v>
      </c>
      <c r="G104" s="87"/>
      <c r="H104" s="116">
        <f>IF(H101=0,0,H103/H101)</f>
        <v>8.6877948914799275E-2</v>
      </c>
      <c r="I104" s="117"/>
      <c r="J104" s="118">
        <f>IF(J101=0,0,J103/J101)</f>
        <v>0.10631384015594544</v>
      </c>
      <c r="K104" s="118">
        <f t="shared" ref="K104:L104" si="33">IF(K101=0,0,K103/K101)</f>
        <v>7.6786178262907526E-2</v>
      </c>
      <c r="L104" s="118">
        <f t="shared" si="33"/>
        <v>9.718774008329624E-2</v>
      </c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</row>
    <row r="105" spans="1:27" s="5" customFormat="1">
      <c r="A105" s="1"/>
      <c r="B105" s="1"/>
      <c r="C105" s="1"/>
      <c r="D105" s="168" t="s">
        <v>220</v>
      </c>
      <c r="E105" s="168" t="str">
        <f t="shared" si="31"/>
        <v>КлиматКо</v>
      </c>
      <c r="F105" s="168" t="s">
        <v>219</v>
      </c>
      <c r="G105" s="168"/>
      <c r="H105" s="169">
        <f>IF(H101=0,0,SUMIFS(операции!$AG:$AG,операции!$X:$X,"&gt;="&amp;H$8,операции!$X:$X,"&lt;="&amp;H$9,операции!$O:$O,$E105)/H101-SUMIFS(операции!$AF:$AF,операции!$X:$X,"&gt;="&amp;H$8,операции!$X:$X,"&lt;="&amp;H$9,операции!$O:$O,$E105)/H102)</f>
        <v>35.144859785883455</v>
      </c>
      <c r="I105" s="177"/>
      <c r="J105" s="169">
        <f>IF(J101=0,0,SUMIFS(операции!$AG:$AG,операции!$X:$X,"&gt;="&amp;J$8,операции!$X:$X,"&lt;="&amp;J$9,операции!$O:$O,$E105)/J101-SUMIFS(операции!$AF:$AF,операции!$X:$X,"&gt;="&amp;J$8,операции!$X:$X,"&lt;="&amp;J$9,операции!$O:$O,$E105)/J102)</f>
        <v>45.630284179896989</v>
      </c>
      <c r="K105" s="169">
        <f>IF(K101=0,0,SUMIFS(операции!$AG:$AG,операции!$X:$X,"&gt;="&amp;K$8,операции!$X:$X,"&lt;="&amp;K$9,операции!$O:$O,$E105)/K101-SUMIFS(операции!$AF:$AF,операции!$X:$X,"&gt;="&amp;K$8,операции!$X:$X,"&lt;="&amp;K$9,операции!$O:$O,$E105)/K102)</f>
        <v>27.86930936142744</v>
      </c>
      <c r="L105" s="169">
        <f>IF(L101=0,0,SUMIFS(операции!$AG:$AG,операции!$X:$X,"&gt;="&amp;L$8,операции!$X:$X,"&lt;="&amp;L$9,операции!$O:$O,$E105)/L101-SUMIFS(операции!$AF:$AF,операции!$X:$X,"&gt;="&amp;L$8,операции!$X:$X,"&lt;="&amp;L$9,операции!$O:$O,$E105)/L102)</f>
        <v>47.268971294077346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>
      <c r="A106" s="12"/>
      <c r="B106" s="12"/>
      <c r="C106" s="12"/>
      <c r="D106" s="131" t="s">
        <v>238</v>
      </c>
      <c r="E106" s="131" t="str">
        <f t="shared" si="31"/>
        <v>КлиматКо</v>
      </c>
      <c r="F106" s="131" t="s">
        <v>217</v>
      </c>
      <c r="G106" s="131"/>
      <c r="H106" s="166">
        <f>SUMIFS(операции!$V:$V,операции!$T:$T,"&lt;="&amp;$H$9,операции!$X:$X,"",операции!$O:$O,$E106)</f>
        <v>50976.86</v>
      </c>
      <c r="I106" s="178">
        <f>H106-L106</f>
        <v>0</v>
      </c>
      <c r="J106" s="167">
        <f>SUMIFS(операции!$V:$V,операции!$T:$T,"&lt;="&amp;J$9,операции!$X:$X,"",операции!$O:$O,$E106)+SUMIFS(операции!$V:$V,операции!$T:$T,"&lt;="&amp;J$9,операции!$X:$X,"&gt;"&amp;J$9,операции!$O:$O,$E106)</f>
        <v>50409.56</v>
      </c>
      <c r="K106" s="167">
        <f>SUMIFS(операции!$V:$V,операции!$T:$T,"&lt;="&amp;K$9,операции!$X:$X,"",операции!$O:$O,$E106)+SUMIFS(операции!$V:$V,операции!$T:$T,"&lt;="&amp;K$9,операции!$X:$X,"&gt;"&amp;K$9,операции!$O:$O,$E106)</f>
        <v>49850.16</v>
      </c>
      <c r="L106" s="167">
        <f>SUMIFS(операции!$V:$V,операции!$T:$T,"&lt;="&amp;L$9,операции!$X:$X,"",операции!$O:$O,$E106)+SUMIFS(операции!$V:$V,операции!$T:$T,"&lt;="&amp;L$9,операции!$X:$X,"&gt;"&amp;L$9,операции!$O:$O,$E106)</f>
        <v>50976.86</v>
      </c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s="5" customFormat="1">
      <c r="A107" s="1"/>
      <c r="B107" s="1"/>
      <c r="C107" s="1"/>
      <c r="D107" s="168" t="s">
        <v>239</v>
      </c>
      <c r="E107" s="168" t="str">
        <f t="shared" si="31"/>
        <v>КлиматКо</v>
      </c>
      <c r="F107" s="168" t="s">
        <v>219</v>
      </c>
      <c r="G107" s="168"/>
      <c r="H107" s="169">
        <f>IF(H106=0,0,$H$9-SUMIFS(операции!$AF:$AF,операции!$T:$T,"&lt;="&amp;$H$9,операции!$X:$X,"",операции!$O:$O,$E107)/H106)</f>
        <v>64.908010222679877</v>
      </c>
      <c r="I107" s="177">
        <f>H107-L107</f>
        <v>0</v>
      </c>
      <c r="J107" s="169">
        <f>IF(J106=0,0,J$9-(SUMIFS(операции!$AF:$AF,операции!$T:$T,"&lt;="&amp;J$9,операции!$X:$X,"",операции!$O:$O,$E107)+SUMIFS(операции!$AF:$AF,операции!$T:$T,"&lt;="&amp;J$9,операции!$X:$X,"&gt;"&amp;J$9,операции!$O:$O,$E107))/J106)</f>
        <v>65.766541108474485</v>
      </c>
      <c r="K107" s="169">
        <f>IF(K106=0,0,K$9-(SUMIFS(операции!$AF:$AF,операции!$T:$T,"&lt;="&amp;K$9,операции!$X:$X,"",операции!$O:$O,$E107)+SUMIFS(операции!$AF:$AF,операции!$T:$T,"&lt;="&amp;K$9,операции!$X:$X,"&gt;"&amp;K$9,операции!$O:$O,$E107))/K106)</f>
        <v>66.40874151657772</v>
      </c>
      <c r="L107" s="169">
        <f>IF(L106=0,0,L$9-(SUMIFS(операции!$AF:$AF,операции!$T:$T,"&lt;="&amp;L$9,операции!$X:$X,"",операции!$O:$O,$E107)+SUMIFS(операции!$AF:$AF,операции!$T:$T,"&lt;="&amp;L$9,операции!$X:$X,"&gt;"&amp;L$9,операции!$O:$O,$E107))/L106)</f>
        <v>64.908010222679877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s="93" customFormat="1" ht="15">
      <c r="A108" s="92"/>
      <c r="B108" s="92"/>
      <c r="C108" s="92"/>
      <c r="D108" s="98" t="s">
        <v>237</v>
      </c>
      <c r="E108" s="120" t="str">
        <f t="shared" si="31"/>
        <v>КлиматКо</v>
      </c>
      <c r="F108" s="98" t="s">
        <v>219</v>
      </c>
      <c r="G108" s="98"/>
      <c r="H108" s="99">
        <f>IF(H101=0,H107,(SUMIFS(операции!$AG:$AG,операции!$X:$X,"&gt;="&amp;$H$8,операции!$X:$X,"&lt;="&amp;$H$9,операции!$O:$O,$E108)+$H$9*H106)/(H101+H106)-(SUMIFS(операции!$AF:$AF,операции!$X:$X,"&gt;="&amp;$H$8,операции!$X:$X,"&lt;="&amp;$H$9,операции!$O:$O,$E108)+SUMIFS(операции!$AF:$AF,операции!$T:$T,"&lt;="&amp;$H$9,операции!$X:$X,"",операции!$O:$O,$E108))/(H102+H106))</f>
        <v>43.508917116450903</v>
      </c>
      <c r="I108" s="175"/>
      <c r="J108" s="99">
        <f>IF(J101=0,J107,(SUMIFS(операции!$AG:$AG,операции!$X:$X,"&gt;="&amp;J$8,операции!$X:$X,"&lt;="&amp;J$9,операции!$O:$O,$E108)+J$9*J106)/(J101+J106)-(SUMIFS(операции!$AF:$AF,операции!$X:$X,"&gt;="&amp;J$8,операции!$X:$X,"&lt;="&amp;J$9,операции!$O:$O,$E108)+SUMIFS(операции!$AF:$AF,операции!$T:$T,"&lt;="&amp;J$9,операции!$X:$X,"",операции!$O:$O,$E108)+SUMIFS(операции!$AF:$AF,операции!$T:$T,"&lt;="&amp;J$9,операции!$X:$X,"&gt;"&amp;J$9,операции!$O:$O,$E108))/(J102+J106))</f>
        <v>59.361360935872653</v>
      </c>
      <c r="K108" s="99">
        <f>IF(K101=0,K107,(SUMIFS(операции!$AG:$AG,операции!$X:$X,"&gt;="&amp;K$8,операции!$X:$X,"&lt;="&amp;K$9,операции!$O:$O,$E108)+K$9*K106)/(K101+K106)-(SUMIFS(операции!$AF:$AF,операции!$X:$X,"&gt;="&amp;K$8,операции!$X:$X,"&lt;="&amp;K$9,операции!$O:$O,$E108)+SUMIFS(операции!$AF:$AF,операции!$T:$T,"&lt;="&amp;K$9,операции!$X:$X,"",операции!$O:$O,$E108)+SUMIFS(операции!$AF:$AF,операции!$T:$T,"&lt;="&amp;K$9,операции!$X:$X,"&gt;"&amp;K$9,операции!$O:$O,$E108))/(K102+K106))</f>
        <v>43.862983166996855</v>
      </c>
      <c r="L108" s="99">
        <f>IF(L101=0,L107,(SUMIFS(операции!$AG:$AG,операции!$X:$X,"&gt;="&amp;L$8,операции!$X:$X,"&lt;="&amp;L$9,операции!$O:$O,$E108)+L$9*L106)/(L101+L106)-(SUMIFS(операции!$AF:$AF,операции!$X:$X,"&gt;="&amp;L$8,операции!$X:$X,"&lt;="&amp;L$9,операции!$O:$O,$E108)+SUMIFS(операции!$AF:$AF,операции!$T:$T,"&lt;="&amp;L$9,операции!$X:$X,"",операции!$O:$O,$E108)+SUMIFS(операции!$AF:$AF,операции!$T:$T,"&lt;="&amp;L$9,операции!$X:$X,"&gt;"&amp;L$9,операции!$O:$O,$E108))/(L102+L106))</f>
        <v>58.904468362161424</v>
      </c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</row>
    <row r="109" spans="1:27">
      <c r="A109" s="12"/>
      <c r="B109" s="12"/>
      <c r="C109" s="12"/>
      <c r="D109" s="12"/>
      <c r="E109" s="12"/>
      <c r="F109" s="12"/>
      <c r="G109" s="12"/>
      <c r="H109" s="1"/>
      <c r="I109" s="108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>
      <c r="A110" s="12"/>
      <c r="B110" s="12"/>
      <c r="C110" s="12"/>
      <c r="D110" s="12" t="s">
        <v>210</v>
      </c>
      <c r="E110" s="12" t="str">
        <f>микс!$H$34</f>
        <v>Лайтс</v>
      </c>
      <c r="F110" s="12" t="s">
        <v>217</v>
      </c>
      <c r="G110" s="12"/>
      <c r="H110" s="90">
        <f>SUMIFS(операции!$Z:$Z,операции!$X:$X,"&gt;="&amp;H$8,операции!$X:$X,"&lt;="&amp;H$9,операции!$O:$O,$E110)</f>
        <v>228572</v>
      </c>
      <c r="I110" s="108"/>
      <c r="J110" s="53">
        <f>SUMIFS(операции!$Z:$Z,операции!$X:$X,"&gt;="&amp;J$8,операции!$X:$X,"&lt;="&amp;J$9,операции!$O:$O,$E110)</f>
        <v>33130</v>
      </c>
      <c r="K110" s="53">
        <f>SUMIFS(операции!$Z:$Z,операции!$X:$X,"&gt;="&amp;K$8,операции!$X:$X,"&lt;="&amp;K$9,операции!$O:$O,$E110)</f>
        <v>171682</v>
      </c>
      <c r="L110" s="53">
        <f>SUMIFS(операции!$Z:$Z,операции!$X:$X,"&gt;="&amp;L$8,операции!$X:$X,"&lt;="&amp;L$9,операции!$O:$O,$E110)</f>
        <v>23760</v>
      </c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>
      <c r="A111" s="12"/>
      <c r="B111" s="12"/>
      <c r="C111" s="12"/>
      <c r="D111" s="12" t="s">
        <v>211</v>
      </c>
      <c r="E111" s="12" t="str">
        <f>E110</f>
        <v>Лайтс</v>
      </c>
      <c r="F111" s="12" t="s">
        <v>217</v>
      </c>
      <c r="G111" s="12"/>
      <c r="H111" s="90">
        <f>SUMIFS(операции!$V:$V,операции!$X:$X,"&gt;="&amp;H$8,операции!$X:$X,"&lt;="&amp;H$9,операции!$O:$O,$E111)</f>
        <v>199449.3</v>
      </c>
      <c r="I111" s="108"/>
      <c r="J111" s="53">
        <f>SUMIFS(операции!$V:$V,операции!$X:$X,"&gt;="&amp;J$8,операции!$X:$X,"&lt;="&amp;J$9,операции!$O:$O,$E111)</f>
        <v>26741.599999999999</v>
      </c>
      <c r="K111" s="53">
        <f>SUMIFS(операции!$V:$V,операции!$X:$X,"&gt;="&amp;K$8,операции!$X:$X,"&lt;="&amp;K$9,операции!$O:$O,$E111)</f>
        <v>156309.07999999999</v>
      </c>
      <c r="L111" s="53">
        <f>SUMIFS(операции!$V:$V,операции!$X:$X,"&gt;="&amp;L$8,операции!$X:$X,"&lt;="&amp;L$9,операции!$O:$O,$E111)</f>
        <v>16398.62</v>
      </c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>
      <c r="A112" s="12"/>
      <c r="B112" s="12"/>
      <c r="C112" s="12"/>
      <c r="D112" s="12" t="s">
        <v>212</v>
      </c>
      <c r="E112" s="12" t="str">
        <f t="shared" ref="E112:E117" si="34">E111</f>
        <v>Лайтс</v>
      </c>
      <c r="F112" s="12" t="s">
        <v>217</v>
      </c>
      <c r="G112" s="12"/>
      <c r="H112" s="90">
        <f>H110-H111</f>
        <v>29122.700000000012</v>
      </c>
      <c r="I112" s="108"/>
      <c r="J112" s="53">
        <f>J110-J111</f>
        <v>6388.4000000000015</v>
      </c>
      <c r="K112" s="53">
        <f t="shared" ref="K112:L112" si="35">K110-K111</f>
        <v>15372.920000000013</v>
      </c>
      <c r="L112" s="53">
        <f t="shared" si="35"/>
        <v>7361.380000000001</v>
      </c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s="119" customFormat="1">
      <c r="A113" s="87"/>
      <c r="B113" s="87"/>
      <c r="C113" s="87"/>
      <c r="D113" s="87" t="s">
        <v>213</v>
      </c>
      <c r="E113" s="87" t="str">
        <f t="shared" si="34"/>
        <v>Лайтс</v>
      </c>
      <c r="F113" s="87" t="s">
        <v>218</v>
      </c>
      <c r="G113" s="87"/>
      <c r="H113" s="116">
        <f>IF(H110=0,0,H112/H110)</f>
        <v>0.12741149397126511</v>
      </c>
      <c r="I113" s="117"/>
      <c r="J113" s="118">
        <f>IF(J110=0,0,J112/J110)</f>
        <v>0.19282825233926959</v>
      </c>
      <c r="K113" s="118">
        <f t="shared" ref="K113:L113" si="36">IF(K110=0,0,K112/K110)</f>
        <v>8.9542992276418099E-2</v>
      </c>
      <c r="L113" s="118">
        <f t="shared" si="36"/>
        <v>0.30982239057239064</v>
      </c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</row>
    <row r="114" spans="1:27" s="5" customFormat="1">
      <c r="A114" s="1"/>
      <c r="B114" s="1"/>
      <c r="C114" s="1"/>
      <c r="D114" s="168" t="s">
        <v>220</v>
      </c>
      <c r="E114" s="168" t="str">
        <f t="shared" si="34"/>
        <v>Лайтс</v>
      </c>
      <c r="F114" s="168" t="s">
        <v>219</v>
      </c>
      <c r="G114" s="168"/>
      <c r="H114" s="169">
        <f>IF(H110=0,0,SUMIFS(операции!$AG:$AG,операции!$X:$X,"&gt;="&amp;H$8,операции!$X:$X,"&lt;="&amp;H$9,операции!$O:$O,$E114)/H110-SUMIFS(операции!$AF:$AF,операции!$X:$X,"&gt;="&amp;H$8,операции!$X:$X,"&lt;="&amp;H$9,операции!$O:$O,$E114)/H111)</f>
        <v>21.945011961484852</v>
      </c>
      <c r="I114" s="177"/>
      <c r="J114" s="169">
        <f>IF(J110=0,0,SUMIFS(операции!$AG:$AG,операции!$X:$X,"&gt;="&amp;J$8,операции!$X:$X,"&lt;="&amp;J$9,операции!$O:$O,$E114)/J110-SUMIFS(операции!$AF:$AF,операции!$X:$X,"&gt;="&amp;J$8,операции!$X:$X,"&lt;="&amp;J$9,операции!$O:$O,$E114)/J111)</f>
        <v>16.92950820268743</v>
      </c>
      <c r="K114" s="169">
        <f>IF(K110=0,0,SUMIFS(операции!$AG:$AG,операции!$X:$X,"&gt;="&amp;K$8,операции!$X:$X,"&lt;="&amp;K$9,операции!$O:$O,$E114)/K110-SUMIFS(операции!$AF:$AF,операции!$X:$X,"&gt;="&amp;K$8,операции!$X:$X,"&lt;="&amp;K$9,операции!$O:$O,$E114)/K111)</f>
        <v>23.657392480621638</v>
      </c>
      <c r="L114" s="169">
        <f>IF(L110=0,0,SUMIFS(операции!$AG:$AG,операции!$X:$X,"&gt;="&amp;L$8,операции!$X:$X,"&lt;="&amp;L$9,операции!$O:$O,$E114)/L110-SUMIFS(операции!$AF:$AF,операции!$X:$X,"&gt;="&amp;L$8,операции!$X:$X,"&lt;="&amp;L$9,операции!$O:$O,$E114)/L111)</f>
        <v>9.7833908648099168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>
      <c r="A115" s="12"/>
      <c r="B115" s="12"/>
      <c r="C115" s="12"/>
      <c r="D115" s="131" t="s">
        <v>238</v>
      </c>
      <c r="E115" s="131" t="str">
        <f t="shared" si="34"/>
        <v>Лайтс</v>
      </c>
      <c r="F115" s="131" t="s">
        <v>217</v>
      </c>
      <c r="G115" s="131"/>
      <c r="H115" s="166">
        <f>SUMIFS(операции!$V:$V,операции!$T:$T,"&lt;="&amp;$H$9,операции!$X:$X,"",операции!$O:$O,$E115)</f>
        <v>64283.65</v>
      </c>
      <c r="I115" s="178">
        <f>H115-L115</f>
        <v>0</v>
      </c>
      <c r="J115" s="167">
        <f>SUMIFS(операции!$V:$V,операции!$T:$T,"&lt;="&amp;J$9,операции!$X:$X,"",операции!$O:$O,$E115)+SUMIFS(операции!$V:$V,операции!$T:$T,"&lt;="&amp;J$9,операции!$X:$X,"&gt;"&amp;J$9,операции!$O:$O,$E115)</f>
        <v>122541.60999999999</v>
      </c>
      <c r="K115" s="167">
        <f>SUMIFS(операции!$V:$V,операции!$T:$T,"&lt;="&amp;K$9,операции!$X:$X,"",операции!$O:$O,$E115)+SUMIFS(операции!$V:$V,операции!$T:$T,"&lt;="&amp;K$9,операции!$X:$X,"&gt;"&amp;K$9,операции!$O:$O,$E115)</f>
        <v>45456.67</v>
      </c>
      <c r="L115" s="167">
        <f>SUMIFS(операции!$V:$V,операции!$T:$T,"&lt;="&amp;L$9,операции!$X:$X,"",операции!$O:$O,$E115)+SUMIFS(операции!$V:$V,операции!$T:$T,"&lt;="&amp;L$9,операции!$X:$X,"&gt;"&amp;L$9,операции!$O:$O,$E115)</f>
        <v>64283.65</v>
      </c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 s="5" customFormat="1">
      <c r="A116" s="1"/>
      <c r="B116" s="1"/>
      <c r="C116" s="1"/>
      <c r="D116" s="168" t="s">
        <v>239</v>
      </c>
      <c r="E116" s="168" t="str">
        <f t="shared" si="34"/>
        <v>Лайтс</v>
      </c>
      <c r="F116" s="168" t="s">
        <v>219</v>
      </c>
      <c r="G116" s="168"/>
      <c r="H116" s="169">
        <f>IF(H115=0,0,$H$9-SUMIFS(операции!$AF:$AF,операции!$T:$T,"&lt;="&amp;$H$9,операции!$X:$X,"",операции!$O:$O,$E116)/H115)</f>
        <v>52.09000282343186</v>
      </c>
      <c r="I116" s="177">
        <f>H116-L116</f>
        <v>0</v>
      </c>
      <c r="J116" s="169">
        <f>IF(J115=0,0,J$9-(SUMIFS(операции!$AF:$AF,операции!$T:$T,"&lt;="&amp;J$9,операции!$X:$X,"",операции!$O:$O,$E116)+SUMIFS(операции!$AF:$AF,операции!$T:$T,"&lt;="&amp;J$9,операции!$X:$X,"&gt;"&amp;J$9,операции!$O:$O,$E116))/J115)</f>
        <v>28.569259209165466</v>
      </c>
      <c r="K116" s="169">
        <f>IF(K115=0,0,K$9-(SUMIFS(операции!$AF:$AF,операции!$T:$T,"&lt;="&amp;K$9,операции!$X:$X,"",операции!$O:$O,$E116)+SUMIFS(операции!$AF:$AF,операции!$T:$T,"&lt;="&amp;K$9,операции!$X:$X,"&gt;"&amp;K$9,операции!$O:$O,$E116))/K115)</f>
        <v>51.708750772988424</v>
      </c>
      <c r="L116" s="169">
        <f>IF(L115=0,0,L$9-(SUMIFS(операции!$AF:$AF,операции!$T:$T,"&lt;="&amp;L$9,операции!$X:$X,"",операции!$O:$O,$E116)+SUMIFS(операции!$AF:$AF,операции!$T:$T,"&lt;="&amp;L$9,операции!$X:$X,"&gt;"&amp;L$9,операции!$O:$O,$E116))/L115)</f>
        <v>52.09000282343186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s="93" customFormat="1" ht="15">
      <c r="A117" s="92"/>
      <c r="B117" s="92"/>
      <c r="C117" s="92"/>
      <c r="D117" s="98" t="s">
        <v>237</v>
      </c>
      <c r="E117" s="120" t="str">
        <f t="shared" si="34"/>
        <v>Лайтс</v>
      </c>
      <c r="F117" s="98" t="s">
        <v>219</v>
      </c>
      <c r="G117" s="98"/>
      <c r="H117" s="99">
        <f>IF(H110=0,H116,(SUMIFS(операции!$AG:$AG,операции!$X:$X,"&gt;="&amp;$H$8,операции!$X:$X,"&lt;="&amp;$H$9,операции!$O:$O,$E117)+$H$9*H115)/(H110+H115)-(SUMIFS(операции!$AF:$AF,операции!$X:$X,"&gt;="&amp;$H$8,операции!$X:$X,"&lt;="&amp;$H$9,операции!$O:$O,$E117)+SUMIFS(операции!$AF:$AF,операции!$T:$T,"&lt;="&amp;$H$9,операции!$X:$X,"",операции!$O:$O,$E117))/(H111+H115))</f>
        <v>28.094299718461116</v>
      </c>
      <c r="I117" s="175"/>
      <c r="J117" s="99">
        <f>IF(J110=0,J116,(SUMIFS(операции!$AG:$AG,операции!$X:$X,"&gt;="&amp;J$8,операции!$X:$X,"&lt;="&amp;J$9,операции!$O:$O,$E117)+J$9*J115)/(J110+J115)-(SUMIFS(операции!$AF:$AF,операции!$X:$X,"&gt;="&amp;J$8,операции!$X:$X,"&lt;="&amp;J$9,операции!$O:$O,$E117)+SUMIFS(операции!$AF:$AF,операции!$T:$T,"&lt;="&amp;J$9,операции!$X:$X,"",операции!$O:$O,$E117)+SUMIFS(операции!$AF:$AF,операции!$T:$T,"&lt;="&amp;J$9,операции!$X:$X,"&gt;"&amp;J$9,операции!$O:$O,$E117))/(J111+J115))</f>
        <v>26.423133130789211</v>
      </c>
      <c r="K117" s="99">
        <f>IF(K110=0,K116,(SUMIFS(операции!$AG:$AG,операции!$X:$X,"&gt;="&amp;K$8,операции!$X:$X,"&lt;="&amp;K$9,операции!$O:$O,$E117)+K$9*K115)/(K110+K115)-(SUMIFS(операции!$AF:$AF,операции!$X:$X,"&gt;="&amp;K$8,операции!$X:$X,"&lt;="&amp;K$9,операции!$O:$O,$E117)+SUMIFS(операции!$AF:$AF,операции!$T:$T,"&lt;="&amp;K$9,операции!$X:$X,"",операции!$O:$O,$E117)+SUMIFS(операции!$AF:$AF,операции!$T:$T,"&lt;="&amp;K$9,операции!$X:$X,"&gt;"&amp;K$9,операции!$O:$O,$E117))/(K111+K115))</f>
        <v>29.677122030334431</v>
      </c>
      <c r="L117" s="99">
        <f>IF(L110=0,L116,(SUMIFS(операции!$AG:$AG,операции!$X:$X,"&gt;="&amp;L$8,операции!$X:$X,"&lt;="&amp;L$9,операции!$O:$O,$E117)+L$9*L115)/(L110+L115)-(SUMIFS(операции!$AF:$AF,операции!$X:$X,"&gt;="&amp;L$8,операции!$X:$X,"&lt;="&amp;L$9,операции!$O:$O,$E117)+SUMIFS(операции!$AF:$AF,операции!$T:$T,"&lt;="&amp;L$9,операции!$X:$X,"",операции!$O:$O,$E117)+SUMIFS(операции!$AF:$AF,операции!$T:$T,"&lt;="&amp;L$9,операции!$X:$X,"&gt;"&amp;L$9,операции!$O:$O,$E117))/(L111+L115))</f>
        <v>41.618665429836255</v>
      </c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</row>
    <row r="118" spans="1:27">
      <c r="A118" s="12"/>
      <c r="B118" s="12"/>
      <c r="C118" s="12"/>
      <c r="D118" s="97"/>
      <c r="E118" s="97"/>
      <c r="F118" s="97"/>
      <c r="G118" s="97"/>
      <c r="H118" s="100"/>
      <c r="I118" s="109"/>
      <c r="J118" s="97"/>
      <c r="K118" s="97"/>
      <c r="L118" s="97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>
      <c r="A119" s="12"/>
      <c r="B119" s="12"/>
      <c r="C119" s="12"/>
      <c r="D119" s="12" t="s">
        <v>210</v>
      </c>
      <c r="E119" s="12" t="str">
        <f>микс!$H$35</f>
        <v>Лекс</v>
      </c>
      <c r="F119" s="12" t="s">
        <v>217</v>
      </c>
      <c r="G119" s="12"/>
      <c r="H119" s="90">
        <f>SUMIFS(операции!$Z:$Z,операции!$X:$X,"&gt;="&amp;H$8,операции!$X:$X,"&lt;="&amp;H$9,операции!$O:$O,$E119)</f>
        <v>57662</v>
      </c>
      <c r="I119" s="108"/>
      <c r="J119" s="53">
        <f>SUMIFS(операции!$Z:$Z,операции!$X:$X,"&gt;="&amp;J$8,операции!$X:$X,"&lt;="&amp;J$9,операции!$O:$O,$E119)</f>
        <v>27266</v>
      </c>
      <c r="K119" s="53">
        <f>SUMIFS(операции!$Z:$Z,операции!$X:$X,"&gt;="&amp;K$8,операции!$X:$X,"&lt;="&amp;K$9,операции!$O:$O,$E119)</f>
        <v>20528</v>
      </c>
      <c r="L119" s="53">
        <f>SUMIFS(операции!$Z:$Z,операции!$X:$X,"&gt;="&amp;L$8,операции!$X:$X,"&lt;="&amp;L$9,операции!$O:$O,$E119)</f>
        <v>9868</v>
      </c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>
      <c r="A120" s="12"/>
      <c r="B120" s="12"/>
      <c r="C120" s="12"/>
      <c r="D120" s="12" t="s">
        <v>211</v>
      </c>
      <c r="E120" s="12" t="str">
        <f>E119</f>
        <v>Лекс</v>
      </c>
      <c r="F120" s="12" t="s">
        <v>217</v>
      </c>
      <c r="G120" s="12"/>
      <c r="H120" s="90">
        <f>SUMIFS(операции!$V:$V,операции!$X:$X,"&gt;="&amp;H$8,операции!$X:$X,"&lt;="&amp;H$9,операции!$O:$O,$E120)</f>
        <v>54621.82</v>
      </c>
      <c r="I120" s="108"/>
      <c r="J120" s="53">
        <f>SUMIFS(операции!$V:$V,операции!$X:$X,"&gt;="&amp;J$8,операции!$X:$X,"&lt;="&amp;J$9,операции!$O:$O,$E120)</f>
        <v>25502</v>
      </c>
      <c r="K120" s="53">
        <f>SUMIFS(операции!$V:$V,операции!$X:$X,"&gt;="&amp;K$8,операции!$X:$X,"&lt;="&amp;K$9,операции!$O:$O,$E120)</f>
        <v>20202.819999999996</v>
      </c>
      <c r="L120" s="53">
        <f>SUMIFS(операции!$V:$V,операции!$X:$X,"&gt;="&amp;L$8,операции!$X:$X,"&lt;="&amp;L$9,операции!$O:$O,$E120)</f>
        <v>8917</v>
      </c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>
      <c r="A121" s="12"/>
      <c r="B121" s="12"/>
      <c r="C121" s="12"/>
      <c r="D121" s="12" t="s">
        <v>212</v>
      </c>
      <c r="E121" s="12" t="str">
        <f t="shared" ref="E121:E126" si="37">E120</f>
        <v>Лекс</v>
      </c>
      <c r="F121" s="12" t="s">
        <v>217</v>
      </c>
      <c r="G121" s="12"/>
      <c r="H121" s="90">
        <f>H119-H120</f>
        <v>3040.1800000000003</v>
      </c>
      <c r="I121" s="108"/>
      <c r="J121" s="53">
        <f>J119-J120</f>
        <v>1764</v>
      </c>
      <c r="K121" s="53">
        <f t="shared" ref="K121:L121" si="38">K119-K120</f>
        <v>325.18000000000393</v>
      </c>
      <c r="L121" s="53">
        <f t="shared" si="38"/>
        <v>951</v>
      </c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 s="119" customFormat="1">
      <c r="A122" s="87"/>
      <c r="B122" s="87"/>
      <c r="C122" s="87"/>
      <c r="D122" s="87" t="s">
        <v>213</v>
      </c>
      <c r="E122" s="87" t="str">
        <f t="shared" si="37"/>
        <v>Лекс</v>
      </c>
      <c r="F122" s="87" t="s">
        <v>218</v>
      </c>
      <c r="G122" s="87"/>
      <c r="H122" s="116">
        <f>IF(H119=0,0,H121/H119)</f>
        <v>5.2724151087371239E-2</v>
      </c>
      <c r="I122" s="117"/>
      <c r="J122" s="118">
        <f>IF(J119=0,0,J121/J119)</f>
        <v>6.4695958336389636E-2</v>
      </c>
      <c r="K122" s="118">
        <f t="shared" ref="K122:L122" si="39">IF(K119=0,0,K121/K119)</f>
        <v>1.5840802805923808E-2</v>
      </c>
      <c r="L122" s="118">
        <f t="shared" si="39"/>
        <v>9.6372111876773414E-2</v>
      </c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</row>
    <row r="123" spans="1:27" s="5" customFormat="1">
      <c r="A123" s="1"/>
      <c r="B123" s="1"/>
      <c r="C123" s="1"/>
      <c r="D123" s="168" t="s">
        <v>220</v>
      </c>
      <c r="E123" s="168" t="str">
        <f t="shared" si="37"/>
        <v>Лекс</v>
      </c>
      <c r="F123" s="168" t="s">
        <v>219</v>
      </c>
      <c r="G123" s="168"/>
      <c r="H123" s="169">
        <f>IF(H119=0,0,SUMIFS(операции!$AG:$AG,операции!$X:$X,"&gt;="&amp;H$8,операции!$X:$X,"&lt;="&amp;H$9,операции!$O:$O,$E123)/H119-SUMIFS(операции!$AF:$AF,операции!$X:$X,"&gt;="&amp;H$8,операции!$X:$X,"&lt;="&amp;H$9,операции!$O:$O,$E123)/H120)</f>
        <v>69.736039998584602</v>
      </c>
      <c r="I123" s="177"/>
      <c r="J123" s="169">
        <f>IF(J119=0,0,SUMIFS(операции!$AG:$AG,операции!$X:$X,"&gt;="&amp;J$8,операции!$X:$X,"&lt;="&amp;J$9,операции!$O:$O,$E123)/J119-SUMIFS(операции!$AF:$AF,операции!$X:$X,"&gt;="&amp;J$8,операции!$X:$X,"&lt;="&amp;J$9,операции!$O:$O,$E123)/J120)</f>
        <v>85.630246077380434</v>
      </c>
      <c r="K123" s="169">
        <f>IF(K119=0,0,SUMIFS(операции!$AG:$AG,операции!$X:$X,"&gt;="&amp;K$8,операции!$X:$X,"&lt;="&amp;K$9,операции!$O:$O,$E123)/K119-SUMIFS(операции!$AF:$AF,операции!$X:$X,"&gt;="&amp;K$8,операции!$X:$X,"&lt;="&amp;K$9,операции!$O:$O,$E123)/K120)</f>
        <v>53.393061829519866</v>
      </c>
      <c r="L123" s="169">
        <f>IF(L119=0,0,SUMIFS(операции!$AG:$AG,операции!$X:$X,"&gt;="&amp;L$8,операции!$X:$X,"&lt;="&amp;L$9,операции!$O:$O,$E123)/L119-SUMIFS(операции!$AF:$AF,операции!$X:$X,"&gt;="&amp;L$8,операции!$X:$X,"&lt;="&amp;L$9,операции!$O:$O,$E123)/L120)</f>
        <v>60.731517781947332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>
      <c r="A124" s="12"/>
      <c r="B124" s="12"/>
      <c r="C124" s="12"/>
      <c r="D124" s="131" t="s">
        <v>238</v>
      </c>
      <c r="E124" s="131" t="str">
        <f t="shared" si="37"/>
        <v>Лекс</v>
      </c>
      <c r="F124" s="131" t="s">
        <v>217</v>
      </c>
      <c r="G124" s="131"/>
      <c r="H124" s="166">
        <f>SUMIFS(операции!$V:$V,операции!$T:$T,"&lt;="&amp;$H$9,операции!$X:$X,"",операции!$O:$O,$E124)</f>
        <v>13998.810000000001</v>
      </c>
      <c r="I124" s="178">
        <f>H124-L124</f>
        <v>0</v>
      </c>
      <c r="J124" s="167">
        <f>SUMIFS(операции!$V:$V,операции!$T:$T,"&lt;="&amp;J$9,операции!$X:$X,"",операции!$O:$O,$E124)+SUMIFS(операции!$V:$V,операции!$T:$T,"&lt;="&amp;J$9,операции!$X:$X,"&gt;"&amp;J$9,операции!$O:$O,$E124)</f>
        <v>39305.629999999997</v>
      </c>
      <c r="K124" s="167">
        <f>SUMIFS(операции!$V:$V,операции!$T:$T,"&lt;="&amp;K$9,операции!$X:$X,"",операции!$O:$O,$E124)+SUMIFS(операции!$V:$V,операции!$T:$T,"&lt;="&amp;K$9,операции!$X:$X,"&gt;"&amp;K$9,операции!$O:$O,$E124)</f>
        <v>22915.81</v>
      </c>
      <c r="L124" s="167">
        <f>SUMIFS(операции!$V:$V,операции!$T:$T,"&lt;="&amp;L$9,операции!$X:$X,"",операции!$O:$O,$E124)+SUMIFS(операции!$V:$V,операции!$T:$T,"&lt;="&amp;L$9,операции!$X:$X,"&gt;"&amp;L$9,операции!$O:$O,$E124)</f>
        <v>13998.810000000001</v>
      </c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 s="5" customFormat="1">
      <c r="A125" s="1"/>
      <c r="B125" s="1"/>
      <c r="C125" s="1"/>
      <c r="D125" s="168" t="s">
        <v>239</v>
      </c>
      <c r="E125" s="168" t="str">
        <f t="shared" si="37"/>
        <v>Лекс</v>
      </c>
      <c r="F125" s="168" t="s">
        <v>219</v>
      </c>
      <c r="G125" s="168"/>
      <c r="H125" s="169">
        <f>IF(H124=0,0,$H$9-SUMIFS(операции!$AF:$AF,операции!$T:$T,"&lt;="&amp;$H$9,операции!$X:$X,"",операции!$O:$O,$E125)/H124)</f>
        <v>147.29995406753005</v>
      </c>
      <c r="I125" s="177">
        <f>H125-L125</f>
        <v>0</v>
      </c>
      <c r="J125" s="169">
        <f>IF(J124=0,0,J$9-(SUMIFS(операции!$AF:$AF,операции!$T:$T,"&lt;="&amp;J$9,операции!$X:$X,"",операции!$O:$O,$E125)+SUMIFS(операции!$AF:$AF,операции!$T:$T,"&lt;="&amp;J$9,операции!$X:$X,"&gt;"&amp;J$9,операции!$O:$O,$E125))/J124)</f>
        <v>60.471594781716703</v>
      </c>
      <c r="K125" s="169">
        <f>IF(K124=0,0,K$9-(SUMIFS(операции!$AF:$AF,операции!$T:$T,"&lt;="&amp;K$9,операции!$X:$X,"",операции!$O:$O,$E125)+SUMIFS(операции!$AF:$AF,операции!$T:$T,"&lt;="&amp;K$9,операции!$X:$X,"&gt;"&amp;K$9,операции!$O:$O,$E125))/K124)</f>
        <v>92.860429546242813</v>
      </c>
      <c r="L125" s="169">
        <f>IF(L124=0,0,L$9-(SUMIFS(операции!$AF:$AF,операции!$T:$T,"&lt;="&amp;L$9,операции!$X:$X,"",операции!$O:$O,$E125)+SUMIFS(операции!$AF:$AF,операции!$T:$T,"&lt;="&amp;L$9,операции!$X:$X,"&gt;"&amp;L$9,операции!$O:$O,$E125))/L124)</f>
        <v>147.29995406753005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s="93" customFormat="1" ht="15">
      <c r="A126" s="92"/>
      <c r="B126" s="92"/>
      <c r="C126" s="92"/>
      <c r="D126" s="98" t="s">
        <v>237</v>
      </c>
      <c r="E126" s="120" t="str">
        <f t="shared" si="37"/>
        <v>Лекс</v>
      </c>
      <c r="F126" s="98" t="s">
        <v>219</v>
      </c>
      <c r="G126" s="98"/>
      <c r="H126" s="99">
        <f>IF(H119=0,H125,(SUMIFS(операции!$AG:$AG,операции!$X:$X,"&gt;="&amp;$H$8,операции!$X:$X,"&lt;="&amp;$H$9,операции!$O:$O,$E126)+$H$9*H124)/(H119+H124)-(SUMIFS(операции!$AF:$AF,операции!$X:$X,"&gt;="&amp;$H$8,операции!$X:$X,"&lt;="&amp;$H$9,операции!$O:$O,$E126)+SUMIFS(операции!$AF:$AF,операции!$T:$T,"&lt;="&amp;$H$9,операции!$X:$X,"",операции!$O:$O,$E126))/(H120+H124))</f>
        <v>85.10645118568209</v>
      </c>
      <c r="I126" s="175"/>
      <c r="J126" s="99">
        <f>IF(J119=0,J125,(SUMIFS(операции!$AG:$AG,операции!$X:$X,"&gt;="&amp;J$8,операции!$X:$X,"&lt;="&amp;J$9,операции!$O:$O,$E126)+J$9*J124)/(J119+J124)-(SUMIFS(операции!$AF:$AF,операции!$X:$X,"&gt;="&amp;J$8,операции!$X:$X,"&lt;="&amp;J$9,операции!$O:$O,$E126)+SUMIFS(операции!$AF:$AF,операции!$T:$T,"&lt;="&amp;J$9,операции!$X:$X,"",операции!$O:$O,$E126)+SUMIFS(операции!$AF:$AF,операции!$T:$T,"&lt;="&amp;J$9,операции!$X:$X,"&gt;"&amp;J$9,операции!$O:$O,$E126))/(J120+J124))</f>
        <v>70.323747856033151</v>
      </c>
      <c r="K126" s="99">
        <f>IF(K119=0,K125,(SUMIFS(операции!$AG:$AG,операции!$X:$X,"&gt;="&amp;K$8,операции!$X:$X,"&lt;="&amp;K$9,операции!$O:$O,$E126)+K$9*K124)/(K119+K124)-(SUMIFS(операции!$AF:$AF,операции!$X:$X,"&gt;="&amp;K$8,операции!$X:$X,"&lt;="&amp;K$9,операции!$O:$O,$E126)+SUMIFS(операции!$AF:$AF,операции!$T:$T,"&lt;="&amp;K$9,операции!$X:$X,"",операции!$O:$O,$E126)+SUMIFS(операции!$AF:$AF,операции!$T:$T,"&lt;="&amp;K$9,операции!$X:$X,"&gt;"&amp;K$9,операции!$O:$O,$E126))/(K120+K124))</f>
        <v>74.29540998734592</v>
      </c>
      <c r="L126" s="99">
        <f>IF(L119=0,L125,(SUMIFS(операции!$AG:$AG,операции!$X:$X,"&gt;="&amp;L$8,операции!$X:$X,"&lt;="&amp;L$9,операции!$O:$O,$E126)+L$9*L124)/(L119+L124)-(SUMIFS(операции!$AF:$AF,операции!$X:$X,"&gt;="&amp;L$8,операции!$X:$X,"&lt;="&amp;L$9,операции!$O:$O,$E126)+SUMIFS(операции!$AF:$AF,операции!$T:$T,"&lt;="&amp;L$9,операции!$X:$X,"",операции!$O:$O,$E126)+SUMIFS(операции!$AF:$AF,операции!$T:$T,"&lt;="&amp;L$9,операции!$X:$X,"&gt;"&amp;L$9,операции!$O:$O,$E126))/(L120+L124))</f>
        <v>112.97351168834575</v>
      </c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</row>
    <row r="127" spans="1:27">
      <c r="A127" s="12"/>
      <c r="B127" s="12"/>
      <c r="C127" s="12"/>
      <c r="D127" s="12"/>
      <c r="E127" s="12"/>
      <c r="F127" s="12"/>
      <c r="G127" s="12"/>
      <c r="H127" s="1"/>
      <c r="I127" s="108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>
      <c r="A128" s="12"/>
      <c r="B128" s="12"/>
      <c r="C128" s="12"/>
      <c r="D128" s="12" t="s">
        <v>210</v>
      </c>
      <c r="E128" s="12" t="str">
        <f>микс!$H$36</f>
        <v>ОдеждаКомп</v>
      </c>
      <c r="F128" s="12" t="s">
        <v>217</v>
      </c>
      <c r="G128" s="12"/>
      <c r="H128" s="90">
        <f>SUMIFS(операции!$Z:$Z,операции!$X:$X,"&gt;="&amp;H$8,операции!$X:$X,"&lt;="&amp;H$9,операции!$O:$O,$E128)</f>
        <v>132850</v>
      </c>
      <c r="I128" s="108"/>
      <c r="J128" s="53">
        <f>SUMIFS(операции!$Z:$Z,операции!$X:$X,"&gt;="&amp;J$8,операции!$X:$X,"&lt;="&amp;J$9,операции!$O:$O,$E128)</f>
        <v>28283</v>
      </c>
      <c r="K128" s="53">
        <f>SUMIFS(операции!$Z:$Z,операции!$X:$X,"&gt;="&amp;K$8,операции!$X:$X,"&lt;="&amp;K$9,операции!$O:$O,$E128)</f>
        <v>78817</v>
      </c>
      <c r="L128" s="53">
        <f>SUMIFS(операции!$Z:$Z,операции!$X:$X,"&gt;="&amp;L$8,операции!$X:$X,"&lt;="&amp;L$9,операции!$O:$O,$E128)</f>
        <v>25750</v>
      </c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>
      <c r="A129" s="12"/>
      <c r="B129" s="12"/>
      <c r="C129" s="12"/>
      <c r="D129" s="12" t="s">
        <v>211</v>
      </c>
      <c r="E129" s="12" t="str">
        <f>E128</f>
        <v>ОдеждаКомп</v>
      </c>
      <c r="F129" s="12" t="s">
        <v>217</v>
      </c>
      <c r="G129" s="12"/>
      <c r="H129" s="90">
        <f>SUMIFS(операции!$V:$V,операции!$X:$X,"&gt;="&amp;H$8,операции!$X:$X,"&lt;="&amp;H$9,операции!$O:$O,$E129)</f>
        <v>90252.13</v>
      </c>
      <c r="I129" s="108"/>
      <c r="J129" s="53">
        <f>SUMIFS(операции!$V:$V,операции!$X:$X,"&gt;="&amp;J$8,операции!$X:$X,"&lt;="&amp;J$9,операции!$O:$O,$E129)</f>
        <v>25034</v>
      </c>
      <c r="K129" s="53">
        <f>SUMIFS(операции!$V:$V,операции!$X:$X,"&gt;="&amp;K$8,операции!$X:$X,"&lt;="&amp;K$9,операции!$O:$O,$E129)</f>
        <v>48713.760000000002</v>
      </c>
      <c r="L129" s="53">
        <f>SUMIFS(операции!$V:$V,операции!$X:$X,"&gt;="&amp;L$8,операции!$X:$X,"&lt;="&amp;L$9,операции!$O:$O,$E129)</f>
        <v>16504.370000000003</v>
      </c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>
      <c r="A130" s="12"/>
      <c r="B130" s="12"/>
      <c r="C130" s="12"/>
      <c r="D130" s="12" t="s">
        <v>212</v>
      </c>
      <c r="E130" s="12" t="str">
        <f t="shared" ref="E130:E135" si="40">E129</f>
        <v>ОдеждаКомп</v>
      </c>
      <c r="F130" s="12" t="s">
        <v>217</v>
      </c>
      <c r="G130" s="12"/>
      <c r="H130" s="90">
        <f>H128-H129</f>
        <v>42597.869999999995</v>
      </c>
      <c r="I130" s="108"/>
      <c r="J130" s="53">
        <f>J128-J129</f>
        <v>3249</v>
      </c>
      <c r="K130" s="53">
        <f t="shared" ref="K130:L130" si="41">K128-K129</f>
        <v>30103.239999999998</v>
      </c>
      <c r="L130" s="53">
        <f t="shared" si="41"/>
        <v>9245.6299999999974</v>
      </c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 s="119" customFormat="1">
      <c r="A131" s="87"/>
      <c r="B131" s="87"/>
      <c r="C131" s="87"/>
      <c r="D131" s="87" t="s">
        <v>213</v>
      </c>
      <c r="E131" s="87" t="str">
        <f t="shared" si="40"/>
        <v>ОдеждаКомп</v>
      </c>
      <c r="F131" s="87" t="s">
        <v>218</v>
      </c>
      <c r="G131" s="87"/>
      <c r="H131" s="116">
        <f>IF(H128=0,0,H130/H128)</f>
        <v>0.32064636808430558</v>
      </c>
      <c r="I131" s="117"/>
      <c r="J131" s="118">
        <f>IF(J128=0,0,J130/J128)</f>
        <v>0.11487465968956617</v>
      </c>
      <c r="K131" s="118">
        <f t="shared" ref="K131:L131" si="42">IF(K128=0,0,K130/K128)</f>
        <v>0.38193841430148318</v>
      </c>
      <c r="L131" s="118">
        <f t="shared" si="42"/>
        <v>0.35905359223300959</v>
      </c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</row>
    <row r="132" spans="1:27" s="5" customFormat="1">
      <c r="A132" s="1"/>
      <c r="B132" s="1"/>
      <c r="C132" s="1"/>
      <c r="D132" s="168" t="s">
        <v>220</v>
      </c>
      <c r="E132" s="168" t="str">
        <f t="shared" si="40"/>
        <v>ОдеждаКомп</v>
      </c>
      <c r="F132" s="168" t="s">
        <v>219</v>
      </c>
      <c r="G132" s="168"/>
      <c r="H132" s="169">
        <f>IF(H128=0,0,SUMIFS(операции!$AG:$AG,операции!$X:$X,"&gt;="&amp;H$8,операции!$X:$X,"&lt;="&amp;H$9,операции!$O:$O,$E132)/H128-SUMIFS(операции!$AF:$AF,операции!$X:$X,"&gt;="&amp;H$8,операции!$X:$X,"&lt;="&amp;H$9,операции!$O:$O,$E132)/H129)</f>
        <v>94.123083225596929</v>
      </c>
      <c r="I132" s="177"/>
      <c r="J132" s="169">
        <f>IF(J128=0,0,SUMIFS(операции!$AG:$AG,операции!$X:$X,"&gt;="&amp;J$8,операции!$X:$X,"&lt;="&amp;J$9,операции!$O:$O,$E132)/J128-SUMIFS(операции!$AF:$AF,операции!$X:$X,"&gt;="&amp;J$8,операции!$X:$X,"&lt;="&amp;J$9,операции!$O:$O,$E132)/J129)</f>
        <v>89.050859888993728</v>
      </c>
      <c r="K132" s="169">
        <f>IF(K128=0,0,SUMIFS(операции!$AG:$AG,операции!$X:$X,"&gt;="&amp;K$8,операции!$X:$X,"&lt;="&amp;K$9,операции!$O:$O,$E132)/K128-SUMIFS(операции!$AF:$AF,операции!$X:$X,"&gt;="&amp;K$8,операции!$X:$X,"&lt;="&amp;K$9,операции!$O:$O,$E132)/K129)</f>
        <v>91.663081641316239</v>
      </c>
      <c r="L132" s="169">
        <f>IF(L128=0,0,SUMIFS(операции!$AG:$AG,операции!$X:$X,"&gt;="&amp;L$8,операции!$X:$X,"&lt;="&amp;L$9,операции!$O:$O,$E132)/L128-SUMIFS(операции!$AF:$AF,операции!$X:$X,"&gt;="&amp;L$8,операции!$X:$X,"&lt;="&amp;L$9,операции!$O:$O,$E132)/L129)</f>
        <v>99.81203961839492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>
      <c r="A133" s="12"/>
      <c r="B133" s="12"/>
      <c r="C133" s="12"/>
      <c r="D133" s="131" t="s">
        <v>238</v>
      </c>
      <c r="E133" s="131" t="str">
        <f t="shared" si="40"/>
        <v>ОдеждаКомп</v>
      </c>
      <c r="F133" s="131" t="s">
        <v>217</v>
      </c>
      <c r="G133" s="131"/>
      <c r="H133" s="166">
        <f>SUMIFS(операции!$V:$V,операции!$T:$T,"&lt;="&amp;$H$9,операции!$X:$X,"",операции!$O:$O,$E133)</f>
        <v>82590.240000000005</v>
      </c>
      <c r="I133" s="178">
        <f>H133-L133</f>
        <v>0</v>
      </c>
      <c r="J133" s="167">
        <f>SUMIFS(операции!$V:$V,операции!$T:$T,"&lt;="&amp;J$9,операции!$X:$X,"",операции!$O:$O,$E133)+SUMIFS(операции!$V:$V,операции!$T:$T,"&lt;="&amp;J$9,операции!$X:$X,"&gt;"&amp;J$9,операции!$O:$O,$E133)</f>
        <v>147808.37</v>
      </c>
      <c r="K133" s="167">
        <f>SUMIFS(операции!$V:$V,операции!$T:$T,"&lt;="&amp;K$9,операции!$X:$X,"",операции!$O:$O,$E133)+SUMIFS(операции!$V:$V,операции!$T:$T,"&lt;="&amp;K$9,операции!$X:$X,"&gt;"&amp;K$9,операции!$O:$O,$E133)</f>
        <v>99094.610000000015</v>
      </c>
      <c r="L133" s="167">
        <f>SUMIFS(операции!$V:$V,операции!$T:$T,"&lt;="&amp;L$9,операции!$X:$X,"",операции!$O:$O,$E133)+SUMIFS(операции!$V:$V,операции!$T:$T,"&lt;="&amp;L$9,операции!$X:$X,"&gt;"&amp;L$9,операции!$O:$O,$E133)</f>
        <v>82590.240000000005</v>
      </c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 s="5" customFormat="1">
      <c r="A134" s="1"/>
      <c r="B134" s="1"/>
      <c r="C134" s="1"/>
      <c r="D134" s="168" t="s">
        <v>239</v>
      </c>
      <c r="E134" s="168" t="str">
        <f t="shared" si="40"/>
        <v>ОдеждаКомп</v>
      </c>
      <c r="F134" s="168" t="s">
        <v>219</v>
      </c>
      <c r="G134" s="168"/>
      <c r="H134" s="169">
        <f>IF(H133=0,0,$H$9-SUMIFS(операции!$AF:$AF,операции!$T:$T,"&lt;="&amp;$H$9,операции!$X:$X,"",операции!$O:$O,$E134)/H133)</f>
        <v>161.3880757581137</v>
      </c>
      <c r="I134" s="177">
        <f>H134-L134</f>
        <v>0</v>
      </c>
      <c r="J134" s="169">
        <f>IF(J133=0,0,J$9-(SUMIFS(операции!$AF:$AF,операции!$T:$T,"&lt;="&amp;J$9,операции!$X:$X,"",операции!$O:$O,$E134)+SUMIFS(операции!$AF:$AF,операции!$T:$T,"&lt;="&amp;J$9,операции!$X:$X,"&gt;"&amp;J$9,операции!$O:$O,$E134))/J133)</f>
        <v>87.492127610916214</v>
      </c>
      <c r="K134" s="169">
        <f>IF(K133=0,0,K$9-(SUMIFS(операции!$AF:$AF,операции!$T:$T,"&lt;="&amp;K$9,операции!$X:$X,"",операции!$O:$O,$E134)+SUMIFS(операции!$AF:$AF,операции!$T:$T,"&lt;="&amp;K$9,операции!$X:$X,"&gt;"&amp;K$9,операции!$O:$O,$E134))/K133)</f>
        <v>124.98871129319014</v>
      </c>
      <c r="L134" s="169">
        <f>IF(L133=0,0,L$9-(SUMIFS(операции!$AF:$AF,операции!$T:$T,"&lt;="&amp;L$9,операции!$X:$X,"",операции!$O:$O,$E134)+SUMIFS(операции!$AF:$AF,операции!$T:$T,"&lt;="&amp;L$9,операции!$X:$X,"&gt;"&amp;L$9,операции!$O:$O,$E134))/L133)</f>
        <v>161.3880757581137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s="93" customFormat="1" ht="15">
      <c r="A135" s="92"/>
      <c r="B135" s="92"/>
      <c r="C135" s="92"/>
      <c r="D135" s="98" t="s">
        <v>237</v>
      </c>
      <c r="E135" s="120" t="str">
        <f t="shared" si="40"/>
        <v>ОдеждаКомп</v>
      </c>
      <c r="F135" s="98" t="s">
        <v>219</v>
      </c>
      <c r="G135" s="98"/>
      <c r="H135" s="99">
        <f>IF(H128=0,H134,(SUMIFS(операции!$AG:$AG,операции!$X:$X,"&gt;="&amp;$H$8,операции!$X:$X,"&lt;="&amp;$H$9,операции!$O:$O,$E135)+$H$9*H133)/(H128+H133)-(SUMIFS(операции!$AF:$AF,операции!$X:$X,"&gt;="&amp;$H$8,операции!$X:$X,"&lt;="&amp;$H$9,операции!$O:$O,$E135)+SUMIFS(операции!$AF:$AF,операции!$T:$T,"&lt;="&amp;$H$9,операции!$X:$X,"",операции!$O:$O,$E135))/(H129+H133))</f>
        <v>122.07769934203679</v>
      </c>
      <c r="I135" s="175"/>
      <c r="J135" s="99">
        <f>IF(J128=0,J134,(SUMIFS(операции!$AG:$AG,операции!$X:$X,"&gt;="&amp;J$8,операции!$X:$X,"&lt;="&amp;J$9,операции!$O:$O,$E135)+J$9*J133)/(J128+J133)-(SUMIFS(операции!$AF:$AF,операции!$X:$X,"&gt;="&amp;J$8,операции!$X:$X,"&lt;="&amp;J$9,операции!$O:$O,$E135)+SUMIFS(операции!$AF:$AF,операции!$T:$T,"&lt;="&amp;J$9,операции!$X:$X,"",операции!$O:$O,$E135)+SUMIFS(операции!$AF:$AF,операции!$T:$T,"&lt;="&amp;J$9,операции!$X:$X,"&gt;"&amp;J$9,операции!$O:$O,$E135))/(J129+J133))</f>
        <v>87.643032975021924</v>
      </c>
      <c r="K135" s="99">
        <f>IF(K128=0,K134,(SUMIFS(операции!$AG:$AG,операции!$X:$X,"&gt;="&amp;K$8,операции!$X:$X,"&lt;="&amp;K$9,операции!$O:$O,$E135)+K$9*K133)/(K128+K133)-(SUMIFS(операции!$AF:$AF,операции!$X:$X,"&gt;="&amp;K$8,операции!$X:$X,"&lt;="&amp;K$9,операции!$O:$O,$E135)+SUMIFS(операции!$AF:$AF,операции!$T:$T,"&lt;="&amp;K$9,операции!$X:$X,"",операции!$O:$O,$E135)+SUMIFS(операции!$AF:$AF,операции!$T:$T,"&lt;="&amp;K$9,операции!$X:$X,"&gt;"&amp;K$9,операции!$O:$O,$E135))/(K129+K133))</f>
        <v>112.80535646651697</v>
      </c>
      <c r="L135" s="99">
        <f>IF(L128=0,L134,(SUMIFS(операции!$AG:$AG,операции!$X:$X,"&gt;="&amp;L$8,операции!$X:$X,"&lt;="&amp;L$9,операции!$O:$O,$E135)+L$9*L133)/(L128+L133)-(SUMIFS(операции!$AF:$AF,операции!$X:$X,"&gt;="&amp;L$8,операции!$X:$X,"&lt;="&amp;L$9,операции!$O:$O,$E135)+SUMIFS(операции!$AF:$AF,операции!$T:$T,"&lt;="&amp;L$9,операции!$X:$X,"",операции!$O:$O,$E135)+SUMIFS(операции!$AF:$AF,операции!$T:$T,"&lt;="&amp;L$9,операции!$X:$X,"&gt;"&amp;L$9,операции!$O:$O,$E135))/(L129+L133))</f>
        <v>149.05864541923802</v>
      </c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</row>
    <row r="136" spans="1:27">
      <c r="A136" s="12"/>
      <c r="B136" s="12"/>
      <c r="C136" s="12"/>
      <c r="D136" s="97"/>
      <c r="E136" s="97"/>
      <c r="F136" s="97"/>
      <c r="G136" s="97"/>
      <c r="H136" s="100"/>
      <c r="I136" s="109"/>
      <c r="J136" s="97"/>
      <c r="K136" s="97"/>
      <c r="L136" s="9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>
      <c r="A137" s="12"/>
      <c r="B137" s="12"/>
      <c r="C137" s="12"/>
      <c r="D137" s="12" t="s">
        <v>210</v>
      </c>
      <c r="E137" s="12" t="str">
        <f>микс!$H$37</f>
        <v>Позитив</v>
      </c>
      <c r="F137" s="12" t="s">
        <v>217</v>
      </c>
      <c r="G137" s="12"/>
      <c r="H137" s="90">
        <f>SUMIFS(операции!$Z:$Z,операции!$X:$X,"&gt;="&amp;H$8,операции!$X:$X,"&lt;="&amp;H$9,операции!$O:$O,$E137)</f>
        <v>225992</v>
      </c>
      <c r="I137" s="108"/>
      <c r="J137" s="53">
        <f>SUMIFS(операции!$Z:$Z,операции!$X:$X,"&gt;="&amp;J$8,операции!$X:$X,"&lt;="&amp;J$9,операции!$O:$O,$E137)</f>
        <v>45779</v>
      </c>
      <c r="K137" s="53">
        <f>SUMIFS(операции!$Z:$Z,операции!$X:$X,"&gt;="&amp;K$8,операции!$X:$X,"&lt;="&amp;K$9,операции!$O:$O,$E137)</f>
        <v>109306</v>
      </c>
      <c r="L137" s="53">
        <f>SUMIFS(операции!$Z:$Z,операции!$X:$X,"&gt;="&amp;L$8,операции!$X:$X,"&lt;="&amp;L$9,операции!$O:$O,$E137)</f>
        <v>70907</v>
      </c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>
      <c r="A138" s="12"/>
      <c r="B138" s="12"/>
      <c r="C138" s="12"/>
      <c r="D138" s="12" t="s">
        <v>211</v>
      </c>
      <c r="E138" s="12" t="str">
        <f>E137</f>
        <v>Позитив</v>
      </c>
      <c r="F138" s="12" t="s">
        <v>217</v>
      </c>
      <c r="G138" s="12"/>
      <c r="H138" s="90">
        <f>SUMIFS(операции!$V:$V,операции!$X:$X,"&gt;="&amp;H$8,операции!$X:$X,"&lt;="&amp;H$9,операции!$O:$O,$E138)</f>
        <v>207314.92000000004</v>
      </c>
      <c r="I138" s="108"/>
      <c r="J138" s="53">
        <f>SUMIFS(операции!$V:$V,операции!$X:$X,"&gt;="&amp;J$8,операции!$X:$X,"&lt;="&amp;J$9,операции!$O:$O,$E138)</f>
        <v>42997.03</v>
      </c>
      <c r="K138" s="53">
        <f>SUMIFS(операции!$V:$V,операции!$X:$X,"&gt;="&amp;K$8,операции!$X:$X,"&lt;="&amp;K$9,операции!$O:$O,$E138)</f>
        <v>100494.78000000003</v>
      </c>
      <c r="L138" s="53">
        <f>SUMIFS(операции!$V:$V,операции!$X:$X,"&gt;="&amp;L$8,операции!$X:$X,"&lt;="&amp;L$9,операции!$O:$O,$E138)</f>
        <v>63823.11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>
      <c r="A139" s="12"/>
      <c r="B139" s="12"/>
      <c r="C139" s="12"/>
      <c r="D139" s="12" t="s">
        <v>212</v>
      </c>
      <c r="E139" s="12" t="str">
        <f t="shared" ref="E139:E144" si="43">E138</f>
        <v>Позитив</v>
      </c>
      <c r="F139" s="12" t="s">
        <v>217</v>
      </c>
      <c r="G139" s="12"/>
      <c r="H139" s="90">
        <f>H137-H138</f>
        <v>18677.079999999958</v>
      </c>
      <c r="I139" s="108"/>
      <c r="J139" s="53">
        <f>J137-J138</f>
        <v>2781.9700000000012</v>
      </c>
      <c r="K139" s="53">
        <f t="shared" ref="K139:L139" si="44">K137-K138</f>
        <v>8811.2199999999721</v>
      </c>
      <c r="L139" s="53">
        <f t="shared" si="44"/>
        <v>7083.8899999999994</v>
      </c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 s="119" customFormat="1">
      <c r="A140" s="87"/>
      <c r="B140" s="87"/>
      <c r="C140" s="87"/>
      <c r="D140" s="87" t="s">
        <v>213</v>
      </c>
      <c r="E140" s="87" t="str">
        <f t="shared" si="43"/>
        <v>Позитив</v>
      </c>
      <c r="F140" s="87" t="s">
        <v>218</v>
      </c>
      <c r="G140" s="87"/>
      <c r="H140" s="116">
        <f>IF(H137=0,0,H139/H137)</f>
        <v>8.2644872384862997E-2</v>
      </c>
      <c r="I140" s="117"/>
      <c r="J140" s="118">
        <f>IF(J137=0,0,J139/J137)</f>
        <v>6.0769566831953538E-2</v>
      </c>
      <c r="K140" s="118">
        <f t="shared" ref="K140:L140" si="45">IF(K137=0,0,K139/K137)</f>
        <v>8.0610579474136565E-2</v>
      </c>
      <c r="L140" s="118">
        <f t="shared" si="45"/>
        <v>9.9903958706474671E-2</v>
      </c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</row>
    <row r="141" spans="1:27" s="5" customFormat="1">
      <c r="A141" s="1"/>
      <c r="B141" s="1"/>
      <c r="C141" s="1"/>
      <c r="D141" s="168" t="s">
        <v>220</v>
      </c>
      <c r="E141" s="168" t="str">
        <f t="shared" si="43"/>
        <v>Позитив</v>
      </c>
      <c r="F141" s="168" t="s">
        <v>219</v>
      </c>
      <c r="G141" s="168"/>
      <c r="H141" s="169">
        <f>IF(H137=0,0,SUMIFS(операции!$AG:$AG,операции!$X:$X,"&gt;="&amp;H$8,операции!$X:$X,"&lt;="&amp;H$9,операции!$O:$O,$E141)/H137-SUMIFS(операции!$AF:$AF,операции!$X:$X,"&gt;="&amp;H$8,операции!$X:$X,"&lt;="&amp;H$9,операции!$O:$O,$E141)/H138)</f>
        <v>56.059311202276149</v>
      </c>
      <c r="I141" s="177"/>
      <c r="J141" s="169">
        <f>IF(J137=0,0,SUMIFS(операции!$AG:$AG,операции!$X:$X,"&gt;="&amp;J$8,операции!$X:$X,"&lt;="&amp;J$9,операции!$O:$O,$E141)/J137-SUMIFS(операции!$AF:$AF,операции!$X:$X,"&gt;="&amp;J$8,операции!$X:$X,"&lt;="&amp;J$9,операции!$O:$O,$E141)/J138)</f>
        <v>57.479177080647787</v>
      </c>
      <c r="K141" s="169">
        <f>IF(K137=0,0,SUMIFS(операции!$AG:$AG,операции!$X:$X,"&gt;="&amp;K$8,операции!$X:$X,"&lt;="&amp;K$9,операции!$O:$O,$E141)/K137-SUMIFS(операции!$AF:$AF,операции!$X:$X,"&gt;="&amp;K$8,операции!$X:$X,"&lt;="&amp;K$9,операции!$O:$O,$E141)/K138)</f>
        <v>37.012577185290866</v>
      </c>
      <c r="L141" s="169">
        <f>IF(L137=0,0,SUMIFS(операции!$AG:$AG,операции!$X:$X,"&gt;="&amp;L$8,операции!$X:$X,"&lt;="&amp;L$9,операции!$O:$O,$E141)/L137-SUMIFS(операции!$AF:$AF,операции!$X:$X,"&gt;="&amp;L$8,операции!$X:$X,"&lt;="&amp;L$9,операции!$O:$O,$E141)/L138)</f>
        <v>84.3694684335278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>
      <c r="A142" s="12"/>
      <c r="B142" s="12"/>
      <c r="C142" s="12"/>
      <c r="D142" s="131" t="s">
        <v>238</v>
      </c>
      <c r="E142" s="131" t="str">
        <f t="shared" si="43"/>
        <v>Позитив</v>
      </c>
      <c r="F142" s="131" t="s">
        <v>217</v>
      </c>
      <c r="G142" s="131"/>
      <c r="H142" s="166">
        <f>SUMIFS(операции!$V:$V,операции!$T:$T,"&lt;="&amp;$H$9,операции!$X:$X,"",операции!$O:$O,$E142)</f>
        <v>53331.789999999986</v>
      </c>
      <c r="I142" s="178">
        <f>H142-L142</f>
        <v>0</v>
      </c>
      <c r="J142" s="167">
        <f>SUMIFS(операции!$V:$V,операции!$T:$T,"&lt;="&amp;J$9,операции!$X:$X,"",операции!$O:$O,$E142)+SUMIFS(операции!$V:$V,операции!$T:$T,"&lt;="&amp;J$9,операции!$X:$X,"&gt;"&amp;J$9,операции!$O:$O,$E142)</f>
        <v>116265.05999999997</v>
      </c>
      <c r="K142" s="167">
        <f>SUMIFS(операции!$V:$V,операции!$T:$T,"&lt;="&amp;K$9,операции!$X:$X,"",операции!$O:$O,$E142)+SUMIFS(операции!$V:$V,операции!$T:$T,"&lt;="&amp;K$9,операции!$X:$X,"&gt;"&amp;K$9,операции!$O:$O,$E142)</f>
        <v>117154.9</v>
      </c>
      <c r="L142" s="167">
        <f>SUMIFS(операции!$V:$V,операции!$T:$T,"&lt;="&amp;L$9,операции!$X:$X,"",операции!$O:$O,$E142)+SUMIFS(операции!$V:$V,операции!$T:$T,"&lt;="&amp;L$9,операции!$X:$X,"&gt;"&amp;L$9,операции!$O:$O,$E142)</f>
        <v>53331.789999999986</v>
      </c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 s="5" customFormat="1">
      <c r="A143" s="1"/>
      <c r="B143" s="1"/>
      <c r="C143" s="1"/>
      <c r="D143" s="168" t="s">
        <v>239</v>
      </c>
      <c r="E143" s="168" t="str">
        <f t="shared" si="43"/>
        <v>Позитив</v>
      </c>
      <c r="F143" s="168" t="s">
        <v>219</v>
      </c>
      <c r="G143" s="168"/>
      <c r="H143" s="169">
        <f>IF(H142=0,0,$H$9-SUMIFS(операции!$AF:$AF,операции!$T:$T,"&lt;="&amp;$H$9,операции!$X:$X,"",операции!$O:$O,$E143)/H142)</f>
        <v>170.55067437263642</v>
      </c>
      <c r="I143" s="177">
        <f>H143-L143</f>
        <v>0</v>
      </c>
      <c r="J143" s="169">
        <f>IF(J142=0,0,J$9-(SUMIFS(операции!$AF:$AF,операции!$T:$T,"&lt;="&amp;J$9,операции!$X:$X,"",операции!$O:$O,$E143)+SUMIFS(операции!$AF:$AF,операции!$T:$T,"&lt;="&amp;J$9,операции!$X:$X,"&gt;"&amp;J$9,операции!$O:$O,$E143))/J142)</f>
        <v>107.27267504097108</v>
      </c>
      <c r="K143" s="169">
        <f>IF(K142=0,0,K$9-(SUMIFS(операции!$AF:$AF,операции!$T:$T,"&lt;="&amp;K$9,операции!$X:$X,"",операции!$O:$O,$E143)+SUMIFS(операции!$AF:$AF,операции!$T:$T,"&lt;="&amp;K$9,операции!$X:$X,"&gt;"&amp;K$9,операции!$O:$O,$E143))/K142)</f>
        <v>106.19790021586959</v>
      </c>
      <c r="L143" s="169">
        <f>IF(L142=0,0,L$9-(SUMIFS(операции!$AF:$AF,операции!$T:$T,"&lt;="&amp;L$9,операции!$X:$X,"",операции!$O:$O,$E143)+SUMIFS(операции!$AF:$AF,операции!$T:$T,"&lt;="&amp;L$9,операции!$X:$X,"&gt;"&amp;L$9,операции!$O:$O,$E143))/L142)</f>
        <v>170.55067437263642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s="93" customFormat="1" ht="15">
      <c r="A144" s="92"/>
      <c r="B144" s="92"/>
      <c r="C144" s="92"/>
      <c r="D144" s="98" t="s">
        <v>237</v>
      </c>
      <c r="E144" s="120" t="str">
        <f t="shared" si="43"/>
        <v>Позитив</v>
      </c>
      <c r="F144" s="98" t="s">
        <v>219</v>
      </c>
      <c r="G144" s="98"/>
      <c r="H144" s="99">
        <f>IF(H137=0,H143,(SUMIFS(операции!$AG:$AG,операции!$X:$X,"&gt;="&amp;$H$8,операции!$X:$X,"&lt;="&amp;$H$9,операции!$O:$O,$E144)+$H$9*H142)/(H137+H142)-(SUMIFS(операции!$AF:$AF,операции!$X:$X,"&gt;="&amp;$H$8,операции!$X:$X,"&lt;="&amp;$H$9,операции!$O:$O,$E144)+SUMIFS(операции!$AF:$AF,операции!$T:$T,"&lt;="&amp;$H$9,операции!$X:$X,"",операции!$O:$O,$E144))/(H138+H142))</f>
        <v>78.914739009189361</v>
      </c>
      <c r="I144" s="175"/>
      <c r="J144" s="99">
        <f>IF(J137=0,J143,(SUMIFS(операции!$AG:$AG,операции!$X:$X,"&gt;="&amp;J$8,операции!$X:$X,"&lt;="&amp;J$9,операции!$O:$O,$E144)+J$9*J142)/(J137+J142)-(SUMIFS(операции!$AF:$AF,операции!$X:$X,"&gt;="&amp;J$8,операции!$X:$X,"&lt;="&amp;J$9,операции!$O:$O,$E144)+SUMIFS(операции!$AF:$AF,операции!$T:$T,"&lt;="&amp;J$9,операции!$X:$X,"",операции!$O:$O,$E144)+SUMIFS(операции!$AF:$AF,операции!$T:$T,"&lt;="&amp;J$9,операции!$X:$X,"&gt;"&amp;J$9,операции!$O:$O,$E144))/(J138+J142))</f>
        <v>93.750198075125809</v>
      </c>
      <c r="K144" s="99">
        <f>IF(K137=0,K143,(SUMIFS(операции!$AG:$AG,операции!$X:$X,"&gt;="&amp;K$8,операции!$X:$X,"&lt;="&amp;K$9,операции!$O:$O,$E144)+K$9*K142)/(K137+K142)-(SUMIFS(операции!$AF:$AF,операции!$X:$X,"&gt;="&amp;K$8,операции!$X:$X,"&lt;="&amp;K$9,операции!$O:$O,$E144)+SUMIFS(операции!$AF:$AF,операции!$T:$T,"&lt;="&amp;K$9,операции!$X:$X,"",операции!$O:$O,$E144)+SUMIFS(операции!$AF:$AF,операции!$T:$T,"&lt;="&amp;K$9,операции!$X:$X,"&gt;"&amp;K$9,операции!$O:$O,$E144))/(K138+K142))</f>
        <v>74.024848163513525</v>
      </c>
      <c r="L144" s="99">
        <f>IF(L137=0,L143,(SUMIFS(операции!$AG:$AG,операции!$X:$X,"&gt;="&amp;L$8,операции!$X:$X,"&lt;="&amp;L$9,операции!$O:$O,$E144)+L$9*L142)/(L137+L142)-(SUMIFS(операции!$AF:$AF,операции!$X:$X,"&gt;="&amp;L$8,операции!$X:$X,"&lt;="&amp;L$9,операции!$O:$O,$E144)+SUMIFS(операции!$AF:$AF,операции!$T:$T,"&lt;="&amp;L$9,операции!$X:$X,"",операции!$O:$O,$E144)+SUMIFS(операции!$AF:$AF,операции!$T:$T,"&lt;="&amp;L$9,операции!$X:$X,"&gt;"&amp;L$9,операции!$O:$O,$E144))/(L138+L142))</f>
        <v>122.95345208497747</v>
      </c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</row>
    <row r="145" spans="1:27">
      <c r="A145" s="12"/>
      <c r="B145" s="12"/>
      <c r="C145" s="12"/>
      <c r="D145" s="12"/>
      <c r="E145" s="12"/>
      <c r="F145" s="12"/>
      <c r="G145" s="12"/>
      <c r="H145" s="1"/>
      <c r="I145" s="108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  <row r="146" spans="1:27">
      <c r="A146" s="12"/>
      <c r="B146" s="12"/>
      <c r="C146" s="12"/>
      <c r="D146" s="12" t="s">
        <v>210</v>
      </c>
      <c r="E146" s="12" t="str">
        <f>микс!$H$38</f>
        <v>СпортИн</v>
      </c>
      <c r="F146" s="12" t="s">
        <v>217</v>
      </c>
      <c r="G146" s="12"/>
      <c r="H146" s="90">
        <f>SUMIFS(операции!$Z:$Z,операции!$X:$X,"&gt;="&amp;H$8,операции!$X:$X,"&lt;="&amp;H$9,операции!$O:$O,$E146)</f>
        <v>39325</v>
      </c>
      <c r="I146" s="108"/>
      <c r="J146" s="53">
        <f>SUMIFS(операции!$Z:$Z,операции!$X:$X,"&gt;="&amp;J$8,операции!$X:$X,"&lt;="&amp;J$9,операции!$O:$O,$E146)</f>
        <v>9345</v>
      </c>
      <c r="K146" s="53">
        <f>SUMIFS(операции!$Z:$Z,операции!$X:$X,"&gt;="&amp;K$8,операции!$X:$X,"&lt;="&amp;K$9,операции!$O:$O,$E146)</f>
        <v>22225</v>
      </c>
      <c r="L146" s="53">
        <f>SUMIFS(операции!$Z:$Z,операции!$X:$X,"&gt;="&amp;L$8,операции!$X:$X,"&lt;="&amp;L$9,операции!$O:$O,$E146)</f>
        <v>7755</v>
      </c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</row>
    <row r="147" spans="1:27">
      <c r="A147" s="12"/>
      <c r="B147" s="12"/>
      <c r="C147" s="12"/>
      <c r="D147" s="12" t="s">
        <v>211</v>
      </c>
      <c r="E147" s="12" t="str">
        <f>E146</f>
        <v>СпортИн</v>
      </c>
      <c r="F147" s="12" t="s">
        <v>217</v>
      </c>
      <c r="G147" s="12"/>
      <c r="H147" s="90">
        <f>SUMIFS(операции!$V:$V,операции!$X:$X,"&gt;="&amp;H$8,операции!$X:$X,"&lt;="&amp;H$9,операции!$O:$O,$E147)</f>
        <v>29490.5</v>
      </c>
      <c r="I147" s="108"/>
      <c r="J147" s="53">
        <f>SUMIFS(операции!$V:$V,операции!$X:$X,"&gt;="&amp;J$8,операции!$X:$X,"&lt;="&amp;J$9,операции!$O:$O,$E147)</f>
        <v>6805.5</v>
      </c>
      <c r="K147" s="53">
        <f>SUMIFS(операции!$V:$V,операции!$X:$X,"&gt;="&amp;K$8,операции!$X:$X,"&lt;="&amp;K$9,операции!$O:$O,$E147)</f>
        <v>15879.5</v>
      </c>
      <c r="L147" s="53">
        <f>SUMIFS(операции!$V:$V,операции!$X:$X,"&gt;="&amp;L$8,операции!$X:$X,"&lt;="&amp;L$9,операции!$O:$O,$E147)</f>
        <v>6805.5</v>
      </c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</row>
    <row r="148" spans="1:27">
      <c r="A148" s="12"/>
      <c r="B148" s="12"/>
      <c r="C148" s="12"/>
      <c r="D148" s="12" t="s">
        <v>212</v>
      </c>
      <c r="E148" s="12" t="str">
        <f t="shared" ref="E148:E153" si="46">E147</f>
        <v>СпортИн</v>
      </c>
      <c r="F148" s="12" t="s">
        <v>217</v>
      </c>
      <c r="G148" s="12"/>
      <c r="H148" s="90">
        <f>H146-H147</f>
        <v>9834.5</v>
      </c>
      <c r="I148" s="108"/>
      <c r="J148" s="53">
        <f>J146-J147</f>
        <v>2539.5</v>
      </c>
      <c r="K148" s="53">
        <f t="shared" ref="K148:L148" si="47">K146-K147</f>
        <v>6345.5</v>
      </c>
      <c r="L148" s="53">
        <f t="shared" si="47"/>
        <v>949.5</v>
      </c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</row>
    <row r="149" spans="1:27" s="119" customFormat="1">
      <c r="A149" s="87"/>
      <c r="B149" s="87"/>
      <c r="C149" s="87"/>
      <c r="D149" s="87" t="s">
        <v>213</v>
      </c>
      <c r="E149" s="87" t="str">
        <f t="shared" si="46"/>
        <v>СпортИн</v>
      </c>
      <c r="F149" s="87" t="s">
        <v>218</v>
      </c>
      <c r="G149" s="87"/>
      <c r="H149" s="116">
        <f>IF(H146=0,0,H148/H146)</f>
        <v>0.25008264462809915</v>
      </c>
      <c r="I149" s="117"/>
      <c r="J149" s="118">
        <f>IF(J146=0,0,J148/J146)</f>
        <v>0.27174959871589083</v>
      </c>
      <c r="K149" s="118">
        <f t="shared" ref="K149:L149" si="48">IF(K146=0,0,K148/K146)</f>
        <v>0.28551181102362205</v>
      </c>
      <c r="L149" s="118">
        <f t="shared" si="48"/>
        <v>0.12243713733075436</v>
      </c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</row>
    <row r="150" spans="1:27" s="5" customFormat="1">
      <c r="A150" s="1"/>
      <c r="B150" s="1"/>
      <c r="C150" s="1"/>
      <c r="D150" s="168" t="s">
        <v>220</v>
      </c>
      <c r="E150" s="168" t="str">
        <f t="shared" si="46"/>
        <v>СпортИн</v>
      </c>
      <c r="F150" s="168" t="s">
        <v>219</v>
      </c>
      <c r="G150" s="168"/>
      <c r="H150" s="169">
        <f>IF(H146=0,0,SUMIFS(операции!$AG:$AG,операции!$X:$X,"&gt;="&amp;H$8,операции!$X:$X,"&lt;="&amp;H$9,операции!$O:$O,$E150)/H146-SUMIFS(операции!$AF:$AF,операции!$X:$X,"&gt;="&amp;H$8,операции!$X:$X,"&lt;="&amp;H$9,операции!$O:$O,$E150)/H147)</f>
        <v>27.888671328670171</v>
      </c>
      <c r="I150" s="177"/>
      <c r="J150" s="169">
        <f>IF(J146=0,0,SUMIFS(операции!$AG:$AG,операции!$X:$X,"&gt;="&amp;J$8,операции!$X:$X,"&lt;="&amp;J$9,операции!$O:$O,$E150)/J146-SUMIFS(операции!$AF:$AF,операции!$X:$X,"&gt;="&amp;J$8,операции!$X:$X,"&lt;="&amp;J$9,операции!$O:$O,$E150)/J147)</f>
        <v>53.666666666664241</v>
      </c>
      <c r="K150" s="169">
        <f>IF(K146=0,0,SUMIFS(операции!$AG:$AG,операции!$X:$X,"&gt;="&amp;K$8,операции!$X:$X,"&lt;="&amp;K$9,операции!$O:$O,$E150)/K146-SUMIFS(операции!$AF:$AF,операции!$X:$X,"&gt;="&amp;K$8,операции!$X:$X,"&lt;="&amp;K$9,операции!$O:$O,$E150)/K147)</f>
        <v>26.856557930259441</v>
      </c>
      <c r="L150" s="169">
        <f>IF(L146=0,0,SUMIFS(операции!$AG:$AG,операции!$X:$X,"&gt;="&amp;L$8,операции!$X:$X,"&lt;="&amp;L$9,операции!$O:$O,$E150)/L146-SUMIFS(операции!$AF:$AF,операции!$X:$X,"&gt;="&amp;L$8,операции!$X:$X,"&lt;="&amp;L$9,операции!$O:$O,$E150)/L147)</f>
        <v>8.6666666666715173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>
      <c r="A151" s="12"/>
      <c r="B151" s="12"/>
      <c r="C151" s="12"/>
      <c r="D151" s="131" t="s">
        <v>238</v>
      </c>
      <c r="E151" s="131" t="str">
        <f t="shared" si="46"/>
        <v>СпортИн</v>
      </c>
      <c r="F151" s="131" t="s">
        <v>217</v>
      </c>
      <c r="G151" s="131"/>
      <c r="H151" s="166">
        <f>SUMIFS(операции!$V:$V,операции!$T:$T,"&lt;="&amp;$H$9,операции!$X:$X,"",операции!$O:$O,$E151)</f>
        <v>4537</v>
      </c>
      <c r="I151" s="178">
        <f>H151-L151</f>
        <v>0</v>
      </c>
      <c r="J151" s="167">
        <f>SUMIFS(операции!$V:$V,операции!$T:$T,"&lt;="&amp;J$9,операции!$X:$X,"",операции!$O:$O,$E151)+SUMIFS(операции!$V:$V,операции!$T:$T,"&lt;="&amp;J$9,операции!$X:$X,"&gt;"&amp;J$9,операции!$O:$O,$E151)</f>
        <v>6805.5</v>
      </c>
      <c r="K151" s="167">
        <f>SUMIFS(операции!$V:$V,операции!$T:$T,"&lt;="&amp;K$9,операции!$X:$X,"",операции!$O:$O,$E151)+SUMIFS(операции!$V:$V,операции!$T:$T,"&lt;="&amp;K$9,операции!$X:$X,"&gt;"&amp;K$9,операции!$O:$O,$E151)</f>
        <v>11342.5</v>
      </c>
      <c r="L151" s="167">
        <f>SUMIFS(операции!$V:$V,операции!$T:$T,"&lt;="&amp;L$9,операции!$X:$X,"",операции!$O:$O,$E151)+SUMIFS(операции!$V:$V,операции!$T:$T,"&lt;="&amp;L$9,операции!$X:$X,"&gt;"&amp;L$9,операции!$O:$O,$E151)</f>
        <v>4537</v>
      </c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</row>
    <row r="152" spans="1:27" s="5" customFormat="1">
      <c r="A152" s="1"/>
      <c r="B152" s="1"/>
      <c r="C152" s="1"/>
      <c r="D152" s="168" t="s">
        <v>239</v>
      </c>
      <c r="E152" s="168" t="str">
        <f t="shared" si="46"/>
        <v>СпортИн</v>
      </c>
      <c r="F152" s="168" t="s">
        <v>219</v>
      </c>
      <c r="G152" s="168"/>
      <c r="H152" s="169">
        <f>IF(H151=0,0,$H$9-SUMIFS(операции!$AF:$AF,операции!$T:$T,"&lt;="&amp;$H$9,операции!$X:$X,"",операции!$O:$O,$E152)/H151)</f>
        <v>200</v>
      </c>
      <c r="I152" s="177">
        <f>H152-L152</f>
        <v>0</v>
      </c>
      <c r="J152" s="169">
        <f>IF(J151=0,0,J$9-(SUMIFS(операции!$AF:$AF,операции!$T:$T,"&lt;="&amp;J$9,операции!$X:$X,"",операции!$O:$O,$E152)+SUMIFS(операции!$AF:$AF,операции!$T:$T,"&lt;="&amp;J$9,операции!$X:$X,"&gt;"&amp;J$9,операции!$O:$O,$E152))/J151)</f>
        <v>134.33333333333576</v>
      </c>
      <c r="K152" s="169">
        <f>IF(K151=0,0,K$9-(SUMIFS(операции!$AF:$AF,операции!$T:$T,"&lt;="&amp;K$9,операции!$X:$X,"",операции!$O:$O,$E152)+SUMIFS(операции!$AF:$AF,операции!$T:$T,"&lt;="&amp;K$9,операции!$X:$X,"&gt;"&amp;K$9,операции!$O:$O,$E152))/K151)</f>
        <v>67.80000000000291</v>
      </c>
      <c r="L152" s="169">
        <f>IF(L151=0,0,L$9-(SUMIFS(операции!$AF:$AF,операции!$T:$T,"&lt;="&amp;L$9,операции!$X:$X,"",операции!$O:$O,$E152)+SUMIFS(операции!$AF:$AF,операции!$T:$T,"&lt;="&amp;L$9,операции!$X:$X,"&gt;"&amp;L$9,операции!$O:$O,$E152))/L151)</f>
        <v>200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s="93" customFormat="1" ht="15">
      <c r="A153" s="92"/>
      <c r="B153" s="92"/>
      <c r="C153" s="92"/>
      <c r="D153" s="98" t="s">
        <v>237</v>
      </c>
      <c r="E153" s="120" t="str">
        <f t="shared" si="46"/>
        <v>СпортИн</v>
      </c>
      <c r="F153" s="98" t="s">
        <v>219</v>
      </c>
      <c r="G153" s="98"/>
      <c r="H153" s="99">
        <f>IF(H146=0,H152,(SUMIFS(операции!$AG:$AG,операции!$X:$X,"&gt;="&amp;$H$8,операции!$X:$X,"&lt;="&amp;$H$9,операции!$O:$O,$E153)+$H$9*H151)/(H146+H151)-(SUMIFS(операции!$AF:$AF,операции!$X:$X,"&gt;="&amp;$H$8,операции!$X:$X,"&lt;="&amp;$H$9,операции!$O:$O,$E153)+SUMIFS(операции!$AF:$AF,операции!$T:$T,"&lt;="&amp;$H$9,операции!$X:$X,"",операции!$O:$O,$E153))/(H147+H151))</f>
        <v>49.433041508971655</v>
      </c>
      <c r="I153" s="175"/>
      <c r="J153" s="99">
        <f>IF(J146=0,J152,(SUMIFS(операции!$AG:$AG,операции!$X:$X,"&gt;="&amp;J$8,операции!$X:$X,"&lt;="&amp;J$9,операции!$O:$O,$E153)+J$9*J151)/(J146+J151)-(SUMIFS(операции!$AF:$AF,операции!$X:$X,"&gt;="&amp;J$8,операции!$X:$X,"&lt;="&amp;J$9,операции!$O:$O,$E153)+SUMIFS(операции!$AF:$AF,операции!$T:$T,"&lt;="&amp;J$9,операции!$X:$X,"",операции!$O:$O,$E153)+SUMIFS(операции!$AF:$AF,операции!$T:$T,"&lt;="&amp;J$9,операции!$X:$X,"&gt;"&amp;J$9,операции!$O:$O,$E153))/(J147+J151))</f>
        <v>93.580694096155639</v>
      </c>
      <c r="K153" s="99">
        <f>IF(K146=0,K152,(SUMIFS(операции!$AG:$AG,операции!$X:$X,"&gt;="&amp;K$8,операции!$X:$X,"&lt;="&amp;K$9,операции!$O:$O,$E153)+K$9*K151)/(K146+K151)-(SUMIFS(операции!$AF:$AF,операции!$X:$X,"&gt;="&amp;K$8,операции!$X:$X,"&lt;="&amp;K$9,операции!$O:$O,$E153)+SUMIFS(операции!$AF:$AF,операции!$T:$T,"&lt;="&amp;K$9,операции!$X:$X,"",операции!$O:$O,$E153)+SUMIFS(операции!$AF:$AF,операции!$T:$T,"&lt;="&amp;K$9,операции!$X:$X,"&gt;"&amp;K$9,операции!$O:$O,$E153))/(K147+K151))</f>
        <v>42.633528214289981</v>
      </c>
      <c r="L153" s="99">
        <f>IF(L146=0,L152,(SUMIFS(операции!$AG:$AG,операции!$X:$X,"&gt;="&amp;L$8,операции!$X:$X,"&lt;="&amp;L$9,операции!$O:$O,$E153)+L$9*L151)/(L146+L151)-(SUMIFS(операции!$AF:$AF,операции!$X:$X,"&gt;="&amp;L$8,операции!$X:$X,"&lt;="&amp;L$9,операции!$O:$O,$E153)+SUMIFS(операции!$AF:$AF,операции!$T:$T,"&lt;="&amp;L$9,операции!$X:$X,"",операции!$O:$O,$E153)+SUMIFS(операции!$AF:$AF,операции!$T:$T,"&lt;="&amp;L$9,операции!$X:$X,"&gt;"&amp;L$9,операции!$O:$O,$E153))/(L147+L151))</f>
        <v>84.499642043607309</v>
      </c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</row>
    <row r="154" spans="1:27">
      <c r="A154" s="12"/>
      <c r="B154" s="12"/>
      <c r="C154" s="12"/>
      <c r="D154" s="97"/>
      <c r="E154" s="97"/>
      <c r="F154" s="97"/>
      <c r="G154" s="97"/>
      <c r="H154" s="100"/>
      <c r="I154" s="109"/>
      <c r="J154" s="97"/>
      <c r="K154" s="97"/>
      <c r="L154" s="97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</row>
    <row r="155" spans="1:27">
      <c r="A155" s="12"/>
      <c r="B155" s="12"/>
      <c r="C155" s="12"/>
      <c r="D155" s="12" t="s">
        <v>210</v>
      </c>
      <c r="E155" s="12" t="str">
        <f>микс!$H$39</f>
        <v>С-спортКид</v>
      </c>
      <c r="F155" s="12" t="s">
        <v>217</v>
      </c>
      <c r="G155" s="12"/>
      <c r="H155" s="90">
        <f>SUMIFS(операции!$Z:$Z,операции!$X:$X,"&gt;="&amp;H$8,операции!$X:$X,"&lt;="&amp;H$9,операции!$O:$O,$E155)</f>
        <v>30601</v>
      </c>
      <c r="I155" s="108"/>
      <c r="J155" s="53">
        <f>SUMIFS(операции!$Z:$Z,операции!$X:$X,"&gt;="&amp;J$8,операции!$X:$X,"&lt;="&amp;J$9,операции!$O:$O,$E155)</f>
        <v>0</v>
      </c>
      <c r="K155" s="53">
        <f>SUMIFS(операции!$Z:$Z,операции!$X:$X,"&gt;="&amp;K$8,операции!$X:$X,"&lt;="&amp;K$9,операции!$O:$O,$E155)</f>
        <v>5021</v>
      </c>
      <c r="L155" s="53">
        <f>SUMIFS(операции!$Z:$Z,операции!$X:$X,"&gt;="&amp;L$8,операции!$X:$X,"&lt;="&amp;L$9,операции!$O:$O,$E155)</f>
        <v>25580</v>
      </c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</row>
    <row r="156" spans="1:27">
      <c r="A156" s="12"/>
      <c r="B156" s="12"/>
      <c r="C156" s="12"/>
      <c r="D156" s="12" t="s">
        <v>211</v>
      </c>
      <c r="E156" s="12" t="str">
        <f>E155</f>
        <v>С-спортКид</v>
      </c>
      <c r="F156" s="12" t="s">
        <v>217</v>
      </c>
      <c r="G156" s="12"/>
      <c r="H156" s="90">
        <f>SUMIFS(операции!$V:$V,операции!$X:$X,"&gt;="&amp;H$8,операции!$X:$X,"&lt;="&amp;H$9,операции!$O:$O,$E156)</f>
        <v>25834.57</v>
      </c>
      <c r="I156" s="108"/>
      <c r="J156" s="53">
        <f>SUMIFS(операции!$V:$V,операции!$X:$X,"&gt;="&amp;J$8,операции!$X:$X,"&lt;="&amp;J$9,операции!$O:$O,$E156)</f>
        <v>0</v>
      </c>
      <c r="K156" s="53">
        <f>SUMIFS(операции!$V:$V,операции!$X:$X,"&gt;="&amp;K$8,операции!$X:$X,"&lt;="&amp;K$9,операции!$O:$O,$E156)</f>
        <v>4084.57</v>
      </c>
      <c r="L156" s="53">
        <f>SUMIFS(операции!$V:$V,операции!$X:$X,"&gt;="&amp;L$8,операции!$X:$X,"&lt;="&amp;L$9,операции!$O:$O,$E156)</f>
        <v>21750</v>
      </c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</row>
    <row r="157" spans="1:27">
      <c r="A157" s="12"/>
      <c r="B157" s="12"/>
      <c r="C157" s="12"/>
      <c r="D157" s="12" t="s">
        <v>212</v>
      </c>
      <c r="E157" s="12" t="str">
        <f t="shared" ref="E157:E162" si="49">E156</f>
        <v>С-спортКид</v>
      </c>
      <c r="F157" s="12" t="s">
        <v>217</v>
      </c>
      <c r="G157" s="12"/>
      <c r="H157" s="90">
        <f>H155-H156</f>
        <v>4766.43</v>
      </c>
      <c r="I157" s="108"/>
      <c r="J157" s="53">
        <f>J155-J156</f>
        <v>0</v>
      </c>
      <c r="K157" s="53">
        <f t="shared" ref="K157:L157" si="50">K155-K156</f>
        <v>936.42999999999984</v>
      </c>
      <c r="L157" s="53">
        <f t="shared" si="50"/>
        <v>3830</v>
      </c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</row>
    <row r="158" spans="1:27" s="119" customFormat="1">
      <c r="A158" s="87"/>
      <c r="B158" s="87"/>
      <c r="C158" s="87"/>
      <c r="D158" s="87" t="s">
        <v>213</v>
      </c>
      <c r="E158" s="87" t="str">
        <f t="shared" si="49"/>
        <v>С-спортКид</v>
      </c>
      <c r="F158" s="87" t="s">
        <v>218</v>
      </c>
      <c r="G158" s="87"/>
      <c r="H158" s="116">
        <f>IF(H155=0,0,H157/H155)</f>
        <v>0.15576059605895234</v>
      </c>
      <c r="I158" s="117"/>
      <c r="J158" s="118">
        <f>IF(J155=0,0,J157/J155)</f>
        <v>0</v>
      </c>
      <c r="K158" s="118">
        <f t="shared" ref="K158:L158" si="51">IF(K155=0,0,K157/K155)</f>
        <v>0.18650268870742875</v>
      </c>
      <c r="L158" s="118">
        <f t="shared" si="51"/>
        <v>0.14972634870992962</v>
      </c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</row>
    <row r="159" spans="1:27" s="5" customFormat="1">
      <c r="A159" s="1"/>
      <c r="B159" s="1"/>
      <c r="C159" s="1"/>
      <c r="D159" s="168" t="s">
        <v>220</v>
      </c>
      <c r="E159" s="168" t="str">
        <f t="shared" si="49"/>
        <v>С-спортКид</v>
      </c>
      <c r="F159" s="168" t="s">
        <v>219</v>
      </c>
      <c r="G159" s="168"/>
      <c r="H159" s="169">
        <f>IF(H155=0,0,SUMIFS(операции!$AG:$AG,операции!$X:$X,"&gt;="&amp;H$8,операции!$X:$X,"&lt;="&amp;H$9,операции!$O:$O,$E159)/H155-SUMIFS(операции!$AF:$AF,операции!$X:$X,"&gt;="&amp;H$8,операции!$X:$X,"&lt;="&amp;H$9,операции!$O:$O,$E159)/H156)</f>
        <v>10.925333969244093</v>
      </c>
      <c r="I159" s="177"/>
      <c r="J159" s="169">
        <f>IF(J155=0,0,SUMIFS(операции!$AG:$AG,операции!$X:$X,"&gt;="&amp;J$8,операции!$X:$X,"&lt;="&amp;J$9,операции!$O:$O,$E159)/J155-SUMIFS(операции!$AF:$AF,операции!$X:$X,"&gt;="&amp;J$8,операции!$X:$X,"&lt;="&amp;J$9,операции!$O:$O,$E159)/J156)</f>
        <v>0</v>
      </c>
      <c r="K159" s="169">
        <f>IF(K155=0,0,SUMIFS(операции!$AG:$AG,операции!$X:$X,"&gt;="&amp;K$8,операции!$X:$X,"&lt;="&amp;K$9,операции!$O:$O,$E159)/K155-SUMIFS(операции!$AF:$AF,операции!$X:$X,"&gt;="&amp;K$8,операции!$X:$X,"&lt;="&amp;K$9,операции!$O:$O,$E159)/K156)</f>
        <v>12</v>
      </c>
      <c r="L159" s="169">
        <f>IF(L155=0,0,SUMIFS(операции!$AG:$AG,операции!$X:$X,"&gt;="&amp;L$8,операции!$X:$X,"&lt;="&amp;L$9,операции!$O:$O,$E159)/L155-SUMIFS(операции!$AF:$AF,операции!$X:$X,"&gt;="&amp;L$8,операции!$X:$X,"&lt;="&amp;L$9,операции!$O:$O,$E159)/L156)</f>
        <v>10.855367968870269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>
      <c r="A160" s="12"/>
      <c r="B160" s="12"/>
      <c r="C160" s="12"/>
      <c r="D160" s="131" t="s">
        <v>238</v>
      </c>
      <c r="E160" s="131" t="str">
        <f t="shared" si="49"/>
        <v>С-спортКид</v>
      </c>
      <c r="F160" s="131" t="s">
        <v>217</v>
      </c>
      <c r="G160" s="131"/>
      <c r="H160" s="166">
        <f>SUMIFS(операции!$V:$V,операции!$T:$T,"&lt;="&amp;$H$9,операции!$X:$X,"",операции!$O:$O,$E160)</f>
        <v>7870</v>
      </c>
      <c r="I160" s="178">
        <f>H160-L160</f>
        <v>0</v>
      </c>
      <c r="J160" s="167">
        <f>SUMIFS(операции!$V:$V,операции!$T:$T,"&lt;="&amp;J$9,операции!$X:$X,"",операции!$O:$O,$E160)+SUMIFS(операции!$V:$V,операции!$T:$T,"&lt;="&amp;J$9,операции!$X:$X,"&gt;"&amp;J$9,операции!$O:$O,$E160)</f>
        <v>0</v>
      </c>
      <c r="K160" s="167">
        <f>SUMIFS(операции!$V:$V,операции!$T:$T,"&lt;="&amp;K$9,операции!$X:$X,"",операции!$O:$O,$E160)+SUMIFS(операции!$V:$V,операции!$T:$T,"&lt;="&amp;K$9,операции!$X:$X,"&gt;"&amp;K$9,операции!$O:$O,$E160)</f>
        <v>21750</v>
      </c>
      <c r="L160" s="167">
        <f>SUMIFS(операции!$V:$V,операции!$T:$T,"&lt;="&amp;L$9,операции!$X:$X,"",операции!$O:$O,$E160)+SUMIFS(операции!$V:$V,операции!$T:$T,"&lt;="&amp;L$9,операции!$X:$X,"&gt;"&amp;L$9,операции!$O:$O,$E160)</f>
        <v>7870</v>
      </c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</row>
    <row r="161" spans="1:27" s="5" customFormat="1">
      <c r="A161" s="1"/>
      <c r="B161" s="1"/>
      <c r="C161" s="1"/>
      <c r="D161" s="168" t="s">
        <v>239</v>
      </c>
      <c r="E161" s="168" t="str">
        <f t="shared" si="49"/>
        <v>С-спортКид</v>
      </c>
      <c r="F161" s="168" t="s">
        <v>219</v>
      </c>
      <c r="G161" s="168"/>
      <c r="H161" s="169">
        <f>IF(H160=0,0,$H$9-SUMIFS(операции!$AF:$AF,операции!$T:$T,"&lt;="&amp;$H$9,операции!$X:$X,"",операции!$O:$O,$E161)/H160)</f>
        <v>4</v>
      </c>
      <c r="I161" s="177">
        <f>H161-L161</f>
        <v>0</v>
      </c>
      <c r="J161" s="169">
        <f>IF(J160=0,0,J$9-(SUMIFS(операции!$AF:$AF,операции!$T:$T,"&lt;="&amp;J$9,операции!$X:$X,"",операции!$O:$O,$E161)+SUMIFS(операции!$AF:$AF,операции!$T:$T,"&lt;="&amp;J$9,операции!$X:$X,"&gt;"&amp;J$9,операции!$O:$O,$E161))/J160)</f>
        <v>0</v>
      </c>
      <c r="K161" s="169">
        <f>IF(K160=0,0,K$9-(SUMIFS(операции!$AF:$AF,операции!$T:$T,"&lt;="&amp;K$9,операции!$X:$X,"",операции!$O:$O,$E161)+SUMIFS(операции!$AF:$AF,операции!$T:$T,"&lt;="&amp;K$9,операции!$X:$X,"&gt;"&amp;K$9,операции!$O:$O,$E161))/K160)</f>
        <v>4.2763218390828115</v>
      </c>
      <c r="L161" s="169">
        <f>IF(L160=0,0,L$9-(SUMIFS(операции!$AF:$AF,операции!$T:$T,"&lt;="&amp;L$9,операции!$X:$X,"",операции!$O:$O,$E161)+SUMIFS(операции!$AF:$AF,операции!$T:$T,"&lt;="&amp;L$9,операции!$X:$X,"&gt;"&amp;L$9,операции!$O:$O,$E161))/L160)</f>
        <v>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s="93" customFormat="1" ht="15">
      <c r="A162" s="92"/>
      <c r="B162" s="92"/>
      <c r="C162" s="92"/>
      <c r="D162" s="98" t="s">
        <v>237</v>
      </c>
      <c r="E162" s="120" t="str">
        <f t="shared" si="49"/>
        <v>С-спортКид</v>
      </c>
      <c r="F162" s="98" t="s">
        <v>219</v>
      </c>
      <c r="G162" s="98"/>
      <c r="H162" s="99">
        <f>IF(H155=0,H161,(SUMIFS(операции!$AG:$AG,операции!$X:$X,"&gt;="&amp;$H$8,операции!$X:$X,"&lt;="&amp;$H$9,операции!$O:$O,$E162)+$H$9*H160)/(H155+H160)-(SUMIFS(операции!$AF:$AF,операции!$X:$X,"&gt;="&amp;$H$8,операции!$X:$X,"&lt;="&amp;$H$9,операции!$O:$O,$E162)+SUMIFS(операции!$AF:$AF,операции!$T:$T,"&lt;="&amp;$H$9,операции!$X:$X,"",операции!$O:$O,$E162))/(H156+H160))</f>
        <v>8.5135873899635044</v>
      </c>
      <c r="I162" s="175"/>
      <c r="J162" s="99">
        <f>IF(J155=0,J161,(SUMIFS(операции!$AG:$AG,операции!$X:$X,"&gt;="&amp;J$8,операции!$X:$X,"&lt;="&amp;J$9,операции!$O:$O,$E162)+J$9*J160)/(J155+J160)-(SUMIFS(операции!$AF:$AF,операции!$X:$X,"&gt;="&amp;J$8,операции!$X:$X,"&lt;="&amp;J$9,операции!$O:$O,$E162)+SUMIFS(операции!$AF:$AF,операции!$T:$T,"&lt;="&amp;J$9,операции!$X:$X,"",операции!$O:$O,$E162)+SUMIFS(операции!$AF:$AF,операции!$T:$T,"&lt;="&amp;J$9,операции!$X:$X,"&gt;"&amp;J$9,операции!$O:$O,$E162))/(J156+J160))</f>
        <v>0</v>
      </c>
      <c r="K162" s="99">
        <f>IF(K155=0,K161,(SUMIFS(операции!$AG:$AG,операции!$X:$X,"&gt;="&amp;K$8,операции!$X:$X,"&lt;="&amp;K$9,операции!$O:$O,$E162)+K$9*K160)/(K155+K160)-(SUMIFS(операции!$AF:$AF,операции!$X:$X,"&gt;="&amp;K$8,операции!$X:$X,"&lt;="&amp;K$9,операции!$O:$O,$E162)+SUMIFS(операции!$AF:$AF,операции!$T:$T,"&lt;="&amp;K$9,операции!$X:$X,"",операции!$O:$O,$E162)+SUMIFS(операции!$AF:$AF,операции!$T:$T,"&lt;="&amp;K$9,операции!$X:$X,"&gt;"&amp;K$9,операции!$O:$O,$E162))/(K156+K160))</f>
        <v>5.1440860402290127</v>
      </c>
      <c r="L162" s="99">
        <f>IF(L155=0,L161,(SUMIFS(операции!$AG:$AG,операции!$X:$X,"&gt;="&amp;L$8,операции!$X:$X,"&lt;="&amp;L$9,операции!$O:$O,$E162)+L$9*L160)/(L155+L160)-(SUMIFS(операции!$AF:$AF,операции!$X:$X,"&gt;="&amp;L$8,операции!$X:$X,"&lt;="&amp;L$9,операции!$O:$O,$E162)+SUMIFS(операции!$AF:$AF,операции!$T:$T,"&lt;="&amp;L$9,операции!$X:$X,"",операции!$O:$O,$E162)+SUMIFS(операции!$AF:$AF,операции!$T:$T,"&lt;="&amp;L$9,операции!$X:$X,"&gt;"&amp;L$9,операции!$O:$O,$E162))/(L156+L160))</f>
        <v>8.2909624955500476</v>
      </c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</row>
    <row r="163" spans="1:27">
      <c r="A163" s="12"/>
      <c r="B163" s="12"/>
      <c r="C163" s="12"/>
      <c r="D163" s="97"/>
      <c r="E163" s="97"/>
      <c r="F163" s="97"/>
      <c r="G163" s="97"/>
      <c r="H163" s="100"/>
      <c r="I163" s="109"/>
      <c r="J163" s="97"/>
      <c r="K163" s="97"/>
      <c r="L163" s="97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</row>
    <row r="164" spans="1:27">
      <c r="A164" s="12"/>
      <c r="B164" s="12"/>
      <c r="C164" s="12"/>
      <c r="D164" s="12" t="s">
        <v>210</v>
      </c>
      <c r="E164" s="12" t="str">
        <f>микс!$H$40</f>
        <v>С-Тойз</v>
      </c>
      <c r="F164" s="12" t="s">
        <v>217</v>
      </c>
      <c r="G164" s="12"/>
      <c r="H164" s="90">
        <f>SUMIFS(операции!$Z:$Z,операции!$X:$X,"&gt;="&amp;H$8,операции!$X:$X,"&lt;="&amp;H$9,операции!$O:$O,$E164)</f>
        <v>114951</v>
      </c>
      <c r="I164" s="108"/>
      <c r="J164" s="53">
        <f>SUMIFS(операции!$Z:$Z,операции!$X:$X,"&gt;="&amp;J$8,операции!$X:$X,"&lt;="&amp;J$9,операции!$O:$O,$E164)</f>
        <v>23640</v>
      </c>
      <c r="K164" s="53">
        <f>SUMIFS(операции!$Z:$Z,операции!$X:$X,"&gt;="&amp;K$8,операции!$X:$X,"&lt;="&amp;K$9,операции!$O:$O,$E164)</f>
        <v>57125</v>
      </c>
      <c r="L164" s="53">
        <f>SUMIFS(операции!$Z:$Z,операции!$X:$X,"&gt;="&amp;L$8,операции!$X:$X,"&lt;="&amp;L$9,операции!$O:$O,$E164)</f>
        <v>34186</v>
      </c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</row>
    <row r="165" spans="1:27">
      <c r="A165" s="12"/>
      <c r="B165" s="12"/>
      <c r="C165" s="12"/>
      <c r="D165" s="12" t="s">
        <v>211</v>
      </c>
      <c r="E165" s="12" t="str">
        <f>E164</f>
        <v>С-Тойз</v>
      </c>
      <c r="F165" s="12" t="s">
        <v>217</v>
      </c>
      <c r="G165" s="12"/>
      <c r="H165" s="90">
        <f>SUMIFS(операции!$V:$V,операции!$X:$X,"&gt;="&amp;H$8,операции!$X:$X,"&lt;="&amp;H$9,операции!$O:$O,$E165)</f>
        <v>91743.840000000055</v>
      </c>
      <c r="I165" s="108"/>
      <c r="J165" s="53">
        <f>SUMIFS(операции!$V:$V,операции!$X:$X,"&gt;="&amp;J$8,операции!$X:$X,"&lt;="&amp;J$9,операции!$O:$O,$E165)</f>
        <v>19377.57</v>
      </c>
      <c r="K165" s="53">
        <f>SUMIFS(операции!$V:$V,операции!$X:$X,"&gt;="&amp;K$8,операции!$X:$X,"&lt;="&amp;K$9,операции!$O:$O,$E165)</f>
        <v>41117.369999999995</v>
      </c>
      <c r="L165" s="53">
        <f>SUMIFS(операции!$V:$V,операции!$X:$X,"&gt;="&amp;L$8,операции!$X:$X,"&lt;="&amp;L$9,операции!$O:$O,$E165)</f>
        <v>31248.900000000023</v>
      </c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</row>
    <row r="166" spans="1:27">
      <c r="A166" s="12"/>
      <c r="B166" s="12"/>
      <c r="C166" s="12"/>
      <c r="D166" s="12" t="s">
        <v>212</v>
      </c>
      <c r="E166" s="12" t="str">
        <f t="shared" ref="E166:E171" si="52">E165</f>
        <v>С-Тойз</v>
      </c>
      <c r="F166" s="12" t="s">
        <v>217</v>
      </c>
      <c r="G166" s="12"/>
      <c r="H166" s="90">
        <f>H164-H165</f>
        <v>23207.159999999945</v>
      </c>
      <c r="I166" s="108"/>
      <c r="J166" s="53">
        <f>J164-J165</f>
        <v>4262.43</v>
      </c>
      <c r="K166" s="53">
        <f t="shared" ref="K166:L166" si="53">K164-K165</f>
        <v>16007.630000000005</v>
      </c>
      <c r="L166" s="53">
        <f t="shared" si="53"/>
        <v>2937.0999999999767</v>
      </c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</row>
    <row r="167" spans="1:27" s="119" customFormat="1">
      <c r="A167" s="87"/>
      <c r="B167" s="87"/>
      <c r="C167" s="87"/>
      <c r="D167" s="87" t="s">
        <v>213</v>
      </c>
      <c r="E167" s="87" t="str">
        <f t="shared" si="52"/>
        <v>С-Тойз</v>
      </c>
      <c r="F167" s="87" t="s">
        <v>218</v>
      </c>
      <c r="G167" s="87"/>
      <c r="H167" s="116">
        <f>IF(H164=0,0,H166/H164)</f>
        <v>0.20188741289766896</v>
      </c>
      <c r="I167" s="117"/>
      <c r="J167" s="118">
        <f>IF(J164=0,0,J166/J164)</f>
        <v>0.18030583756345178</v>
      </c>
      <c r="K167" s="118">
        <f t="shared" ref="K167:L167" si="54">IF(K164=0,0,K166/K164)</f>
        <v>0.28022109409190382</v>
      </c>
      <c r="L167" s="118">
        <f t="shared" si="54"/>
        <v>8.5915286959573414E-2</v>
      </c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</row>
    <row r="168" spans="1:27" s="5" customFormat="1">
      <c r="A168" s="1"/>
      <c r="B168" s="1"/>
      <c r="C168" s="1"/>
      <c r="D168" s="168" t="s">
        <v>220</v>
      </c>
      <c r="E168" s="168" t="str">
        <f t="shared" si="52"/>
        <v>С-Тойз</v>
      </c>
      <c r="F168" s="168" t="s">
        <v>219</v>
      </c>
      <c r="G168" s="168"/>
      <c r="H168" s="169">
        <f>IF(H164=0,0,SUMIFS(операции!$AG:$AG,операции!$X:$X,"&gt;="&amp;H$8,операции!$X:$X,"&lt;="&amp;H$9,операции!$O:$O,$E168)/H164-SUMIFS(операции!$AF:$AF,операции!$X:$X,"&gt;="&amp;H$8,операции!$X:$X,"&lt;="&amp;H$9,операции!$O:$O,$E168)/H165)</f>
        <v>65.350963183227577</v>
      </c>
      <c r="I168" s="177"/>
      <c r="J168" s="169">
        <f>IF(J164=0,0,SUMIFS(операции!$AG:$AG,операции!$X:$X,"&gt;="&amp;J$8,операции!$X:$X,"&lt;="&amp;J$9,операции!$O:$O,$E168)/J164-SUMIFS(операции!$AF:$AF,операции!$X:$X,"&gt;="&amp;J$8,операции!$X:$X,"&lt;="&amp;J$9,операции!$O:$O,$E168)/J165)</f>
        <v>64.781765532527061</v>
      </c>
      <c r="K168" s="169">
        <f>IF(K164=0,0,SUMIFS(операции!$AG:$AG,операции!$X:$X,"&gt;="&amp;K$8,операции!$X:$X,"&lt;="&amp;K$9,операции!$O:$O,$E168)/K164-SUMIFS(операции!$AF:$AF,операции!$X:$X,"&gt;="&amp;K$8,операции!$X:$X,"&lt;="&amp;K$9,операции!$O:$O,$E168)/K165)</f>
        <v>77.148440093296813</v>
      </c>
      <c r="L168" s="169">
        <f>IF(L164=0,0,SUMIFS(операции!$AG:$AG,операции!$X:$X,"&gt;="&amp;L$8,операции!$X:$X,"&lt;="&amp;L$9,операции!$O:$O,$E168)/L164-SUMIFS(операции!$AF:$AF,операции!$X:$X,"&gt;="&amp;L$8,операции!$X:$X,"&lt;="&amp;L$9,операции!$O:$O,$E168)/L165)</f>
        <v>52.694427354232175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>
      <c r="A169" s="12"/>
      <c r="B169" s="12"/>
      <c r="C169" s="12"/>
      <c r="D169" s="131" t="s">
        <v>238</v>
      </c>
      <c r="E169" s="131" t="str">
        <f t="shared" si="52"/>
        <v>С-Тойз</v>
      </c>
      <c r="F169" s="131" t="s">
        <v>217</v>
      </c>
      <c r="G169" s="131"/>
      <c r="H169" s="166">
        <f>SUMIFS(операции!$V:$V,операции!$T:$T,"&lt;="&amp;$H$9,операции!$X:$X,"",операции!$O:$O,$E169)</f>
        <v>32082.67</v>
      </c>
      <c r="I169" s="178">
        <f>H169-L169</f>
        <v>0</v>
      </c>
      <c r="J169" s="167">
        <f>SUMIFS(операции!$V:$V,операции!$T:$T,"&lt;="&amp;J$9,операции!$X:$X,"",операции!$O:$O,$E169)+SUMIFS(операции!$V:$V,операции!$T:$T,"&lt;="&amp;J$9,операции!$X:$X,"&gt;"&amp;J$9,операции!$O:$O,$E169)</f>
        <v>57981.989999999991</v>
      </c>
      <c r="K169" s="167">
        <f>SUMIFS(операции!$V:$V,операции!$T:$T,"&lt;="&amp;K$9,операции!$X:$X,"",операции!$O:$O,$E169)+SUMIFS(операции!$V:$V,операции!$T:$T,"&lt;="&amp;K$9,операции!$X:$X,"&gt;"&amp;K$9,операции!$O:$O,$E169)</f>
        <v>59527.24000000002</v>
      </c>
      <c r="L169" s="167">
        <f>SUMIFS(операции!$V:$V,операции!$T:$T,"&lt;="&amp;L$9,операции!$X:$X,"",операции!$O:$O,$E169)+SUMIFS(операции!$V:$V,операции!$T:$T,"&lt;="&amp;L$9,операции!$X:$X,"&gt;"&amp;L$9,операции!$O:$O,$E169)</f>
        <v>32082.67</v>
      </c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</row>
    <row r="170" spans="1:27" s="5" customFormat="1">
      <c r="A170" s="1"/>
      <c r="B170" s="1"/>
      <c r="C170" s="1"/>
      <c r="D170" s="168" t="s">
        <v>239</v>
      </c>
      <c r="E170" s="168" t="str">
        <f t="shared" si="52"/>
        <v>С-Тойз</v>
      </c>
      <c r="F170" s="168" t="s">
        <v>219</v>
      </c>
      <c r="G170" s="168"/>
      <c r="H170" s="169">
        <f>IF(H169=0,0,$H$9-SUMIFS(операции!$AF:$AF,операции!$T:$T,"&lt;="&amp;$H$9,операции!$X:$X,"",операции!$O:$O,$E170)/H169)</f>
        <v>196.23000080727797</v>
      </c>
      <c r="I170" s="177">
        <f>H170-L170</f>
        <v>0</v>
      </c>
      <c r="J170" s="169">
        <f>IF(J169=0,0,J$9-(SUMIFS(операции!$AF:$AF,операции!$T:$T,"&lt;="&amp;J$9,операции!$X:$X,"",операции!$O:$O,$E170)+SUMIFS(операции!$AF:$AF,операции!$T:$T,"&lt;="&amp;J$9,операции!$X:$X,"&gt;"&amp;J$9,операции!$O:$O,$E170))/J169)</f>
        <v>144.90612895486993</v>
      </c>
      <c r="K170" s="169">
        <f>IF(K169=0,0,K$9-(SUMIFS(операции!$AF:$AF,операции!$T:$T,"&lt;="&amp;K$9,операции!$X:$X,"",операции!$O:$O,$E170)+SUMIFS(операции!$AF:$AF,операции!$T:$T,"&lt;="&amp;K$9,операции!$X:$X,"&gt;"&amp;K$9,операции!$O:$O,$E170))/K169)</f>
        <v>114.02845117630932</v>
      </c>
      <c r="L170" s="169">
        <f>IF(L169=0,0,L$9-(SUMIFS(операции!$AF:$AF,операции!$T:$T,"&lt;="&amp;L$9,операции!$X:$X,"",операции!$O:$O,$E170)+SUMIFS(операции!$AF:$AF,операции!$T:$T,"&lt;="&amp;L$9,операции!$X:$X,"&gt;"&amp;L$9,операции!$O:$O,$E170))/L169)</f>
        <v>196.23000080727797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s="93" customFormat="1" ht="15">
      <c r="A171" s="92"/>
      <c r="B171" s="92"/>
      <c r="C171" s="92"/>
      <c r="D171" s="98" t="s">
        <v>237</v>
      </c>
      <c r="E171" s="120" t="str">
        <f t="shared" si="52"/>
        <v>С-Тойз</v>
      </c>
      <c r="F171" s="98" t="s">
        <v>219</v>
      </c>
      <c r="G171" s="98"/>
      <c r="H171" s="99">
        <f>IF(H164=0,H170,(SUMIFS(операции!$AG:$AG,операции!$X:$X,"&gt;="&amp;$H$8,операции!$X:$X,"&lt;="&amp;$H$9,операции!$O:$O,$E171)+$H$9*H169)/(H164+H169)-(SUMIFS(операции!$AF:$AF,операции!$X:$X,"&gt;="&amp;$H$8,операции!$X:$X,"&lt;="&amp;$H$9,операции!$O:$O,$E171)+SUMIFS(операции!$AF:$AF,операции!$T:$T,"&lt;="&amp;$H$9,операции!$X:$X,"",операции!$O:$O,$E171))/(H165+H169))</f>
        <v>97.49382715048705</v>
      </c>
      <c r="I171" s="175"/>
      <c r="J171" s="99">
        <f>IF(J164=0,J170,(SUMIFS(операции!$AG:$AG,операции!$X:$X,"&gt;="&amp;J$8,операции!$X:$X,"&lt;="&amp;J$9,операции!$O:$O,$E171)+J$9*J169)/(J164+J169)-(SUMIFS(операции!$AF:$AF,операции!$X:$X,"&gt;="&amp;J$8,операции!$X:$X,"&lt;="&amp;J$9,операции!$O:$O,$E171)+SUMIFS(операции!$AF:$AF,операции!$T:$T,"&lt;="&amp;J$9,операции!$X:$X,"",операции!$O:$O,$E171)+SUMIFS(операции!$AF:$AF,операции!$T:$T,"&lt;="&amp;J$9,операции!$X:$X,"&gt;"&amp;J$9,операции!$O:$O,$E171))/(J165+J169))</f>
        <v>124.6142336820194</v>
      </c>
      <c r="K171" s="99">
        <f>IF(K164=0,K170,(SUMIFS(операции!$AG:$AG,операции!$X:$X,"&gt;="&amp;K$8,операции!$X:$X,"&lt;="&amp;K$9,операции!$O:$O,$E171)+K$9*K169)/(K164+K169)-(SUMIFS(операции!$AF:$AF,операции!$X:$X,"&gt;="&amp;K$8,операции!$X:$X,"&lt;="&amp;K$9,операции!$O:$O,$E171)+SUMIFS(операции!$AF:$AF,операции!$T:$T,"&lt;="&amp;K$9,операции!$X:$X,"",операции!$O:$O,$E171)+SUMIFS(операции!$AF:$AF,операции!$T:$T,"&lt;="&amp;K$9,операции!$X:$X,"&gt;"&amp;K$9,операции!$O:$O,$E171))/(K165+K169))</f>
        <v>97.778761463720002</v>
      </c>
      <c r="L171" s="99">
        <f>IF(L164=0,L170,(SUMIFS(операции!$AG:$AG,операции!$X:$X,"&gt;="&amp;L$8,операции!$X:$X,"&lt;="&amp;L$9,операции!$O:$O,$E171)+L$9*L169)/(L164+L169)-(SUMIFS(операции!$AF:$AF,операции!$X:$X,"&gt;="&amp;L$8,операции!$X:$X,"&lt;="&amp;L$9,операции!$O:$O,$E171)+SUMIFS(операции!$AF:$AF,операции!$T:$T,"&lt;="&amp;L$9,операции!$X:$X,"",операции!$O:$O,$E171)+SUMIFS(операции!$AF:$AF,операции!$T:$T,"&lt;="&amp;L$9,операции!$X:$X,"&gt;"&amp;L$9,операции!$O:$O,$E171))/(L165+L169))</f>
        <v>124.88962939727207</v>
      </c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</row>
    <row r="172" spans="1:27">
      <c r="A172" s="12"/>
      <c r="B172" s="12"/>
      <c r="C172" s="12"/>
      <c r="D172" s="12"/>
      <c r="E172" s="12"/>
      <c r="F172" s="12"/>
      <c r="G172" s="12"/>
      <c r="H172" s="1"/>
      <c r="I172" s="108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27">
      <c r="A173" s="12"/>
      <c r="B173" s="12"/>
      <c r="C173" s="12"/>
      <c r="D173" s="12" t="s">
        <v>210</v>
      </c>
      <c r="E173" s="12" t="str">
        <f>микс!$H$41</f>
        <v>СуперСпорт</v>
      </c>
      <c r="F173" s="12" t="s">
        <v>217</v>
      </c>
      <c r="G173" s="12"/>
      <c r="H173" s="90">
        <f>SUMIFS(операции!$Z:$Z,операции!$X:$X,"&gt;="&amp;H$8,операции!$X:$X,"&lt;="&amp;H$9,операции!$O:$O,$E173)</f>
        <v>224280</v>
      </c>
      <c r="I173" s="108"/>
      <c r="J173" s="53">
        <f>SUMIFS(операции!$Z:$Z,операции!$X:$X,"&gt;="&amp;J$8,операции!$X:$X,"&lt;="&amp;J$9,операции!$O:$O,$E173)</f>
        <v>65072</v>
      </c>
      <c r="K173" s="53">
        <f>SUMIFS(операции!$Z:$Z,операции!$X:$X,"&gt;="&amp;K$8,операции!$X:$X,"&lt;="&amp;K$9,операции!$O:$O,$E173)</f>
        <v>82901</v>
      </c>
      <c r="L173" s="53">
        <f>SUMIFS(операции!$Z:$Z,операции!$X:$X,"&gt;="&amp;L$8,операции!$X:$X,"&lt;="&amp;L$9,операции!$O:$O,$E173)</f>
        <v>76307</v>
      </c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</row>
    <row r="174" spans="1:27">
      <c r="A174" s="12"/>
      <c r="B174" s="12"/>
      <c r="C174" s="12"/>
      <c r="D174" s="12" t="s">
        <v>211</v>
      </c>
      <c r="E174" s="12" t="str">
        <f>E173</f>
        <v>СуперСпорт</v>
      </c>
      <c r="F174" s="12" t="s">
        <v>217</v>
      </c>
      <c r="G174" s="12"/>
      <c r="H174" s="90">
        <f>SUMIFS(операции!$V:$V,операции!$X:$X,"&gt;="&amp;H$8,операции!$X:$X,"&lt;="&amp;H$9,операции!$O:$O,$E174)</f>
        <v>200274.43999999983</v>
      </c>
      <c r="I174" s="108"/>
      <c r="J174" s="53">
        <f>SUMIFS(операции!$V:$V,операции!$X:$X,"&gt;="&amp;J$8,операции!$X:$X,"&lt;="&amp;J$9,операции!$O:$O,$E174)</f>
        <v>56722.240000000005</v>
      </c>
      <c r="K174" s="53">
        <f>SUMIFS(операции!$V:$V,операции!$X:$X,"&gt;="&amp;K$8,операции!$X:$X,"&lt;="&amp;K$9,операции!$O:$O,$E174)</f>
        <v>73488.099999999991</v>
      </c>
      <c r="L174" s="53">
        <f>SUMIFS(операции!$V:$V,операции!$X:$X,"&gt;="&amp;L$8,операции!$X:$X,"&lt;="&amp;L$9,операции!$O:$O,$E174)</f>
        <v>70064.099999999991</v>
      </c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</row>
    <row r="175" spans="1:27">
      <c r="A175" s="12"/>
      <c r="B175" s="12"/>
      <c r="C175" s="12"/>
      <c r="D175" s="12" t="s">
        <v>212</v>
      </c>
      <c r="E175" s="12" t="str">
        <f t="shared" ref="E175:E180" si="55">E174</f>
        <v>СуперСпорт</v>
      </c>
      <c r="F175" s="12" t="s">
        <v>217</v>
      </c>
      <c r="G175" s="12"/>
      <c r="H175" s="90">
        <f>H173-H174</f>
        <v>24005.560000000172</v>
      </c>
      <c r="I175" s="108"/>
      <c r="J175" s="53">
        <f>J173-J174</f>
        <v>8349.7599999999948</v>
      </c>
      <c r="K175" s="53">
        <f t="shared" ref="K175:L175" si="56">K173-K174</f>
        <v>9412.9000000000087</v>
      </c>
      <c r="L175" s="53">
        <f t="shared" si="56"/>
        <v>6242.9000000000087</v>
      </c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</row>
    <row r="176" spans="1:27" s="119" customFormat="1">
      <c r="A176" s="87"/>
      <c r="B176" s="87"/>
      <c r="C176" s="87"/>
      <c r="D176" s="87" t="s">
        <v>213</v>
      </c>
      <c r="E176" s="87" t="str">
        <f t="shared" si="55"/>
        <v>СуперСпорт</v>
      </c>
      <c r="F176" s="87" t="s">
        <v>218</v>
      </c>
      <c r="G176" s="87"/>
      <c r="H176" s="116">
        <f>IF(H173=0,0,H175/H173)</f>
        <v>0.10703388621366226</v>
      </c>
      <c r="I176" s="117"/>
      <c r="J176" s="118">
        <f>IF(J173=0,0,J175/J173)</f>
        <v>0.12831571182689935</v>
      </c>
      <c r="K176" s="118">
        <f t="shared" ref="K176:L176" si="57">IF(K173=0,0,K175/K173)</f>
        <v>0.11354386557460114</v>
      </c>
      <c r="L176" s="118">
        <f t="shared" si="57"/>
        <v>8.181293983513975E-2</v>
      </c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</row>
    <row r="177" spans="1:27" s="5" customFormat="1">
      <c r="A177" s="1"/>
      <c r="B177" s="1"/>
      <c r="C177" s="1"/>
      <c r="D177" s="168" t="s">
        <v>220</v>
      </c>
      <c r="E177" s="168" t="str">
        <f t="shared" si="55"/>
        <v>СуперСпорт</v>
      </c>
      <c r="F177" s="168" t="s">
        <v>219</v>
      </c>
      <c r="G177" s="168"/>
      <c r="H177" s="169">
        <f>IF(H173=0,0,SUMIFS(операции!$AG:$AG,операции!$X:$X,"&gt;="&amp;H$8,операции!$X:$X,"&lt;="&amp;H$9,операции!$O:$O,$E177)/H173-SUMIFS(операции!$AF:$AF,операции!$X:$X,"&gt;="&amp;H$8,операции!$X:$X,"&lt;="&amp;H$9,операции!$O:$O,$E177)/H174)</f>
        <v>58.483753637112386</v>
      </c>
      <c r="I177" s="177"/>
      <c r="J177" s="169">
        <f>IF(J173=0,0,SUMIFS(операции!$AG:$AG,операции!$X:$X,"&gt;="&amp;J$8,операции!$X:$X,"&lt;="&amp;J$9,операции!$O:$O,$E177)/J173-SUMIFS(операции!$AF:$AF,операции!$X:$X,"&gt;="&amp;J$8,операции!$X:$X,"&lt;="&amp;J$9,операции!$O:$O,$E177)/J174)</f>
        <v>80.005053876826423</v>
      </c>
      <c r="K177" s="169">
        <f>IF(K173=0,0,SUMIFS(операции!$AG:$AG,операции!$X:$X,"&gt;="&amp;K$8,операции!$X:$X,"&lt;="&amp;K$9,операции!$O:$O,$E177)/K173-SUMIFS(операции!$AF:$AF,операции!$X:$X,"&gt;="&amp;K$8,операции!$X:$X,"&lt;="&amp;K$9,операции!$O:$O,$E177)/K174)</f>
        <v>78.764046890799364</v>
      </c>
      <c r="L177" s="169">
        <f>IF(L173=0,0,SUMIFS(операции!$AG:$AG,операции!$X:$X,"&gt;="&amp;L$8,операции!$X:$X,"&lt;="&amp;L$9,операции!$O:$O,$E177)/L173-SUMIFS(операции!$AF:$AF,операции!$X:$X,"&gt;="&amp;L$8,операции!$X:$X,"&lt;="&amp;L$9,операции!$O:$O,$E177)/L174)</f>
        <v>20.69972995709395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>
      <c r="A178" s="12"/>
      <c r="B178" s="12"/>
      <c r="C178" s="12"/>
      <c r="D178" s="131" t="s">
        <v>238</v>
      </c>
      <c r="E178" s="131" t="str">
        <f t="shared" si="55"/>
        <v>СуперСпорт</v>
      </c>
      <c r="F178" s="131" t="s">
        <v>217</v>
      </c>
      <c r="G178" s="131"/>
      <c r="H178" s="166">
        <f>SUMIFS(операции!$V:$V,операции!$T:$T,"&lt;="&amp;$H$9,операции!$X:$X,"",операции!$O:$O,$E178)</f>
        <v>60714.090000000004</v>
      </c>
      <c r="I178" s="178">
        <f>H178-L178</f>
        <v>0</v>
      </c>
      <c r="J178" s="167">
        <f>SUMIFS(операции!$V:$V,операции!$T:$T,"&lt;="&amp;J$9,операции!$X:$X,"",операции!$O:$O,$E178)+SUMIFS(операции!$V:$V,операции!$T:$T,"&lt;="&amp;J$9,операции!$X:$X,"&gt;"&amp;J$9,операции!$O:$O,$E178)</f>
        <v>125655.20999999999</v>
      </c>
      <c r="K178" s="167">
        <f>SUMIFS(операции!$V:$V,операции!$T:$T,"&lt;="&amp;K$9,операции!$X:$X,"",операции!$O:$O,$E178)+SUMIFS(операции!$V:$V,операции!$T:$T,"&lt;="&amp;K$9,операции!$X:$X,"&gt;"&amp;K$9,операции!$O:$O,$E178)</f>
        <v>126155.5</v>
      </c>
      <c r="L178" s="167">
        <f>SUMIFS(операции!$V:$V,операции!$T:$T,"&lt;="&amp;L$9,операции!$X:$X,"",операции!$O:$O,$E178)+SUMIFS(операции!$V:$V,операции!$T:$T,"&lt;="&amp;L$9,операции!$X:$X,"&gt;"&amp;L$9,операции!$O:$O,$E178)</f>
        <v>60714.090000000004</v>
      </c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</row>
    <row r="179" spans="1:27" s="5" customFormat="1">
      <c r="A179" s="1"/>
      <c r="B179" s="1"/>
      <c r="C179" s="1"/>
      <c r="D179" s="168" t="s">
        <v>239</v>
      </c>
      <c r="E179" s="168" t="str">
        <f t="shared" si="55"/>
        <v>СуперСпорт</v>
      </c>
      <c r="F179" s="168" t="s">
        <v>219</v>
      </c>
      <c r="G179" s="168"/>
      <c r="H179" s="169">
        <f>IF(H178=0,0,$H$9-SUMIFS(операции!$AF:$AF,операции!$T:$T,"&lt;="&amp;$H$9,операции!$X:$X,"",операции!$O:$O,$E179)/H178)</f>
        <v>148.96965712571546</v>
      </c>
      <c r="I179" s="177">
        <f>H179-L179</f>
        <v>0</v>
      </c>
      <c r="J179" s="169">
        <f>IF(J178=0,0,J$9-(SUMIFS(операции!$AF:$AF,операции!$T:$T,"&lt;="&amp;J$9,операции!$X:$X,"",операции!$O:$O,$E179)+SUMIFS(операции!$AF:$AF,операции!$T:$T,"&lt;="&amp;J$9,операции!$X:$X,"&gt;"&amp;J$9,операции!$O:$O,$E179))/J178)</f>
        <v>88.389624353811087</v>
      </c>
      <c r="K179" s="169">
        <f>IF(K178=0,0,K$9-(SUMIFS(операции!$AF:$AF,операции!$T:$T,"&lt;="&amp;K$9,операции!$X:$X,"",операции!$O:$O,$E179)+SUMIFS(операции!$AF:$AF,операции!$T:$T,"&lt;="&amp;K$9,операции!$X:$X,"&gt;"&amp;K$9,операции!$O:$O,$E179))/K178)</f>
        <v>66.72364201322489</v>
      </c>
      <c r="L179" s="169">
        <f>IF(L178=0,0,L$9-(SUMIFS(операции!$AF:$AF,операции!$T:$T,"&lt;="&amp;L$9,операции!$X:$X,"",операции!$O:$O,$E179)+SUMIFS(операции!$AF:$AF,операции!$T:$T,"&lt;="&amp;L$9,операции!$X:$X,"&gt;"&amp;L$9,операции!$O:$O,$E179))/L178)</f>
        <v>148.96965712571546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s="93" customFormat="1" ht="15">
      <c r="A180" s="92"/>
      <c r="B180" s="92"/>
      <c r="C180" s="92"/>
      <c r="D180" s="98" t="s">
        <v>237</v>
      </c>
      <c r="E180" s="120" t="str">
        <f t="shared" si="55"/>
        <v>СуперСпорт</v>
      </c>
      <c r="F180" s="98" t="s">
        <v>219</v>
      </c>
      <c r="G180" s="98"/>
      <c r="H180" s="99">
        <f>IF(H173=0,H179,(SUMIFS(операции!$AG:$AG,операции!$X:$X,"&gt;="&amp;$H$8,операции!$X:$X,"&lt;="&amp;$H$9,операции!$O:$O,$E180)+$H$9*H178)/(H173+H178)-(SUMIFS(операции!$AF:$AF,операции!$X:$X,"&gt;="&amp;$H$8,операции!$X:$X,"&lt;="&amp;$H$9,операции!$O:$O,$E180)+SUMIFS(операции!$AF:$AF,операции!$T:$T,"&lt;="&amp;$H$9,операции!$X:$X,"",операции!$O:$O,$E180))/(H174+H178))</f>
        <v>78.655832712836855</v>
      </c>
      <c r="I180" s="175"/>
      <c r="J180" s="99">
        <f>IF(J173=0,J179,(SUMIFS(операции!$AG:$AG,операции!$X:$X,"&gt;="&amp;J$8,операции!$X:$X,"&lt;="&amp;J$9,операции!$O:$O,$E180)+J$9*J178)/(J173+J178)-(SUMIFS(операции!$AF:$AF,операции!$X:$X,"&gt;="&amp;J$8,операции!$X:$X,"&lt;="&amp;J$9,операции!$O:$O,$E180)+SUMIFS(операции!$AF:$AF,операции!$T:$T,"&lt;="&amp;J$9,операции!$X:$X,"",операции!$O:$O,$E180)+SUMIFS(операции!$AF:$AF,операции!$T:$T,"&lt;="&amp;J$9,операции!$X:$X,"&gt;"&amp;J$9,операции!$O:$O,$E180))/(J174+J178))</f>
        <v>85.634555957447446</v>
      </c>
      <c r="K180" s="99">
        <f>IF(K173=0,K179,(SUMIFS(операции!$AG:$AG,операции!$X:$X,"&gt;="&amp;K$8,операции!$X:$X,"&lt;="&amp;K$9,операции!$O:$O,$E180)+K$9*K178)/(K173+K178)-(SUMIFS(операции!$AF:$AF,операции!$X:$X,"&gt;="&amp;K$8,операции!$X:$X,"&lt;="&amp;K$9,операции!$O:$O,$E180)+SUMIFS(операции!$AF:$AF,операции!$T:$T,"&lt;="&amp;K$9,операции!$X:$X,"",операции!$O:$O,$E180)+SUMIFS(операции!$AF:$AF,операции!$T:$T,"&lt;="&amp;K$9,операции!$X:$X,"&gt;"&amp;K$9,операции!$O:$O,$E180))/(K174+K178))</f>
        <v>70.763403514116362</v>
      </c>
      <c r="L180" s="99">
        <f>IF(L173=0,L179,(SUMIFS(операции!$AG:$AG,операции!$X:$X,"&gt;="&amp;L$8,операции!$X:$X,"&lt;="&amp;L$9,операции!$O:$O,$E180)+L$9*L178)/(L173+L178)-(SUMIFS(операции!$AF:$AF,операции!$X:$X,"&gt;="&amp;L$8,операции!$X:$X,"&lt;="&amp;L$9,операции!$O:$O,$E180)+SUMIFS(операции!$AF:$AF,операции!$T:$T,"&lt;="&amp;L$9,операции!$X:$X,"",операции!$O:$O,$E180)+SUMIFS(операции!$AF:$AF,операции!$T:$T,"&lt;="&amp;L$9,операции!$X:$X,"&gt;"&amp;L$9,операции!$O:$O,$E180))/(L174+L178))</f>
        <v>79.682027913906495</v>
      </c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</row>
    <row r="181" spans="1:27">
      <c r="A181" s="12"/>
      <c r="B181" s="12"/>
      <c r="C181" s="12"/>
      <c r="D181" s="97"/>
      <c r="E181" s="97"/>
      <c r="F181" s="97"/>
      <c r="G181" s="97"/>
      <c r="H181" s="100"/>
      <c r="I181" s="109"/>
      <c r="J181" s="97"/>
      <c r="K181" s="97"/>
      <c r="L181" s="97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</row>
    <row r="182" spans="1:27">
      <c r="A182" s="12"/>
      <c r="B182" s="12"/>
      <c r="C182" s="12"/>
      <c r="D182" s="12" t="s">
        <v>210</v>
      </c>
      <c r="E182" s="12" t="str">
        <f>микс!$H$42</f>
        <v>ФорКидс</v>
      </c>
      <c r="F182" s="12" t="s">
        <v>217</v>
      </c>
      <c r="G182" s="12"/>
      <c r="H182" s="90">
        <f>SUMIFS(операции!$Z:$Z,операции!$X:$X,"&gt;="&amp;H$8,операции!$X:$X,"&lt;="&amp;H$9,операции!$O:$O,$E182)</f>
        <v>667152</v>
      </c>
      <c r="I182" s="108"/>
      <c r="J182" s="53">
        <f>SUMIFS(операции!$Z:$Z,операции!$X:$X,"&gt;="&amp;J$8,операции!$X:$X,"&lt;="&amp;J$9,операции!$O:$O,$E182)</f>
        <v>77319</v>
      </c>
      <c r="K182" s="53">
        <f>SUMIFS(операции!$Z:$Z,операции!$X:$X,"&gt;="&amp;K$8,операции!$X:$X,"&lt;="&amp;K$9,операции!$O:$O,$E182)</f>
        <v>363251</v>
      </c>
      <c r="L182" s="53">
        <f>SUMIFS(операции!$Z:$Z,операции!$X:$X,"&gt;="&amp;L$8,операции!$X:$X,"&lt;="&amp;L$9,операции!$O:$O,$E182)</f>
        <v>226582</v>
      </c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</row>
    <row r="183" spans="1:27">
      <c r="A183" s="12"/>
      <c r="B183" s="12"/>
      <c r="C183" s="12"/>
      <c r="D183" s="12" t="s">
        <v>211</v>
      </c>
      <c r="E183" s="12" t="str">
        <f>E182</f>
        <v>ФорКидс</v>
      </c>
      <c r="F183" s="12" t="s">
        <v>217</v>
      </c>
      <c r="G183" s="12"/>
      <c r="H183" s="90">
        <f>SUMIFS(операции!$V:$V,операции!$X:$X,"&gt;="&amp;H$8,операции!$X:$X,"&lt;="&amp;H$9,операции!$O:$O,$E183)</f>
        <v>598206.75999999954</v>
      </c>
      <c r="I183" s="108"/>
      <c r="J183" s="53">
        <f>SUMIFS(операции!$V:$V,операции!$X:$X,"&gt;="&amp;J$8,операции!$X:$X,"&lt;="&amp;J$9,операции!$O:$O,$E183)</f>
        <v>68092.820000000007</v>
      </c>
      <c r="K183" s="53">
        <f>SUMIFS(операции!$V:$V,операции!$X:$X,"&gt;="&amp;K$8,операции!$X:$X,"&lt;="&amp;K$9,операции!$O:$O,$E183)</f>
        <v>323925.84999999998</v>
      </c>
      <c r="L183" s="53">
        <f>SUMIFS(операции!$V:$V,операции!$X:$X,"&gt;="&amp;L$8,операции!$X:$X,"&lt;="&amp;L$9,операции!$O:$O,$E183)</f>
        <v>206188.09000000003</v>
      </c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</row>
    <row r="184" spans="1:27">
      <c r="A184" s="12"/>
      <c r="B184" s="12"/>
      <c r="C184" s="12"/>
      <c r="D184" s="12" t="s">
        <v>212</v>
      </c>
      <c r="E184" s="12" t="str">
        <f t="shared" ref="E184:E189" si="58">E183</f>
        <v>ФорКидс</v>
      </c>
      <c r="F184" s="12" t="s">
        <v>217</v>
      </c>
      <c r="G184" s="12"/>
      <c r="H184" s="90">
        <f>H182-H183</f>
        <v>68945.240000000456</v>
      </c>
      <c r="I184" s="108"/>
      <c r="J184" s="53">
        <f>J182-J183</f>
        <v>9226.179999999993</v>
      </c>
      <c r="K184" s="53">
        <f t="shared" ref="K184:L184" si="59">K182-K183</f>
        <v>39325.150000000023</v>
      </c>
      <c r="L184" s="53">
        <f t="shared" si="59"/>
        <v>20393.909999999974</v>
      </c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</row>
    <row r="185" spans="1:27" s="119" customFormat="1">
      <c r="A185" s="87"/>
      <c r="B185" s="87"/>
      <c r="C185" s="87"/>
      <c r="D185" s="87" t="s">
        <v>213</v>
      </c>
      <c r="E185" s="87" t="str">
        <f t="shared" si="58"/>
        <v>ФорКидс</v>
      </c>
      <c r="F185" s="87" t="s">
        <v>218</v>
      </c>
      <c r="G185" s="87"/>
      <c r="H185" s="116">
        <f>IF(H182=0,0,H184/H182)</f>
        <v>0.10334262656785928</v>
      </c>
      <c r="I185" s="117"/>
      <c r="J185" s="118">
        <f>IF(J182=0,0,J184/J182)</f>
        <v>0.11932616821221166</v>
      </c>
      <c r="K185" s="118">
        <f t="shared" ref="K185:L185" si="60">IF(K182=0,0,K184/K182)</f>
        <v>0.10825888985852763</v>
      </c>
      <c r="L185" s="118">
        <f t="shared" si="60"/>
        <v>9.000675252226556E-2</v>
      </c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</row>
    <row r="186" spans="1:27" s="5" customFormat="1">
      <c r="A186" s="1"/>
      <c r="B186" s="1"/>
      <c r="C186" s="1"/>
      <c r="D186" s="168" t="s">
        <v>220</v>
      </c>
      <c r="E186" s="168" t="str">
        <f t="shared" si="58"/>
        <v>ФорКидс</v>
      </c>
      <c r="F186" s="168" t="s">
        <v>219</v>
      </c>
      <c r="G186" s="168"/>
      <c r="H186" s="169">
        <f>IF(H182=0,0,SUMIFS(операции!$AG:$AG,операции!$X:$X,"&gt;="&amp;H$8,операции!$X:$X,"&lt;="&amp;H$9,операции!$O:$O,$E186)/H182-SUMIFS(операции!$AF:$AF,операции!$X:$X,"&gt;="&amp;H$8,операции!$X:$X,"&lt;="&amp;H$9,операции!$O:$O,$E186)/H183)</f>
        <v>36.209591077611549</v>
      </c>
      <c r="I186" s="177"/>
      <c r="J186" s="169">
        <f>IF(J182=0,0,SUMIFS(операции!$AG:$AG,операции!$X:$X,"&gt;="&amp;J$8,операции!$X:$X,"&lt;="&amp;J$9,операции!$O:$O,$E186)/J182-SUMIFS(операции!$AF:$AF,операции!$X:$X,"&gt;="&amp;J$8,операции!$X:$X,"&lt;="&amp;J$9,операции!$O:$O,$E186)/J183)</f>
        <v>70.57947930530645</v>
      </c>
      <c r="K186" s="169">
        <f>IF(K182=0,0,SUMIFS(операции!$AG:$AG,операции!$X:$X,"&gt;="&amp;K$8,операции!$X:$X,"&lt;="&amp;K$9,операции!$O:$O,$E186)/K182-SUMIFS(операции!$AF:$AF,операции!$X:$X,"&gt;="&amp;K$8,операции!$X:$X,"&lt;="&amp;K$9,операции!$O:$O,$E186)/K183)</f>
        <v>33.744068687577965</v>
      </c>
      <c r="L186" s="169">
        <f>IF(L182=0,0,SUMIFS(операции!$AG:$AG,операции!$X:$X,"&gt;="&amp;L$8,операции!$X:$X,"&lt;="&amp;L$9,операции!$O:$O,$E186)/L182-SUMIFS(операции!$AF:$AF,операции!$X:$X,"&gt;="&amp;L$8,операции!$X:$X,"&lt;="&amp;L$9,операции!$O:$O,$E186)/L183)</f>
        <v>29.096563077437168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>
      <c r="A187" s="12"/>
      <c r="B187" s="12"/>
      <c r="C187" s="12"/>
      <c r="D187" s="131" t="s">
        <v>238</v>
      </c>
      <c r="E187" s="131" t="str">
        <f t="shared" si="58"/>
        <v>ФорКидс</v>
      </c>
      <c r="F187" s="131" t="s">
        <v>217</v>
      </c>
      <c r="G187" s="131"/>
      <c r="H187" s="166">
        <f>SUMIFS(операции!$V:$V,операции!$T:$T,"&lt;="&amp;$H$9,операции!$X:$X,"",операции!$O:$O,$E187)</f>
        <v>108660.28000000001</v>
      </c>
      <c r="I187" s="178">
        <f>H187-L187</f>
        <v>0</v>
      </c>
      <c r="J187" s="167">
        <f>SUMIFS(операции!$V:$V,операции!$T:$T,"&lt;="&amp;J$9,операции!$X:$X,"",операции!$O:$O,$E187)+SUMIFS(операции!$V:$V,операции!$T:$T,"&lt;="&amp;J$9,операции!$X:$X,"&gt;"&amp;J$9,операции!$O:$O,$E187)</f>
        <v>234311.66999999998</v>
      </c>
      <c r="K187" s="167">
        <f>SUMIFS(операции!$V:$V,операции!$T:$T,"&lt;="&amp;K$9,операции!$X:$X,"",операции!$O:$O,$E187)+SUMIFS(операции!$V:$V,операции!$T:$T,"&lt;="&amp;K$9,операции!$X:$X,"&gt;"&amp;K$9,операции!$O:$O,$E187)</f>
        <v>304061.85000000003</v>
      </c>
      <c r="L187" s="167">
        <f>SUMIFS(операции!$V:$V,операции!$T:$T,"&lt;="&amp;L$9,операции!$X:$X,"",операции!$O:$O,$E187)+SUMIFS(операции!$V:$V,операции!$T:$T,"&lt;="&amp;L$9,операции!$X:$X,"&gt;"&amp;L$9,операции!$O:$O,$E187)</f>
        <v>108660.28000000001</v>
      </c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</row>
    <row r="188" spans="1:27" s="5" customFormat="1">
      <c r="A188" s="1"/>
      <c r="B188" s="1"/>
      <c r="C188" s="1"/>
      <c r="D188" s="168" t="s">
        <v>239</v>
      </c>
      <c r="E188" s="168" t="str">
        <f t="shared" si="58"/>
        <v>ФорКидс</v>
      </c>
      <c r="F188" s="168" t="s">
        <v>219</v>
      </c>
      <c r="G188" s="168"/>
      <c r="H188" s="169">
        <f>IF(H187=0,0,$H$9-SUMIFS(операции!$AF:$AF,операции!$T:$T,"&lt;="&amp;$H$9,операции!$X:$X,"",операции!$O:$O,$E188)/H187)</f>
        <v>154.92321508834721</v>
      </c>
      <c r="I188" s="177">
        <f>H188-L188</f>
        <v>0</v>
      </c>
      <c r="J188" s="169">
        <f>IF(J187=0,0,J$9-(SUMIFS(операции!$AF:$AF,операции!$T:$T,"&lt;="&amp;J$9,операции!$X:$X,"",операции!$O:$O,$E188)+SUMIFS(операции!$AF:$AF,операции!$T:$T,"&lt;="&amp;J$9,операции!$X:$X,"&gt;"&amp;J$9,операции!$O:$O,$E188))/J187)</f>
        <v>95.953222859097878</v>
      </c>
      <c r="K188" s="169">
        <f>IF(K187=0,0,K$9-(SUMIFS(операции!$AF:$AF,операции!$T:$T,"&lt;="&amp;K$9,операции!$X:$X,"",операции!$O:$O,$E188)+SUMIFS(операции!$AF:$AF,операции!$T:$T,"&lt;="&amp;K$9,операции!$X:$X,"&gt;"&amp;K$9,операции!$O:$O,$E188))/K187)</f>
        <v>61.988195197794994</v>
      </c>
      <c r="L188" s="169">
        <f>IF(L187=0,0,L$9-(SUMIFS(операции!$AF:$AF,операции!$T:$T,"&lt;="&amp;L$9,операции!$X:$X,"",операции!$O:$O,$E188)+SUMIFS(операции!$AF:$AF,операции!$T:$T,"&lt;="&amp;L$9,операции!$X:$X,"&gt;"&amp;L$9,операции!$O:$O,$E188))/L187)</f>
        <v>154.92321508834721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s="93" customFormat="1" ht="15">
      <c r="A189" s="92"/>
      <c r="B189" s="92"/>
      <c r="C189" s="92"/>
      <c r="D189" s="98" t="s">
        <v>237</v>
      </c>
      <c r="E189" s="120" t="str">
        <f t="shared" si="58"/>
        <v>ФорКидс</v>
      </c>
      <c r="F189" s="98" t="s">
        <v>219</v>
      </c>
      <c r="G189" s="98"/>
      <c r="H189" s="99">
        <f>IF(H182=0,H188,(SUMIFS(операции!$AG:$AG,операции!$X:$X,"&gt;="&amp;$H$8,операции!$X:$X,"&lt;="&amp;$H$9,операции!$O:$O,$E189)+$H$9*H187)/(H182+H187)-(SUMIFS(операции!$AF:$AF,операции!$X:$X,"&gt;="&amp;$H$8,операции!$X:$X,"&lt;="&amp;$H$9,операции!$O:$O,$E189)+SUMIFS(операции!$AF:$AF,операции!$T:$T,"&lt;="&amp;$H$9,операции!$X:$X,"",операции!$O:$O,$E189))/(H183+H187))</f>
        <v>53.924221530018258</v>
      </c>
      <c r="I189" s="175"/>
      <c r="J189" s="99">
        <f>IF(J182=0,J188,(SUMIFS(операции!$AG:$AG,операции!$X:$X,"&gt;="&amp;J$8,операции!$X:$X,"&lt;="&amp;J$9,операции!$O:$O,$E189)+J$9*J187)/(J182+J187)-(SUMIFS(операции!$AF:$AF,операции!$X:$X,"&gt;="&amp;J$8,операции!$X:$X,"&lt;="&amp;J$9,операции!$O:$O,$E189)+SUMIFS(операции!$AF:$AF,операции!$T:$T,"&lt;="&amp;J$9,операции!$X:$X,"",операции!$O:$O,$E189)+SUMIFS(операции!$AF:$AF,операции!$T:$T,"&lt;="&amp;J$9,операции!$X:$X,"&gt;"&amp;J$9,операции!$O:$O,$E189))/(J183+J187))</f>
        <v>90.088702901819488</v>
      </c>
      <c r="K189" s="99">
        <f>IF(K182=0,K188,(SUMIFS(операции!$AG:$AG,операции!$X:$X,"&gt;="&amp;K$8,операции!$X:$X,"&lt;="&amp;K$9,операции!$O:$O,$E189)+K$9*K187)/(K182+K187)-(SUMIFS(операции!$AF:$AF,операции!$X:$X,"&gt;="&amp;K$8,операции!$X:$X,"&lt;="&amp;K$9,операции!$O:$O,$E189)+SUMIFS(операции!$AF:$AF,операции!$T:$T,"&lt;="&amp;K$9,операции!$X:$X,"",операции!$O:$O,$E189)+SUMIFS(операции!$AF:$AF,операции!$T:$T,"&lt;="&amp;K$9,операции!$X:$X,"&gt;"&amp;K$9,операции!$O:$O,$E189))/(K183+K187))</f>
        <v>47.143137567960366</v>
      </c>
      <c r="L189" s="99">
        <f>IF(L182=0,L188,(SUMIFS(операции!$AG:$AG,операции!$X:$X,"&gt;="&amp;L$8,операции!$X:$X,"&lt;="&amp;L$9,операции!$O:$O,$E189)+L$9*L187)/(L182+L187)-(SUMIFS(операции!$AF:$AF,операции!$X:$X,"&gt;="&amp;L$8,операции!$X:$X,"&lt;="&amp;L$9,операции!$O:$O,$E189)+SUMIFS(операции!$AF:$AF,операции!$T:$T,"&lt;="&amp;L$9,операции!$X:$X,"",операции!$O:$O,$E189)+SUMIFS(операции!$AF:$AF,операции!$T:$T,"&lt;="&amp;L$9,операции!$X:$X,"&gt;"&amp;L$9,операции!$O:$O,$E189))/(L183+L187))</f>
        <v>71.958264126391441</v>
      </c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</row>
    <row r="190" spans="1:27">
      <c r="A190" s="12"/>
      <c r="B190" s="12"/>
      <c r="C190" s="12"/>
      <c r="D190" s="12"/>
      <c r="E190" s="12"/>
      <c r="F190" s="12"/>
      <c r="G190" s="12"/>
      <c r="H190" s="1"/>
      <c r="I190" s="108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</row>
    <row r="191" spans="1:27">
      <c r="A191" s="12"/>
      <c r="B191" s="12"/>
      <c r="C191" s="12"/>
      <c r="D191" s="12" t="s">
        <v>210</v>
      </c>
      <c r="E191" s="12" t="str">
        <f>микс!$H$43</f>
        <v>ЭлектроФор</v>
      </c>
      <c r="F191" s="12" t="s">
        <v>217</v>
      </c>
      <c r="G191" s="12"/>
      <c r="H191" s="90">
        <f>SUMIFS(операции!$Z:$Z,операции!$X:$X,"&gt;="&amp;H$8,операции!$X:$X,"&lt;="&amp;H$9,операции!$O:$O,$E191)</f>
        <v>29015</v>
      </c>
      <c r="I191" s="108"/>
      <c r="J191" s="53">
        <f>SUMIFS(операции!$Z:$Z,операции!$X:$X,"&gt;="&amp;J$8,операции!$X:$X,"&lt;="&amp;J$9,операции!$O:$O,$E191)</f>
        <v>0</v>
      </c>
      <c r="K191" s="53">
        <f>SUMIFS(операции!$Z:$Z,операции!$X:$X,"&gt;="&amp;K$8,операции!$X:$X,"&lt;="&amp;K$9,операции!$O:$O,$E191)</f>
        <v>7024</v>
      </c>
      <c r="L191" s="53">
        <f>SUMIFS(операции!$Z:$Z,операции!$X:$X,"&gt;="&amp;L$8,операции!$X:$X,"&lt;="&amp;L$9,операции!$O:$O,$E191)</f>
        <v>21991</v>
      </c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>
      <c r="A192" s="12"/>
      <c r="B192" s="12"/>
      <c r="C192" s="12"/>
      <c r="D192" s="12" t="s">
        <v>211</v>
      </c>
      <c r="E192" s="12" t="str">
        <f>E191</f>
        <v>ЭлектроФор</v>
      </c>
      <c r="F192" s="12" t="s">
        <v>217</v>
      </c>
      <c r="G192" s="12"/>
      <c r="H192" s="90">
        <f>SUMIFS(операции!$V:$V,операции!$X:$X,"&gt;="&amp;H$8,операции!$X:$X,"&lt;="&amp;H$9,операции!$O:$O,$E192)</f>
        <v>27473.45</v>
      </c>
      <c r="I192" s="108"/>
      <c r="J192" s="53">
        <f>SUMIFS(операции!$V:$V,операции!$X:$X,"&gt;="&amp;J$8,операции!$X:$X,"&lt;="&amp;J$9,операции!$O:$O,$E192)</f>
        <v>0</v>
      </c>
      <c r="K192" s="53">
        <f>SUMIFS(операции!$V:$V,операции!$X:$X,"&gt;="&amp;K$8,операции!$X:$X,"&lt;="&amp;K$9,операции!$O:$O,$E192)</f>
        <v>6566.4</v>
      </c>
      <c r="L192" s="53">
        <f>SUMIFS(операции!$V:$V,операции!$X:$X,"&gt;="&amp;L$8,операции!$X:$X,"&lt;="&amp;L$9,операции!$O:$O,$E192)</f>
        <v>20907.05</v>
      </c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</row>
    <row r="193" spans="1:27">
      <c r="A193" s="12"/>
      <c r="B193" s="12"/>
      <c r="C193" s="12"/>
      <c r="D193" s="12" t="s">
        <v>212</v>
      </c>
      <c r="E193" s="12" t="str">
        <f t="shared" ref="E193:E198" si="61">E192</f>
        <v>ЭлектроФор</v>
      </c>
      <c r="F193" s="12" t="s">
        <v>217</v>
      </c>
      <c r="G193" s="12"/>
      <c r="H193" s="90">
        <f>H191-H192</f>
        <v>1541.5499999999993</v>
      </c>
      <c r="I193" s="108"/>
      <c r="J193" s="53">
        <f>J191-J192</f>
        <v>0</v>
      </c>
      <c r="K193" s="53">
        <f t="shared" ref="K193:L193" si="62">K191-K192</f>
        <v>457.60000000000036</v>
      </c>
      <c r="L193" s="53">
        <f t="shared" si="62"/>
        <v>1083.9500000000007</v>
      </c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</row>
    <row r="194" spans="1:27" s="119" customFormat="1">
      <c r="A194" s="87"/>
      <c r="B194" s="87"/>
      <c r="C194" s="87"/>
      <c r="D194" s="87" t="s">
        <v>213</v>
      </c>
      <c r="E194" s="87" t="str">
        <f t="shared" si="61"/>
        <v>ЭлектроФор</v>
      </c>
      <c r="F194" s="87" t="s">
        <v>218</v>
      </c>
      <c r="G194" s="87"/>
      <c r="H194" s="116">
        <f>IF(H191=0,0,H193/H191)</f>
        <v>5.3129415819403732E-2</v>
      </c>
      <c r="I194" s="117"/>
      <c r="J194" s="118">
        <f>IF(J191=0,0,J193/J191)</f>
        <v>0</v>
      </c>
      <c r="K194" s="118">
        <f t="shared" ref="K194:L194" si="63">IF(K191=0,0,K193/K191)</f>
        <v>6.5148063781321236E-2</v>
      </c>
      <c r="L194" s="118">
        <f t="shared" si="63"/>
        <v>4.9290618889545758E-2</v>
      </c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</row>
    <row r="195" spans="1:27" s="5" customFormat="1">
      <c r="A195" s="1"/>
      <c r="B195" s="1"/>
      <c r="C195" s="1"/>
      <c r="D195" s="168" t="s">
        <v>220</v>
      </c>
      <c r="E195" s="168" t="str">
        <f t="shared" si="61"/>
        <v>ЭлектроФор</v>
      </c>
      <c r="F195" s="168" t="s">
        <v>219</v>
      </c>
      <c r="G195" s="168"/>
      <c r="H195" s="169">
        <f>IF(H191=0,0,SUMIFS(операции!$AG:$AG,операции!$X:$X,"&gt;="&amp;H$8,операции!$X:$X,"&lt;="&amp;H$9,операции!$O:$O,$E195)/H191-SUMIFS(операции!$AF:$AF,операции!$X:$X,"&gt;="&amp;H$8,операции!$X:$X,"&lt;="&amp;H$9,операции!$O:$O,$E195)/H192)</f>
        <v>19.840095062507316</v>
      </c>
      <c r="I195" s="177"/>
      <c r="J195" s="169">
        <f>IF(J191=0,0,SUMIFS(операции!$AG:$AG,операции!$X:$X,"&gt;="&amp;J$8,операции!$X:$X,"&lt;="&amp;J$9,операции!$O:$O,$E195)/J191-SUMIFS(операции!$AF:$AF,операции!$X:$X,"&gt;="&amp;J$8,операции!$X:$X,"&lt;="&amp;J$9,операции!$O:$O,$E195)/J192)</f>
        <v>0</v>
      </c>
      <c r="K195" s="169">
        <f>IF(K191=0,0,SUMIFS(операции!$AG:$AG,операции!$X:$X,"&gt;="&amp;K$8,операции!$X:$X,"&lt;="&amp;K$9,операции!$O:$O,$E195)/K191-SUMIFS(операции!$AF:$AF,операции!$X:$X,"&gt;="&amp;K$8,операции!$X:$X,"&lt;="&amp;K$9,операции!$O:$O,$E195)/K192)</f>
        <v>15.659314437652938</v>
      </c>
      <c r="L195" s="169">
        <f>IF(L191=0,0,SUMIFS(операции!$AG:$AG,операции!$X:$X,"&gt;="&amp;L$8,операции!$X:$X,"&lt;="&amp;L$9,операции!$O:$O,$E195)/L191-SUMIFS(операции!$AF:$AF,операции!$X:$X,"&gt;="&amp;L$8,операции!$X:$X,"&lt;="&amp;L$9,операции!$O:$O,$E195)/L192)</f>
        <v>21.18525854346808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>
      <c r="A196" s="12"/>
      <c r="B196" s="12"/>
      <c r="C196" s="12"/>
      <c r="D196" s="131" t="s">
        <v>238</v>
      </c>
      <c r="E196" s="131" t="str">
        <f t="shared" si="61"/>
        <v>ЭлектроФор</v>
      </c>
      <c r="F196" s="131" t="s">
        <v>217</v>
      </c>
      <c r="G196" s="131"/>
      <c r="H196" s="166">
        <f>SUMIFS(операции!$V:$V,операции!$T:$T,"&lt;="&amp;$H$9,операции!$X:$X,"",операции!$O:$O,$E196)</f>
        <v>5009.45</v>
      </c>
      <c r="I196" s="178">
        <f>H196-L196</f>
        <v>0</v>
      </c>
      <c r="J196" s="167">
        <f>SUMIFS(операции!$V:$V,операции!$T:$T,"&lt;="&amp;J$9,операции!$X:$X,"",операции!$O:$O,$E196)+SUMIFS(операции!$V:$V,операции!$T:$T,"&lt;="&amp;J$9,операции!$X:$X,"&gt;"&amp;J$9,операции!$O:$O,$E196)</f>
        <v>10018.9</v>
      </c>
      <c r="K196" s="167">
        <f>SUMIFS(операции!$V:$V,операции!$T:$T,"&lt;="&amp;K$9,операции!$X:$X,"",операции!$O:$O,$E196)+SUMIFS(операции!$V:$V,операции!$T:$T,"&lt;="&amp;K$9,операции!$X:$X,"&gt;"&amp;K$9,операции!$O:$O,$E196)</f>
        <v>25916.5</v>
      </c>
      <c r="L196" s="167">
        <f>SUMIFS(операции!$V:$V,операции!$T:$T,"&lt;="&amp;L$9,операции!$X:$X,"",операции!$O:$O,$E196)+SUMIFS(операции!$V:$V,операции!$T:$T,"&lt;="&amp;L$9,операции!$X:$X,"&gt;"&amp;L$9,операции!$O:$O,$E196)</f>
        <v>5009.45</v>
      </c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</row>
    <row r="197" spans="1:27" s="5" customFormat="1">
      <c r="A197" s="1"/>
      <c r="B197" s="1"/>
      <c r="C197" s="1"/>
      <c r="D197" s="168" t="s">
        <v>239</v>
      </c>
      <c r="E197" s="168" t="str">
        <f t="shared" si="61"/>
        <v>ЭлектроФор</v>
      </c>
      <c r="F197" s="168" t="s">
        <v>219</v>
      </c>
      <c r="G197" s="168"/>
      <c r="H197" s="169">
        <f>IF(H196=0,0,$H$9-SUMIFS(операции!$AF:$AF,операции!$T:$T,"&lt;="&amp;$H$9,операции!$X:$X,"",операции!$O:$O,$E197)/H196)</f>
        <v>110.60945812414138</v>
      </c>
      <c r="I197" s="177">
        <f>H197-L197</f>
        <v>0</v>
      </c>
      <c r="J197" s="169">
        <f>IF(J196=0,0,J$9-(SUMIFS(операции!$AF:$AF,операции!$T:$T,"&lt;="&amp;J$9,операции!$X:$X,"",операции!$O:$O,$E197)+SUMIFS(операции!$AF:$AF,операции!$T:$T,"&lt;="&amp;J$9,операции!$X:$X,"&gt;"&amp;J$9,операции!$O:$O,$E197))/J196)</f>
        <v>49.91007495833037</v>
      </c>
      <c r="K197" s="169">
        <f>IF(K196=0,0,K$9-(SUMIFS(операции!$AF:$AF,операции!$T:$T,"&lt;="&amp;K$9,операции!$X:$X,"",операции!$O:$O,$E197)+SUMIFS(операции!$AF:$AF,операции!$T:$T,"&lt;="&amp;K$9,операции!$X:$X,"&gt;"&amp;K$9,операции!$O:$O,$E197))/K196)</f>
        <v>28.351063993977732</v>
      </c>
      <c r="L197" s="169">
        <f>IF(L196=0,0,L$9-(SUMIFS(операции!$AF:$AF,операции!$T:$T,"&lt;="&amp;L$9,операции!$X:$X,"",операции!$O:$O,$E197)+SUMIFS(операции!$AF:$AF,операции!$T:$T,"&lt;="&amp;L$9,операции!$X:$X,"&gt;"&amp;L$9,операции!$O:$O,$E197))/L196)</f>
        <v>110.60945812414138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s="93" customFormat="1" ht="15">
      <c r="A198" s="92"/>
      <c r="B198" s="92"/>
      <c r="C198" s="92"/>
      <c r="D198" s="98" t="s">
        <v>237</v>
      </c>
      <c r="E198" s="120" t="str">
        <f t="shared" si="61"/>
        <v>ЭлектроФор</v>
      </c>
      <c r="F198" s="98" t="s">
        <v>219</v>
      </c>
      <c r="G198" s="98"/>
      <c r="H198" s="99">
        <f>IF(H191=0,H197,(SUMIFS(операции!$AG:$AG,операции!$X:$X,"&gt;="&amp;$H$8,операции!$X:$X,"&lt;="&amp;$H$9,операции!$O:$O,$E198)+$H$9*H196)/(H191+H196)-(SUMIFS(операции!$AF:$AF,операции!$X:$X,"&gt;="&amp;$H$8,операции!$X:$X,"&lt;="&amp;$H$9,операции!$O:$O,$E198)+SUMIFS(операции!$AF:$AF,операции!$T:$T,"&lt;="&amp;$H$9,операции!$X:$X,"",операции!$O:$O,$E198))/(H192+H196))</f>
        <v>33.644075582924415</v>
      </c>
      <c r="I198" s="175"/>
      <c r="J198" s="99">
        <f>IF(J191=0,J197,(SUMIFS(операции!$AG:$AG,операции!$X:$X,"&gt;="&amp;J$8,операции!$X:$X,"&lt;="&amp;J$9,операции!$O:$O,$E198)+J$9*J196)/(J191+J196)-(SUMIFS(операции!$AF:$AF,операции!$X:$X,"&gt;="&amp;J$8,операции!$X:$X,"&lt;="&amp;J$9,операции!$O:$O,$E198)+SUMIFS(операции!$AF:$AF,операции!$T:$T,"&lt;="&amp;J$9,операции!$X:$X,"",операции!$O:$O,$E198)+SUMIFS(операции!$AF:$AF,операции!$T:$T,"&lt;="&amp;J$9,операции!$X:$X,"&gt;"&amp;J$9,операции!$O:$O,$E198))/(J192+J196))</f>
        <v>49.91007495833037</v>
      </c>
      <c r="K198" s="99">
        <f>IF(K191=0,K197,(SUMIFS(операции!$AG:$AG,операции!$X:$X,"&gt;="&amp;K$8,операции!$X:$X,"&lt;="&amp;K$9,операции!$O:$O,$E198)+K$9*K196)/(K191+K196)-(SUMIFS(операции!$AF:$AF,операции!$X:$X,"&gt;="&amp;K$8,операции!$X:$X,"&lt;="&amp;K$9,операции!$O:$O,$E198)+SUMIFS(операции!$AF:$AF,операции!$T:$T,"&lt;="&amp;K$9,операции!$X:$X,"",операции!$O:$O,$E198)+SUMIFS(операции!$AF:$AF,операции!$T:$T,"&lt;="&amp;K$9,операции!$X:$X,"&gt;"&amp;K$9,операции!$O:$O,$E198))/(K192+K196))</f>
        <v>25.754076949335285</v>
      </c>
      <c r="L198" s="99">
        <f>IF(L191=0,L197,(SUMIFS(операции!$AG:$AG,операции!$X:$X,"&gt;="&amp;L$8,операции!$X:$X,"&lt;="&amp;L$9,операции!$O:$O,$E198)+L$9*L196)/(L191+L196)-(SUMIFS(операции!$AF:$AF,операции!$X:$X,"&gt;="&amp;L$8,операции!$X:$X,"&lt;="&amp;L$9,операции!$O:$O,$E198)+SUMIFS(операции!$AF:$AF,операции!$T:$T,"&lt;="&amp;L$9,операции!$X:$X,"",операции!$O:$O,$E198)+SUMIFS(операции!$AF:$AF,операции!$T:$T,"&lt;="&amp;L$9,операции!$X:$X,"&gt;"&amp;L$9,операции!$O:$O,$E198))/(L192+L196))</f>
        <v>38.269378318364033</v>
      </c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</row>
    <row r="199" spans="1:27">
      <c r="A199" s="12"/>
      <c r="B199" s="12"/>
      <c r="C199" s="12"/>
      <c r="D199" s="12"/>
      <c r="E199" s="12"/>
      <c r="F199" s="12"/>
      <c r="G199" s="12"/>
      <c r="H199" s="1"/>
      <c r="I199" s="108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</row>
    <row r="200" spans="1:27">
      <c r="A200" s="12"/>
      <c r="B200" s="12"/>
      <c r="C200" s="12"/>
      <c r="D200" s="12"/>
      <c r="E200" s="12"/>
      <c r="F200" s="12"/>
      <c r="G200" s="12"/>
      <c r="H200" s="1"/>
      <c r="I200" s="108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</row>
    <row r="201" spans="1:27">
      <c r="A201" s="12"/>
      <c r="B201" s="12"/>
      <c r="C201" s="12"/>
      <c r="D201" s="12"/>
      <c r="E201" s="12"/>
      <c r="F201" s="12"/>
      <c r="G201" s="12"/>
      <c r="H201" s="1"/>
      <c r="I201" s="108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</row>
    <row r="202" spans="1:27">
      <c r="A202" s="12"/>
      <c r="B202" s="12"/>
      <c r="C202" s="12"/>
      <c r="D202" s="12"/>
      <c r="E202" s="12"/>
      <c r="F202" s="12"/>
      <c r="G202" s="12"/>
      <c r="H202" s="1"/>
      <c r="I202" s="108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</row>
    <row r="203" spans="1:27">
      <c r="A203" s="12"/>
      <c r="B203" s="12"/>
      <c r="C203" s="12"/>
      <c r="D203" s="12"/>
      <c r="E203" s="12"/>
      <c r="F203" s="12"/>
      <c r="G203" s="12"/>
      <c r="H203" s="1"/>
      <c r="I203" s="108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</row>
    <row r="204" spans="1:27">
      <c r="A204" s="12"/>
      <c r="B204" s="12"/>
      <c r="C204" s="12"/>
      <c r="D204" s="12"/>
      <c r="E204" s="12"/>
      <c r="F204" s="12"/>
      <c r="G204" s="12"/>
      <c r="H204" s="1"/>
      <c r="I204" s="108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</row>
    <row r="205" spans="1:27">
      <c r="A205" s="12"/>
      <c r="B205" s="12"/>
      <c r="C205" s="12"/>
      <c r="D205" s="12"/>
      <c r="E205" s="12"/>
      <c r="F205" s="12"/>
      <c r="G205" s="12"/>
      <c r="H205" s="1"/>
      <c r="I205" s="108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</row>
    <row r="206" spans="1:27">
      <c r="A206" s="12"/>
      <c r="B206" s="12"/>
      <c r="C206" s="12"/>
      <c r="D206" s="12"/>
      <c r="E206" s="12"/>
      <c r="F206" s="12"/>
      <c r="G206" s="12"/>
      <c r="H206" s="1"/>
      <c r="I206" s="108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</row>
    <row r="207" spans="1:27">
      <c r="A207" s="12"/>
      <c r="B207" s="12"/>
      <c r="C207" s="12"/>
      <c r="D207" s="12"/>
      <c r="E207" s="12"/>
      <c r="F207" s="12"/>
      <c r="G207" s="12"/>
      <c r="H207" s="1"/>
      <c r="I207" s="108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</row>
    <row r="208" spans="1:27">
      <c r="A208" s="12"/>
      <c r="B208" s="12"/>
      <c r="C208" s="12"/>
      <c r="D208" s="12"/>
      <c r="E208" s="12"/>
      <c r="F208" s="12"/>
      <c r="G208" s="12"/>
      <c r="H208" s="1"/>
      <c r="I208" s="108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</row>
    <row r="209" spans="1:27">
      <c r="A209" s="12"/>
      <c r="B209" s="12"/>
      <c r="C209" s="12"/>
      <c r="D209" s="12"/>
      <c r="E209" s="12"/>
      <c r="F209" s="12"/>
      <c r="G209" s="12"/>
      <c r="H209" s="1"/>
      <c r="I209" s="108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</row>
    <row r="210" spans="1:27">
      <c r="A210" s="12"/>
      <c r="B210" s="12"/>
      <c r="C210" s="12"/>
      <c r="D210" s="12"/>
      <c r="E210" s="12"/>
      <c r="F210" s="12"/>
      <c r="G210" s="12"/>
      <c r="H210" s="1"/>
      <c r="I210" s="108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</row>
    <row r="211" spans="1:27">
      <c r="A211" s="12"/>
      <c r="B211" s="12"/>
      <c r="C211" s="12"/>
      <c r="D211" s="12"/>
      <c r="E211" s="12"/>
      <c r="F211" s="12"/>
      <c r="G211" s="12"/>
      <c r="H211" s="1"/>
      <c r="I211" s="108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</row>
    <row r="212" spans="1:27">
      <c r="A212" s="12"/>
      <c r="B212" s="12"/>
      <c r="C212" s="12"/>
      <c r="D212" s="12"/>
      <c r="E212" s="12"/>
      <c r="F212" s="12"/>
      <c r="G212" s="12"/>
      <c r="H212" s="1"/>
      <c r="I212" s="108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</row>
    <row r="213" spans="1:27">
      <c r="A213" s="12"/>
      <c r="B213" s="12"/>
      <c r="C213" s="12"/>
      <c r="D213" s="12"/>
      <c r="E213" s="12"/>
      <c r="F213" s="12"/>
      <c r="G213" s="12"/>
      <c r="H213" s="1"/>
      <c r="I213" s="108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</row>
    <row r="214" spans="1:27">
      <c r="A214" s="12"/>
      <c r="B214" s="12"/>
      <c r="C214" s="12"/>
      <c r="D214" s="12"/>
      <c r="E214" s="12"/>
      <c r="F214" s="12"/>
      <c r="G214" s="12"/>
      <c r="H214" s="1"/>
      <c r="I214" s="108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</row>
    <row r="215" spans="1:27">
      <c r="A215" s="12"/>
      <c r="B215" s="12"/>
      <c r="C215" s="12"/>
      <c r="D215" s="12"/>
      <c r="E215" s="12"/>
      <c r="F215" s="12"/>
      <c r="G215" s="12"/>
      <c r="H215" s="1"/>
      <c r="I215" s="108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</row>
    <row r="216" spans="1:27">
      <c r="A216" s="12"/>
      <c r="B216" s="12"/>
      <c r="C216" s="12"/>
      <c r="D216" s="12"/>
      <c r="E216" s="12"/>
      <c r="F216" s="12"/>
      <c r="G216" s="12"/>
      <c r="H216" s="1"/>
      <c r="I216" s="108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</row>
    <row r="217" spans="1:27">
      <c r="A217" s="12"/>
      <c r="B217" s="12"/>
      <c r="C217" s="12"/>
      <c r="D217" s="12"/>
      <c r="E217" s="12"/>
      <c r="F217" s="12"/>
      <c r="G217" s="12"/>
      <c r="H217" s="1"/>
      <c r="I217" s="108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</row>
    <row r="218" spans="1:27">
      <c r="A218" s="12"/>
      <c r="B218" s="12"/>
      <c r="C218" s="12"/>
      <c r="D218" s="12"/>
      <c r="E218" s="12"/>
      <c r="F218" s="12"/>
      <c r="G218" s="12"/>
      <c r="H218" s="1"/>
      <c r="I218" s="108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</row>
    <row r="219" spans="1:27">
      <c r="A219" s="12"/>
      <c r="B219" s="12"/>
      <c r="C219" s="12"/>
      <c r="D219" s="12"/>
      <c r="E219" s="12"/>
      <c r="F219" s="12"/>
      <c r="G219" s="12"/>
      <c r="H219" s="1"/>
      <c r="I219" s="108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</row>
    <row r="220" spans="1:27">
      <c r="A220" s="12"/>
      <c r="B220" s="12"/>
      <c r="C220" s="12"/>
      <c r="D220" s="12"/>
      <c r="E220" s="12"/>
      <c r="F220" s="12"/>
      <c r="G220" s="12"/>
      <c r="H220" s="1"/>
      <c r="I220" s="108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</row>
    <row r="221" spans="1:27">
      <c r="A221" s="12"/>
      <c r="B221" s="12"/>
      <c r="C221" s="12"/>
      <c r="D221" s="12"/>
      <c r="E221" s="12"/>
      <c r="F221" s="12"/>
      <c r="G221" s="12"/>
      <c r="H221" s="1"/>
      <c r="I221" s="108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</row>
    <row r="222" spans="1:27">
      <c r="A222" s="12"/>
      <c r="B222" s="12"/>
      <c r="C222" s="12"/>
      <c r="D222" s="12"/>
      <c r="E222" s="12"/>
      <c r="F222" s="12"/>
      <c r="G222" s="12"/>
      <c r="H222" s="1"/>
      <c r="I222" s="108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</row>
    <row r="223" spans="1:27">
      <c r="A223" s="12"/>
      <c r="B223" s="12"/>
      <c r="C223" s="12"/>
      <c r="D223" s="12"/>
      <c r="E223" s="12"/>
      <c r="F223" s="12"/>
      <c r="G223" s="12"/>
      <c r="H223" s="1"/>
      <c r="I223" s="108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</row>
    <row r="224" spans="1:27">
      <c r="A224" s="12"/>
      <c r="B224" s="12"/>
      <c r="C224" s="12"/>
      <c r="D224" s="12"/>
      <c r="E224" s="12"/>
      <c r="F224" s="12"/>
      <c r="G224" s="12"/>
      <c r="H224" s="1"/>
      <c r="I224" s="108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</row>
    <row r="225" spans="1:27">
      <c r="A225" s="12"/>
      <c r="B225" s="12"/>
      <c r="C225" s="12"/>
      <c r="D225" s="12"/>
      <c r="E225" s="12"/>
      <c r="F225" s="12"/>
      <c r="G225" s="12"/>
      <c r="H225" s="1"/>
      <c r="I225" s="108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</row>
    <row r="226" spans="1:27">
      <c r="A226" s="12"/>
      <c r="B226" s="12"/>
      <c r="C226" s="12"/>
      <c r="D226" s="12"/>
      <c r="E226" s="12"/>
      <c r="F226" s="12"/>
      <c r="G226" s="12"/>
      <c r="H226" s="1"/>
      <c r="I226" s="108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</row>
    <row r="227" spans="1:27">
      <c r="A227" s="12"/>
      <c r="B227" s="12"/>
      <c r="C227" s="12"/>
      <c r="D227" s="12"/>
      <c r="E227" s="12"/>
      <c r="F227" s="12"/>
      <c r="G227" s="12"/>
      <c r="H227" s="1"/>
      <c r="I227" s="108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</row>
    <row r="228" spans="1:27">
      <c r="A228" s="12"/>
      <c r="B228" s="12"/>
      <c r="C228" s="12"/>
      <c r="D228" s="12"/>
      <c r="E228" s="12"/>
      <c r="F228" s="12"/>
      <c r="G228" s="12"/>
      <c r="H228" s="1"/>
      <c r="I228" s="108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</row>
    <row r="229" spans="1:27">
      <c r="A229" s="12"/>
      <c r="B229" s="12"/>
      <c r="C229" s="12"/>
      <c r="D229" s="12"/>
      <c r="E229" s="12"/>
      <c r="F229" s="12"/>
      <c r="G229" s="12"/>
      <c r="H229" s="1"/>
      <c r="I229" s="108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</row>
    <row r="230" spans="1:27">
      <c r="A230" s="12"/>
      <c r="B230" s="12"/>
      <c r="C230" s="12"/>
      <c r="D230" s="12"/>
      <c r="E230" s="12"/>
      <c r="F230" s="12"/>
      <c r="G230" s="12"/>
      <c r="H230" s="1"/>
      <c r="I230" s="108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</row>
    <row r="231" spans="1:27">
      <c r="A231" s="12"/>
      <c r="B231" s="12"/>
      <c r="C231" s="12"/>
      <c r="D231" s="12"/>
      <c r="E231" s="12"/>
      <c r="F231" s="12"/>
      <c r="G231" s="12"/>
      <c r="H231" s="1"/>
      <c r="I231" s="108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</row>
    <row r="232" spans="1:27">
      <c r="A232" s="12"/>
      <c r="B232" s="12"/>
      <c r="C232" s="12"/>
      <c r="D232" s="12"/>
      <c r="E232" s="12"/>
      <c r="F232" s="12"/>
      <c r="G232" s="12"/>
      <c r="H232" s="1"/>
      <c r="I232" s="108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</row>
    <row r="233" spans="1:27">
      <c r="A233" s="12"/>
      <c r="B233" s="12"/>
      <c r="C233" s="12"/>
      <c r="D233" s="12"/>
      <c r="E233" s="12"/>
      <c r="F233" s="12"/>
      <c r="G233" s="12"/>
      <c r="H233" s="1"/>
      <c r="I233" s="108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</row>
    <row r="234" spans="1:27">
      <c r="A234" s="12"/>
      <c r="B234" s="12"/>
      <c r="C234" s="12"/>
      <c r="D234" s="12"/>
      <c r="E234" s="12"/>
      <c r="F234" s="12"/>
      <c r="G234" s="12"/>
      <c r="H234" s="1"/>
      <c r="I234" s="108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</row>
    <row r="235" spans="1:27">
      <c r="A235" s="12"/>
      <c r="B235" s="12"/>
      <c r="C235" s="12"/>
      <c r="D235" s="12"/>
      <c r="E235" s="12"/>
      <c r="F235" s="12"/>
      <c r="G235" s="12"/>
      <c r="H235" s="1"/>
      <c r="I235" s="108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</row>
    <row r="236" spans="1:27">
      <c r="A236" s="12"/>
      <c r="B236" s="12"/>
      <c r="C236" s="12"/>
      <c r="D236" s="12"/>
      <c r="E236" s="12"/>
      <c r="F236" s="12"/>
      <c r="G236" s="12"/>
      <c r="H236" s="1"/>
      <c r="I236" s="108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</row>
    <row r="237" spans="1:27">
      <c r="A237" s="12"/>
      <c r="B237" s="12"/>
      <c r="C237" s="12"/>
      <c r="D237" s="12"/>
      <c r="E237" s="12"/>
      <c r="F237" s="12"/>
      <c r="G237" s="12"/>
      <c r="H237" s="1"/>
      <c r="I237" s="108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</row>
    <row r="238" spans="1:27">
      <c r="A238" s="12"/>
      <c r="B238" s="12"/>
      <c r="C238" s="12"/>
      <c r="D238" s="12"/>
      <c r="E238" s="12"/>
      <c r="F238" s="12"/>
      <c r="G238" s="12"/>
      <c r="H238" s="1"/>
      <c r="I238" s="108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</row>
    <row r="239" spans="1:27">
      <c r="A239" s="12"/>
      <c r="B239" s="12"/>
      <c r="C239" s="12"/>
      <c r="D239" s="12"/>
      <c r="E239" s="12"/>
      <c r="F239" s="12"/>
      <c r="G239" s="12"/>
      <c r="H239" s="1"/>
      <c r="I239" s="108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</row>
    <row r="240" spans="1:27">
      <c r="A240" s="12"/>
      <c r="B240" s="12"/>
      <c r="C240" s="12"/>
      <c r="D240" s="12"/>
      <c r="E240" s="12"/>
      <c r="F240" s="12"/>
      <c r="G240" s="12"/>
      <c r="H240" s="1"/>
      <c r="I240" s="108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</row>
    <row r="241" spans="1:27">
      <c r="A241" s="12"/>
      <c r="B241" s="12"/>
      <c r="C241" s="12"/>
      <c r="D241" s="12"/>
      <c r="E241" s="12"/>
      <c r="F241" s="12"/>
      <c r="G241" s="12"/>
      <c r="H241" s="1"/>
      <c r="I241" s="108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</row>
    <row r="242" spans="1:27">
      <c r="A242" s="12"/>
      <c r="B242" s="12"/>
      <c r="C242" s="12"/>
      <c r="D242" s="12"/>
      <c r="E242" s="12"/>
      <c r="F242" s="12"/>
      <c r="G242" s="12"/>
      <c r="H242" s="1"/>
      <c r="I242" s="108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</row>
    <row r="243" spans="1:27">
      <c r="A243" s="12"/>
      <c r="B243" s="12"/>
      <c r="C243" s="12"/>
      <c r="D243" s="12"/>
      <c r="E243" s="12"/>
      <c r="F243" s="12"/>
      <c r="G243" s="12"/>
      <c r="H243" s="1"/>
      <c r="I243" s="108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</row>
    <row r="244" spans="1:27">
      <c r="A244" s="12"/>
      <c r="B244" s="12"/>
      <c r="C244" s="12"/>
      <c r="D244" s="12"/>
      <c r="E244" s="12"/>
      <c r="F244" s="12"/>
      <c r="G244" s="12"/>
      <c r="H244" s="1"/>
      <c r="I244" s="108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</row>
    <row r="245" spans="1:27">
      <c r="A245" s="12"/>
      <c r="B245" s="12"/>
      <c r="C245" s="12"/>
      <c r="D245" s="12"/>
      <c r="E245" s="12"/>
      <c r="F245" s="12"/>
      <c r="G245" s="12"/>
      <c r="H245" s="1"/>
      <c r="I245" s="108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</row>
    <row r="246" spans="1:27">
      <c r="A246" s="12"/>
      <c r="B246" s="12"/>
      <c r="C246" s="12"/>
      <c r="D246" s="12"/>
      <c r="E246" s="12"/>
      <c r="F246" s="12"/>
      <c r="G246" s="12"/>
      <c r="H246" s="1"/>
      <c r="I246" s="108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</row>
    <row r="247" spans="1:27">
      <c r="A247" s="12"/>
      <c r="B247" s="12"/>
      <c r="C247" s="12"/>
      <c r="D247" s="12"/>
      <c r="E247" s="12"/>
      <c r="F247" s="12"/>
      <c r="G247" s="12"/>
      <c r="H247" s="1"/>
      <c r="I247" s="108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</row>
    <row r="248" spans="1:27">
      <c r="A248" s="12"/>
      <c r="B248" s="12"/>
      <c r="C248" s="12"/>
      <c r="D248" s="12"/>
      <c r="E248" s="12"/>
      <c r="F248" s="12"/>
      <c r="G248" s="12"/>
      <c r="H248" s="1"/>
      <c r="I248" s="108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</row>
    <row r="249" spans="1:27">
      <c r="A249" s="12"/>
      <c r="B249" s="12"/>
      <c r="C249" s="12"/>
      <c r="D249" s="12"/>
      <c r="E249" s="12"/>
      <c r="F249" s="12"/>
      <c r="G249" s="12"/>
      <c r="H249" s="1"/>
      <c r="I249" s="108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</row>
    <row r="250" spans="1:27">
      <c r="A250" s="12"/>
      <c r="B250" s="12"/>
      <c r="C250" s="12"/>
      <c r="D250" s="12"/>
      <c r="E250" s="12"/>
      <c r="F250" s="12"/>
      <c r="G250" s="12"/>
      <c r="H250" s="1"/>
      <c r="I250" s="108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</row>
    <row r="251" spans="1:27">
      <c r="A251" s="12"/>
      <c r="B251" s="12"/>
      <c r="C251" s="12"/>
      <c r="D251" s="12"/>
      <c r="E251" s="12"/>
      <c r="F251" s="12"/>
      <c r="G251" s="12"/>
      <c r="H251" s="1"/>
      <c r="I251" s="108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</row>
    <row r="252" spans="1:27">
      <c r="A252" s="12"/>
      <c r="B252" s="12"/>
      <c r="C252" s="12"/>
      <c r="D252" s="12"/>
      <c r="E252" s="12"/>
      <c r="F252" s="12"/>
      <c r="G252" s="12"/>
      <c r="H252" s="1"/>
      <c r="I252" s="108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</row>
    <row r="253" spans="1:27">
      <c r="A253" s="12"/>
      <c r="B253" s="12"/>
      <c r="C253" s="12"/>
      <c r="D253" s="12"/>
      <c r="E253" s="12"/>
      <c r="F253" s="12"/>
      <c r="G253" s="12"/>
      <c r="H253" s="1"/>
      <c r="I253" s="108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</row>
    <row r="254" spans="1:27">
      <c r="A254" s="12"/>
      <c r="B254" s="12"/>
      <c r="C254" s="12"/>
      <c r="D254" s="12"/>
      <c r="E254" s="12"/>
      <c r="F254" s="12"/>
      <c r="G254" s="12"/>
      <c r="H254" s="1"/>
      <c r="I254" s="108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</row>
    <row r="255" spans="1:27">
      <c r="A255" s="12"/>
      <c r="B255" s="12"/>
      <c r="C255" s="12"/>
      <c r="D255" s="12"/>
      <c r="E255" s="12"/>
      <c r="F255" s="12"/>
      <c r="G255" s="12"/>
      <c r="H255" s="1"/>
      <c r="I255" s="108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</row>
    <row r="256" spans="1:27">
      <c r="A256" s="12"/>
      <c r="B256" s="12"/>
      <c r="C256" s="12"/>
      <c r="D256" s="12"/>
      <c r="E256" s="12"/>
      <c r="F256" s="12"/>
      <c r="G256" s="12"/>
      <c r="H256" s="1"/>
      <c r="I256" s="108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</row>
    <row r="257" spans="1:27">
      <c r="A257" s="12"/>
      <c r="B257" s="12"/>
      <c r="C257" s="12"/>
      <c r="D257" s="12"/>
      <c r="E257" s="12"/>
      <c r="F257" s="12"/>
      <c r="G257" s="12"/>
      <c r="H257" s="1"/>
      <c r="I257" s="108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</row>
    <row r="258" spans="1:27">
      <c r="A258" s="12"/>
      <c r="B258" s="12"/>
      <c r="C258" s="12"/>
      <c r="D258" s="12"/>
      <c r="E258" s="12"/>
      <c r="F258" s="12"/>
      <c r="G258" s="12"/>
      <c r="H258" s="1"/>
      <c r="I258" s="108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</row>
    <row r="259" spans="1:27">
      <c r="A259" s="12"/>
      <c r="B259" s="12"/>
      <c r="C259" s="12"/>
      <c r="D259" s="12"/>
      <c r="E259" s="12"/>
      <c r="F259" s="12"/>
      <c r="G259" s="12"/>
      <c r="H259" s="1"/>
      <c r="I259" s="108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</row>
    <row r="260" spans="1:27">
      <c r="A260" s="12"/>
      <c r="B260" s="12"/>
      <c r="C260" s="12"/>
      <c r="D260" s="12"/>
      <c r="E260" s="12"/>
      <c r="F260" s="12"/>
      <c r="G260" s="12"/>
      <c r="H260" s="1"/>
      <c r="I260" s="108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</row>
    <row r="261" spans="1:27">
      <c r="A261" s="12"/>
      <c r="B261" s="12"/>
      <c r="C261" s="12"/>
      <c r="D261" s="12"/>
      <c r="E261" s="12"/>
      <c r="F261" s="12"/>
      <c r="G261" s="12"/>
      <c r="H261" s="1"/>
      <c r="I261" s="108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</row>
    <row r="262" spans="1:27">
      <c r="A262" s="12"/>
      <c r="B262" s="12"/>
      <c r="C262" s="12"/>
      <c r="D262" s="12"/>
      <c r="E262" s="12"/>
      <c r="F262" s="12"/>
      <c r="G262" s="12"/>
      <c r="H262" s="1"/>
      <c r="I262" s="108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</row>
    <row r="263" spans="1:27">
      <c r="A263" s="12"/>
      <c r="B263" s="12"/>
      <c r="C263" s="12"/>
      <c r="D263" s="12"/>
      <c r="E263" s="12"/>
      <c r="F263" s="12"/>
      <c r="G263" s="12"/>
      <c r="H263" s="1"/>
      <c r="I263" s="108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</row>
    <row r="264" spans="1:27">
      <c r="A264" s="12"/>
      <c r="B264" s="12"/>
      <c r="C264" s="12"/>
      <c r="D264" s="12"/>
      <c r="E264" s="12"/>
      <c r="F264" s="12"/>
      <c r="G264" s="12"/>
      <c r="H264" s="1"/>
      <c r="I264" s="108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</row>
    <row r="265" spans="1:27">
      <c r="A265" s="12"/>
      <c r="B265" s="12"/>
      <c r="C265" s="12"/>
      <c r="D265" s="12"/>
      <c r="E265" s="12"/>
      <c r="F265" s="12"/>
      <c r="G265" s="12"/>
      <c r="H265" s="1"/>
      <c r="I265" s="108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</row>
    <row r="266" spans="1:27">
      <c r="A266" s="12"/>
      <c r="B266" s="12"/>
      <c r="C266" s="12"/>
      <c r="D266" s="12"/>
      <c r="E266" s="12"/>
      <c r="F266" s="12"/>
      <c r="G266" s="12"/>
      <c r="H266" s="1"/>
      <c r="I266" s="108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</row>
    <row r="267" spans="1:27">
      <c r="A267" s="12"/>
      <c r="B267" s="12"/>
      <c r="C267" s="12"/>
      <c r="D267" s="12"/>
      <c r="E267" s="12"/>
      <c r="F267" s="12"/>
      <c r="G267" s="12"/>
      <c r="H267" s="1"/>
      <c r="I267" s="108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</row>
    <row r="268" spans="1:27">
      <c r="A268" s="12"/>
      <c r="B268" s="12"/>
      <c r="C268" s="12"/>
      <c r="D268" s="12"/>
      <c r="E268" s="12"/>
      <c r="F268" s="12"/>
      <c r="G268" s="12"/>
      <c r="H268" s="1"/>
      <c r="I268" s="108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</row>
    <row r="269" spans="1:27">
      <c r="A269" s="12"/>
      <c r="B269" s="12"/>
      <c r="C269" s="12"/>
      <c r="D269" s="12"/>
      <c r="E269" s="12"/>
      <c r="F269" s="12"/>
      <c r="G269" s="12"/>
      <c r="H269" s="1"/>
      <c r="I269" s="108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</row>
    <row r="270" spans="1:27">
      <c r="A270" s="12"/>
      <c r="B270" s="12"/>
      <c r="C270" s="12"/>
      <c r="D270" s="12"/>
      <c r="E270" s="12"/>
      <c r="F270" s="12"/>
      <c r="G270" s="12"/>
      <c r="H270" s="1"/>
      <c r="I270" s="108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</row>
    <row r="271" spans="1:27">
      <c r="A271" s="12"/>
      <c r="B271" s="12"/>
      <c r="C271" s="12"/>
      <c r="D271" s="12"/>
      <c r="E271" s="12"/>
      <c r="F271" s="12"/>
      <c r="G271" s="12"/>
      <c r="H271" s="1"/>
      <c r="I271" s="108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AU2091"/>
  <sheetViews>
    <sheetView zoomScaleNormal="10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10" sqref="A10"/>
    </sheetView>
  </sheetViews>
  <sheetFormatPr defaultRowHeight="12.75"/>
  <cols>
    <col min="1" max="4" width="2.7109375" style="13" customWidth="1"/>
    <col min="5" max="5" width="62" style="13" bestFit="1" customWidth="1"/>
    <col min="6" max="6" width="31" style="13" bestFit="1" customWidth="1"/>
    <col min="7" max="7" width="7.7109375" style="13" customWidth="1"/>
    <col min="8" max="8" width="2.7109375" style="13" customWidth="1"/>
    <col min="9" max="9" width="12.7109375" style="5" customWidth="1"/>
    <col min="10" max="10" width="2.7109375" style="106" customWidth="1"/>
    <col min="11" max="12" width="15.7109375" style="9" customWidth="1"/>
    <col min="13" max="13" width="2.7109375" style="13" customWidth="1"/>
    <col min="14" max="14" width="12.7109375" style="5" customWidth="1"/>
    <col min="15" max="15" width="2.7109375" style="106" customWidth="1"/>
    <col min="16" max="17" width="15.7109375" style="9" customWidth="1"/>
    <col min="18" max="18" width="2.7109375" style="13" customWidth="1"/>
    <col min="19" max="19" width="12.7109375" style="5" customWidth="1"/>
    <col min="20" max="20" width="2.7109375" style="106" customWidth="1"/>
    <col min="21" max="22" width="15.7109375" style="9" customWidth="1"/>
    <col min="23" max="23" width="2.7109375" style="13" customWidth="1"/>
    <col min="24" max="24" width="12.7109375" style="5" customWidth="1"/>
    <col min="25" max="25" width="2.7109375" style="106" customWidth="1"/>
    <col min="26" max="27" width="15.7109375" style="9" customWidth="1"/>
    <col min="28" max="16384" width="9.140625" style="13"/>
  </cols>
  <sheetData>
    <row r="1" spans="1:47" s="139" customFormat="1" ht="12">
      <c r="A1" s="145" t="s">
        <v>235</v>
      </c>
      <c r="B1" s="145"/>
      <c r="C1" s="145"/>
      <c r="D1" s="145"/>
      <c r="E1" s="145"/>
      <c r="F1" s="146"/>
      <c r="G1" s="137"/>
      <c r="H1" s="137"/>
      <c r="I1" s="137"/>
      <c r="J1" s="150"/>
      <c r="K1" s="137"/>
      <c r="L1" s="137"/>
      <c r="M1" s="137"/>
      <c r="N1" s="137"/>
      <c r="O1" s="150"/>
      <c r="P1" s="137"/>
      <c r="Q1" s="137"/>
      <c r="R1" s="137"/>
      <c r="S1" s="137"/>
      <c r="T1" s="150"/>
      <c r="U1" s="137"/>
      <c r="V1" s="137"/>
      <c r="W1" s="137"/>
      <c r="X1" s="137"/>
      <c r="Y1" s="150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48"/>
      <c r="AR1" s="148"/>
      <c r="AS1" s="148"/>
      <c r="AT1" s="148"/>
      <c r="AU1" s="148"/>
    </row>
    <row r="2" spans="1:47">
      <c r="A2" s="12"/>
      <c r="B2" s="12"/>
      <c r="C2" s="12"/>
      <c r="D2" s="12"/>
      <c r="E2" s="12"/>
      <c r="F2" s="12"/>
      <c r="G2" s="12"/>
      <c r="H2" s="12"/>
      <c r="I2" s="1"/>
      <c r="J2" s="104"/>
      <c r="K2" s="6"/>
      <c r="L2" s="6"/>
      <c r="M2" s="12"/>
      <c r="N2" s="1"/>
      <c r="O2" s="104"/>
      <c r="P2" s="6"/>
      <c r="Q2" s="6"/>
      <c r="R2" s="12"/>
      <c r="S2" s="1"/>
      <c r="T2" s="104"/>
      <c r="U2" s="6"/>
      <c r="V2" s="6"/>
      <c r="W2" s="12"/>
      <c r="X2" s="1"/>
      <c r="Y2" s="104"/>
      <c r="Z2" s="6"/>
      <c r="AA2" s="6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</row>
    <row r="3" spans="1:47" s="5" customFormat="1">
      <c r="A3" s="1"/>
      <c r="B3" s="1"/>
      <c r="C3" s="1" t="s">
        <v>366</v>
      </c>
      <c r="D3" s="1"/>
      <c r="E3" s="1"/>
      <c r="F3" s="1"/>
      <c r="G3" s="1"/>
      <c r="H3" s="1"/>
      <c r="I3" s="1"/>
      <c r="J3" s="112"/>
      <c r="K3" s="6"/>
      <c r="L3" s="6"/>
      <c r="M3" s="1"/>
      <c r="N3" s="1"/>
      <c r="O3" s="112"/>
      <c r="P3" s="6"/>
      <c r="Q3" s="6"/>
      <c r="R3" s="1"/>
      <c r="S3" s="1"/>
      <c r="T3" s="112"/>
      <c r="U3" s="6"/>
      <c r="V3" s="6"/>
      <c r="W3" s="1"/>
      <c r="X3" s="1"/>
      <c r="Y3" s="112"/>
      <c r="Z3" s="6"/>
      <c r="AA3" s="6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7" s="5" customFormat="1">
      <c r="A4" s="1"/>
      <c r="B4" s="1"/>
      <c r="C4" s="1" t="s">
        <v>223</v>
      </c>
      <c r="D4" s="1"/>
      <c r="E4" s="1"/>
      <c r="F4" s="12"/>
      <c r="G4" s="1"/>
      <c r="H4" s="1"/>
      <c r="I4" s="1"/>
      <c r="J4" s="112"/>
      <c r="K4" s="6"/>
      <c r="L4" s="6"/>
      <c r="M4" s="1"/>
      <c r="N4" s="1"/>
      <c r="O4" s="112"/>
      <c r="P4" s="6"/>
      <c r="Q4" s="6"/>
      <c r="R4" s="1"/>
      <c r="S4" s="1"/>
      <c r="T4" s="112"/>
      <c r="U4" s="6"/>
      <c r="V4" s="6"/>
      <c r="W4" s="1"/>
      <c r="X4" s="1"/>
      <c r="Y4" s="112"/>
      <c r="Z4" s="6"/>
      <c r="AA4" s="6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7">
      <c r="A5" s="12"/>
      <c r="B5" s="12"/>
      <c r="C5" s="87" t="s">
        <v>221</v>
      </c>
      <c r="D5" s="12"/>
      <c r="E5" s="12"/>
      <c r="F5" s="12"/>
      <c r="G5" s="12"/>
      <c r="H5" s="12"/>
      <c r="I5" s="1"/>
      <c r="J5" s="104"/>
      <c r="K5" s="6"/>
      <c r="L5" s="6"/>
      <c r="M5" s="12"/>
      <c r="N5" s="1"/>
      <c r="O5" s="104"/>
      <c r="P5" s="6"/>
      <c r="Q5" s="6"/>
      <c r="R5" s="12"/>
      <c r="S5" s="1"/>
      <c r="T5" s="104"/>
      <c r="U5" s="6"/>
      <c r="V5" s="6"/>
      <c r="W5" s="12"/>
      <c r="X5" s="1"/>
      <c r="Y5" s="104"/>
      <c r="Z5" s="6"/>
      <c r="AA5" s="6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7" s="5" customFormat="1">
      <c r="A6" s="1"/>
      <c r="B6" s="1"/>
      <c r="C6" s="1" t="s">
        <v>254</v>
      </c>
      <c r="D6" s="1"/>
      <c r="E6" s="1"/>
      <c r="F6" s="12"/>
      <c r="G6" s="1"/>
      <c r="H6" s="1"/>
      <c r="I6" s="1"/>
      <c r="J6" s="112"/>
      <c r="K6" s="6"/>
      <c r="L6" s="6"/>
      <c r="M6" s="1"/>
      <c r="N6" s="1"/>
      <c r="O6" s="112"/>
      <c r="P6" s="6"/>
      <c r="Q6" s="6"/>
      <c r="R6" s="1"/>
      <c r="S6" s="1"/>
      <c r="T6" s="112"/>
      <c r="U6" s="6"/>
      <c r="V6" s="6"/>
      <c r="W6" s="1"/>
      <c r="X6" s="1"/>
      <c r="Y6" s="112"/>
      <c r="Z6" s="6"/>
      <c r="AA6" s="6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7" s="50" customFormat="1" ht="11.25">
      <c r="A7" s="48"/>
      <c r="B7" s="48"/>
      <c r="C7" s="107" t="s">
        <v>222</v>
      </c>
      <c r="D7" s="48"/>
      <c r="E7" s="48"/>
      <c r="F7" s="48"/>
      <c r="G7" s="48"/>
      <c r="H7" s="393"/>
      <c r="I7" s="389" t="s">
        <v>221</v>
      </c>
      <c r="J7" s="391"/>
      <c r="K7" s="390" t="str">
        <f>"в т.ч. "&amp;микс!$G$9&amp;":"</f>
        <v>в т.ч. бизнес-модель:</v>
      </c>
      <c r="L7" s="390"/>
      <c r="M7" s="48"/>
      <c r="N7" s="89">
        <f>N8</f>
        <v>42278</v>
      </c>
      <c r="O7" s="112"/>
      <c r="P7" s="49" t="str">
        <f>"в т.ч. "&amp;микс!$G$9&amp;":"</f>
        <v>в т.ч. бизнес-модель:</v>
      </c>
      <c r="Q7" s="49"/>
      <c r="R7" s="48"/>
      <c r="S7" s="89">
        <f>S8</f>
        <v>42309</v>
      </c>
      <c r="T7" s="112"/>
      <c r="U7" s="49" t="str">
        <f>"в т.ч. "&amp;микс!$G$9&amp;":"</f>
        <v>в т.ч. бизнес-модель:</v>
      </c>
      <c r="V7" s="49"/>
      <c r="W7" s="48"/>
      <c r="X7" s="89">
        <f>X8</f>
        <v>42339</v>
      </c>
      <c r="Y7" s="112"/>
      <c r="Z7" s="49" t="str">
        <f>"в т.ч. "&amp;микс!$G$9&amp;":"</f>
        <v>в т.ч. бизнес-модель:</v>
      </c>
      <c r="AA7" s="49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7" s="50" customFormat="1" ht="11.25">
      <c r="A8" s="48"/>
      <c r="B8" s="48"/>
      <c r="C8" s="115">
        <f>I10+I28+I65+SUM(J:J)</f>
        <v>1.0193298294325359E-7</v>
      </c>
      <c r="D8" s="48"/>
      <c r="E8" s="48"/>
      <c r="F8" s="48"/>
      <c r="G8" s="48"/>
      <c r="H8" s="393"/>
      <c r="I8" s="88">
        <v>42278</v>
      </c>
      <c r="J8" s="391"/>
      <c r="K8" s="86"/>
      <c r="L8" s="268"/>
      <c r="M8" s="269"/>
      <c r="N8" s="88">
        <f>I8</f>
        <v>42278</v>
      </c>
      <c r="O8" s="112"/>
      <c r="P8" s="86"/>
      <c r="Q8" s="229"/>
      <c r="R8" s="230"/>
      <c r="S8" s="88">
        <f>N9+1</f>
        <v>42309</v>
      </c>
      <c r="T8" s="112"/>
      <c r="U8" s="86"/>
      <c r="V8" s="229"/>
      <c r="W8" s="230"/>
      <c r="X8" s="88">
        <f>S9+1</f>
        <v>42339</v>
      </c>
      <c r="Y8" s="112"/>
      <c r="Z8" s="86"/>
      <c r="AA8" s="229"/>
      <c r="AB8" s="230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7" s="50" customFormat="1" ht="11.25">
      <c r="A9" s="48"/>
      <c r="B9" s="48"/>
      <c r="C9" s="102"/>
      <c r="D9" s="103"/>
      <c r="E9" s="103" t="s">
        <v>215</v>
      </c>
      <c r="F9" s="121" t="s">
        <v>266</v>
      </c>
      <c r="G9" s="103" t="s">
        <v>216</v>
      </c>
      <c r="H9" s="394"/>
      <c r="I9" s="95">
        <v>42369</v>
      </c>
      <c r="J9" s="392"/>
      <c r="K9" s="122" t="str">
        <f>микс!$H$10</f>
        <v>продажа со склада</v>
      </c>
      <c r="L9" s="270" t="str">
        <f>микс!$H$11</f>
        <v>продажа под заказ</v>
      </c>
      <c r="M9" s="271"/>
      <c r="N9" s="95">
        <f>EOMONTH(N8,0)</f>
        <v>42308</v>
      </c>
      <c r="O9" s="113"/>
      <c r="P9" s="122" t="str">
        <f>микс!$H$10</f>
        <v>продажа со склада</v>
      </c>
      <c r="Q9" s="231" t="str">
        <f>микс!$H$11</f>
        <v>продажа под заказ</v>
      </c>
      <c r="R9" s="232"/>
      <c r="S9" s="95">
        <f>EOMONTH(S8,0)</f>
        <v>42338</v>
      </c>
      <c r="T9" s="113"/>
      <c r="U9" s="122" t="str">
        <f>микс!$H$10</f>
        <v>продажа со склада</v>
      </c>
      <c r="V9" s="231" t="str">
        <f>микс!$H$11</f>
        <v>продажа под заказ</v>
      </c>
      <c r="W9" s="232"/>
      <c r="X9" s="95">
        <f>EOMONTH(X8,0)</f>
        <v>42369</v>
      </c>
      <c r="Y9" s="113"/>
      <c r="Z9" s="122" t="str">
        <f>микс!$H$10</f>
        <v>продажа со склада</v>
      </c>
      <c r="AA9" s="231" t="str">
        <f>микс!$H$11</f>
        <v>продажа под заказ</v>
      </c>
      <c r="AB9" s="230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7" s="111" customFormat="1" ht="11.25">
      <c r="A10" s="108"/>
      <c r="B10" s="108"/>
      <c r="C10" s="108" t="s">
        <v>271</v>
      </c>
      <c r="D10" s="109"/>
      <c r="E10" s="109"/>
      <c r="F10" s="109"/>
      <c r="G10" s="109"/>
      <c r="H10" s="307"/>
      <c r="I10" s="308">
        <f>I11-K11-L11</f>
        <v>0</v>
      </c>
      <c r="J10" s="309">
        <f>N10+N28+N65+SUM(O:O)+S10+S28+S65+SUM(T:T)+X10+X28+X65+SUM(Y:Y)</f>
        <v>1.3821619404552621E-9</v>
      </c>
      <c r="K10" s="307"/>
      <c r="L10" s="310"/>
      <c r="M10" s="272"/>
      <c r="N10" s="110">
        <f>N11-P11-Q11</f>
        <v>0</v>
      </c>
      <c r="O10" s="105"/>
      <c r="P10" s="109"/>
      <c r="Q10" s="233"/>
      <c r="R10" s="234"/>
      <c r="S10" s="110">
        <f>S11-U11-V11</f>
        <v>0</v>
      </c>
      <c r="T10" s="105"/>
      <c r="U10" s="109"/>
      <c r="V10" s="233"/>
      <c r="W10" s="234"/>
      <c r="X10" s="110">
        <f>X11-Z11-AA11</f>
        <v>-9.3132257461547852E-10</v>
      </c>
      <c r="Y10" s="105"/>
      <c r="Z10" s="109"/>
      <c r="AA10" s="233"/>
      <c r="AB10" s="263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</row>
    <row r="11" spans="1:47" s="93" customFormat="1" ht="15">
      <c r="A11" s="92"/>
      <c r="B11" s="92"/>
      <c r="C11" s="92"/>
      <c r="D11" s="151" t="s">
        <v>256</v>
      </c>
      <c r="E11" s="151"/>
      <c r="F11" s="151" t="s">
        <v>214</v>
      </c>
      <c r="G11" s="151" t="s">
        <v>261</v>
      </c>
      <c r="H11" s="311"/>
      <c r="I11" s="312">
        <f>SUMIFS(операции!$V:$V,операции!$T:$T,"&lt;"&amp;I$8,операции!$X:$X,"")+SUMIFS(операции!$V:$V,операции!$T:$T,"&lt;"&amp;I$8,операции!$X:$X,"&gt;="&amp;I$8)</f>
        <v>1649796.9900000012</v>
      </c>
      <c r="J11" s="313">
        <f>I11-I16-I22</f>
        <v>1.6298145055770874E-9</v>
      </c>
      <c r="K11" s="312">
        <f>SUMIFS(операции!$V:$V,операции!$T:$T,"&lt;"&amp;I$8,операции!$X:$X,"",операции!$L:$L,K$9)+SUMIFS(операции!$V:$V,операции!$T:$T,"&lt;"&amp;I$8,операции!$X:$X,"&gt;="&amp;I$8,операции!$L:$L,K$9)</f>
        <v>1649796.9900000012</v>
      </c>
      <c r="L11" s="314">
        <f>SUMIFS(операции!$V:$V,операции!$T:$T,"&lt;"&amp;I$8,операции!$X:$X,"",операции!$L:$L,L$9)+SUMIFS(операции!$V:$V,операции!$T:$T,"&lt;"&amp;I$8,операции!$X:$X,"&gt;="&amp;I$8,операции!$L:$L,L$9)</f>
        <v>0</v>
      </c>
      <c r="M11" s="273"/>
      <c r="N11" s="152">
        <f>SUMIFS(операции!$V:$V,операции!$T:$T,"&lt;"&amp;N$8,операции!$X:$X,"")+SUMIFS(операции!$V:$V,операции!$T:$T,"&lt;"&amp;N$8,операции!$X:$X,"&gt;="&amp;N$8)</f>
        <v>1649796.9900000012</v>
      </c>
      <c r="O11" s="170">
        <f>N11-N16-N22</f>
        <v>1.6298145055770874E-9</v>
      </c>
      <c r="P11" s="152">
        <f>SUMIFS(операции!$V:$V,операции!$T:$T,"&lt;"&amp;N$8,операции!$X:$X,"",операции!$L:$L,P$9)+SUMIFS(операции!$V:$V,операции!$T:$T,"&lt;"&amp;N$8,операции!$X:$X,"&gt;="&amp;N$8,операции!$L:$L,P$9)</f>
        <v>1649796.9900000012</v>
      </c>
      <c r="Q11" s="235">
        <f>SUMIFS(операции!$V:$V,операции!$T:$T,"&lt;"&amp;N$8,операции!$X:$X,"",операции!$L:$L,Q$9)+SUMIFS(операции!$V:$V,операции!$T:$T,"&lt;"&amp;N$8,операции!$X:$X,"&gt;="&amp;N$8,операции!$L:$L,Q$9)</f>
        <v>0</v>
      </c>
      <c r="R11" s="236"/>
      <c r="S11" s="152">
        <f>SUMIFS(операции!$V:$V,операции!$T:$T,"&lt;"&amp;S$8,операции!$X:$X,"")+SUMIFS(операции!$V:$V,операции!$T:$T,"&lt;"&amp;S$8,операции!$X:$X,"&gt;="&amp;S$8)</f>
        <v>1494105.1600000004</v>
      </c>
      <c r="T11" s="170">
        <f>S11-S16-S22</f>
        <v>6.4028427004814148E-10</v>
      </c>
      <c r="U11" s="152">
        <f>SUMIFS(операции!$V:$V,операции!$T:$T,"&lt;"&amp;S$8,операции!$X:$X,"",операции!$L:$L,U$9)+SUMIFS(операции!$V:$V,операции!$T:$T,"&lt;"&amp;S$8,операции!$X:$X,"&gt;="&amp;S$8,операции!$L:$L,U$9)</f>
        <v>1347125.2300000004</v>
      </c>
      <c r="V11" s="235">
        <f>SUMIFS(операции!$V:$V,операции!$T:$T,"&lt;"&amp;S$8,операции!$X:$X,"",операции!$L:$L,V$9)+SUMIFS(операции!$V:$V,операции!$T:$T,"&lt;"&amp;S$8,операции!$X:$X,"&gt;="&amp;S$8,операции!$L:$L,V$9)</f>
        <v>146979.93000000002</v>
      </c>
      <c r="W11" s="236"/>
      <c r="X11" s="152">
        <f>SUMIFS(операции!$V:$V,операции!$T:$T,"&lt;"&amp;X$8,операции!$X:$X,"")+SUMIFS(операции!$V:$V,операции!$T:$T,"&lt;"&amp;X$8,операции!$X:$X,"&gt;="&amp;X$8)</f>
        <v>1748502.0699999996</v>
      </c>
      <c r="Y11" s="170">
        <f>X11-X16-X22</f>
        <v>-9.3132257461547852E-10</v>
      </c>
      <c r="Z11" s="152">
        <f>SUMIFS(операции!$V:$V,операции!$T:$T,"&lt;"&amp;X$8,операции!$X:$X,"",операции!$L:$L,Z$9)+SUMIFS(операции!$V:$V,операции!$T:$T,"&lt;"&amp;X$8,операции!$X:$X,"&gt;="&amp;X$8,операции!$L:$L,Z$9)</f>
        <v>841216.99000000057</v>
      </c>
      <c r="AA11" s="235">
        <f>SUMIFS(операции!$V:$V,операции!$T:$T,"&lt;"&amp;X$8,операции!$X:$X,"",операции!$L:$L,AA$9)+SUMIFS(операции!$V:$V,операции!$T:$T,"&lt;"&amp;X$8,операции!$X:$X,"&gt;="&amp;X$8,операции!$L:$L,AA$9)</f>
        <v>907285.08</v>
      </c>
      <c r="AB11" s="264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</row>
    <row r="12" spans="1:47" s="192" customFormat="1" ht="11.25">
      <c r="A12" s="37"/>
      <c r="B12" s="37"/>
      <c r="C12" s="37"/>
      <c r="D12" s="191" t="s">
        <v>255</v>
      </c>
      <c r="E12" s="191"/>
      <c r="F12" s="191" t="s">
        <v>214</v>
      </c>
      <c r="G12" s="191" t="s">
        <v>262</v>
      </c>
      <c r="H12" s="315"/>
      <c r="I12" s="316">
        <f>IF(I11=0,0,(SUMIFS(операции!$AF:$AF,операции!$T:$T,"&lt;"&amp;I$8,операции!$X:$X,"")+SUMIFS(операции!$AF:$AF,операции!$T:$T,"&lt;"&amp;I$8,операции!$X:$X,"&gt;="&amp;I$8))/I11)</f>
        <v>42190.815825861071</v>
      </c>
      <c r="J12" s="317"/>
      <c r="K12" s="316">
        <f>IF(K11=0,0,(SUMIFS(операции!$AF:$AF,операции!$T:$T,"&lt;"&amp;I$8,операции!$X:$X,"",операции!$L:$L,K$9)+SUMIFS(операции!$AF:$AF,операции!$T:$T,"&lt;"&amp;I$8,операции!$X:$X,"&gt;="&amp;I$8,операции!$L:$L,K$9))/K11)</f>
        <v>42190.815825861071</v>
      </c>
      <c r="L12" s="318">
        <f>IF(L11=0,0,(SUMIFS(операции!$AF:$AF,операции!$T:$T,"&lt;"&amp;I$8,операции!$X:$X,"",операции!$L:$L,L$9)+SUMIFS(операции!$AF:$AF,операции!$T:$T,"&lt;"&amp;I$8,операции!$X:$X,"&gt;="&amp;I$8,операции!$L:$L,L$9))/L11)</f>
        <v>0</v>
      </c>
      <c r="M12" s="274"/>
      <c r="N12" s="193">
        <f>IF(N11=0,0,(SUMIFS(операции!$AF:$AF,операции!$T:$T,"&lt;"&amp;N$8,операции!$X:$X,"")+SUMIFS(операции!$AF:$AF,операции!$T:$T,"&lt;"&amp;N$8,операции!$X:$X,"&gt;="&amp;N$8))/N11)</f>
        <v>42190.815825861071</v>
      </c>
      <c r="O12" s="196"/>
      <c r="P12" s="193">
        <f>IF(P11=0,0,(SUMIFS(операции!$AF:$AF,операции!$T:$T,"&lt;"&amp;N$8,операции!$X:$X,"",операции!$L:$L,P$9)+SUMIFS(операции!$AF:$AF,операции!$T:$T,"&lt;"&amp;N$8,операции!$X:$X,"&gt;="&amp;N$8,операции!$L:$L,P$9))/P11)</f>
        <v>42190.815825861071</v>
      </c>
      <c r="Q12" s="237">
        <f>IF(Q11=0,0,(SUMIFS(операции!$AF:$AF,операции!$T:$T,"&lt;"&amp;N$8,операции!$X:$X,"",операции!$L:$L,Q$9)+SUMIFS(операции!$AF:$AF,операции!$T:$T,"&lt;"&amp;N$8,операции!$X:$X,"&gt;="&amp;N$8,операции!$L:$L,Q$9))/Q11)</f>
        <v>0</v>
      </c>
      <c r="R12" s="238"/>
      <c r="S12" s="193">
        <f>IF(S11=0,0,(SUMIFS(операции!$AF:$AF,операции!$T:$T,"&lt;"&amp;S$8,операции!$X:$X,"")+SUMIFS(операции!$AF:$AF,операции!$T:$T,"&lt;"&amp;S$8,операции!$X:$X,"&gt;="&amp;S$8))/S11)</f>
        <v>42209.484998284854</v>
      </c>
      <c r="T12" s="196"/>
      <c r="U12" s="193">
        <f>IF(U11=0,0,(SUMIFS(операции!$AF:$AF,операции!$T:$T,"&lt;"&amp;S$8,операции!$X:$X,"",операции!$L:$L,U$9)+SUMIFS(операции!$AF:$AF,операции!$T:$T,"&lt;"&amp;S$8,операции!$X:$X,"&gt;="&amp;S$8,операции!$L:$L,U$9))/U11)</f>
        <v>42198.959645548312</v>
      </c>
      <c r="V12" s="237">
        <f>IF(V11=0,0,(SUMIFS(операции!$AF:$AF,операции!$T:$T,"&lt;"&amp;S$8,операции!$X:$X,"",операции!$L:$L,V$9)+SUMIFS(операции!$AF:$AF,операции!$T:$T,"&lt;"&amp;S$8,операции!$X:$X,"&gt;="&amp;S$8,операции!$L:$L,V$9))/V11)</f>
        <v>42305.953735384144</v>
      </c>
      <c r="W12" s="238"/>
      <c r="X12" s="193">
        <f>IF(X11=0,0,(SUMIFS(операции!$AF:$AF,операции!$T:$T,"&lt;"&amp;X$8,операции!$X:$X,"")+SUMIFS(операции!$AF:$AF,операции!$T:$T,"&lt;"&amp;X$8,операции!$X:$X,"&gt;="&amp;X$8))/X11)</f>
        <v>42270.647921846634</v>
      </c>
      <c r="Y12" s="196"/>
      <c r="Z12" s="193">
        <f>IF(Z11=0,0,(SUMIFS(операции!$AF:$AF,операции!$T:$T,"&lt;"&amp;X$8,операции!$X:$X,"",операции!$L:$L,Z$9)+SUMIFS(операции!$AF:$AF,операции!$T:$T,"&lt;"&amp;X$8,операции!$X:$X,"&gt;="&amp;X$8,операции!$L:$L,Z$9))/Z11)</f>
        <v>42200.38366206795</v>
      </c>
      <c r="AA12" s="237">
        <f>IF(AA11=0,0,(SUMIFS(операции!$AF:$AF,операции!$T:$T,"&lt;"&amp;X$8,операции!$X:$X,"",операции!$L:$L,AA$9)+SUMIFS(операции!$AF:$AF,операции!$T:$T,"&lt;"&amp;X$8,операции!$X:$X,"&gt;="&amp;X$8,операции!$L:$L,AA$9))/AA11)</f>
        <v>42335.795569943701</v>
      </c>
      <c r="AB12" s="265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</row>
    <row r="13" spans="1:47" s="50" customFormat="1" ht="11.25">
      <c r="A13" s="48"/>
      <c r="B13" s="48"/>
      <c r="C13" s="48"/>
      <c r="D13" s="154" t="s">
        <v>257</v>
      </c>
      <c r="E13" s="154"/>
      <c r="F13" s="154" t="s">
        <v>214</v>
      </c>
      <c r="G13" s="154" t="s">
        <v>219</v>
      </c>
      <c r="H13" s="319"/>
      <c r="I13" s="320">
        <f>IF(I11=0,0,I$8-I12)</f>
        <v>87.184174138928938</v>
      </c>
      <c r="J13" s="321">
        <f>I13-IF(I11=0,0,(I16*I18+I22*I24)/I11)</f>
        <v>3.6791902857657988E-11</v>
      </c>
      <c r="K13" s="320">
        <f>IF(K11=0,0,I$8-K12)</f>
        <v>87.184174138928938</v>
      </c>
      <c r="L13" s="322">
        <f>IF(L11=0,0,I$8-L12)</f>
        <v>0</v>
      </c>
      <c r="M13" s="275"/>
      <c r="N13" s="155">
        <f>IF(N11=0,0,N$8-N12)</f>
        <v>87.184174138928938</v>
      </c>
      <c r="O13" s="173">
        <f>N13-IF(N11=0,0,(N16*N18+N22*N24)/N11)</f>
        <v>3.6791902857657988E-11</v>
      </c>
      <c r="P13" s="155">
        <f>IF(P11=0,0,N$8-P12)</f>
        <v>87.184174138928938</v>
      </c>
      <c r="Q13" s="239">
        <f>IF(Q11=0,0,N$8-Q12)</f>
        <v>0</v>
      </c>
      <c r="R13" s="240"/>
      <c r="S13" s="155">
        <f>IF(S11=0,0,S$8-S12)</f>
        <v>99.515001715146354</v>
      </c>
      <c r="T13" s="173">
        <f>S13-IF(S11=0,0,(S16*S18+S22*S24)/S11)</f>
        <v>9.9333874459262006E-12</v>
      </c>
      <c r="U13" s="155">
        <f>IF(U11=0,0,S$8-U12)</f>
        <v>110.04035445168847</v>
      </c>
      <c r="V13" s="239">
        <f>IF(V11=0,0,S$8-V12)</f>
        <v>3.0462646158557618</v>
      </c>
      <c r="W13" s="240"/>
      <c r="X13" s="155">
        <f>IF(X11=0,0,X$8-X12)</f>
        <v>68.352078153366165</v>
      </c>
      <c r="Y13" s="173">
        <f>X13-IF(X11=0,0,(X16*X18+X22*X24)/X11)</f>
        <v>-3.6109781831328291E-11</v>
      </c>
      <c r="Z13" s="155">
        <f>IF(Z11=0,0,X$8-Z12)</f>
        <v>138.61633793204965</v>
      </c>
      <c r="AA13" s="239">
        <f>IF(AA11=0,0,X$8-AA12)</f>
        <v>3.2044300562993158</v>
      </c>
      <c r="AB13" s="230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7" s="93" customFormat="1" ht="15">
      <c r="A14" s="92"/>
      <c r="B14" s="92"/>
      <c r="C14" s="92"/>
      <c r="D14" s="198" t="s">
        <v>267</v>
      </c>
      <c r="E14" s="198"/>
      <c r="F14" s="198" t="s">
        <v>214</v>
      </c>
      <c r="G14" s="198" t="s">
        <v>219</v>
      </c>
      <c r="H14" s="323"/>
      <c r="I14" s="324">
        <f>IF(I11=0,0,(I16*I20+I22*I26)/I11)</f>
        <v>37.473972449189915</v>
      </c>
      <c r="J14" s="321"/>
      <c r="K14" s="324">
        <f t="shared" ref="K14" si="0">IF(K11=0,0,(K16*K20+K22*K26)/K11)</f>
        <v>37.473972449189915</v>
      </c>
      <c r="L14" s="325">
        <f>IF(L11=0,0,(L16*L20+L22*L26)/L11)</f>
        <v>0</v>
      </c>
      <c r="M14" s="276"/>
      <c r="N14" s="199">
        <f>IF(N11=0,0,(N16*N20+N22*N26)/N11)</f>
        <v>37.473972449189915</v>
      </c>
      <c r="O14" s="173"/>
      <c r="P14" s="199">
        <f t="shared" ref="P14" si="1">IF(P11=0,0,(P16*P20+P22*P26)/P11)</f>
        <v>37.473972449189915</v>
      </c>
      <c r="Q14" s="241">
        <f>IF(Q11=0,0,(Q16*Q20+Q22*Q26)/Q11)</f>
        <v>0</v>
      </c>
      <c r="R14" s="242"/>
      <c r="S14" s="199">
        <f>IF(S11=0,0,(S16*S20+S22*S26)/S11)</f>
        <v>39.508398150520627</v>
      </c>
      <c r="T14" s="173"/>
      <c r="U14" s="199">
        <f t="shared" ref="U14" si="2">IF(U11=0,0,(U16*U20+U22*U26)/U11)</f>
        <v>43.486648809946011</v>
      </c>
      <c r="V14" s="241">
        <f>IF(V11=0,0,(V16*V20+V22*V26)/V11)</f>
        <v>3.0462646158484854</v>
      </c>
      <c r="W14" s="242"/>
      <c r="X14" s="199">
        <f>IF(X11=0,0,(X16*X20+X22*X26)/X11)</f>
        <v>24.25510494822419</v>
      </c>
      <c r="Y14" s="173"/>
      <c r="Z14" s="199">
        <f t="shared" ref="Z14" si="3">IF(Z11=0,0,(Z16*Z20+Z22*Z26)/Z11)</f>
        <v>46.959072509967378</v>
      </c>
      <c r="AA14" s="241">
        <f>IF(AA11=0,0,(AA16*AA20+AA22*AA26)/AA11)</f>
        <v>3.2044300563284205</v>
      </c>
      <c r="AB14" s="264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</row>
    <row r="15" spans="1:47" s="50" customFormat="1" ht="11.25">
      <c r="A15" s="48"/>
      <c r="B15" s="48"/>
      <c r="C15" s="48"/>
      <c r="D15" s="154" t="s">
        <v>270</v>
      </c>
      <c r="E15" s="154"/>
      <c r="F15" s="154" t="s">
        <v>214</v>
      </c>
      <c r="G15" s="154" t="s">
        <v>219</v>
      </c>
      <c r="H15" s="319"/>
      <c r="I15" s="320">
        <f>I13-I14</f>
        <v>49.710201689739023</v>
      </c>
      <c r="J15" s="321"/>
      <c r="K15" s="320">
        <f t="shared" ref="K15:L15" si="4">K13-K14</f>
        <v>49.710201689739023</v>
      </c>
      <c r="L15" s="322">
        <f t="shared" si="4"/>
        <v>0</v>
      </c>
      <c r="M15" s="275"/>
      <c r="N15" s="155">
        <f>N13-N14</f>
        <v>49.710201689739023</v>
      </c>
      <c r="O15" s="173"/>
      <c r="P15" s="155">
        <f t="shared" ref="P15" si="5">P13-P14</f>
        <v>49.710201689739023</v>
      </c>
      <c r="Q15" s="239">
        <f t="shared" ref="Q15" si="6">Q13-Q14</f>
        <v>0</v>
      </c>
      <c r="R15" s="240"/>
      <c r="S15" s="155">
        <f>S13-S14</f>
        <v>60.006603564625728</v>
      </c>
      <c r="T15" s="173"/>
      <c r="U15" s="155">
        <f t="shared" ref="U15" si="7">U13-U14</f>
        <v>66.553705641742454</v>
      </c>
      <c r="V15" s="239">
        <f t="shared" ref="V15" si="8">V13-V14</f>
        <v>7.276401703393276E-12</v>
      </c>
      <c r="W15" s="240"/>
      <c r="X15" s="155">
        <f>X13-X14</f>
        <v>44.096973205141978</v>
      </c>
      <c r="Y15" s="173"/>
      <c r="Z15" s="155">
        <f t="shared" ref="Z15" si="9">Z13-Z14</f>
        <v>91.657265422082276</v>
      </c>
      <c r="AA15" s="239">
        <f t="shared" ref="AA15" si="10">AA13-AA14</f>
        <v>-2.9104718635153404E-11</v>
      </c>
      <c r="AB15" s="230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7" s="5" customFormat="1">
      <c r="A16" s="1"/>
      <c r="B16" s="1"/>
      <c r="C16" s="1"/>
      <c r="D16" s="168"/>
      <c r="E16" s="168" t="s">
        <v>258</v>
      </c>
      <c r="F16" s="168" t="s">
        <v>214</v>
      </c>
      <c r="G16" s="168" t="s">
        <v>261</v>
      </c>
      <c r="H16" s="326"/>
      <c r="I16" s="327">
        <f>SUMIFS(операции!$V:$V,операции!$T:$T,"&lt;"&amp;I$8,операции!$X:$X,"",операции!$AB:$AB,"&lt;&gt;"&amp;"",операции!$AB:$AB,"&lt;"&amp;I$8)+SUMIFS(операции!$V:$V,операции!$T:$T,"&lt;"&amp;I$8,операции!$X:$X,"&gt;="&amp;I$8,операции!$AB:$AB,"&lt;&gt;"&amp;"",операции!$AB:$AB,"&lt;"&amp;I$8)</f>
        <v>960050.76999999955</v>
      </c>
      <c r="J16" s="313">
        <f>I16-K16-L16</f>
        <v>0</v>
      </c>
      <c r="K16" s="327">
        <f>SUMIFS(операции!$V:$V,операции!$T:$T,"&lt;"&amp;I$8,операции!$X:$X,"",операции!$AB:$AB,"&lt;&gt;"&amp;"",операции!$AB:$AB,"&lt;"&amp;I$8,операции!$L:$L,K$9)+SUMIFS(операции!$V:$V,операции!$T:$T,"&lt;"&amp;I$8,операции!$X:$X,"&gt;="&amp;I$8,операции!$AB:$AB,"&lt;&gt;"&amp;"",операции!$AB:$AB,"&lt;"&amp;I$8,операции!$L:$L,K$9)</f>
        <v>960050.76999999955</v>
      </c>
      <c r="L16" s="328">
        <f>SUMIFS(операции!$V:$V,операции!$T:$T,"&lt;"&amp;I$8,операции!$X:$X,"",операции!$AB:$AB,"&lt;&gt;"&amp;"",операции!$AB:$AB,"&lt;"&amp;I$8,операции!$L:$L,L$9)+SUMIFS(операции!$V:$V,операции!$T:$T,"&lt;"&amp;I$8,операции!$X:$X,"&gt;="&amp;I$8,операции!$AB:$AB,"&lt;&gt;"&amp;"",операции!$AB:$AB,"&lt;"&amp;I$8,операции!$L:$L,L$9)</f>
        <v>0</v>
      </c>
      <c r="M16" s="277"/>
      <c r="N16" s="169">
        <f>SUMIFS(операции!$V:$V,операции!$T:$T,"&lt;"&amp;N$8,операции!$X:$X,"",операции!$AB:$AB,"&lt;&gt;"&amp;"",операции!$AB:$AB,"&lt;"&amp;N$8)+SUMIFS(операции!$V:$V,операции!$T:$T,"&lt;"&amp;N$8,операции!$X:$X,"&gt;="&amp;N$8,операции!$AB:$AB,"&lt;&gt;"&amp;"",операции!$AB:$AB,"&lt;"&amp;N$8)</f>
        <v>960050.76999999955</v>
      </c>
      <c r="O16" s="170">
        <f>N16-P16-Q16</f>
        <v>0</v>
      </c>
      <c r="P16" s="169">
        <f>SUMIFS(операции!$V:$V,операции!$T:$T,"&lt;"&amp;N$8,операции!$X:$X,"",операции!$AB:$AB,"&lt;&gt;"&amp;"",операции!$AB:$AB,"&lt;"&amp;N$8,операции!$L:$L,P$9)+SUMIFS(операции!$V:$V,операции!$T:$T,"&lt;"&amp;N$8,операции!$X:$X,"&gt;="&amp;N$8,операции!$AB:$AB,"&lt;&gt;"&amp;"",операции!$AB:$AB,"&lt;"&amp;N$8,операции!$L:$L,P$9)</f>
        <v>960050.76999999955</v>
      </c>
      <c r="Q16" s="243">
        <f>SUMIFS(операции!$V:$V,операции!$T:$T,"&lt;"&amp;N$8,операции!$X:$X,"",операции!$AB:$AB,"&lt;&gt;"&amp;"",операции!$AB:$AB,"&lt;"&amp;N$8,операции!$L:$L,Q$9)+SUMIFS(операции!$V:$V,операции!$T:$T,"&lt;"&amp;N$8,операции!$X:$X,"&gt;="&amp;N$8,операции!$AB:$AB,"&lt;&gt;"&amp;"",операции!$AB:$AB,"&lt;"&amp;N$8,операции!$L:$L,Q$9)</f>
        <v>0</v>
      </c>
      <c r="R16" s="244"/>
      <c r="S16" s="169">
        <f>SUMIFS(операции!$V:$V,операции!$T:$T,"&lt;"&amp;S$8,операции!$X:$X,"",операции!$AB:$AB,"&lt;&gt;"&amp;"",операции!$AB:$AB,"&lt;"&amp;S$8)+SUMIFS(операции!$V:$V,операции!$T:$T,"&lt;"&amp;S$8,операции!$X:$X,"&gt;="&amp;S$8,операции!$AB:$AB,"&lt;&gt;"&amp;"",операции!$AB:$AB,"&lt;"&amp;S$8)</f>
        <v>990146.43999999971</v>
      </c>
      <c r="T16" s="170">
        <f>S16-U16-V16</f>
        <v>0</v>
      </c>
      <c r="U16" s="169">
        <f>SUMIFS(операции!$V:$V,операции!$T:$T,"&lt;"&amp;S$8,операции!$X:$X,"",операции!$AB:$AB,"&lt;&gt;"&amp;"",операции!$AB:$AB,"&lt;"&amp;S$8,операции!$L:$L,U$9)+SUMIFS(операции!$V:$V,операции!$T:$T,"&lt;"&amp;S$8,операции!$X:$X,"&gt;="&amp;S$8,операции!$AB:$AB,"&lt;&gt;"&amp;"",операции!$AB:$AB,"&lt;"&amp;S$8,операции!$L:$L,U$9)</f>
        <v>990146.43999999971</v>
      </c>
      <c r="V16" s="243">
        <f>SUMIFS(операции!$V:$V,операции!$T:$T,"&lt;"&amp;S$8,операции!$X:$X,"",операции!$AB:$AB,"&lt;&gt;"&amp;"",операции!$AB:$AB,"&lt;"&amp;S$8,операции!$L:$L,V$9)+SUMIFS(операции!$V:$V,операции!$T:$T,"&lt;"&amp;S$8,операции!$X:$X,"&gt;="&amp;S$8,операции!$AB:$AB,"&lt;&gt;"&amp;"",операции!$AB:$AB,"&lt;"&amp;S$8,операции!$L:$L,V$9)</f>
        <v>0</v>
      </c>
      <c r="W16" s="244"/>
      <c r="X16" s="169">
        <f>SUMIFS(операции!$V:$V,операции!$T:$T,"&lt;"&amp;X$8,операции!$X:$X,"",операции!$AB:$AB,"&lt;&gt;"&amp;"",операции!$AB:$AB,"&lt;"&amp;X$8)+SUMIFS(операции!$V:$V,операции!$T:$T,"&lt;"&amp;X$8,операции!$X:$X,"&gt;="&amp;X$8,операции!$AB:$AB,"&lt;&gt;"&amp;"",операции!$AB:$AB,"&lt;"&amp;X$8)</f>
        <v>705140.15000000026</v>
      </c>
      <c r="Y16" s="170">
        <f>X16-Z16-AA16</f>
        <v>0</v>
      </c>
      <c r="Z16" s="169">
        <f>SUMIFS(операции!$V:$V,операции!$T:$T,"&lt;"&amp;X$8,операции!$X:$X,"",операции!$AB:$AB,"&lt;&gt;"&amp;"",операции!$AB:$AB,"&lt;"&amp;X$8,операции!$L:$L,Z$9)+SUMIFS(операции!$V:$V,операции!$T:$T,"&lt;"&amp;X$8,операции!$X:$X,"&gt;="&amp;X$8,операции!$AB:$AB,"&lt;&gt;"&amp;"",операции!$AB:$AB,"&lt;"&amp;X$8,операции!$L:$L,Z$9)</f>
        <v>705140.15000000026</v>
      </c>
      <c r="AA16" s="243">
        <f>SUMIFS(операции!$V:$V,операции!$T:$T,"&lt;"&amp;X$8,операции!$X:$X,"",операции!$AB:$AB,"&lt;&gt;"&amp;"",операции!$AB:$AB,"&lt;"&amp;X$8,операции!$L:$L,AA$9)+SUMIFS(операции!$V:$V,операции!$T:$T,"&lt;"&amp;X$8,операции!$X:$X,"&gt;="&amp;X$8,операции!$AB:$AB,"&lt;&gt;"&amp;"",операции!$AB:$AB,"&lt;"&amp;X$8,операции!$L:$L,AA$9)</f>
        <v>0</v>
      </c>
      <c r="AB16" s="266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s="192" customFormat="1" ht="11.25">
      <c r="A17" s="37"/>
      <c r="B17" s="37"/>
      <c r="C17" s="37"/>
      <c r="D17" s="191"/>
      <c r="E17" s="191" t="s">
        <v>255</v>
      </c>
      <c r="F17" s="191" t="s">
        <v>214</v>
      </c>
      <c r="G17" s="191" t="s">
        <v>262</v>
      </c>
      <c r="H17" s="315"/>
      <c r="I17" s="316">
        <f>IF(I16=0,0,(SUMIFS(операции!$AF:$AF,операции!$T:$T,"&lt;"&amp;I$8,операции!$X:$X,"",операции!$AB:$AB,"&lt;&gt;"&amp;"",операции!$AB:$AB,"&lt;"&amp;I$8)+SUMIFS(операции!$AF:$AF,операции!$T:$T,"&lt;"&amp;I$8,операции!$X:$X,"&gt;="&amp;I$8,операции!$AB:$AB,"&lt;&gt;"&amp;"",операции!$AB:$AB,"&lt;"&amp;I$8))/I16)</f>
        <v>42167.276983580792</v>
      </c>
      <c r="J17" s="317"/>
      <c r="K17" s="316">
        <f>IF(K16=0,0,(SUMIFS(операции!$AF:$AF,операции!$T:$T,"&lt;"&amp;I$8,операции!$X:$X,"",операции!$AB:$AB,"&lt;&gt;"&amp;"",операции!$AB:$AB,"&lt;"&amp;I$8,операции!$L:$L,K$9)+SUMIFS(операции!$AF:$AF,операции!$T:$T,"&lt;"&amp;I$8,операции!$X:$X,"&gt;="&amp;I$8,операции!$AB:$AB,"&lt;&gt;"&amp;"",операции!$AB:$AB,"&lt;"&amp;I$8,операции!$L:$L,K$9))/K16)</f>
        <v>42167.276983580792</v>
      </c>
      <c r="L17" s="318">
        <f>IF(L16=0,0,(SUMIFS(операции!$AF:$AF,операции!$T:$T,"&lt;"&amp;I$8,операции!$X:$X,"",операции!$AB:$AB,"&lt;&gt;"&amp;"",операции!$AB:$AB,"&lt;"&amp;I$8,операции!$L:$L,L$9)+SUMIFS(операции!$AF:$AF,операции!$T:$T,"&lt;"&amp;I$8,операции!$X:$X,"&gt;="&amp;I$8,операции!$AB:$AB,"&lt;&gt;"&amp;"",операции!$AB:$AB,"&lt;"&amp;I$8,операции!$L:$L,L$9))/L16)</f>
        <v>0</v>
      </c>
      <c r="M17" s="274"/>
      <c r="N17" s="193">
        <f>IF(N16=0,0,(SUMIFS(операции!$AF:$AF,операции!$T:$T,"&lt;"&amp;N$8,операции!$X:$X,"",операции!$AB:$AB,"&lt;&gt;"&amp;"",операции!$AB:$AB,"&lt;"&amp;N$8)+SUMIFS(операции!$AF:$AF,операции!$T:$T,"&lt;"&amp;N$8,операции!$X:$X,"&gt;="&amp;N$8,операции!$AB:$AB,"&lt;&gt;"&amp;"",операции!$AB:$AB,"&lt;"&amp;N$8))/N16)</f>
        <v>42167.276983580792</v>
      </c>
      <c r="O17" s="196"/>
      <c r="P17" s="193">
        <f>IF(P16=0,0,(SUMIFS(операции!$AF:$AF,операции!$T:$T,"&lt;"&amp;N$8,операции!$X:$X,"",операции!$AB:$AB,"&lt;&gt;"&amp;"",операции!$AB:$AB,"&lt;"&amp;N$8,операции!$L:$L,P$9)+SUMIFS(операции!$AF:$AF,операции!$T:$T,"&lt;"&amp;N$8,операции!$X:$X,"&gt;="&amp;N$8,операции!$AB:$AB,"&lt;&gt;"&amp;"",операции!$AB:$AB,"&lt;"&amp;N$8,операции!$L:$L,P$9))/P16)</f>
        <v>42167.276983580792</v>
      </c>
      <c r="Q17" s="237">
        <f>IF(Q16=0,0,(SUMIFS(операции!$AF:$AF,операции!$T:$T,"&lt;"&amp;N$8,операции!$X:$X,"",операции!$AB:$AB,"&lt;&gt;"&amp;"",операции!$AB:$AB,"&lt;"&amp;N$8,операции!$L:$L,Q$9)+SUMIFS(операции!$AF:$AF,операции!$T:$T,"&lt;"&amp;N$8,операции!$X:$X,"&gt;="&amp;N$8,операции!$AB:$AB,"&lt;&gt;"&amp;"",операции!$AB:$AB,"&lt;"&amp;N$8,операции!$L:$L,Q$9))/Q16)</f>
        <v>0</v>
      </c>
      <c r="R17" s="238"/>
      <c r="S17" s="193">
        <f>IF(S16=0,0,(SUMIFS(операции!$AF:$AF,операции!$T:$T,"&lt;"&amp;S$8,операции!$X:$X,"",операции!$AB:$AB,"&lt;&gt;"&amp;"",операции!$AB:$AB,"&lt;"&amp;S$8)+SUMIFS(операции!$AF:$AF,операции!$T:$T,"&lt;"&amp;S$8,операции!$X:$X,"&gt;="&amp;S$8,операции!$AB:$AB,"&lt;&gt;"&amp;"",операции!$AB:$AB,"&lt;"&amp;S$8))/S16)</f>
        <v>42191.153290386021</v>
      </c>
      <c r="T17" s="196"/>
      <c r="U17" s="193">
        <f>IF(U16=0,0,(SUMIFS(операции!$AF:$AF,операции!$T:$T,"&lt;"&amp;S$8,операции!$X:$X,"",операции!$AB:$AB,"&lt;&gt;"&amp;"",операции!$AB:$AB,"&lt;"&amp;S$8,операции!$L:$L,U$9)+SUMIFS(операции!$AF:$AF,операции!$T:$T,"&lt;"&amp;S$8,операции!$X:$X,"&gt;="&amp;S$8,операции!$AB:$AB,"&lt;&gt;"&amp;"",операции!$AB:$AB,"&lt;"&amp;S$8,операции!$L:$L,U$9))/U16)</f>
        <v>42191.153290386021</v>
      </c>
      <c r="V17" s="237">
        <f>IF(V16=0,0,(SUMIFS(операции!$AF:$AF,операции!$T:$T,"&lt;"&amp;S$8,операции!$X:$X,"",операции!$AB:$AB,"&lt;&gt;"&amp;"",операции!$AB:$AB,"&lt;"&amp;S$8,операции!$L:$L,V$9)+SUMIFS(операции!$AF:$AF,операции!$T:$T,"&lt;"&amp;S$8,операции!$X:$X,"&gt;="&amp;S$8,операции!$AB:$AB,"&lt;&gt;"&amp;"",операции!$AB:$AB,"&lt;"&amp;S$8,операции!$L:$L,V$9))/V16)</f>
        <v>0</v>
      </c>
      <c r="W17" s="238"/>
      <c r="X17" s="193">
        <f>IF(X16=0,0,(SUMIFS(операции!$AF:$AF,операции!$T:$T,"&lt;"&amp;X$8,операции!$X:$X,"",операции!$AB:$AB,"&lt;&gt;"&amp;"",операции!$AB:$AB,"&lt;"&amp;X$8)+SUMIFS(операции!$AF:$AF,операции!$T:$T,"&lt;"&amp;X$8,операции!$X:$X,"&gt;="&amp;X$8,операции!$AB:$AB,"&lt;&gt;"&amp;"",операции!$AB:$AB,"&lt;"&amp;X$8))/X16)</f>
        <v>42202.154134550394</v>
      </c>
      <c r="Y17" s="196"/>
      <c r="Z17" s="193">
        <f>IF(Z16=0,0,(SUMIFS(операции!$AF:$AF,операции!$T:$T,"&lt;"&amp;X$8,операции!$X:$X,"",операции!$AB:$AB,"&lt;&gt;"&amp;"",операции!$AB:$AB,"&lt;"&amp;X$8,операции!$L:$L,Z$9)+SUMIFS(операции!$AF:$AF,операции!$T:$T,"&lt;"&amp;X$8,операции!$X:$X,"&gt;="&amp;X$8,операции!$AB:$AB,"&lt;&gt;"&amp;"",операции!$AB:$AB,"&lt;"&amp;X$8,операции!$L:$L,Z$9))/Z16)</f>
        <v>42202.154134550394</v>
      </c>
      <c r="AA17" s="237">
        <f>IF(AA16=0,0,(SUMIFS(операции!$AF:$AF,операции!$T:$T,"&lt;"&amp;X$8,операции!$X:$X,"",операции!$AB:$AB,"&lt;&gt;"&amp;"",операции!$AB:$AB,"&lt;"&amp;X$8,операции!$L:$L,AA$9)+SUMIFS(операции!$AF:$AF,операции!$T:$T,"&lt;"&amp;X$8,операции!$X:$X,"&gt;="&amp;X$8,операции!$AB:$AB,"&lt;&gt;"&amp;"",операции!$AB:$AB,"&lt;"&amp;X$8,операции!$L:$L,AA$9))/AA16)</f>
        <v>0</v>
      </c>
      <c r="AB17" s="265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</row>
    <row r="18" spans="1:42" s="192" customFormat="1" ht="11.25">
      <c r="A18" s="37"/>
      <c r="B18" s="37"/>
      <c r="C18" s="37"/>
      <c r="D18" s="191"/>
      <c r="E18" s="191" t="s">
        <v>260</v>
      </c>
      <c r="F18" s="191" t="s">
        <v>214</v>
      </c>
      <c r="G18" s="191" t="s">
        <v>219</v>
      </c>
      <c r="H18" s="315"/>
      <c r="I18" s="329">
        <f>IF(I16=0,0,I$8-I17)</f>
        <v>110.72301641920785</v>
      </c>
      <c r="J18" s="317"/>
      <c r="K18" s="329">
        <f>IF(K16=0,0,I$8-K17)</f>
        <v>110.72301641920785</v>
      </c>
      <c r="L18" s="330">
        <f>IF(L16=0,0,I$8-L17)</f>
        <v>0</v>
      </c>
      <c r="M18" s="274"/>
      <c r="N18" s="156">
        <f>IF(N16=0,0,N$8-N17)</f>
        <v>110.72301641920785</v>
      </c>
      <c r="O18" s="196"/>
      <c r="P18" s="156">
        <f>IF(P16=0,0,N$8-P17)</f>
        <v>110.72301641920785</v>
      </c>
      <c r="Q18" s="245">
        <f>IF(Q16=0,0,N$8-Q17)</f>
        <v>0</v>
      </c>
      <c r="R18" s="238"/>
      <c r="S18" s="156">
        <f>IF(S16=0,0,S$8-S17)</f>
        <v>117.84670961397933</v>
      </c>
      <c r="T18" s="196"/>
      <c r="U18" s="156">
        <f>IF(U16=0,0,S$8-U17)</f>
        <v>117.84670961397933</v>
      </c>
      <c r="V18" s="245">
        <f>IF(V16=0,0,S$8-V17)</f>
        <v>0</v>
      </c>
      <c r="W18" s="238"/>
      <c r="X18" s="156">
        <f>IF(X16=0,0,X$8-X17)</f>
        <v>136.84586544960621</v>
      </c>
      <c r="Y18" s="196"/>
      <c r="Z18" s="156">
        <f>IF(Z16=0,0,X$8-Z17)</f>
        <v>136.84586544960621</v>
      </c>
      <c r="AA18" s="245">
        <f>IF(AA16=0,0,X$8-AA17)</f>
        <v>0</v>
      </c>
      <c r="AB18" s="265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</row>
    <row r="19" spans="1:42" s="192" customFormat="1" ht="11.25">
      <c r="A19" s="37"/>
      <c r="B19" s="37"/>
      <c r="C19" s="37"/>
      <c r="D19" s="191"/>
      <c r="E19" s="191" t="s">
        <v>259</v>
      </c>
      <c r="F19" s="191" t="s">
        <v>214</v>
      </c>
      <c r="G19" s="191" t="s">
        <v>262</v>
      </c>
      <c r="H19" s="315"/>
      <c r="I19" s="316">
        <f>IF(I16=0,0,(SUMIFS(операции!$AH:$AH,операции!$T:$T,"&lt;"&amp;I$8,операции!$X:$X,"",операции!$AB:$AB,"&lt;&gt;"&amp;"",операции!$AB:$AB,"&lt;"&amp;I$8)+SUMIFS(операции!$AH:$AH,операции!$T:$T,"&lt;"&amp;I$8,операции!$X:$X,"&gt;="&amp;I$8,операции!$AB:$AB,"&lt;&gt;"&amp;"",операции!$AB:$AB,"&lt;"&amp;I$8))/I16)</f>
        <v>42192.57562070393</v>
      </c>
      <c r="J19" s="317"/>
      <c r="K19" s="316">
        <f>IF(K16=0,0,(SUMIFS(операции!$AH:$AH,операции!$T:$T,"&lt;"&amp;I$8,операции!$X:$X,"",операции!$AB:$AB,"&lt;&gt;"&amp;"",операции!$AB:$AB,"&lt;"&amp;I$8,операции!$L:$L,K$9)+SUMIFS(операции!$AH:$AH,операции!$T:$T,"&lt;"&amp;I$8,операции!$X:$X,"&gt;="&amp;I$8,операции!$AB:$AB,"&lt;&gt;"&amp;"",операции!$AB:$AB,"&lt;"&amp;I$8,операции!$L:$L,K$9))/K16)</f>
        <v>42192.57562070393</v>
      </c>
      <c r="L19" s="318">
        <f>IF(L16=0,0,(SUMIFS(операции!$AH:$AH,операции!$T:$T,"&lt;"&amp;I$8,операции!$X:$X,"",операции!$AB:$AB,"&lt;&gt;"&amp;"",операции!$AB:$AB,"&lt;"&amp;I$8,операции!$L:$L,L$9)+SUMIFS(операции!$AH:$AH,операции!$T:$T,"&lt;"&amp;I$8,операции!$X:$X,"&gt;="&amp;I$8,операции!$AB:$AB,"&lt;&gt;"&amp;"",операции!$AB:$AB,"&lt;"&amp;I$8,операции!$L:$L,L$9))/L16)</f>
        <v>0</v>
      </c>
      <c r="M19" s="274"/>
      <c r="N19" s="193">
        <f>IF(N16=0,0,(SUMIFS(операции!$AH:$AH,операции!$T:$T,"&lt;"&amp;N$8,операции!$X:$X,"",операции!$AB:$AB,"&lt;&gt;"&amp;"",операции!$AB:$AB,"&lt;"&amp;N$8)+SUMIFS(операции!$AH:$AH,операции!$T:$T,"&lt;"&amp;N$8,операции!$X:$X,"&gt;="&amp;N$8,операции!$AB:$AB,"&lt;&gt;"&amp;"",операции!$AB:$AB,"&lt;"&amp;N$8))/N16)</f>
        <v>42192.57562070393</v>
      </c>
      <c r="O19" s="196"/>
      <c r="P19" s="193">
        <f>IF(P16=0,0,(SUMIFS(операции!$AH:$AH,операции!$T:$T,"&lt;"&amp;N$8,операции!$X:$X,"",операции!$AB:$AB,"&lt;&gt;"&amp;"",операции!$AB:$AB,"&lt;"&amp;N$8,операции!$L:$L,P$9)+SUMIFS(операции!$AH:$AH,операции!$T:$T,"&lt;"&amp;N$8,операции!$X:$X,"&gt;="&amp;N$8,операции!$AB:$AB,"&lt;&gt;"&amp;"",операции!$AB:$AB,"&lt;"&amp;N$8,операции!$L:$L,P$9))/P16)</f>
        <v>42192.57562070393</v>
      </c>
      <c r="Q19" s="237">
        <f>IF(Q16=0,0,(SUMIFS(операции!$AH:$AH,операции!$T:$T,"&lt;"&amp;N$8,операции!$X:$X,"",операции!$AB:$AB,"&lt;&gt;"&amp;"",операции!$AB:$AB,"&lt;"&amp;N$8,операции!$L:$L,Q$9)+SUMIFS(операции!$AH:$AH,операции!$T:$T,"&lt;"&amp;N$8,операции!$X:$X,"&gt;="&amp;N$8,операции!$AB:$AB,"&lt;&gt;"&amp;"",операции!$AB:$AB,"&lt;"&amp;N$8,операции!$L:$L,Q$9))/Q16)</f>
        <v>0</v>
      </c>
      <c r="R19" s="238"/>
      <c r="S19" s="193">
        <f>IF(S16=0,0,(SUMIFS(операции!$AH:$AH,операции!$T:$T,"&lt;"&amp;S$8,операции!$X:$X,"",операции!$AB:$AB,"&lt;&gt;"&amp;"",операции!$AB:$AB,"&lt;"&amp;S$8)+SUMIFS(операции!$AH:$AH,операции!$T:$T,"&lt;"&amp;S$8,операции!$X:$X,"&gt;="&amp;S$8,операции!$AB:$AB,"&lt;&gt;"&amp;"",операции!$AB:$AB,"&lt;"&amp;S$8))/S16)</f>
        <v>42218.451599886612</v>
      </c>
      <c r="T19" s="196"/>
      <c r="U19" s="193">
        <f>IF(U16=0,0,(SUMIFS(операции!$AH:$AH,операции!$T:$T,"&lt;"&amp;S$8,операции!$X:$X,"",операции!$AB:$AB,"&lt;&gt;"&amp;"",операции!$AB:$AB,"&lt;"&amp;S$8,операции!$L:$L,U$9)+SUMIFS(операции!$AH:$AH,операции!$T:$T,"&lt;"&amp;S$8,операции!$X:$X,"&gt;="&amp;S$8,операции!$AB:$AB,"&lt;&gt;"&amp;"",операции!$AB:$AB,"&lt;"&amp;S$8,операции!$L:$L,U$9))/U16)</f>
        <v>42218.451599886612</v>
      </c>
      <c r="V19" s="237">
        <f>IF(V16=0,0,(SUMIFS(операции!$AH:$AH,операции!$T:$T,"&lt;"&amp;S$8,операции!$X:$X,"",операции!$AB:$AB,"&lt;&gt;"&amp;"",операции!$AB:$AB,"&lt;"&amp;S$8,операции!$L:$L,V$9)+SUMIFS(операции!$AH:$AH,операции!$T:$T,"&lt;"&amp;S$8,операции!$X:$X,"&gt;="&amp;S$8,операции!$AB:$AB,"&lt;&gt;"&amp;"",операции!$AB:$AB,"&lt;"&amp;S$8,операции!$L:$L,V$9))/V16)</f>
        <v>0</v>
      </c>
      <c r="W19" s="238"/>
      <c r="X19" s="193">
        <f>IF(X16=0,0,(SUMIFS(операции!$AH:$AH,операции!$T:$T,"&lt;"&amp;X$8,операции!$X:$X,"",операции!$AB:$AB,"&lt;&gt;"&amp;"",операции!$AB:$AB,"&lt;"&amp;X$8)+SUMIFS(операции!$AH:$AH,операции!$T:$T,"&lt;"&amp;X$8,операции!$X:$X,"&gt;="&amp;X$8,операции!$AB:$AB,"&lt;&gt;"&amp;"",операции!$AB:$AB,"&lt;"&amp;X$8))/X16)</f>
        <v>42229.6548592787</v>
      </c>
      <c r="Y19" s="196"/>
      <c r="Z19" s="193">
        <f>IF(Z16=0,0,(SUMIFS(операции!$AH:$AH,операции!$T:$T,"&lt;"&amp;X$8,операции!$X:$X,"",операции!$AB:$AB,"&lt;&gt;"&amp;"",операции!$AB:$AB,"&lt;"&amp;X$8,операции!$L:$L,Z$9)+SUMIFS(операции!$AH:$AH,операции!$T:$T,"&lt;"&amp;X$8,операции!$X:$X,"&gt;="&amp;X$8,операции!$AB:$AB,"&lt;&gt;"&amp;"",операции!$AB:$AB,"&lt;"&amp;X$8,операции!$L:$L,Z$9))/Z16)</f>
        <v>42229.6548592787</v>
      </c>
      <c r="AA19" s="237">
        <f>IF(AA16=0,0,(SUMIFS(операции!$AH:$AH,операции!$T:$T,"&lt;"&amp;X$8,операции!$X:$X,"",операции!$AB:$AB,"&lt;&gt;"&amp;"",операции!$AB:$AB,"&lt;"&amp;X$8,операции!$L:$L,AA$9)+SUMIFS(операции!$AH:$AH,операции!$T:$T,"&lt;"&amp;X$8,операции!$X:$X,"&gt;="&amp;X$8,операции!$AB:$AB,"&lt;&gt;"&amp;"",операции!$AB:$AB,"&lt;"&amp;X$8,операции!$L:$L,AA$9))/AA16)</f>
        <v>0</v>
      </c>
      <c r="AB19" s="265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</row>
    <row r="20" spans="1:42" s="192" customFormat="1" ht="11.25">
      <c r="A20" s="37"/>
      <c r="B20" s="37"/>
      <c r="C20" s="37"/>
      <c r="D20" s="191"/>
      <c r="E20" s="191" t="s">
        <v>265</v>
      </c>
      <c r="F20" s="191" t="s">
        <v>214</v>
      </c>
      <c r="G20" s="191" t="s">
        <v>219</v>
      </c>
      <c r="H20" s="315"/>
      <c r="I20" s="329">
        <f>I19-I17</f>
        <v>25.298637123138178</v>
      </c>
      <c r="J20" s="317"/>
      <c r="K20" s="329">
        <f t="shared" ref="K20" si="11">K19-K17</f>
        <v>25.298637123138178</v>
      </c>
      <c r="L20" s="330">
        <f>L19-L17</f>
        <v>0</v>
      </c>
      <c r="M20" s="274"/>
      <c r="N20" s="156">
        <f>N19-N17</f>
        <v>25.298637123138178</v>
      </c>
      <c r="O20" s="196"/>
      <c r="P20" s="156">
        <f t="shared" ref="P20" si="12">P19-P17</f>
        <v>25.298637123138178</v>
      </c>
      <c r="Q20" s="245">
        <f>Q19-Q17</f>
        <v>0</v>
      </c>
      <c r="R20" s="238"/>
      <c r="S20" s="156">
        <f>S19-S17</f>
        <v>27.298309500591131</v>
      </c>
      <c r="T20" s="196"/>
      <c r="U20" s="156">
        <f t="shared" ref="U20" si="13">U19-U17</f>
        <v>27.298309500591131</v>
      </c>
      <c r="V20" s="245">
        <f>V19-V17</f>
        <v>0</v>
      </c>
      <c r="W20" s="238"/>
      <c r="X20" s="156">
        <f>X19-X17</f>
        <v>27.500724728306523</v>
      </c>
      <c r="Y20" s="196"/>
      <c r="Z20" s="156">
        <f t="shared" ref="Z20" si="14">Z19-Z17</f>
        <v>27.500724728306523</v>
      </c>
      <c r="AA20" s="245">
        <f>AA19-AA17</f>
        <v>0</v>
      </c>
      <c r="AB20" s="265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</row>
    <row r="21" spans="1:42" s="192" customFormat="1" ht="11.25">
      <c r="A21" s="37"/>
      <c r="B21" s="37"/>
      <c r="C21" s="37"/>
      <c r="D21" s="191"/>
      <c r="E21" s="191" t="s">
        <v>268</v>
      </c>
      <c r="F21" s="191" t="s">
        <v>214</v>
      </c>
      <c r="G21" s="191" t="s">
        <v>219</v>
      </c>
      <c r="H21" s="315"/>
      <c r="I21" s="329">
        <f>I18-I20</f>
        <v>85.424379296069674</v>
      </c>
      <c r="J21" s="317"/>
      <c r="K21" s="329">
        <f t="shared" ref="K21:L21" si="15">K18-K20</f>
        <v>85.424379296069674</v>
      </c>
      <c r="L21" s="330">
        <f t="shared" si="15"/>
        <v>0</v>
      </c>
      <c r="M21" s="274"/>
      <c r="N21" s="156">
        <f>N18-N20</f>
        <v>85.424379296069674</v>
      </c>
      <c r="O21" s="196"/>
      <c r="P21" s="156">
        <f t="shared" ref="P21" si="16">P18-P20</f>
        <v>85.424379296069674</v>
      </c>
      <c r="Q21" s="245">
        <f t="shared" ref="Q21" si="17">Q18-Q20</f>
        <v>0</v>
      </c>
      <c r="R21" s="238"/>
      <c r="S21" s="156">
        <f>S18-S20</f>
        <v>90.548400113388197</v>
      </c>
      <c r="T21" s="196"/>
      <c r="U21" s="156">
        <f t="shared" ref="U21" si="18">U18-U20</f>
        <v>90.548400113388197</v>
      </c>
      <c r="V21" s="245">
        <f t="shared" ref="V21" si="19">V18-V20</f>
        <v>0</v>
      </c>
      <c r="W21" s="238"/>
      <c r="X21" s="156">
        <f>X18-X20</f>
        <v>109.34514072129969</v>
      </c>
      <c r="Y21" s="196"/>
      <c r="Z21" s="156">
        <f t="shared" ref="Z21" si="20">Z18-Z20</f>
        <v>109.34514072129969</v>
      </c>
      <c r="AA21" s="245">
        <f t="shared" ref="AA21" si="21">AA18-AA20</f>
        <v>0</v>
      </c>
      <c r="AB21" s="265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</row>
    <row r="22" spans="1:42" s="5" customFormat="1">
      <c r="A22" s="1"/>
      <c r="B22" s="1"/>
      <c r="C22" s="1"/>
      <c r="D22" s="168"/>
      <c r="E22" s="168" t="s">
        <v>276</v>
      </c>
      <c r="F22" s="168" t="s">
        <v>214</v>
      </c>
      <c r="G22" s="168" t="s">
        <v>261</v>
      </c>
      <c r="H22" s="326"/>
      <c r="I22" s="327">
        <f>SUMIFS(операции!$V:$V,операции!$T:$T,"&lt;"&amp;I$8,операции!$X:$X,"",операции!$AB:$AB,"")+SUMIFS(операции!$V:$V,операции!$T:$T,"&lt;"&amp;I$8,операции!$X:$X,"&gt;="&amp;I$8,операции!$AB:$AB,"")+SUMIFS(операции!$V:$V,операции!$T:$T,"&lt;"&amp;I$8,операции!$X:$X,"",операции!$AB:$AB,"&gt;="&amp;I$8)+SUMIFS(операции!$V:$V,операции!$T:$T,"&lt;"&amp;I$8,операции!$X:$X,"&gt;="&amp;I$8,операции!$AB:$AB,"&gt;="&amp;I$8)</f>
        <v>689746.22</v>
      </c>
      <c r="J22" s="313">
        <f>I22-K22-L22</f>
        <v>0</v>
      </c>
      <c r="K22" s="327">
        <f>SUMIFS(операции!$V:$V,операции!$T:$T,"&lt;"&amp;I$8,операции!$X:$X,"",операции!$AB:$AB,"",операции!$L:$L,K$9)+SUMIFS(операции!$V:$V,операции!$T:$T,"&lt;"&amp;I$8,операции!$X:$X,"&gt;="&amp;I$8,операции!$AB:$AB,"",операции!$L:$L,K$9)+SUMIFS(операции!$V:$V,операции!$T:$T,"&lt;"&amp;I$8,операции!$X:$X,"",операции!$AB:$AB,"&gt;="&amp;I$8,операции!$L:$L,K$9)+SUMIFS(операции!$V:$V,операции!$T:$T,"&lt;"&amp;I$8,операции!$X:$X,"&gt;="&amp;I$8,операции!$AB:$AB,"&gt;="&amp;I$8,операции!$L:$L,K$9)</f>
        <v>689746.22</v>
      </c>
      <c r="L22" s="328">
        <f>SUMIFS(операции!$V:$V,операции!$T:$T,"&lt;"&amp;I$8,операции!$X:$X,"",операции!$AB:$AB,"",операции!$L:$L,L$9)+SUMIFS(операции!$V:$V,операции!$T:$T,"&lt;"&amp;I$8,операции!$X:$X,"&gt;="&amp;I$8,операции!$AB:$AB,"",операции!$L:$L,L$9)+SUMIFS(операции!$V:$V,операции!$T:$T,"&lt;"&amp;I$8,операции!$X:$X,"",операции!$AB:$AB,"&gt;="&amp;I$8,операции!$L:$L,L$9)+SUMIFS(операции!$V:$V,операции!$T:$T,"&lt;"&amp;I$8,операции!$X:$X,"&gt;="&amp;I$8,операции!$AB:$AB,"&gt;="&amp;I$8,операции!$L:$L,L$9)</f>
        <v>0</v>
      </c>
      <c r="M22" s="277"/>
      <c r="N22" s="169">
        <f>SUMIFS(операции!$V:$V,операции!$T:$T,"&lt;"&amp;N$8,операции!$X:$X,"",операции!$AB:$AB,"")+SUMIFS(операции!$V:$V,операции!$T:$T,"&lt;"&amp;N$8,операции!$X:$X,"&gt;="&amp;N$8,операции!$AB:$AB,"")+SUMIFS(операции!$V:$V,операции!$T:$T,"&lt;"&amp;N$8,операции!$X:$X,"",операции!$AB:$AB,"&gt;="&amp;N$8)+SUMIFS(операции!$V:$V,операции!$T:$T,"&lt;"&amp;N$8,операции!$X:$X,"&gt;="&amp;N$8,операции!$AB:$AB,"&gt;="&amp;N$8)</f>
        <v>689746.22</v>
      </c>
      <c r="O22" s="170">
        <f>N22-P22-Q22</f>
        <v>0</v>
      </c>
      <c r="P22" s="169">
        <f>SUMIFS(операции!$V:$V,операции!$T:$T,"&lt;"&amp;N$8,операции!$X:$X,"",операции!$AB:$AB,"",операции!$L:$L,P$9)+SUMIFS(операции!$V:$V,операции!$T:$T,"&lt;"&amp;N$8,операции!$X:$X,"&gt;="&amp;N$8,операции!$AB:$AB,"",операции!$L:$L,P$9)+SUMIFS(операции!$V:$V,операции!$T:$T,"&lt;"&amp;N$8,операции!$X:$X,"",операции!$AB:$AB,"&gt;="&amp;N$8,операции!$L:$L,P$9)+SUMIFS(операции!$V:$V,операции!$T:$T,"&lt;"&amp;N$8,операции!$X:$X,"&gt;="&amp;N$8,операции!$AB:$AB,"&gt;="&amp;N$8,операции!$L:$L,P$9)</f>
        <v>689746.22</v>
      </c>
      <c r="Q22" s="243">
        <f>SUMIFS(операции!$V:$V,операции!$T:$T,"&lt;"&amp;N$8,операции!$X:$X,"",операции!$AB:$AB,"",операции!$L:$L,Q$9)+SUMIFS(операции!$V:$V,операции!$T:$T,"&lt;"&amp;N$8,операции!$X:$X,"&gt;="&amp;N$8,операции!$AB:$AB,"",операции!$L:$L,Q$9)+SUMIFS(операции!$V:$V,операции!$T:$T,"&lt;"&amp;N$8,операции!$X:$X,"",операции!$AB:$AB,"&gt;="&amp;N$8,операции!$L:$L,Q$9)+SUMIFS(операции!$V:$V,операции!$T:$T,"&lt;"&amp;N$8,операции!$X:$X,"&gt;="&amp;N$8,операции!$AB:$AB,"&gt;="&amp;N$8,операции!$L:$L,Q$9)</f>
        <v>0</v>
      </c>
      <c r="R22" s="244"/>
      <c r="S22" s="169">
        <f>SUMIFS(операции!$V:$V,операции!$T:$T,"&lt;"&amp;S$8,операции!$X:$X,"",операции!$AB:$AB,"")+SUMIFS(операции!$V:$V,операции!$T:$T,"&lt;"&amp;S$8,операции!$X:$X,"&gt;="&amp;S$8,операции!$AB:$AB,"")+SUMIFS(операции!$V:$V,операции!$T:$T,"&lt;"&amp;S$8,операции!$X:$X,"",операции!$AB:$AB,"&gt;="&amp;S$8)+SUMIFS(операции!$V:$V,операции!$T:$T,"&lt;"&amp;S$8,операции!$X:$X,"&gt;="&amp;S$8,операции!$AB:$AB,"&gt;="&amp;S$8)</f>
        <v>503958.72000000003</v>
      </c>
      <c r="T22" s="170">
        <f>S22-U22-V22</f>
        <v>0</v>
      </c>
      <c r="U22" s="169">
        <f>SUMIFS(операции!$V:$V,операции!$T:$T,"&lt;"&amp;S$8,операции!$X:$X,"",операции!$AB:$AB,"",операции!$L:$L,U$9)+SUMIFS(операции!$V:$V,операции!$T:$T,"&lt;"&amp;S$8,операции!$X:$X,"&gt;="&amp;S$8,операции!$AB:$AB,"",операции!$L:$L,U$9)+SUMIFS(операции!$V:$V,операции!$T:$T,"&lt;"&amp;S$8,операции!$X:$X,"",операции!$AB:$AB,"&gt;="&amp;S$8,операции!$L:$L,U$9)+SUMIFS(операции!$V:$V,операции!$T:$T,"&lt;"&amp;S$8,операции!$X:$X,"&gt;="&amp;S$8,операции!$AB:$AB,"&gt;="&amp;S$8,операции!$L:$L,U$9)</f>
        <v>356978.79</v>
      </c>
      <c r="V22" s="243">
        <f>SUMIFS(операции!$V:$V,операции!$T:$T,"&lt;"&amp;S$8,операции!$X:$X,"",операции!$AB:$AB,"",операции!$L:$L,V$9)+SUMIFS(операции!$V:$V,операции!$T:$T,"&lt;"&amp;S$8,операции!$X:$X,"&gt;="&amp;S$8,операции!$AB:$AB,"",операции!$L:$L,V$9)+SUMIFS(операции!$V:$V,операции!$T:$T,"&lt;"&amp;S$8,операции!$X:$X,"",операции!$AB:$AB,"&gt;="&amp;S$8,операции!$L:$L,V$9)+SUMIFS(операции!$V:$V,операции!$T:$T,"&lt;"&amp;S$8,операции!$X:$X,"&gt;="&amp;S$8,операции!$AB:$AB,"&gt;="&amp;S$8,операции!$L:$L,V$9)</f>
        <v>146979.93</v>
      </c>
      <c r="W22" s="244"/>
      <c r="X22" s="169">
        <f>SUMIFS(операции!$V:$V,операции!$T:$T,"&lt;"&amp;X$8,операции!$X:$X,"",операции!$AB:$AB,"")+SUMIFS(операции!$V:$V,операции!$T:$T,"&lt;"&amp;X$8,операции!$X:$X,"&gt;="&amp;X$8,операции!$AB:$AB,"")+SUMIFS(операции!$V:$V,операции!$T:$T,"&lt;"&amp;X$8,операции!$X:$X,"",операции!$AB:$AB,"&gt;="&amp;X$8)+SUMIFS(операции!$V:$V,операции!$T:$T,"&lt;"&amp;X$8,операции!$X:$X,"&gt;="&amp;X$8,операции!$AB:$AB,"&gt;="&amp;X$8)</f>
        <v>1043361.9200000003</v>
      </c>
      <c r="Y22" s="170">
        <f>X22-Z22-AA22</f>
        <v>0</v>
      </c>
      <c r="Z22" s="169">
        <f>SUMIFS(операции!$V:$V,операции!$T:$T,"&lt;"&amp;X$8,операции!$X:$X,"",операции!$AB:$AB,"",операции!$L:$L,Z$9)+SUMIFS(операции!$V:$V,операции!$T:$T,"&lt;"&amp;X$8,операции!$X:$X,"&gt;="&amp;X$8,операции!$AB:$AB,"",операции!$L:$L,Z$9)+SUMIFS(операции!$V:$V,операции!$T:$T,"&lt;"&amp;X$8,операции!$X:$X,"",операции!$AB:$AB,"&gt;="&amp;X$8,операции!$L:$L,Z$9)+SUMIFS(операции!$V:$V,операции!$T:$T,"&lt;"&amp;X$8,операции!$X:$X,"&gt;="&amp;X$8,операции!$AB:$AB,"&gt;="&amp;X$8,операции!$L:$L,Z$9)</f>
        <v>136076.84</v>
      </c>
      <c r="AA22" s="243">
        <f>SUMIFS(операции!$V:$V,операции!$T:$T,"&lt;"&amp;X$8,операции!$X:$X,"",операции!$AB:$AB,"",операции!$L:$L,AA$9)+SUMIFS(операции!$V:$V,операции!$T:$T,"&lt;"&amp;X$8,операции!$X:$X,"&gt;="&amp;X$8,операции!$AB:$AB,"",операции!$L:$L,AA$9)+SUMIFS(операции!$V:$V,операции!$T:$T,"&lt;"&amp;X$8,операции!$X:$X,"",операции!$AB:$AB,"&gt;="&amp;X$8,операции!$L:$L,AA$9)+SUMIFS(операции!$V:$V,операции!$T:$T,"&lt;"&amp;X$8,операции!$X:$X,"&gt;="&amp;X$8,операции!$AB:$AB,"&gt;="&amp;X$8,операции!$L:$L,AA$9)</f>
        <v>907285.08000000019</v>
      </c>
      <c r="AB22" s="266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s="192" customFormat="1" ht="11.25">
      <c r="A23" s="37"/>
      <c r="B23" s="37"/>
      <c r="C23" s="37"/>
      <c r="D23" s="191"/>
      <c r="E23" s="191" t="s">
        <v>255</v>
      </c>
      <c r="F23" s="191" t="s">
        <v>214</v>
      </c>
      <c r="G23" s="191" t="s">
        <v>262</v>
      </c>
      <c r="H23" s="315"/>
      <c r="I23" s="316">
        <f>IF(I22=0,0,(SUMIFS(операции!$AF:$AF,операции!$T:$T,"&lt;"&amp;I$8,операции!$X:$X,"",операции!$AB:$AB,"")+SUMIFS(операции!$AF:$AF,операции!$T:$T,"&lt;"&amp;I$8,операции!$X:$X,"&gt;="&amp;I$8,операции!$AB:$AB,"")+SUMIFS(операции!$AF:$AF,операции!$T:$T,"&lt;"&amp;I$8,операции!$X:$X,"",операции!$AB:$AB,"&gt;="&amp;I$8)+SUMIFS(операции!$AF:$AF,операции!$T:$T,"&lt;"&amp;I$8,операции!$X:$X,"&gt;="&amp;I$8,операции!$AB:$AB,"&gt;="&amp;I$8))/I22)</f>
        <v>42223.579301761165</v>
      </c>
      <c r="J23" s="317"/>
      <c r="K23" s="316">
        <f>IF(K22=0,0,(SUMIFS(операции!$AF:$AF,операции!$T:$T,"&lt;"&amp;I$8,операции!$X:$X,"",операции!$AB:$AB,"",операции!$L:$L,K$9)+SUMIFS(операции!$AF:$AF,операции!$T:$T,"&lt;"&amp;I$8,операции!$X:$X,"&gt;="&amp;I$8,операции!$AB:$AB,"",операции!$L:$L,K$9)+SUMIFS(операции!$AF:$AF,операции!$T:$T,"&lt;"&amp;I$8,операции!$X:$X,"",операции!$AB:$AB,"&gt;="&amp;I$8,операции!$L:$L,K$9)+SUMIFS(операции!$AF:$AF,операции!$T:$T,"&lt;"&amp;I$8,операции!$X:$X,"&gt;="&amp;I$8,операции!$AB:$AB,"&gt;="&amp;I$8,операции!$L:$L,K$9))/K22)</f>
        <v>42223.579301761165</v>
      </c>
      <c r="L23" s="318">
        <f>IF(L22=0,0,(SUMIFS(операции!$AF:$AF,операции!$T:$T,"&lt;"&amp;I$8,операции!$X:$X,"",операции!$AB:$AB,"",операции!$L:$L,L$9)+SUMIFS(операции!$AF:$AF,операции!$T:$T,"&lt;"&amp;I$8,операции!$X:$X,"&gt;="&amp;I$8,операции!$AB:$AB,"",операции!$L:$L,L$9)+SUMIFS(операции!$AF:$AF,операции!$T:$T,"&lt;"&amp;I$8,операции!$X:$X,"",операции!$AB:$AB,"&gt;="&amp;I$8,операции!$L:$L,L$9)+SUMIFS(операции!$AF:$AF,операции!$T:$T,"&lt;"&amp;I$8,операции!$X:$X,"&gt;="&amp;I$8,операции!$AB:$AB,"&gt;="&amp;I$8,операции!$L:$L,L$9))/L22)</f>
        <v>0</v>
      </c>
      <c r="M23" s="274"/>
      <c r="N23" s="193">
        <f>IF(N22=0,0,(SUMIFS(операции!$AF:$AF,операции!$T:$T,"&lt;"&amp;N$8,операции!$X:$X,"",операции!$AB:$AB,"")+SUMIFS(операции!$AF:$AF,операции!$T:$T,"&lt;"&amp;N$8,операции!$X:$X,"&gt;="&amp;N$8,операции!$AB:$AB,"")+SUMIFS(операции!$AF:$AF,операции!$T:$T,"&lt;"&amp;N$8,операции!$X:$X,"",операции!$AB:$AB,"&gt;="&amp;N$8)+SUMIFS(операции!$AF:$AF,операции!$T:$T,"&lt;"&amp;N$8,операции!$X:$X,"&gt;="&amp;N$8,операции!$AB:$AB,"&gt;="&amp;N$8))/N22)</f>
        <v>42223.579301761165</v>
      </c>
      <c r="O23" s="196"/>
      <c r="P23" s="193">
        <f>IF(P22=0,0,(SUMIFS(операции!$AF:$AF,операции!$T:$T,"&lt;"&amp;N$8,операции!$X:$X,"",операции!$AB:$AB,"",операции!$L:$L,P$9)+SUMIFS(операции!$AF:$AF,операции!$T:$T,"&lt;"&amp;N$8,операции!$X:$X,"&gt;="&amp;N$8,операции!$AB:$AB,"",операции!$L:$L,P$9)+SUMIFS(операции!$AF:$AF,операции!$T:$T,"&lt;"&amp;N$8,операции!$X:$X,"",операции!$AB:$AB,"&gt;="&amp;N$8,операции!$L:$L,P$9)+SUMIFS(операции!$AF:$AF,операции!$T:$T,"&lt;"&amp;N$8,операции!$X:$X,"&gt;="&amp;N$8,операции!$AB:$AB,"&gt;="&amp;N$8,операции!$L:$L,P$9))/P22)</f>
        <v>42223.579301761165</v>
      </c>
      <c r="Q23" s="237">
        <f>IF(Q22=0,0,(SUMIFS(операции!$AF:$AF,операции!$T:$T,"&lt;"&amp;N$8,операции!$X:$X,"",операции!$AB:$AB,"",операции!$L:$L,Q$9)+SUMIFS(операции!$AF:$AF,операции!$T:$T,"&lt;"&amp;N$8,операции!$X:$X,"&gt;="&amp;N$8,операции!$AB:$AB,"",операции!$L:$L,Q$9)+SUMIFS(операции!$AF:$AF,операции!$T:$T,"&lt;"&amp;N$8,операции!$X:$X,"",операции!$AB:$AB,"&gt;="&amp;N$8,операции!$L:$L,Q$9)+SUMIFS(операции!$AF:$AF,операции!$T:$T,"&lt;"&amp;N$8,операции!$X:$X,"&gt;="&amp;N$8,операции!$AB:$AB,"&gt;="&amp;N$8,операции!$L:$L,Q$9))/Q22)</f>
        <v>0</v>
      </c>
      <c r="R23" s="238"/>
      <c r="S23" s="193">
        <f>IF(S22=0,0,(SUMIFS(операции!$AF:$AF,операции!$T:$T,"&lt;"&amp;S$8,операции!$X:$X,"",операции!$AB:$AB,"")+SUMIFS(операции!$AF:$AF,операции!$T:$T,"&lt;"&amp;S$8,операции!$X:$X,"&gt;="&amp;S$8,операции!$AB:$AB,"")+SUMIFS(операции!$AF:$AF,операции!$T:$T,"&lt;"&amp;S$8,операции!$X:$X,"",операции!$AB:$AB,"&gt;="&amp;S$8)+SUMIFS(операции!$AF:$AF,операции!$T:$T,"&lt;"&amp;S$8,операции!$X:$X,"&gt;="&amp;S$8,операции!$AB:$AB,"&gt;="&amp;S$8))/S22)</f>
        <v>42245.501986571442</v>
      </c>
      <c r="T23" s="196"/>
      <c r="U23" s="193">
        <f>IF(U22=0,0,(SUMIFS(операции!$AF:$AF,операции!$T:$T,"&lt;"&amp;S$8,операции!$X:$X,"",операции!$AB:$AB,"",операции!$L:$L,U$9)+SUMIFS(операции!$AF:$AF,операции!$T:$T,"&lt;"&amp;S$8,операции!$X:$X,"&gt;="&amp;S$8,операции!$AB:$AB,"",операции!$L:$L,U$9)+SUMIFS(операции!$AF:$AF,операции!$T:$T,"&lt;"&amp;S$8,операции!$X:$X,"",операции!$AB:$AB,"&gt;="&amp;S$8,операции!$L:$L,U$9)+SUMIFS(операции!$AF:$AF,операции!$T:$T,"&lt;"&amp;S$8,операции!$X:$X,"&gt;="&amp;S$8,операции!$AB:$AB,"&gt;="&amp;S$8,операции!$L:$L,U$9))/U22)</f>
        <v>42220.612009749937</v>
      </c>
      <c r="V23" s="237">
        <f>IF(V22=0,0,(SUMIFS(операции!$AF:$AF,операции!$T:$T,"&lt;"&amp;S$8,операции!$X:$X,"",операции!$AB:$AB,"",операции!$L:$L,V$9)+SUMIFS(операции!$AF:$AF,операции!$T:$T,"&lt;"&amp;S$8,операции!$X:$X,"&gt;="&amp;S$8,операции!$AB:$AB,"",операции!$L:$L,V$9)+SUMIFS(операции!$AF:$AF,операции!$T:$T,"&lt;"&amp;S$8,операции!$X:$X,"",операции!$AB:$AB,"&gt;="&amp;S$8,операции!$L:$L,V$9)+SUMIFS(операции!$AF:$AF,операции!$T:$T,"&lt;"&amp;S$8,операции!$X:$X,"&gt;="&amp;S$8,операции!$AB:$AB,"&gt;="&amp;S$8,операции!$L:$L,V$9))/V22)</f>
        <v>42305.953735384152</v>
      </c>
      <c r="W23" s="238"/>
      <c r="X23" s="193">
        <f>IF(X22=0,0,(SUMIFS(операции!$AF:$AF,операции!$T:$T,"&lt;"&amp;X$8,операции!$X:$X,"",операции!$AB:$AB,"")+SUMIFS(операции!$AF:$AF,операции!$T:$T,"&lt;"&amp;X$8,операции!$X:$X,"&gt;="&amp;X$8,операции!$AB:$AB,"")+SUMIFS(операции!$AF:$AF,операции!$T:$T,"&lt;"&amp;X$8,операции!$X:$X,"",операции!$AB:$AB,"&gt;="&amp;X$8)+SUMIFS(операции!$AF:$AF,операции!$T:$T,"&lt;"&amp;X$8,операции!$X:$X,"&gt;="&amp;X$8,операции!$AB:$AB,"&gt;="&amp;X$8))/X22)</f>
        <v>42316.938397397127</v>
      </c>
      <c r="Y23" s="196"/>
      <c r="Z23" s="193">
        <f>IF(Z22=0,0,(SUMIFS(операции!$AF:$AF,операции!$T:$T,"&lt;"&amp;X$8,операции!$X:$X,"",операции!$AB:$AB,"",операции!$L:$L,Z$9)+SUMIFS(операции!$AF:$AF,операции!$T:$T,"&lt;"&amp;X$8,операции!$X:$X,"&gt;="&amp;X$8,операции!$AB:$AB,"",операции!$L:$L,Z$9)+SUMIFS(операции!$AF:$AF,операции!$T:$T,"&lt;"&amp;X$8,операции!$X:$X,"",операции!$AB:$AB,"&gt;="&amp;X$8,операции!$L:$L,Z$9)+SUMIFS(операции!$AF:$AF,операции!$T:$T,"&lt;"&amp;X$8,операции!$X:$X,"&gt;="&amp;X$8,операции!$AB:$AB,"&gt;="&amp;X$8,операции!$L:$L,Z$9))/Z22)</f>
        <v>42191.209204226085</v>
      </c>
      <c r="AA23" s="237">
        <f>IF(AA22=0,0,(SUMIFS(операции!$AF:$AF,операции!$T:$T,"&lt;"&amp;X$8,операции!$X:$X,"",операции!$AB:$AB,"",операции!$L:$L,AA$9)+SUMIFS(операции!$AF:$AF,операции!$T:$T,"&lt;"&amp;X$8,операции!$X:$X,"&gt;="&amp;X$8,операции!$AB:$AB,"",операции!$L:$L,AA$9)+SUMIFS(операции!$AF:$AF,операции!$T:$T,"&lt;"&amp;X$8,операции!$X:$X,"",операции!$AB:$AB,"&gt;="&amp;X$8,операции!$L:$L,AA$9)+SUMIFS(операции!$AF:$AF,операции!$T:$T,"&lt;"&amp;X$8,операции!$X:$X,"&gt;="&amp;X$8,операции!$AB:$AB,"&gt;="&amp;X$8,операции!$L:$L,AA$9))/AA22)</f>
        <v>42335.795569943672</v>
      </c>
      <c r="AB23" s="265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</row>
    <row r="24" spans="1:42" s="192" customFormat="1" ht="11.25">
      <c r="A24" s="37"/>
      <c r="B24" s="37"/>
      <c r="C24" s="37"/>
      <c r="D24" s="191"/>
      <c r="E24" s="191" t="s">
        <v>263</v>
      </c>
      <c r="F24" s="191" t="s">
        <v>214</v>
      </c>
      <c r="G24" s="191" t="s">
        <v>219</v>
      </c>
      <c r="H24" s="315"/>
      <c r="I24" s="329">
        <f>IF(I22=0,0,I$8-I23)</f>
        <v>54.42069823883503</v>
      </c>
      <c r="J24" s="317"/>
      <c r="K24" s="329">
        <f>IF(K22=0,0,I$8-K23)</f>
        <v>54.42069823883503</v>
      </c>
      <c r="L24" s="330">
        <f>IF(L22=0,0,I$8-L23)</f>
        <v>0</v>
      </c>
      <c r="M24" s="274"/>
      <c r="N24" s="156">
        <f>IF(N22=0,0,N$8-N23)</f>
        <v>54.42069823883503</v>
      </c>
      <c r="O24" s="196"/>
      <c r="P24" s="156">
        <f>IF(P22=0,0,N$8-P23)</f>
        <v>54.42069823883503</v>
      </c>
      <c r="Q24" s="245">
        <f>IF(Q22=0,0,N$8-Q23)</f>
        <v>0</v>
      </c>
      <c r="R24" s="238"/>
      <c r="S24" s="156">
        <f>IF(S22=0,0,S$8-S23)</f>
        <v>63.498013428557897</v>
      </c>
      <c r="T24" s="196"/>
      <c r="U24" s="156">
        <f>IF(U22=0,0,S$8-U23)</f>
        <v>88.387990250063012</v>
      </c>
      <c r="V24" s="245">
        <f>IF(V22=0,0,S$8-V23)</f>
        <v>3.0462646158484858</v>
      </c>
      <c r="W24" s="238"/>
      <c r="X24" s="156">
        <f>IF(X22=0,0,X$8-X23)</f>
        <v>22.061602602872881</v>
      </c>
      <c r="Y24" s="196"/>
      <c r="Z24" s="156">
        <f>IF(Z22=0,0,X$8-Z23)</f>
        <v>147.79079577391531</v>
      </c>
      <c r="AA24" s="245">
        <f>IF(AA22=0,0,X$8-AA23)</f>
        <v>3.2044300563284196</v>
      </c>
      <c r="AB24" s="265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</row>
    <row r="25" spans="1:42" s="192" customFormat="1" ht="11.25">
      <c r="A25" s="37"/>
      <c r="B25" s="37"/>
      <c r="C25" s="37"/>
      <c r="D25" s="191"/>
      <c r="E25" s="191" t="s">
        <v>311</v>
      </c>
      <c r="F25" s="191" t="s">
        <v>214</v>
      </c>
      <c r="G25" s="191" t="s">
        <v>262</v>
      </c>
      <c r="H25" s="315"/>
      <c r="I25" s="316">
        <f>I$8</f>
        <v>42278</v>
      </c>
      <c r="J25" s="317"/>
      <c r="K25" s="316">
        <f>I$8</f>
        <v>42278</v>
      </c>
      <c r="L25" s="318">
        <f>I$8</f>
        <v>42278</v>
      </c>
      <c r="M25" s="274"/>
      <c r="N25" s="193">
        <f>N$8</f>
        <v>42278</v>
      </c>
      <c r="O25" s="196"/>
      <c r="P25" s="193">
        <f>N$8</f>
        <v>42278</v>
      </c>
      <c r="Q25" s="237">
        <f>N$8</f>
        <v>42278</v>
      </c>
      <c r="R25" s="238"/>
      <c r="S25" s="193">
        <f>S$8</f>
        <v>42309</v>
      </c>
      <c r="T25" s="196"/>
      <c r="U25" s="193">
        <f>S$8</f>
        <v>42309</v>
      </c>
      <c r="V25" s="237">
        <f>S$8</f>
        <v>42309</v>
      </c>
      <c r="W25" s="238"/>
      <c r="X25" s="193">
        <f>X$8</f>
        <v>42339</v>
      </c>
      <c r="Y25" s="196"/>
      <c r="Z25" s="193">
        <f>X$8</f>
        <v>42339</v>
      </c>
      <c r="AA25" s="237">
        <f>X$8</f>
        <v>42339</v>
      </c>
      <c r="AB25" s="265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</row>
    <row r="26" spans="1:42" s="192" customFormat="1" ht="11.25">
      <c r="A26" s="37"/>
      <c r="B26" s="37"/>
      <c r="C26" s="37"/>
      <c r="D26" s="191"/>
      <c r="E26" s="191" t="s">
        <v>264</v>
      </c>
      <c r="F26" s="191" t="s">
        <v>214</v>
      </c>
      <c r="G26" s="191" t="s">
        <v>219</v>
      </c>
      <c r="H26" s="315"/>
      <c r="I26" s="329">
        <f>IF(I22=0,0,I25-I23)</f>
        <v>54.42069823883503</v>
      </c>
      <c r="J26" s="317"/>
      <c r="K26" s="329">
        <f>IF(K22=0,0,K25-K23)</f>
        <v>54.42069823883503</v>
      </c>
      <c r="L26" s="330">
        <f>IF(L22=0,0,L25-L23)</f>
        <v>0</v>
      </c>
      <c r="M26" s="274"/>
      <c r="N26" s="156">
        <f>IF(N22=0,0,N25-N23)</f>
        <v>54.42069823883503</v>
      </c>
      <c r="O26" s="196"/>
      <c r="P26" s="156">
        <f>IF(P22=0,0,P25-P23)</f>
        <v>54.42069823883503</v>
      </c>
      <c r="Q26" s="245">
        <f>IF(Q22=0,0,Q25-Q23)</f>
        <v>0</v>
      </c>
      <c r="R26" s="238"/>
      <c r="S26" s="156">
        <f>IF(S22=0,0,S25-S23)</f>
        <v>63.498013428557897</v>
      </c>
      <c r="T26" s="196"/>
      <c r="U26" s="156">
        <f>IF(U22=0,0,U25-U23)</f>
        <v>88.387990250063012</v>
      </c>
      <c r="V26" s="245">
        <f>IF(V22=0,0,V25-V23)</f>
        <v>3.0462646158484858</v>
      </c>
      <c r="W26" s="238"/>
      <c r="X26" s="156">
        <f>IF(X22=0,0,X25-X23)</f>
        <v>22.061602602872881</v>
      </c>
      <c r="Y26" s="196"/>
      <c r="Z26" s="156">
        <f>IF(Z22=0,0,Z25-Z23)</f>
        <v>147.79079577391531</v>
      </c>
      <c r="AA26" s="245">
        <f>IF(AA22=0,0,AA25-AA23)</f>
        <v>3.2044300563284196</v>
      </c>
      <c r="AB26" s="265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</row>
    <row r="27" spans="1:42" s="192" customFormat="1" ht="11.25">
      <c r="A27" s="37"/>
      <c r="B27" s="37"/>
      <c r="C27" s="37"/>
      <c r="D27" s="207"/>
      <c r="E27" s="207" t="s">
        <v>269</v>
      </c>
      <c r="F27" s="207" t="s">
        <v>214</v>
      </c>
      <c r="G27" s="207" t="s">
        <v>219</v>
      </c>
      <c r="H27" s="331"/>
      <c r="I27" s="332">
        <f>I24-I26</f>
        <v>0</v>
      </c>
      <c r="J27" s="333"/>
      <c r="K27" s="332">
        <f t="shared" ref="K27" si="22">K24-K26</f>
        <v>0</v>
      </c>
      <c r="L27" s="334">
        <f>L24-L26</f>
        <v>0</v>
      </c>
      <c r="M27" s="278"/>
      <c r="N27" s="162">
        <f>N24-N26</f>
        <v>0</v>
      </c>
      <c r="O27" s="208"/>
      <c r="P27" s="162">
        <f t="shared" ref="P27" si="23">P24-P26</f>
        <v>0</v>
      </c>
      <c r="Q27" s="246">
        <f>Q24-Q26</f>
        <v>0</v>
      </c>
      <c r="R27" s="247"/>
      <c r="S27" s="162">
        <f>S24-S26</f>
        <v>0</v>
      </c>
      <c r="T27" s="208"/>
      <c r="U27" s="162">
        <f t="shared" ref="U27" si="24">U24-U26</f>
        <v>0</v>
      </c>
      <c r="V27" s="246">
        <f>V24-V26</f>
        <v>0</v>
      </c>
      <c r="W27" s="247"/>
      <c r="X27" s="162">
        <f>X24-X26</f>
        <v>0</v>
      </c>
      <c r="Y27" s="208"/>
      <c r="Z27" s="162">
        <f t="shared" ref="Z27" si="25">Z24-Z26</f>
        <v>0</v>
      </c>
      <c r="AA27" s="246">
        <f>AA24-AA26</f>
        <v>0</v>
      </c>
      <c r="AB27" s="265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</row>
    <row r="28" spans="1:42" s="111" customFormat="1" ht="11.25">
      <c r="A28" s="108"/>
      <c r="B28" s="108"/>
      <c r="C28" s="108" t="s">
        <v>272</v>
      </c>
      <c r="D28" s="109"/>
      <c r="E28" s="109"/>
      <c r="F28" s="109"/>
      <c r="G28" s="109"/>
      <c r="H28" s="307"/>
      <c r="I28" s="308">
        <f>I29-K29-L29</f>
        <v>0</v>
      </c>
      <c r="J28" s="335"/>
      <c r="K28" s="308"/>
      <c r="L28" s="336"/>
      <c r="M28" s="272"/>
      <c r="N28" s="110">
        <f>N29-P29-Q29</f>
        <v>-4.6566128730773926E-10</v>
      </c>
      <c r="O28" s="105"/>
      <c r="P28" s="110"/>
      <c r="Q28" s="248"/>
      <c r="R28" s="234"/>
      <c r="S28" s="110">
        <f>S29-U29-V29</f>
        <v>0</v>
      </c>
      <c r="T28" s="105"/>
      <c r="U28" s="110"/>
      <c r="V28" s="248"/>
      <c r="W28" s="234"/>
      <c r="X28" s="110">
        <f>X29-Z29-AA29</f>
        <v>0</v>
      </c>
      <c r="Y28" s="105"/>
      <c r="Z28" s="110"/>
      <c r="AA28" s="248"/>
      <c r="AB28" s="263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</row>
    <row r="29" spans="1:42" s="5" customFormat="1">
      <c r="A29" s="1"/>
      <c r="B29" s="1"/>
      <c r="C29" s="1"/>
      <c r="D29" s="168" t="s">
        <v>273</v>
      </c>
      <c r="E29" s="168"/>
      <c r="F29" s="168" t="s">
        <v>214</v>
      </c>
      <c r="G29" s="168" t="s">
        <v>261</v>
      </c>
      <c r="H29" s="326"/>
      <c r="I29" s="327">
        <f>SUMIFS(операции!$V:$V,операции!$T:$T,"&gt;="&amp;I$8,операции!$T:$T,"&lt;="&amp;I$9)</f>
        <v>2546716.7900000005</v>
      </c>
      <c r="J29" s="313"/>
      <c r="K29" s="327">
        <f>SUMIFS(операции!$V:$V,операции!$T:$T,"&gt;="&amp;I$8,операции!$T:$T,"&lt;="&amp;I$9,операции!$L:$L,K$9)</f>
        <v>189394.58000000002</v>
      </c>
      <c r="L29" s="328">
        <f>SUMIFS(операции!$V:$V,операции!$T:$T,"&gt;="&amp;I$8,операции!$T:$T,"&lt;="&amp;I$9,операции!$L:$L,L$9)</f>
        <v>2357322.2099999995</v>
      </c>
      <c r="M29" s="277"/>
      <c r="N29" s="169">
        <f>SUMIFS(операции!$V:$V,операции!$T:$T,"&gt;="&amp;N$8,операции!$T:$T,"&lt;="&amp;N$9)</f>
        <v>540148.84999999951</v>
      </c>
      <c r="O29" s="170"/>
      <c r="P29" s="169">
        <f>SUMIFS(операции!$V:$V,операции!$T:$T,"&gt;="&amp;N$8,операции!$T:$T,"&lt;="&amp;N$9,операции!$L:$L,P$9)</f>
        <v>157909.50000000003</v>
      </c>
      <c r="Q29" s="243">
        <f>SUMIFS(операции!$V:$V,операции!$T:$T,"&gt;="&amp;N$8,операции!$T:$T,"&lt;="&amp;N$9,операции!$L:$L,Q$9)</f>
        <v>382239.35</v>
      </c>
      <c r="R29" s="244"/>
      <c r="S29" s="169">
        <f>SUMIFS(операции!$V:$V,операции!$T:$T,"&gt;="&amp;S$8,операции!$T:$T,"&lt;="&amp;S$9)</f>
        <v>1787586.1400000006</v>
      </c>
      <c r="T29" s="170"/>
      <c r="U29" s="169">
        <f>SUMIFS(операции!$V:$V,операции!$T:$T,"&gt;="&amp;S$8,операции!$T:$T,"&lt;="&amp;S$9,операции!$L:$L,U$9)</f>
        <v>31485.080000000005</v>
      </c>
      <c r="V29" s="243">
        <f>SUMIFS(операции!$V:$V,операции!$T:$T,"&gt;="&amp;S$8,операции!$T:$T,"&lt;="&amp;S$9,операции!$L:$L,V$9)</f>
        <v>1756101.0600000003</v>
      </c>
      <c r="W29" s="244"/>
      <c r="X29" s="169">
        <f>SUMIFS(операции!$V:$V,операции!$T:$T,"&gt;="&amp;X$8,операции!$T:$T,"&lt;="&amp;X$9)</f>
        <v>218981.79999999993</v>
      </c>
      <c r="Y29" s="170"/>
      <c r="Z29" s="169">
        <f>SUMIFS(операции!$V:$V,операции!$T:$T,"&gt;="&amp;X$8,операции!$T:$T,"&lt;="&amp;X$9,операции!$L:$L,Z$9)</f>
        <v>0</v>
      </c>
      <c r="AA29" s="243">
        <f>SUMIFS(операции!$V:$V,операции!$T:$T,"&gt;="&amp;X$8,операции!$T:$T,"&lt;="&amp;X$9,операции!$L:$L,AA$9)</f>
        <v>218981.79999999993</v>
      </c>
      <c r="AB29" s="266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s="192" customFormat="1" ht="11.25">
      <c r="A30" s="37"/>
      <c r="B30" s="37"/>
      <c r="C30" s="37"/>
      <c r="D30" s="207" t="s">
        <v>255</v>
      </c>
      <c r="E30" s="207"/>
      <c r="F30" s="207" t="s">
        <v>214</v>
      </c>
      <c r="G30" s="207" t="s">
        <v>262</v>
      </c>
      <c r="H30" s="331"/>
      <c r="I30" s="337">
        <f>IF(I29=0,0,SUMIFS(операции!$AF:$AF,операции!$T:$T,"&gt;="&amp;I$8,операции!$T:$T,"&lt;="&amp;I$9)/I29)</f>
        <v>42325.338012335436</v>
      </c>
      <c r="J30" s="333"/>
      <c r="K30" s="337">
        <f>IF(K29=0,0,SUMIFS(операции!$AF:$AF,операции!$T:$T,"&gt;="&amp;I$8,операции!$T:$T,"&lt;="&amp;I$9,операции!$L:$L,K$9)/K29)</f>
        <v>42293.013544368601</v>
      </c>
      <c r="L30" s="338">
        <f>IF(L29=0,0,SUMIFS(операции!$AF:$AF,операции!$T:$T,"&gt;="&amp;I$8,операции!$T:$T,"&lt;="&amp;I$9,операции!$L:$L,L$9)/L29)</f>
        <v>42327.93506037935</v>
      </c>
      <c r="M30" s="278"/>
      <c r="N30" s="217">
        <f>IF(N29=0,0,SUMIFS(операции!$AF:$AF,операции!$T:$T,"&gt;="&amp;N$8,операции!$T:$T,"&lt;="&amp;N$9)/N29)</f>
        <v>42298.463078223751</v>
      </c>
      <c r="O30" s="208"/>
      <c r="P30" s="217">
        <f>IF(P29=0,0,SUMIFS(операции!$AF:$AF,операции!$T:$T,"&gt;="&amp;N$8,операции!$T:$T,"&lt;="&amp;N$9,операции!$L:$L,P$9)/P29)</f>
        <v>42289.03647297978</v>
      </c>
      <c r="Q30" s="249">
        <f>IF(Q29=0,0,SUMIFS(операции!$AF:$AF,операции!$T:$T,"&gt;="&amp;N$8,операции!$T:$T,"&lt;="&amp;N$9,операции!$L:$L,Q$9)/Q29)</f>
        <v>42302.357367288329</v>
      </c>
      <c r="R30" s="247"/>
      <c r="S30" s="217">
        <f>IF(S29=0,0,SUMIFS(операции!$AF:$AF,операции!$T:$T,"&gt;="&amp;S$8,операции!$T:$T,"&lt;="&amp;S$9)/S29)</f>
        <v>42328.865641523684</v>
      </c>
      <c r="T30" s="208"/>
      <c r="U30" s="217">
        <f>IF(U29=0,0,SUMIFS(операции!$AF:$AF,операции!$T:$T,"&gt;="&amp;S$8,операции!$T:$T,"&lt;="&amp;S$9,операции!$L:$L,U$9)/U29)</f>
        <v>42312.960050919355</v>
      </c>
      <c r="V30" s="249">
        <f>IF(V29=0,0,SUMIFS(операции!$AF:$AF,операции!$T:$T,"&gt;="&amp;S$8,операции!$T:$T,"&lt;="&amp;S$9,операции!$L:$L,V$9)/V29)</f>
        <v>42329.150812351283</v>
      </c>
      <c r="W30" s="247"/>
      <c r="X30" s="217">
        <f>IF(X29=0,0,SUMIFS(операции!$AF:$AF,операции!$T:$T,"&gt;="&amp;X$8,операции!$T:$T,"&lt;="&amp;X$9)/X29)</f>
        <v>42362.832104129215</v>
      </c>
      <c r="Y30" s="208"/>
      <c r="Z30" s="217">
        <f>IF(Z29=0,0,SUMIFS(операции!$AF:$AF,операции!$T:$T,"&gt;="&amp;X$8,операции!$T:$T,"&lt;="&amp;X$9,операции!$L:$L,Z$9)/Z29)</f>
        <v>0</v>
      </c>
      <c r="AA30" s="249">
        <f>IF(AA29=0,0,SUMIFS(операции!$AF:$AF,операции!$T:$T,"&gt;="&amp;X$8,операции!$T:$T,"&lt;="&amp;X$9,операции!$L:$L,AA$9)/AA29)</f>
        <v>42362.832104129215</v>
      </c>
      <c r="AB30" s="265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</row>
    <row r="31" spans="1:42" s="93" customFormat="1" ht="15">
      <c r="A31" s="92"/>
      <c r="B31" s="92"/>
      <c r="C31" s="92"/>
      <c r="D31" s="212" t="s">
        <v>274</v>
      </c>
      <c r="E31" s="212"/>
      <c r="F31" s="212" t="s">
        <v>214</v>
      </c>
      <c r="G31" s="212" t="s">
        <v>261</v>
      </c>
      <c r="H31" s="339"/>
      <c r="I31" s="340">
        <f>SUMIFS(операции!$Z:$Z,операции!$X:$X,"&gt;="&amp;I$8,операции!$X:$X,"&lt;="&amp;I$9)</f>
        <v>3709776</v>
      </c>
      <c r="J31" s="341">
        <f>I31-I43-I53</f>
        <v>0</v>
      </c>
      <c r="K31" s="340">
        <f>SUMIFS(операции!$Z:$Z,операции!$X:$X,"&gt;="&amp;I$8,операции!$X:$X,"&lt;="&amp;I$9,операции!$L:$L,K$9)</f>
        <v>1301874</v>
      </c>
      <c r="L31" s="342">
        <f>SUMIFS(операции!$Z:$Z,операции!$X:$X,"&gt;="&amp;I$8,операции!$X:$X,"&lt;="&amp;I$9,операции!$L:$L,L$9)</f>
        <v>2407902</v>
      </c>
      <c r="M31" s="279"/>
      <c r="N31" s="213">
        <f>SUMIFS(операции!$Z:$Z,операции!$X:$X,"&gt;="&amp;N$8,операции!$X:$X,"&lt;="&amp;N$9)</f>
        <v>775003</v>
      </c>
      <c r="O31" s="216">
        <f>N31-N43-N53</f>
        <v>0</v>
      </c>
      <c r="P31" s="213">
        <f>SUMIFS(операции!$Z:$Z,операции!$X:$X,"&gt;="&amp;N$8,операции!$X:$X,"&lt;="&amp;N$9,операции!$L:$L,P$9)</f>
        <v>500476</v>
      </c>
      <c r="Q31" s="250">
        <f>SUMIFS(операции!$Z:$Z,операции!$X:$X,"&gt;="&amp;N$8,операции!$X:$X,"&lt;="&amp;N$9,операции!$L:$L,Q$9)</f>
        <v>274527</v>
      </c>
      <c r="R31" s="251"/>
      <c r="S31" s="213">
        <f>SUMIFS(операции!$Z:$Z,операции!$X:$X,"&gt;="&amp;S$8,операции!$X:$X,"&lt;="&amp;S$9)</f>
        <v>1774695</v>
      </c>
      <c r="T31" s="216">
        <f>S31-S43-S53</f>
        <v>0</v>
      </c>
      <c r="U31" s="213">
        <f>SUMIFS(операции!$Z:$Z,операции!$X:$X,"&gt;="&amp;S$8,операции!$X:$X,"&lt;="&amp;S$9,операции!$L:$L,U$9)</f>
        <v>629755</v>
      </c>
      <c r="V31" s="250">
        <f>SUMIFS(операции!$Z:$Z,операции!$X:$X,"&gt;="&amp;S$8,операции!$X:$X,"&lt;="&amp;S$9,операции!$L:$L,V$9)</f>
        <v>1144940</v>
      </c>
      <c r="W31" s="251"/>
      <c r="X31" s="213">
        <f>SUMIFS(операции!$Z:$Z,операции!$X:$X,"&gt;="&amp;X$8,операции!$X:$X,"&lt;="&amp;X$9)</f>
        <v>1160078</v>
      </c>
      <c r="Y31" s="216">
        <f>X31-X43-X53</f>
        <v>0</v>
      </c>
      <c r="Z31" s="213">
        <f>SUMIFS(операции!$Z:$Z,операции!$X:$X,"&gt;="&amp;X$8,операции!$X:$X,"&lt;="&amp;X$9,операции!$L:$L,Z$9)</f>
        <v>171643</v>
      </c>
      <c r="AA31" s="250">
        <f>SUMIFS(операции!$Z:$Z,операции!$X:$X,"&gt;="&amp;X$8,операции!$X:$X,"&lt;="&amp;X$9,операции!$L:$L,AA$9)</f>
        <v>988435</v>
      </c>
      <c r="AB31" s="264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</row>
    <row r="32" spans="1:42" s="192" customFormat="1" ht="11.25">
      <c r="A32" s="37"/>
      <c r="B32" s="37"/>
      <c r="C32" s="37"/>
      <c r="D32" s="191" t="s">
        <v>331</v>
      </c>
      <c r="E32" s="191"/>
      <c r="F32" s="191" t="s">
        <v>214</v>
      </c>
      <c r="G32" s="191" t="s">
        <v>262</v>
      </c>
      <c r="H32" s="315"/>
      <c r="I32" s="329">
        <f>SUMIFS(операции!$R:$R,операции!$X:$X,"&gt;="&amp;I$8,операции!$X:$X,"&lt;="&amp;I$9)</f>
        <v>1075</v>
      </c>
      <c r="J32" s="317">
        <f>I32-K32-L32</f>
        <v>0</v>
      </c>
      <c r="K32" s="329">
        <f>SUMIFS(операции!$R:$R,операции!$X:$X,"&gt;="&amp;I$8,операции!$X:$X,"&lt;="&amp;I$9,операции!$L:$L,K$9)</f>
        <v>384</v>
      </c>
      <c r="L32" s="330">
        <f>SUMIFS(операции!$R:$R,операции!$X:$X,"&gt;="&amp;I$8,операции!$X:$X,"&lt;="&amp;I$9,операции!$L:$L,L$9)</f>
        <v>691</v>
      </c>
      <c r="M32" s="402"/>
      <c r="N32" s="156">
        <f>SUMIFS(операции!$R:$R,операции!$X:$X,"&gt;="&amp;N$8,операции!$X:$X,"&lt;="&amp;N$9)</f>
        <v>222</v>
      </c>
      <c r="O32" s="196">
        <f>N32-P32-Q32</f>
        <v>0</v>
      </c>
      <c r="P32" s="156">
        <f>SUMIFS(операции!$R:$R,операции!$X:$X,"&gt;="&amp;N$8,операции!$X:$X,"&lt;="&amp;N$9,операции!$L:$L,P$9)</f>
        <v>124</v>
      </c>
      <c r="Q32" s="245">
        <f>SUMIFS(операции!$R:$R,операции!$X:$X,"&gt;="&amp;N$8,операции!$X:$X,"&lt;="&amp;N$9,операции!$L:$L,Q$9)</f>
        <v>98</v>
      </c>
      <c r="R32" s="403"/>
      <c r="S32" s="156">
        <f>SUMIFS(операции!$R:$R,операции!$X:$X,"&gt;="&amp;S$8,операции!$X:$X,"&lt;="&amp;S$9)</f>
        <v>533</v>
      </c>
      <c r="T32" s="196">
        <f t="shared" ref="T32" si="26">S32-U32-V32</f>
        <v>0</v>
      </c>
      <c r="U32" s="156">
        <f>SUMIFS(операции!$R:$R,операции!$X:$X,"&gt;="&amp;S$8,операции!$X:$X,"&lt;="&amp;S$9,операции!$L:$L,U$9)</f>
        <v>197</v>
      </c>
      <c r="V32" s="245">
        <f>SUMIFS(операции!$R:$R,операции!$X:$X,"&gt;="&amp;S$8,операции!$X:$X,"&lt;="&amp;S$9,операции!$L:$L,V$9)</f>
        <v>336</v>
      </c>
      <c r="W32" s="403"/>
      <c r="X32" s="156">
        <f>SUMIFS(операции!$R:$R,операции!$X:$X,"&gt;="&amp;X$8,операции!$X:$X,"&lt;="&amp;X$9)</f>
        <v>320</v>
      </c>
      <c r="Y32" s="196">
        <f t="shared" ref="Y32" si="27">X32-Z32-AA32</f>
        <v>0</v>
      </c>
      <c r="Z32" s="156">
        <f>SUMIFS(операции!$R:$R,операции!$X:$X,"&gt;="&amp;X$8,операции!$X:$X,"&lt;="&amp;X$9,операции!$L:$L,Z$9)</f>
        <v>63</v>
      </c>
      <c r="AA32" s="245">
        <f>SUMIFS(операции!$R:$R,операции!$X:$X,"&gt;="&amp;X$8,операции!$X:$X,"&lt;="&amp;X$9,операции!$L:$L,AA$9)</f>
        <v>257</v>
      </c>
      <c r="AB32" s="265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</row>
    <row r="33" spans="1:42" s="192" customFormat="1" ht="11.25">
      <c r="A33" s="37"/>
      <c r="B33" s="37"/>
      <c r="C33" s="37"/>
      <c r="D33" s="191" t="s">
        <v>333</v>
      </c>
      <c r="E33" s="191"/>
      <c r="F33" s="191" t="s">
        <v>214</v>
      </c>
      <c r="G33" s="191" t="s">
        <v>262</v>
      </c>
      <c r="H33" s="315"/>
      <c r="I33" s="329">
        <f>IF(I32=0,0,I31/I32)</f>
        <v>3450.954418604651</v>
      </c>
      <c r="J33" s="317"/>
      <c r="K33" s="329">
        <f t="shared" ref="K33:L33" si="28">IF(K32=0,0,K31/K32)</f>
        <v>3390.296875</v>
      </c>
      <c r="L33" s="330">
        <f t="shared" si="28"/>
        <v>3484.6628075253257</v>
      </c>
      <c r="M33" s="402"/>
      <c r="N33" s="156">
        <f>IF(N32=0,0,N31/N32)</f>
        <v>3491.0045045045044</v>
      </c>
      <c r="O33" s="196"/>
      <c r="P33" s="156">
        <f>IF(P32=0,0,P31/P32)</f>
        <v>4036.0967741935483</v>
      </c>
      <c r="Q33" s="245">
        <f>IF(Q32=0,0,Q31/Q32)</f>
        <v>2801.295918367347</v>
      </c>
      <c r="R33" s="403"/>
      <c r="S33" s="156">
        <f>IF(S32=0,0,S31/S32)</f>
        <v>3329.6341463414633</v>
      </c>
      <c r="T33" s="196"/>
      <c r="U33" s="156">
        <f>IF(U32=0,0,U31/U32)</f>
        <v>3196.7258883248733</v>
      </c>
      <c r="V33" s="245">
        <f>IF(V32=0,0,V31/V32)</f>
        <v>3407.5595238095239</v>
      </c>
      <c r="W33" s="403"/>
      <c r="X33" s="156">
        <f>IF(X32=0,0,X31/X32)</f>
        <v>3625.2437500000001</v>
      </c>
      <c r="Y33" s="196"/>
      <c r="Z33" s="156">
        <f>IF(Z32=0,0,Z31/Z32)</f>
        <v>2724.4920634920636</v>
      </c>
      <c r="AA33" s="245">
        <f>IF(AA32=0,0,AA31/AA32)</f>
        <v>3846.0505836575876</v>
      </c>
      <c r="AB33" s="265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</row>
    <row r="34" spans="1:42" s="192" customFormat="1" ht="11.25">
      <c r="A34" s="37"/>
      <c r="B34" s="37"/>
      <c r="C34" s="37"/>
      <c r="D34" s="191" t="s">
        <v>290</v>
      </c>
      <c r="E34" s="191"/>
      <c r="F34" s="191" t="s">
        <v>214</v>
      </c>
      <c r="G34" s="191" t="s">
        <v>262</v>
      </c>
      <c r="H34" s="315"/>
      <c r="I34" s="316">
        <f>IF(I31=0,0,SUMIFS(операции!$AG:$AG,операции!$X:$X,"&gt;="&amp;I$8,операции!$X:$X,"&lt;="&amp;I$9)/I31)</f>
        <v>42326.288989685629</v>
      </c>
      <c r="J34" s="317"/>
      <c r="K34" s="316">
        <f>IF(K31=0,0,SUMIFS(операции!$AG:$AG,операции!$X:$X,"&gt;="&amp;I$8,операции!$X:$X,"&lt;="&amp;I$9,операции!$L:$L,K$9)/K31)</f>
        <v>42318.87515458485</v>
      </c>
      <c r="L34" s="318">
        <f>IF(L31=0,0,SUMIFS(операции!$AG:$AG,операции!$X:$X,"&gt;="&amp;I$8,операции!$X:$X,"&lt;="&amp;I$9,операции!$L:$L,L$9)/L31)</f>
        <v>42330.29740828323</v>
      </c>
      <c r="M34" s="274"/>
      <c r="N34" s="193">
        <f>IF(N31=0,0,SUMIFS(операции!$AG:$AG,операции!$X:$X,"&gt;="&amp;N$8,операции!$X:$X,"&lt;="&amp;N$9)/N31)</f>
        <v>42302.386744309377</v>
      </c>
      <c r="O34" s="196"/>
      <c r="P34" s="193">
        <f>IF(P31=0,0,SUMIFS(операции!$AG:$AG,операции!$X:$X,"&gt;="&amp;N$8,операции!$X:$X,"&lt;="&amp;N$9,операции!$L:$L,P$9)/P31)</f>
        <v>42301.705764112565</v>
      </c>
      <c r="Q34" s="237">
        <f>IF(Q31=0,0,SUMIFS(операции!$AG:$AG,операции!$X:$X,"&gt;="&amp;N$8,операции!$X:$X,"&lt;="&amp;N$9,операции!$L:$L,Q$9)/Q31)</f>
        <v>42303.628204147499</v>
      </c>
      <c r="R34" s="238"/>
      <c r="S34" s="193">
        <f>IF(S31=0,0,SUMIFS(операции!$AG:$AG,операции!$X:$X,"&gt;="&amp;S$8,операции!$X:$X,"&lt;="&amp;S$9)/S31)</f>
        <v>42325.897060621683</v>
      </c>
      <c r="T34" s="196"/>
      <c r="U34" s="193">
        <f>IF(U31=0,0,SUMIFS(операции!$AG:$AG,операции!$X:$X,"&gt;="&amp;S$8,операции!$X:$X,"&lt;="&amp;S$9,операции!$L:$L,U$9)/U31)</f>
        <v>42326.335001707012</v>
      </c>
      <c r="V34" s="237">
        <f>IF(V31=0,0,SUMIFS(операции!$AG:$AG,операции!$X:$X,"&gt;="&amp;S$8,операции!$X:$X,"&lt;="&amp;S$9,операции!$L:$L,V$9)/V31)</f>
        <v>42325.656178489706</v>
      </c>
      <c r="W34" s="238"/>
      <c r="X34" s="193">
        <f>IF(X31=0,0,SUMIFS(операции!$AG:$AG,операции!$X:$X,"&gt;="&amp;X$8,операции!$X:$X,"&lt;="&amp;X$9)/X31)</f>
        <v>42342.856726013248</v>
      </c>
      <c r="Y34" s="196"/>
      <c r="Z34" s="193">
        <f>IF(Z31=0,0,SUMIFS(операции!$AG:$AG,операции!$X:$X,"&gt;="&amp;X$8,операции!$X:$X,"&lt;="&amp;X$9,операции!$L:$L,Z$9)/Z31)</f>
        <v>42341.567555915477</v>
      </c>
      <c r="AA34" s="237">
        <f>IF(AA31=0,0,SUMIFS(операции!$AG:$AG,операции!$X:$X,"&gt;="&amp;X$8,операции!$X:$X,"&lt;="&amp;X$9,операции!$L:$L,AA$9)/AA31)</f>
        <v>42343.080592047023</v>
      </c>
      <c r="AB34" s="265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</row>
    <row r="35" spans="1:42" s="93" customFormat="1" ht="15">
      <c r="A35" s="92"/>
      <c r="B35" s="92"/>
      <c r="C35" s="92"/>
      <c r="D35" s="151" t="s">
        <v>275</v>
      </c>
      <c r="E35" s="151"/>
      <c r="F35" s="151" t="s">
        <v>214</v>
      </c>
      <c r="G35" s="151" t="s">
        <v>261</v>
      </c>
      <c r="H35" s="311"/>
      <c r="I35" s="312">
        <f>SUMIFS(операции!$V:$V,операции!$X:$X,"&gt;="&amp;I$8,операции!$X:$X,"&lt;="&amp;I$9)</f>
        <v>3281881.1100000008</v>
      </c>
      <c r="J35" s="313">
        <f>I35-I45-I55</f>
        <v>1.280568540096283E-9</v>
      </c>
      <c r="K35" s="312">
        <f>SUMIFS(операции!$V:$V,операции!$X:$X,"&gt;="&amp;I$8,операции!$X:$X,"&lt;="&amp;I$9,операции!$L:$L,K$9)</f>
        <v>1143540.6999999997</v>
      </c>
      <c r="L35" s="314">
        <f>SUMIFS(операции!$V:$V,операции!$X:$X,"&gt;="&amp;I$8,операции!$X:$X,"&lt;="&amp;I$9,операции!$L:$L,L$9)</f>
        <v>2138340.4100000006</v>
      </c>
      <c r="M35" s="273"/>
      <c r="N35" s="152">
        <f>SUMIFS(операции!$V:$V,операции!$X:$X,"&gt;="&amp;N$8,операции!$X:$X,"&lt;="&amp;N$9)</f>
        <v>695840.68000000063</v>
      </c>
      <c r="O35" s="170">
        <f>N35-N45-N55</f>
        <v>8.440110832452774E-10</v>
      </c>
      <c r="P35" s="152">
        <f>SUMIFS(операции!$V:$V,операции!$X:$X,"&gt;="&amp;N$8,операции!$X:$X,"&lt;="&amp;N$9,операции!$L:$L,P$9)</f>
        <v>460581.25999999989</v>
      </c>
      <c r="Q35" s="235">
        <f>SUMIFS(операции!$V:$V,операции!$X:$X,"&gt;="&amp;N$8,операции!$X:$X,"&lt;="&amp;N$9,операции!$L:$L,Q$9)</f>
        <v>235259.42000000004</v>
      </c>
      <c r="R35" s="236"/>
      <c r="S35" s="152">
        <f>SUMIFS(операции!$V:$V,операции!$X:$X,"&gt;="&amp;S$8,операции!$X:$X,"&lt;="&amp;S$9)</f>
        <v>1533189.2299999986</v>
      </c>
      <c r="T35" s="170">
        <f>S35-S45-S55</f>
        <v>6.4028427004814148E-10</v>
      </c>
      <c r="U35" s="152">
        <f>SUMIFS(операции!$V:$V,операции!$X:$X,"&gt;="&amp;S$8,операции!$X:$X,"&lt;="&amp;S$9,операции!$L:$L,U$9)</f>
        <v>537393.31999999995</v>
      </c>
      <c r="V35" s="235">
        <f>SUMIFS(операции!$V:$V,операции!$X:$X,"&gt;="&amp;S$8,операции!$X:$X,"&lt;="&amp;S$9,операции!$L:$L,V$9)</f>
        <v>995795.90999999992</v>
      </c>
      <c r="W35" s="236"/>
      <c r="X35" s="152">
        <f>SUMIFS(операции!$V:$V,операции!$X:$X,"&gt;="&amp;X$8,операции!$X:$X,"&lt;="&amp;X$9)</f>
        <v>1052851.199999999</v>
      </c>
      <c r="Y35" s="170">
        <f>X35-X45-X55</f>
        <v>-1.2223608791828156E-9</v>
      </c>
      <c r="Z35" s="152">
        <f>SUMIFS(операции!$V:$V,операции!$X:$X,"&gt;="&amp;X$8,операции!$X:$X,"&lt;="&amp;X$9,операции!$L:$L,Z$9)</f>
        <v>145566.12</v>
      </c>
      <c r="AA35" s="235">
        <f>SUMIFS(операции!$V:$V,операции!$X:$X,"&gt;="&amp;X$8,операции!$X:$X,"&lt;="&amp;X$9,операции!$L:$L,AA$9)</f>
        <v>907285.08</v>
      </c>
      <c r="AB35" s="264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</row>
    <row r="36" spans="1:42" s="192" customFormat="1" ht="11.25">
      <c r="A36" s="37"/>
      <c r="B36" s="37"/>
      <c r="C36" s="37"/>
      <c r="D36" s="191" t="s">
        <v>291</v>
      </c>
      <c r="E36" s="191"/>
      <c r="F36" s="191" t="s">
        <v>214</v>
      </c>
      <c r="G36" s="191" t="s">
        <v>262</v>
      </c>
      <c r="H36" s="315"/>
      <c r="I36" s="316">
        <f>IF(I35=0,0,SUMIFS(операции!$AF:$AF,операции!$X:$X,"&gt;="&amp;I$8,операции!$X:$X,"&lt;="&amp;I$9)/I35)</f>
        <v>42282.118718462661</v>
      </c>
      <c r="J36" s="317"/>
      <c r="K36" s="316">
        <f>IF(K35=0,0,SUMIFS(операции!$AF:$AF,операции!$X:$X,"&gt;="&amp;I$8,операции!$X:$X,"&lt;="&amp;I$9,операции!$L:$L,K$9)/K35)</f>
        <v>42203.127985641455</v>
      </c>
      <c r="L36" s="318">
        <f>IF(L35=0,0,SUMIFS(операции!$AF:$AF,операции!$X:$X,"&gt;="&amp;I$8,операции!$X:$X,"&lt;="&amp;I$9,операции!$L:$L,L$9)/L35)</f>
        <v>42324.361346194601</v>
      </c>
      <c r="M36" s="274"/>
      <c r="N36" s="193">
        <f>IF(N35=0,0,SUMIFS(операции!$AF:$AF,операции!$X:$X,"&gt;="&amp;N$8,операции!$X:$X,"&lt;="&amp;N$9)/N35)</f>
        <v>42234.291054584457</v>
      </c>
      <c r="O36" s="196"/>
      <c r="P36" s="193">
        <f>IF(P35=0,0,SUMIFS(операции!$AF:$AF,операции!$X:$X,"&gt;="&amp;N$8,операции!$X:$X,"&lt;="&amp;N$9,операции!$L:$L,P$9)/P35)</f>
        <v>42200.671260072551</v>
      </c>
      <c r="Q36" s="237">
        <f>IF(Q35=0,0,SUMIFS(операции!$AF:$AF,операции!$X:$X,"&gt;="&amp;N$8,операции!$X:$X,"&lt;="&amp;N$9,операции!$L:$L,Q$9)/Q35)</f>
        <v>42300.11051174911</v>
      </c>
      <c r="R36" s="238"/>
      <c r="S36" s="193">
        <f>IF(S35=0,0,SUMIFS(операции!$AF:$AF,операции!$X:$X,"&gt;="&amp;S$8,операции!$X:$X,"&lt;="&amp;S$9)/S35)</f>
        <v>42278.921753187657</v>
      </c>
      <c r="T36" s="196"/>
      <c r="U36" s="193">
        <f>IF(U35=0,0,SUMIFS(операции!$AF:$AF,операции!$X:$X,"&gt;="&amp;S$8,операции!$X:$X,"&lt;="&amp;S$9,операции!$L:$L,U$9)/U35)</f>
        <v>42203.409654329167</v>
      </c>
      <c r="V36" s="237">
        <f>IF(V35=0,0,SUMIFS(операции!$AF:$AF,операции!$X:$X,"&gt;="&amp;S$8,операции!$X:$X,"&lt;="&amp;S$9,операции!$L:$L,V$9)/V35)</f>
        <v>42319.672771642523</v>
      </c>
      <c r="W36" s="238"/>
      <c r="X36" s="193">
        <f>IF(X35=0,0,SUMIFS(операции!$AF:$AF,операции!$X:$X,"&gt;="&amp;X$8,операции!$X:$X,"&lt;="&amp;X$9)/X35)</f>
        <v>42318.384039606033</v>
      </c>
      <c r="Y36" s="196"/>
      <c r="Z36" s="193">
        <f>IF(Z35=0,0,SUMIFS(операции!$AF:$AF,операции!$X:$X,"&gt;="&amp;X$8,операции!$X:$X,"&lt;="&amp;X$9,операции!$L:$L,Z$9)/Z35)</f>
        <v>42209.861385465258</v>
      </c>
      <c r="AA36" s="237">
        <f>IF(AA35=0,0,SUMIFS(операции!$AF:$AF,операции!$X:$X,"&gt;="&amp;X$8,операции!$X:$X,"&lt;="&amp;X$9,операции!$L:$L,AA$9)/AA35)</f>
        <v>42335.795569943701</v>
      </c>
      <c r="AB36" s="265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</row>
    <row r="37" spans="1:42" s="192" customFormat="1" ht="11.25">
      <c r="A37" s="37"/>
      <c r="B37" s="37"/>
      <c r="C37" s="37"/>
      <c r="D37" s="191" t="s">
        <v>308</v>
      </c>
      <c r="E37" s="191"/>
      <c r="F37" s="191" t="s">
        <v>214</v>
      </c>
      <c r="G37" s="191" t="s">
        <v>262</v>
      </c>
      <c r="H37" s="315"/>
      <c r="I37" s="316">
        <f>IF(I35=0,0,(I45*I47+I55*I57)/I35)</f>
        <v>42322.337334325297</v>
      </c>
      <c r="J37" s="317"/>
      <c r="K37" s="316">
        <f t="shared" ref="K37:L37" si="29">IF(K35=0,0,(K45*K47+K55*K57)/K35)</f>
        <v>42265.047800240121</v>
      </c>
      <c r="L37" s="318">
        <f t="shared" si="29"/>
        <v>42352.974604988172</v>
      </c>
      <c r="M37" s="274"/>
      <c r="N37" s="193">
        <f>IF(N35=0,0,(N45*N47+N55*N57)/N35)</f>
        <v>42272.251295339593</v>
      </c>
      <c r="O37" s="196"/>
      <c r="P37" s="193">
        <f t="shared" ref="P37:Q37" si="30">IF(P35=0,0,(P45*P47+P55*P57)/P35)</f>
        <v>42246.096897581105</v>
      </c>
      <c r="Q37" s="237">
        <f t="shared" si="30"/>
        <v>42323.455304403949</v>
      </c>
      <c r="R37" s="238"/>
      <c r="S37" s="193">
        <f>IF(S35=0,0,(S45*S47+S55*S57)/S35)</f>
        <v>42311.269794205429</v>
      </c>
      <c r="T37" s="196"/>
      <c r="U37" s="193">
        <f t="shared" ref="U37:V37" si="31">IF(U35=0,0,(U45*U47+U55*U57)/U35)</f>
        <v>42256.000228026671</v>
      </c>
      <c r="V37" s="237">
        <f t="shared" si="31"/>
        <v>42341.096684801625</v>
      </c>
      <c r="W37" s="238"/>
      <c r="X37" s="193">
        <f>IF(X35=0,0,(X45*X47+X55*X57)/X35)</f>
        <v>42352.205579867354</v>
      </c>
      <c r="Y37" s="196"/>
      <c r="Z37" s="193">
        <f t="shared" ref="Z37:AA37" si="32">IF(Z35=0,0,(Z45*Z47+Z55*Z57)/Z35)</f>
        <v>42289.392853433201</v>
      </c>
      <c r="AA37" s="237">
        <f t="shared" si="32"/>
        <v>42362.283343819567</v>
      </c>
      <c r="AB37" s="265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</row>
    <row r="38" spans="1:42" s="93" customFormat="1" ht="15">
      <c r="A38" s="92"/>
      <c r="B38" s="92"/>
      <c r="C38" s="92"/>
      <c r="D38" s="151" t="s">
        <v>278</v>
      </c>
      <c r="E38" s="151"/>
      <c r="F38" s="151" t="s">
        <v>214</v>
      </c>
      <c r="G38" s="151" t="s">
        <v>261</v>
      </c>
      <c r="H38" s="311"/>
      <c r="I38" s="312">
        <f>I31-I35</f>
        <v>427894.8899999992</v>
      </c>
      <c r="J38" s="313">
        <f>I38-K38-L38</f>
        <v>-4.6566128730773926E-10</v>
      </c>
      <c r="K38" s="312">
        <f t="shared" ref="K38:L38" si="33">K31-K35</f>
        <v>158333.30000000028</v>
      </c>
      <c r="L38" s="314">
        <f t="shared" si="33"/>
        <v>269561.58999999939</v>
      </c>
      <c r="M38" s="273"/>
      <c r="N38" s="152">
        <f>N31-N35</f>
        <v>79162.319999999367</v>
      </c>
      <c r="O38" s="170">
        <f>N38-P38-Q38</f>
        <v>-6.9849193096160889E-10</v>
      </c>
      <c r="P38" s="152">
        <f t="shared" ref="P38:Q38" si="34">P31-P35</f>
        <v>39894.740000000107</v>
      </c>
      <c r="Q38" s="235">
        <f t="shared" si="34"/>
        <v>39267.579999999958</v>
      </c>
      <c r="R38" s="236"/>
      <c r="S38" s="152">
        <f>S31-S35</f>
        <v>241505.77000000142</v>
      </c>
      <c r="T38" s="170">
        <f>S38-U38-V38</f>
        <v>1.280568540096283E-9</v>
      </c>
      <c r="U38" s="152">
        <f t="shared" ref="U38:V38" si="35">U31-U35</f>
        <v>92361.680000000051</v>
      </c>
      <c r="V38" s="235">
        <f t="shared" si="35"/>
        <v>149144.09000000008</v>
      </c>
      <c r="W38" s="236"/>
      <c r="X38" s="152">
        <f>X31-X35</f>
        <v>107226.80000000098</v>
      </c>
      <c r="Y38" s="170">
        <f>X38-Z38-AA38</f>
        <v>9.3132257461547852E-10</v>
      </c>
      <c r="Z38" s="152">
        <f t="shared" ref="Z38:AA38" si="36">Z31-Z35</f>
        <v>26076.880000000005</v>
      </c>
      <c r="AA38" s="235">
        <f t="shared" si="36"/>
        <v>81149.920000000042</v>
      </c>
      <c r="AB38" s="264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</row>
    <row r="39" spans="1:42" s="211" customFormat="1">
      <c r="A39" s="210"/>
      <c r="B39" s="210"/>
      <c r="C39" s="210"/>
      <c r="D39" s="218" t="s">
        <v>277</v>
      </c>
      <c r="E39" s="218"/>
      <c r="F39" s="218" t="s">
        <v>214</v>
      </c>
      <c r="G39" s="218" t="s">
        <v>218</v>
      </c>
      <c r="H39" s="343"/>
      <c r="I39" s="344">
        <f>IF(I31=0,0,(I38/I31))</f>
        <v>0.11534251394154235</v>
      </c>
      <c r="J39" s="345"/>
      <c r="K39" s="344">
        <f t="shared" ref="K39:L39" si="37">IF(K31=0,0,(K38/K31))</f>
        <v>0.12161952692810539</v>
      </c>
      <c r="L39" s="346">
        <f t="shared" si="37"/>
        <v>0.11194873794697599</v>
      </c>
      <c r="M39" s="280"/>
      <c r="N39" s="219">
        <f>IF(N31=0,0,(N38/N31))</f>
        <v>0.10214453363406253</v>
      </c>
      <c r="O39" s="220"/>
      <c r="P39" s="219">
        <f t="shared" ref="P39" si="38">IF(P31=0,0,(P38/P31))</f>
        <v>7.9713592659788099E-2</v>
      </c>
      <c r="Q39" s="252">
        <f t="shared" ref="Q39" si="39">IF(Q31=0,0,(Q38/Q31))</f>
        <v>0.1430372240253234</v>
      </c>
      <c r="R39" s="253"/>
      <c r="S39" s="219">
        <f>IF(S31=0,0,(S38/S31))</f>
        <v>0.13608297200364086</v>
      </c>
      <c r="T39" s="220"/>
      <c r="U39" s="219">
        <f t="shared" ref="U39" si="40">IF(U31=0,0,(U38/U31))</f>
        <v>0.14666287683305421</v>
      </c>
      <c r="V39" s="252">
        <f t="shared" ref="V39" si="41">IF(V31=0,0,(V38/V31))</f>
        <v>0.13026367320558291</v>
      </c>
      <c r="W39" s="253"/>
      <c r="X39" s="219">
        <f>IF(X31=0,0,(X38/X31))</f>
        <v>9.2430681385218039E-2</v>
      </c>
      <c r="Y39" s="220"/>
      <c r="Z39" s="219">
        <f t="shared" ref="Z39" si="42">IF(Z31=0,0,(Z38/Z31))</f>
        <v>0.15192510035364101</v>
      </c>
      <c r="AA39" s="252">
        <f t="shared" ref="AA39" si="43">IF(AA31=0,0,(AA38/AA31))</f>
        <v>8.2099399555863609E-2</v>
      </c>
      <c r="AB39" s="267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</row>
    <row r="40" spans="1:42" s="93" customFormat="1" ht="15">
      <c r="A40" s="92"/>
      <c r="B40" s="92"/>
      <c r="C40" s="92"/>
      <c r="D40" s="198" t="s">
        <v>220</v>
      </c>
      <c r="E40" s="198"/>
      <c r="F40" s="198" t="s">
        <v>214</v>
      </c>
      <c r="G40" s="198" t="s">
        <v>219</v>
      </c>
      <c r="H40" s="323"/>
      <c r="I40" s="324">
        <f>I34-I36</f>
        <v>44.170271222967131</v>
      </c>
      <c r="J40" s="321">
        <f>I40-SUMIFS(ПОбТЗ!$I:$I,ПОбТЗ!$E:$E,$D40,ПОбТЗ!$F:$F,$F40)</f>
        <v>0</v>
      </c>
      <c r="K40" s="324">
        <f t="shared" ref="K40:L40" si="44">K34-K36</f>
        <v>115.74716894339508</v>
      </c>
      <c r="L40" s="325">
        <f t="shared" si="44"/>
        <v>5.9360620886291144</v>
      </c>
      <c r="M40" s="276"/>
      <c r="N40" s="199">
        <f>N34-N36</f>
        <v>68.095689724919794</v>
      </c>
      <c r="O40" s="173">
        <f>N40-SUMIFS(ПОбТЗ_1!$J:$J,ПОбТЗ_1!$D:$D,$D40,ПОбТЗ_1!$E:$E,$F40)</f>
        <v>0</v>
      </c>
      <c r="P40" s="199">
        <f t="shared" ref="P40:Q40" si="45">P34-P36</f>
        <v>101.03450404001342</v>
      </c>
      <c r="Q40" s="241">
        <f t="shared" si="45"/>
        <v>3.5176923983890447</v>
      </c>
      <c r="R40" s="242"/>
      <c r="S40" s="199">
        <f>S34-S36</f>
        <v>46.975307434026035</v>
      </c>
      <c r="T40" s="173">
        <f>S40-SUMIFS(ПОбТЗ_1!$K:$K,ПОбТЗ_1!$D:$D,$D40,ПОбТЗ_1!$E:$E,$F40)</f>
        <v>0</v>
      </c>
      <c r="U40" s="199">
        <f t="shared" ref="U40:V40" si="46">U34-U36</f>
        <v>122.92534737784445</v>
      </c>
      <c r="V40" s="241">
        <f t="shared" si="46"/>
        <v>5.9834068471827777</v>
      </c>
      <c r="W40" s="242"/>
      <c r="X40" s="199">
        <f>X34-X36</f>
        <v>24.472686407214496</v>
      </c>
      <c r="Y40" s="173">
        <f>X40-SUMIFS(ПОбТЗ_1!$L:$L,ПОбТЗ_1!$D:$D,$D40,ПОбТЗ_1!$E:$E,$F40)</f>
        <v>0</v>
      </c>
      <c r="Z40" s="199">
        <f t="shared" ref="Z40:AA40" si="47">Z34-Z36</f>
        <v>131.70617045021936</v>
      </c>
      <c r="AA40" s="241">
        <f t="shared" si="47"/>
        <v>7.2850221033222624</v>
      </c>
      <c r="AB40" s="264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</row>
    <row r="41" spans="1:42" s="5" customFormat="1">
      <c r="A41" s="1"/>
      <c r="B41" s="1"/>
      <c r="C41" s="1"/>
      <c r="D41" s="227" t="s">
        <v>309</v>
      </c>
      <c r="E41" s="227"/>
      <c r="F41" s="227" t="s">
        <v>214</v>
      </c>
      <c r="G41" s="227" t="s">
        <v>219</v>
      </c>
      <c r="H41" s="347"/>
      <c r="I41" s="348">
        <f>I37-I36</f>
        <v>40.218615862635488</v>
      </c>
      <c r="J41" s="321"/>
      <c r="K41" s="348">
        <f t="shared" ref="K41:L41" si="48">K37-K36</f>
        <v>61.919814598666562</v>
      </c>
      <c r="L41" s="349">
        <f t="shared" si="48"/>
        <v>28.613258793571731</v>
      </c>
      <c r="M41" s="281"/>
      <c r="N41" s="228">
        <f>N37-N36</f>
        <v>37.960240755135601</v>
      </c>
      <c r="O41" s="173"/>
      <c r="P41" s="228">
        <f t="shared" ref="P41:Q41" si="49">P37-P36</f>
        <v>45.425637508553336</v>
      </c>
      <c r="Q41" s="254">
        <f t="shared" si="49"/>
        <v>23.344792654839694</v>
      </c>
      <c r="R41" s="255"/>
      <c r="S41" s="228">
        <f>S37-S36</f>
        <v>32.34804101777263</v>
      </c>
      <c r="T41" s="173"/>
      <c r="U41" s="228">
        <f t="shared" ref="U41:V41" si="50">U37-U36</f>
        <v>52.590573697503714</v>
      </c>
      <c r="V41" s="254">
        <f t="shared" si="50"/>
        <v>21.423913159102085</v>
      </c>
      <c r="W41" s="255"/>
      <c r="X41" s="228">
        <f>X37-X36</f>
        <v>33.821540261320479</v>
      </c>
      <c r="Y41" s="173"/>
      <c r="Z41" s="228">
        <f t="shared" ref="Z41:AA41" si="51">Z37-Z36</f>
        <v>79.531467967943172</v>
      </c>
      <c r="AA41" s="254">
        <f t="shared" si="51"/>
        <v>26.487773875865969</v>
      </c>
      <c r="AB41" s="266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s="5" customFormat="1">
      <c r="A42" s="1"/>
      <c r="B42" s="1"/>
      <c r="C42" s="1"/>
      <c r="D42" s="225" t="s">
        <v>310</v>
      </c>
      <c r="E42" s="225"/>
      <c r="F42" s="225" t="s">
        <v>214</v>
      </c>
      <c r="G42" s="225" t="s">
        <v>219</v>
      </c>
      <c r="H42" s="350"/>
      <c r="I42" s="351">
        <f>I40-I41</f>
        <v>3.9516553603316424</v>
      </c>
      <c r="J42" s="352"/>
      <c r="K42" s="351">
        <f t="shared" ref="K42:L42" si="52">K40-K41</f>
        <v>53.827354344728519</v>
      </c>
      <c r="L42" s="353">
        <f t="shared" si="52"/>
        <v>-22.677196704942617</v>
      </c>
      <c r="M42" s="282"/>
      <c r="N42" s="226">
        <f>N40-N41</f>
        <v>30.135448969784193</v>
      </c>
      <c r="O42" s="181"/>
      <c r="P42" s="226">
        <f t="shared" ref="P42" si="53">P40-P41</f>
        <v>55.60886653146008</v>
      </c>
      <c r="Q42" s="256">
        <f t="shared" ref="Q42" si="54">Q40-Q41</f>
        <v>-19.827100256450649</v>
      </c>
      <c r="R42" s="257"/>
      <c r="S42" s="226">
        <f>S40-S41</f>
        <v>14.627266416253406</v>
      </c>
      <c r="T42" s="181"/>
      <c r="U42" s="226">
        <f t="shared" ref="U42" si="55">U40-U41</f>
        <v>70.334773680340732</v>
      </c>
      <c r="V42" s="256">
        <f t="shared" ref="V42" si="56">V40-V41</f>
        <v>-15.440506311919307</v>
      </c>
      <c r="W42" s="257"/>
      <c r="X42" s="226">
        <f>X40-X41</f>
        <v>-9.3488538541059825</v>
      </c>
      <c r="Y42" s="181"/>
      <c r="Z42" s="226">
        <f t="shared" ref="Z42" si="57">Z40-Z41</f>
        <v>52.174702482276189</v>
      </c>
      <c r="AA42" s="256">
        <f t="shared" ref="AA42" si="58">AA40-AA41</f>
        <v>-19.202751772543706</v>
      </c>
      <c r="AB42" s="266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s="5" customFormat="1">
      <c r="A43" s="1"/>
      <c r="B43" s="1"/>
      <c r="C43" s="1"/>
      <c r="D43" s="223"/>
      <c r="E43" s="223" t="s">
        <v>293</v>
      </c>
      <c r="F43" s="223" t="s">
        <v>214</v>
      </c>
      <c r="G43" s="223" t="s">
        <v>261</v>
      </c>
      <c r="H43" s="354"/>
      <c r="I43" s="355">
        <f>SUMIFS(операции!$Z:$Z,операции!$X:$X,"&gt;="&amp;I$8,операции!$X:$X,"&lt;="&amp;I$9,операции!$AB:$AB,"&lt;&gt;"&amp;"")</f>
        <v>2683698</v>
      </c>
      <c r="J43" s="341">
        <f>I43-K43-L43</f>
        <v>0</v>
      </c>
      <c r="K43" s="355">
        <f>SUMIFS(операции!$Z:$Z,операции!$X:$X,"&gt;="&amp;I$8,операции!$X:$X,"&lt;="&amp;I$9,операции!$AB:$AB,"&lt;&gt;"&amp;"",операции!$L:$L,K$9)</f>
        <v>1023214</v>
      </c>
      <c r="L43" s="356">
        <f>SUMIFS(операции!$Z:$Z,операции!$X:$X,"&gt;="&amp;I$8,операции!$X:$X,"&lt;="&amp;I$9,операции!$AB:$AB,"&lt;&gt;"&amp;"",операции!$L:$L,L$9)</f>
        <v>1660484</v>
      </c>
      <c r="M43" s="283"/>
      <c r="N43" s="224">
        <f>SUMIFS(операции!$Z:$Z,операции!$X:$X,"&gt;="&amp;N$8,операции!$X:$X,"&lt;="&amp;N$9,операции!$AB:$AB,"&lt;&gt;"&amp;"")</f>
        <v>590254</v>
      </c>
      <c r="O43" s="216">
        <f>N43-P43-Q43</f>
        <v>0</v>
      </c>
      <c r="P43" s="224">
        <f>SUMIFS(операции!$Z:$Z,операции!$X:$X,"&gt;="&amp;N$8,операции!$X:$X,"&lt;="&amp;N$9,операции!$AB:$AB,"&lt;&gt;"&amp;"",операции!$L:$L,P$9)</f>
        <v>379092</v>
      </c>
      <c r="Q43" s="258">
        <f>SUMIFS(операции!$Z:$Z,операции!$X:$X,"&gt;="&amp;N$8,операции!$X:$X,"&lt;="&amp;N$9,операции!$AB:$AB,"&lt;&gt;"&amp;"",операции!$L:$L,Q$9)</f>
        <v>211162</v>
      </c>
      <c r="R43" s="259"/>
      <c r="S43" s="224">
        <f>SUMIFS(операции!$Z:$Z,операции!$X:$X,"&gt;="&amp;S$8,операции!$X:$X,"&lt;="&amp;S$9,операции!$AB:$AB,"&lt;&gt;"&amp;"")</f>
        <v>1394626</v>
      </c>
      <c r="T43" s="216">
        <f>S43-U43-V43</f>
        <v>0</v>
      </c>
      <c r="U43" s="224">
        <f>SUMIFS(операции!$Z:$Z,операции!$X:$X,"&gt;="&amp;S$8,операции!$X:$X,"&lt;="&amp;S$9,операции!$AB:$AB,"&lt;&gt;"&amp;"",операции!$L:$L,U$9)</f>
        <v>511887</v>
      </c>
      <c r="V43" s="258">
        <f>SUMIFS(операции!$Z:$Z,операции!$X:$X,"&gt;="&amp;S$8,операции!$X:$X,"&lt;="&amp;S$9,операции!$AB:$AB,"&lt;&gt;"&amp;"",операции!$L:$L,V$9)</f>
        <v>882739</v>
      </c>
      <c r="W43" s="259"/>
      <c r="X43" s="224">
        <f>SUMIFS(операции!$Z:$Z,операции!$X:$X,"&gt;="&amp;X$8,операции!$X:$X,"&lt;="&amp;X$9,операции!$AB:$AB,"&lt;&gt;"&amp;"")</f>
        <v>698818</v>
      </c>
      <c r="Y43" s="216">
        <f>X43-Z43-AA43</f>
        <v>0</v>
      </c>
      <c r="Z43" s="224">
        <f>SUMIFS(операции!$Z:$Z,операции!$X:$X,"&gt;="&amp;X$8,операции!$X:$X,"&lt;="&amp;X$9,операции!$AB:$AB,"&lt;&gt;"&amp;"",операции!$L:$L,Z$9)</f>
        <v>132235</v>
      </c>
      <c r="AA43" s="258">
        <f>SUMIFS(операции!$Z:$Z,операции!$X:$X,"&gt;="&amp;X$8,операции!$X:$X,"&lt;="&amp;X$9,операции!$AB:$AB,"&lt;&gt;"&amp;"",операции!$L:$L,AA$9)</f>
        <v>566583</v>
      </c>
      <c r="AB43" s="266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s="192" customFormat="1" ht="11.25">
      <c r="A44" s="37"/>
      <c r="B44" s="37"/>
      <c r="C44" s="37"/>
      <c r="D44" s="191"/>
      <c r="E44" s="191" t="s">
        <v>295</v>
      </c>
      <c r="F44" s="191" t="s">
        <v>214</v>
      </c>
      <c r="G44" s="191" t="s">
        <v>262</v>
      </c>
      <c r="H44" s="315"/>
      <c r="I44" s="316">
        <f>IF(I43=0,0,SUMIFS(операции!$AG:$AG,операции!$X:$X,"&gt;="&amp;I$8,операции!$X:$X,"&lt;="&amp;I$9,операции!$AB:$AB,"&lt;&gt;"&amp;"")/I43)</f>
        <v>42324.773776333997</v>
      </c>
      <c r="J44" s="317"/>
      <c r="K44" s="316">
        <f>IF(K43=0,0,SUMIFS(операции!$AG:$AG,операции!$X:$X,"&gt;="&amp;I$8,операции!$X:$X,"&lt;="&amp;I$9,операции!$AB:$AB,"&lt;&gt;"&amp;"",операции!$L:$L,K$9)/K43)</f>
        <v>42319.406825942569</v>
      </c>
      <c r="L44" s="318">
        <f>IF(L43=0,0,SUMIFS(операции!$AG:$AG,операции!$X:$X,"&gt;="&amp;I$8,операции!$X:$X,"&lt;="&amp;I$9,операции!$AB:$AB,"&lt;&gt;"&amp;"",операции!$L:$L,L$9)/L43)</f>
        <v>42328.08096795874</v>
      </c>
      <c r="M44" s="274"/>
      <c r="N44" s="193">
        <f>IF(N43=0,0,SUMIFS(операции!$AG:$AG,операции!$X:$X,"&gt;="&amp;N$8,операции!$X:$X,"&lt;="&amp;N$9,операции!$AB:$AB,"&lt;&gt;"&amp;"")/N43)</f>
        <v>42302.150126894521</v>
      </c>
      <c r="O44" s="196"/>
      <c r="P44" s="193">
        <f>IF(P43=0,0,SUMIFS(операции!$AG:$AG,операции!$X:$X,"&gt;="&amp;N$8,операции!$X:$X,"&lt;="&amp;N$9,операции!$AB:$AB,"&lt;&gt;"&amp;"",операции!$L:$L,P$9)/P43)</f>
        <v>42301.607311681597</v>
      </c>
      <c r="Q44" s="237">
        <f>IF(Q43=0,0,SUMIFS(операции!$AG:$AG,операции!$X:$X,"&gt;="&amp;N$8,операции!$X:$X,"&lt;="&amp;N$9,операции!$AB:$AB,"&lt;&gt;"&amp;"",операции!$L:$L,Q$9)/Q43)</f>
        <v>42303.124624695731</v>
      </c>
      <c r="R44" s="238"/>
      <c r="S44" s="193">
        <f>IF(S43=0,0,SUMIFS(операции!$AG:$AG,операции!$X:$X,"&gt;="&amp;S$8,операции!$X:$X,"&lt;="&amp;S$9,операции!$AB:$AB,"&lt;&gt;"&amp;"")/S43)</f>
        <v>42325.254719903402</v>
      </c>
      <c r="T44" s="196"/>
      <c r="U44" s="193">
        <f>IF(U43=0,0,SUMIFS(операции!$AG:$AG,операции!$X:$X,"&gt;="&amp;S$8,операции!$X:$X,"&lt;="&amp;S$9,операции!$AB:$AB,"&lt;&gt;"&amp;"",операции!$L:$L,U$9)/U43)</f>
        <v>42326.924620082165</v>
      </c>
      <c r="V44" s="237">
        <f>IF(V43=0,0,SUMIFS(операции!$AG:$AG,операции!$X:$X,"&gt;="&amp;S$8,операции!$X:$X,"&lt;="&amp;S$9,операции!$AB:$AB,"&lt;&gt;"&amp;"",операции!$L:$L,V$9)/V43)</f>
        <v>42324.286370036898</v>
      </c>
      <c r="W44" s="238"/>
      <c r="X44" s="193">
        <f>IF(X43=0,0,SUMIFS(операции!$AG:$AG,операции!$X:$X,"&gt;="&amp;X$8,операции!$X:$X,"&lt;="&amp;X$9,операции!$AB:$AB,"&lt;&gt;"&amp;"")/X43)</f>
        <v>42342.922941309465</v>
      </c>
      <c r="Y44" s="196"/>
      <c r="Z44" s="193">
        <f>IF(Z43=0,0,SUMIFS(операции!$AG:$AG,операции!$X:$X,"&gt;="&amp;X$8,операции!$X:$X,"&lt;="&amp;X$9,операции!$AB:$AB,"&lt;&gt;"&amp;"",операции!$L:$L,Z$9)/Z43)</f>
        <v>42341.332884637202</v>
      </c>
      <c r="AA44" s="237">
        <f>IF(AA43=0,0,SUMIFS(операции!$AG:$AG,операции!$X:$X,"&gt;="&amp;X$8,операции!$X:$X,"&lt;="&amp;X$9,операции!$AB:$AB,"&lt;&gt;"&amp;"",операции!$L:$L,AA$9)/AA43)</f>
        <v>42343.294045179609</v>
      </c>
      <c r="AB44" s="265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</row>
    <row r="45" spans="1:42" s="93" customFormat="1" ht="15">
      <c r="A45" s="92"/>
      <c r="B45" s="92"/>
      <c r="C45" s="92"/>
      <c r="D45" s="151"/>
      <c r="E45" s="151" t="s">
        <v>292</v>
      </c>
      <c r="F45" s="151" t="s">
        <v>214</v>
      </c>
      <c r="G45" s="151" t="s">
        <v>261</v>
      </c>
      <c r="H45" s="311"/>
      <c r="I45" s="312">
        <f>SUMIFS(операции!$V:$V,операции!$X:$X,"&gt;="&amp;I$8,операции!$X:$X,"&lt;="&amp;I$9,операции!$AB:$AB,"&lt;&gt;"&amp;"")</f>
        <v>2354624.2699999996</v>
      </c>
      <c r="J45" s="313">
        <f>I45-K45-L45</f>
        <v>0</v>
      </c>
      <c r="K45" s="312">
        <f>SUMIFS(операции!$V:$V,операции!$X:$X,"&gt;="&amp;I$8,операции!$X:$X,"&lt;="&amp;I$9,операции!$AB:$AB,"&lt;&gt;"&amp;"",операции!$L:$L,K$9)</f>
        <v>891982.44000000041</v>
      </c>
      <c r="L45" s="314">
        <f>SUMIFS(операции!$V:$V,операции!$X:$X,"&gt;="&amp;I$8,операции!$X:$X,"&lt;="&amp;I$9,операции!$AB:$AB,"&lt;&gt;"&amp;"",операции!$L:$L,L$9)</f>
        <v>1462641.8299999994</v>
      </c>
      <c r="M45" s="273"/>
      <c r="N45" s="152">
        <f>SUMIFS(операции!$V:$V,операции!$X:$X,"&gt;="&amp;N$8,операции!$X:$X,"&lt;="&amp;N$9,операции!$AB:$AB,"&lt;&gt;"&amp;"")</f>
        <v>532541.30999999982</v>
      </c>
      <c r="O45" s="170">
        <f>N45-P45-Q45</f>
        <v>0</v>
      </c>
      <c r="P45" s="152">
        <f>SUMIFS(операции!$V:$V,операции!$X:$X,"&gt;="&amp;N$8,операции!$X:$X,"&lt;="&amp;N$9,операции!$AB:$AB,"&lt;&gt;"&amp;"",операции!$L:$L,P$9)</f>
        <v>348187.65999999992</v>
      </c>
      <c r="Q45" s="235">
        <f>SUMIFS(операции!$V:$V,операции!$X:$X,"&gt;="&amp;N$8,операции!$X:$X,"&lt;="&amp;N$9,операции!$AB:$AB,"&lt;&gt;"&amp;"",операции!$L:$L,Q$9)</f>
        <v>184353.65000000002</v>
      </c>
      <c r="R45" s="236"/>
      <c r="S45" s="152">
        <f>SUMIFS(операции!$V:$V,операции!$X:$X,"&gt;="&amp;S$8,операции!$X:$X,"&lt;="&amp;S$9,операции!$AB:$AB,"&lt;&gt;"&amp;"")</f>
        <v>1197303.5199999979</v>
      </c>
      <c r="T45" s="170">
        <f>S45-U45-V45</f>
        <v>-1.9790604710578918E-9</v>
      </c>
      <c r="U45" s="152">
        <f>SUMIFS(операции!$V:$V,операции!$X:$X,"&gt;="&amp;S$8,операции!$X:$X,"&lt;="&amp;S$9,операции!$AB:$AB,"&lt;&gt;"&amp;"",операции!$L:$L,U$9)</f>
        <v>434467.15999999992</v>
      </c>
      <c r="V45" s="235">
        <f>SUMIFS(операции!$V:$V,операции!$X:$X,"&gt;="&amp;S$8,операции!$X:$X,"&lt;="&amp;S$9,операции!$AB:$AB,"&lt;&gt;"&amp;"",операции!$L:$L,V$9)</f>
        <v>762836.36</v>
      </c>
      <c r="W45" s="236"/>
      <c r="X45" s="152">
        <f>SUMIFS(операции!$V:$V,операции!$X:$X,"&gt;="&amp;X$8,операции!$X:$X,"&lt;="&amp;X$9,операции!$AB:$AB,"&lt;&gt;"&amp;"")</f>
        <v>624779.44000000029</v>
      </c>
      <c r="Y45" s="170">
        <f>X45-Z45-AA45</f>
        <v>0</v>
      </c>
      <c r="Z45" s="152">
        <f>SUMIFS(операции!$V:$V,операции!$X:$X,"&gt;="&amp;X$8,операции!$X:$X,"&lt;="&amp;X$9,операции!$AB:$AB,"&lt;&gt;"&amp;"",операции!$L:$L,Z$9)</f>
        <v>109327.62000000001</v>
      </c>
      <c r="AA45" s="235">
        <f>SUMIFS(операции!$V:$V,операции!$X:$X,"&gt;="&amp;X$8,операции!$X:$X,"&lt;="&amp;X$9,операции!$AB:$AB,"&lt;&gt;"&amp;"",операции!$L:$L,AA$9)</f>
        <v>515451.82000000018</v>
      </c>
      <c r="AB45" s="264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</row>
    <row r="46" spans="1:42" s="192" customFormat="1" ht="11.25">
      <c r="A46" s="37"/>
      <c r="B46" s="37"/>
      <c r="C46" s="37"/>
      <c r="D46" s="191"/>
      <c r="E46" s="191" t="s">
        <v>294</v>
      </c>
      <c r="F46" s="191" t="s">
        <v>214</v>
      </c>
      <c r="G46" s="191" t="s">
        <v>262</v>
      </c>
      <c r="H46" s="315"/>
      <c r="I46" s="316">
        <f>IF(I45=0,0,SUMIFS(операции!$AF:$AF,операции!$X:$X,"&gt;="&amp;I$8,операции!$X:$X,"&lt;="&amp;I$9,операции!$AB:$AB,"&lt;&gt;"&amp;"")/I45)</f>
        <v>42278.273964261811</v>
      </c>
      <c r="J46" s="317"/>
      <c r="K46" s="316">
        <f>IF(K45=0,0,SUMIFS(операции!$AF:$AF,операции!$X:$X,"&gt;="&amp;I$8,операции!$X:$X,"&lt;="&amp;I$9,операции!$AB:$AB,"&lt;&gt;"&amp;"",операции!$L:$L,K$9)/K45)</f>
        <v>42206.842486686153</v>
      </c>
      <c r="L46" s="318">
        <f>IF(L45=0,0,SUMIFS(операции!$AF:$AF,операции!$X:$X,"&gt;="&amp;I$8,операции!$X:$X,"&lt;="&amp;I$9,операции!$AB:$AB,"&lt;&gt;"&amp;"",операции!$L:$L,L$9)/L45)</f>
        <v>42321.835978115028</v>
      </c>
      <c r="M46" s="274"/>
      <c r="N46" s="193">
        <f>IF(N45=0,0,SUMIFS(операции!$AF:$AF,операции!$X:$X,"&gt;="&amp;N$8,операции!$X:$X,"&lt;="&amp;N$9,операции!$AB:$AB,"&lt;&gt;"&amp;"")/N45)</f>
        <v>42234.241853707084</v>
      </c>
      <c r="O46" s="196"/>
      <c r="P46" s="193">
        <f>IF(P45=0,0,SUMIFS(операции!$AF:$AF,операции!$X:$X,"&gt;="&amp;N$8,операции!$X:$X,"&lt;="&amp;N$9,операции!$AB:$AB,"&lt;&gt;"&amp;"",операции!$L:$L,P$9)/P45)</f>
        <v>42199.663323881156</v>
      </c>
      <c r="Q46" s="237">
        <f>IF(Q45=0,0,SUMIFS(операции!$AF:$AF,операции!$X:$X,"&gt;="&amp;N$8,операции!$X:$X,"&lt;="&amp;N$9,операции!$AB:$AB,"&lt;&gt;"&amp;"",операции!$L:$L,Q$9)/Q45)</f>
        <v>42299.550120651249</v>
      </c>
      <c r="R46" s="238"/>
      <c r="S46" s="193">
        <f>IF(S45=0,0,SUMIFS(операции!$AF:$AF,операции!$X:$X,"&gt;="&amp;S$8,операции!$X:$X,"&lt;="&amp;S$9,операции!$AB:$AB,"&lt;&gt;"&amp;"")/S45)</f>
        <v>42277.468047575814</v>
      </c>
      <c r="T46" s="196"/>
      <c r="U46" s="193">
        <f>IF(U45=0,0,SUMIFS(операции!$AF:$AF,операции!$X:$X,"&gt;="&amp;S$8,операции!$X:$X,"&lt;="&amp;S$9,операции!$AB:$AB,"&lt;&gt;"&amp;"",операции!$L:$L,U$9)/U45)</f>
        <v>42206.411801204966</v>
      </c>
      <c r="V46" s="237">
        <f>IF(V45=0,0,SUMIFS(операции!$AF:$AF,операции!$X:$X,"&gt;="&amp;S$8,операции!$X:$X,"&lt;="&amp;S$9,операции!$AB:$AB,"&lt;&gt;"&amp;"",операции!$L:$L,V$9)/V45)</f>
        <v>42317.937546907175</v>
      </c>
      <c r="W46" s="238"/>
      <c r="X46" s="193">
        <f>IF(X45=0,0,SUMIFS(операции!$AF:$AF,операции!$X:$X,"&gt;="&amp;X$8,операции!$X:$X,"&lt;="&amp;X$9,операции!$AB:$AB,"&lt;&gt;"&amp;"")/X45)</f>
        <v>42317.349905560266</v>
      </c>
      <c r="Y46" s="196"/>
      <c r="Z46" s="193">
        <f>IF(Z45=0,0,SUMIFS(операции!$AF:$AF,операции!$X:$X,"&gt;="&amp;X$8,операции!$X:$X,"&lt;="&amp;X$9,операции!$AB:$AB,"&lt;&gt;"&amp;"",операции!$L:$L,Z$9)/Z45)</f>
        <v>42231.41829466333</v>
      </c>
      <c r="AA46" s="237">
        <f>IF(AA45=0,0,SUMIFS(операции!$AF:$AF,операции!$X:$X,"&gt;="&amp;X$8,операции!$X:$X,"&lt;="&amp;X$9,операции!$AB:$AB,"&lt;&gt;"&amp;"",операции!$L:$L,AA$9)/AA45)</f>
        <v>42335.576048407383</v>
      </c>
      <c r="AB46" s="265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</row>
    <row r="47" spans="1:42" s="192" customFormat="1" ht="11.25">
      <c r="A47" s="37"/>
      <c r="B47" s="37"/>
      <c r="C47" s="37"/>
      <c r="D47" s="191"/>
      <c r="E47" s="191" t="s">
        <v>299</v>
      </c>
      <c r="F47" s="191" t="s">
        <v>214</v>
      </c>
      <c r="G47" s="191" t="s">
        <v>262</v>
      </c>
      <c r="H47" s="315"/>
      <c r="I47" s="316">
        <f>IF(I45=0,0,SUMIFS(операции!$AH:$AH,операции!$X:$X,"&gt;="&amp;I$8,операции!$X:$X,"&lt;="&amp;I$9,операции!$AB:$AB,"&lt;&gt;"&amp;"")/I45)</f>
        <v>42303.961461592342</v>
      </c>
      <c r="J47" s="317"/>
      <c r="K47" s="316">
        <f>IF(K45=0,0,SUMIFS(операции!$AH:$AH,операции!$X:$X,"&gt;="&amp;I$8,операции!$X:$X,"&lt;="&amp;I$9,операции!$AB:$AB,"&lt;&gt;"&amp;"",операции!$L:$L,K$9)/K45)</f>
        <v>42235.731040938444</v>
      </c>
      <c r="L47" s="318">
        <f>IF(L45=0,0,SUMIFS(операции!$AH:$AH,операции!$X:$X,"&gt;="&amp;I$8,операции!$X:$X,"&lt;="&amp;I$9,операции!$AB:$AB,"&lt;&gt;"&amp;"",операции!$L:$L,L$9)/L45)</f>
        <v>42345.571332067011</v>
      </c>
      <c r="M47" s="274"/>
      <c r="N47" s="193">
        <f>IF(N45=0,0,SUMIFS(операции!$AH:$AH,операции!$X:$X,"&gt;="&amp;N$8,операции!$X:$X,"&lt;="&amp;N$9,операции!$AB:$AB,"&lt;&gt;"&amp;"")/N45)</f>
        <v>42261.289251945578</v>
      </c>
      <c r="O47" s="196"/>
      <c r="P47" s="193">
        <f>IF(P45=0,0,SUMIFS(операции!$AH:$AH,операции!$X:$X,"&gt;="&amp;N$8,операции!$X:$X,"&lt;="&amp;N$9,операции!$AB:$AB,"&lt;&gt;"&amp;"",операции!$L:$L,P$9)/P45)</f>
        <v>42226.114820869865</v>
      </c>
      <c r="Q47" s="237">
        <f>IF(Q45=0,0,SUMIFS(операции!$AH:$AH,операции!$X:$X,"&gt;="&amp;N$8,операции!$X:$X,"&lt;="&amp;N$9,операции!$AB:$AB,"&lt;&gt;"&amp;"",операции!$L:$L,Q$9)/Q45)</f>
        <v>42327.722994093136</v>
      </c>
      <c r="R47" s="238"/>
      <c r="S47" s="193">
        <f>IF(S45=0,0,SUMIFS(операции!$AH:$AH,операции!$X:$X,"&gt;="&amp;S$8,операции!$X:$X,"&lt;="&amp;S$9,операции!$AB:$AB,"&lt;&gt;"&amp;"")/S45)</f>
        <v>42303.771032194163</v>
      </c>
      <c r="T47" s="196"/>
      <c r="U47" s="193">
        <f>IF(U45=0,0,SUMIFS(операции!$AH:$AH,операции!$X:$X,"&gt;="&amp;S$8,операции!$X:$X,"&lt;="&amp;S$9,операции!$AB:$AB,"&lt;&gt;"&amp;"",операции!$L:$L,U$9)/U45)</f>
        <v>42236.574314109283</v>
      </c>
      <c r="V47" s="237">
        <f>IF(V45=0,0,SUMIFS(операции!$AH:$AH,операции!$X:$X,"&gt;="&amp;S$8,операции!$X:$X,"&lt;="&amp;S$9,операции!$AB:$AB,"&lt;&gt;"&amp;"",операции!$L:$L,V$9)/V45)</f>
        <v>42342.042369008232</v>
      </c>
      <c r="W47" s="238"/>
      <c r="X47" s="193">
        <f>IF(X45=0,0,SUMIFS(операции!$AH:$AH,операции!$X:$X,"&gt;="&amp;X$8,операции!$X:$X,"&lt;="&amp;X$9,операции!$AB:$AB,"&lt;&gt;"&amp;"")/X45)</f>
        <v>42340.698771985815</v>
      </c>
      <c r="Y47" s="196"/>
      <c r="Z47" s="193">
        <f>IF(Z45=0,0,SUMIFS(операции!$AH:$AH,операции!$X:$X,"&gt;="&amp;X$8,операции!$X:$X,"&lt;="&amp;X$9,операции!$AB:$AB,"&lt;&gt;"&amp;"",операции!$L:$L,Z$9)/Z45)</f>
        <v>42263.005710084966</v>
      </c>
      <c r="AA47" s="237">
        <f>IF(AA45=0,0,SUMIFS(операции!$AH:$AH,операции!$X:$X,"&gt;="&amp;X$8,операции!$X:$X,"&lt;="&amp;X$9,операции!$AB:$AB,"&lt;&gt;"&amp;"",операции!$L:$L,AA$9)/AA45)</f>
        <v>42357.177513972092</v>
      </c>
      <c r="AB47" s="265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</row>
    <row r="48" spans="1:42" s="5" customFormat="1">
      <c r="A48" s="1"/>
      <c r="B48" s="1"/>
      <c r="C48" s="1"/>
      <c r="D48" s="168"/>
      <c r="E48" s="168" t="s">
        <v>296</v>
      </c>
      <c r="F48" s="168" t="s">
        <v>214</v>
      </c>
      <c r="G48" s="168" t="s">
        <v>261</v>
      </c>
      <c r="H48" s="326"/>
      <c r="I48" s="327">
        <f>I43-I45</f>
        <v>329073.73000000045</v>
      </c>
      <c r="J48" s="313">
        <f>I48-K48-L48</f>
        <v>2.3283064365386963E-10</v>
      </c>
      <c r="K48" s="327">
        <f t="shared" ref="K48:L48" si="59">K43-K45</f>
        <v>131231.55999999959</v>
      </c>
      <c r="L48" s="328">
        <f t="shared" si="59"/>
        <v>197842.17000000062</v>
      </c>
      <c r="M48" s="277"/>
      <c r="N48" s="169">
        <f>N43-N45</f>
        <v>57712.690000000177</v>
      </c>
      <c r="O48" s="170">
        <f>N48-P48-Q48</f>
        <v>1.1641532182693481E-10</v>
      </c>
      <c r="P48" s="169">
        <f t="shared" ref="P48:Q48" si="60">P43-P45</f>
        <v>30904.340000000084</v>
      </c>
      <c r="Q48" s="243">
        <f t="shared" si="60"/>
        <v>26808.349999999977</v>
      </c>
      <c r="R48" s="244"/>
      <c r="S48" s="169">
        <f>S43-S45</f>
        <v>197322.48000000208</v>
      </c>
      <c r="T48" s="170">
        <f>S48-U48-V48</f>
        <v>1.9790604710578918E-9</v>
      </c>
      <c r="U48" s="169">
        <f t="shared" ref="U48:V48" si="61">U43-U45</f>
        <v>77419.840000000084</v>
      </c>
      <c r="V48" s="243">
        <f t="shared" si="61"/>
        <v>119902.64000000001</v>
      </c>
      <c r="W48" s="244"/>
      <c r="X48" s="169">
        <f>X43-X45</f>
        <v>74038.559999999707</v>
      </c>
      <c r="Y48" s="170">
        <f>X48-Z48-AA48</f>
        <v>-1.0186340659856796E-10</v>
      </c>
      <c r="Z48" s="169">
        <f t="shared" ref="Z48:AA48" si="62">Z43-Z45</f>
        <v>22907.37999999999</v>
      </c>
      <c r="AA48" s="243">
        <f t="shared" si="62"/>
        <v>51131.179999999818</v>
      </c>
      <c r="AB48" s="266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s="211" customFormat="1">
      <c r="A49" s="210"/>
      <c r="B49" s="210"/>
      <c r="C49" s="210"/>
      <c r="D49" s="218"/>
      <c r="E49" s="218" t="s">
        <v>297</v>
      </c>
      <c r="F49" s="218" t="s">
        <v>214</v>
      </c>
      <c r="G49" s="218" t="s">
        <v>218</v>
      </c>
      <c r="H49" s="343"/>
      <c r="I49" s="344">
        <f>IF(I43=0,0,(I48/I43))</f>
        <v>0.12261950860342723</v>
      </c>
      <c r="J49" s="345"/>
      <c r="K49" s="344">
        <f t="shared" ref="K49:L49" si="63">IF(K43=0,0,(K48/K43))</f>
        <v>0.12825426548112084</v>
      </c>
      <c r="L49" s="346">
        <f t="shared" si="63"/>
        <v>0.11914729078991464</v>
      </c>
      <c r="M49" s="280"/>
      <c r="N49" s="219">
        <f>IF(N43=0,0,(N48/N43))</f>
        <v>9.7776025236593359E-2</v>
      </c>
      <c r="O49" s="220"/>
      <c r="P49" s="219">
        <f t="shared" ref="P49" si="64">IF(P43=0,0,(P48/P43))</f>
        <v>8.1522005212455242E-2</v>
      </c>
      <c r="Q49" s="252">
        <f t="shared" ref="Q49" si="65">IF(Q43=0,0,(Q48/Q43))</f>
        <v>0.12695631789810655</v>
      </c>
      <c r="R49" s="253"/>
      <c r="S49" s="219">
        <f>IF(S43=0,0,(S48/S43))</f>
        <v>0.14148773936525066</v>
      </c>
      <c r="T49" s="220"/>
      <c r="U49" s="219">
        <f t="shared" ref="U49" si="66">IF(U43=0,0,(U48/U43))</f>
        <v>0.1512440050245466</v>
      </c>
      <c r="V49" s="252">
        <f t="shared" ref="V49" si="67">IF(V43=0,0,(V48/V43))</f>
        <v>0.13583022841406125</v>
      </c>
      <c r="W49" s="253"/>
      <c r="X49" s="219">
        <f>IF(X43=0,0,(X48/X43))</f>
        <v>0.10594827265468221</v>
      </c>
      <c r="Y49" s="220"/>
      <c r="Z49" s="219">
        <f t="shared" ref="Z49" si="68">IF(Z43=0,0,(Z48/Z43))</f>
        <v>0.17323235149544364</v>
      </c>
      <c r="AA49" s="252">
        <f t="shared" ref="AA49" si="69">IF(AA43=0,0,(AA48/AA43))</f>
        <v>9.024481849967228E-2</v>
      </c>
      <c r="AB49" s="267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</row>
    <row r="50" spans="1:42" s="5" customFormat="1">
      <c r="A50" s="1"/>
      <c r="B50" s="1"/>
      <c r="C50" s="1"/>
      <c r="D50" s="227"/>
      <c r="E50" s="227" t="s">
        <v>298</v>
      </c>
      <c r="F50" s="227" t="s">
        <v>214</v>
      </c>
      <c r="G50" s="227" t="s">
        <v>219</v>
      </c>
      <c r="H50" s="347"/>
      <c r="I50" s="348">
        <f>I44-I46</f>
        <v>46.499812072186614</v>
      </c>
      <c r="J50" s="321"/>
      <c r="K50" s="348">
        <f t="shared" ref="K50:L50" si="70">K44-K46</f>
        <v>112.56433925641613</v>
      </c>
      <c r="L50" s="349">
        <f t="shared" si="70"/>
        <v>6.2449898437116644</v>
      </c>
      <c r="M50" s="281"/>
      <c r="N50" s="228">
        <f>N44-N46</f>
        <v>67.908273187436862</v>
      </c>
      <c r="O50" s="173"/>
      <c r="P50" s="228">
        <f t="shared" ref="P50:Q50" si="71">P44-P46</f>
        <v>101.94398780044139</v>
      </c>
      <c r="Q50" s="254">
        <f t="shared" si="71"/>
        <v>3.5745040444817278</v>
      </c>
      <c r="R50" s="255"/>
      <c r="S50" s="228">
        <f>S44-S46</f>
        <v>47.786672327587439</v>
      </c>
      <c r="T50" s="173"/>
      <c r="U50" s="228">
        <f t="shared" ref="U50:V50" si="72">U44-U46</f>
        <v>120.51281887719961</v>
      </c>
      <c r="V50" s="254">
        <f t="shared" si="72"/>
        <v>6.3488231297233142</v>
      </c>
      <c r="W50" s="255"/>
      <c r="X50" s="228">
        <f>X44-X46</f>
        <v>25.573035749199335</v>
      </c>
      <c r="Y50" s="173"/>
      <c r="Z50" s="228">
        <f t="shared" ref="Z50:AA50" si="73">Z44-Z46</f>
        <v>109.91458997387235</v>
      </c>
      <c r="AA50" s="254">
        <f t="shared" si="73"/>
        <v>7.717996772225888</v>
      </c>
      <c r="AB50" s="266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s="5" customFormat="1">
      <c r="A51" s="1"/>
      <c r="B51" s="1"/>
      <c r="C51" s="1"/>
      <c r="D51" s="227"/>
      <c r="E51" s="227" t="s">
        <v>300</v>
      </c>
      <c r="F51" s="227" t="s">
        <v>214</v>
      </c>
      <c r="G51" s="227" t="s">
        <v>219</v>
      </c>
      <c r="H51" s="347"/>
      <c r="I51" s="348">
        <f>I47-I46</f>
        <v>25.687497330531187</v>
      </c>
      <c r="J51" s="321"/>
      <c r="K51" s="348">
        <f t="shared" ref="K51:L51" si="74">K47-K46</f>
        <v>28.888554252291215</v>
      </c>
      <c r="L51" s="349">
        <f t="shared" si="74"/>
        <v>23.735353951982688</v>
      </c>
      <c r="M51" s="281"/>
      <c r="N51" s="228">
        <f>N47-N46</f>
        <v>27.04739823849377</v>
      </c>
      <c r="O51" s="173"/>
      <c r="P51" s="228">
        <f t="shared" ref="P51:Q51" si="75">P47-P46</f>
        <v>26.45149698870955</v>
      </c>
      <c r="Q51" s="254">
        <f t="shared" si="75"/>
        <v>28.172873441886622</v>
      </c>
      <c r="R51" s="255"/>
      <c r="S51" s="228">
        <f>S47-S46</f>
        <v>26.302984618349001</v>
      </c>
      <c r="T51" s="173"/>
      <c r="U51" s="228">
        <f t="shared" ref="U51:V51" si="76">U47-U46</f>
        <v>30.162512904316827</v>
      </c>
      <c r="V51" s="254">
        <f t="shared" si="76"/>
        <v>24.104822101056925</v>
      </c>
      <c r="W51" s="255"/>
      <c r="X51" s="228">
        <f>X47-X46</f>
        <v>23.348866425549204</v>
      </c>
      <c r="Y51" s="173"/>
      <c r="Z51" s="228">
        <f t="shared" ref="Z51:AA51" si="77">Z47-Z46</f>
        <v>31.587415421636251</v>
      </c>
      <c r="AA51" s="254">
        <f t="shared" si="77"/>
        <v>21.601465564708633</v>
      </c>
      <c r="AB51" s="266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s="93" customFormat="1" ht="15">
      <c r="A52" s="92"/>
      <c r="B52" s="92"/>
      <c r="C52" s="92"/>
      <c r="D52" s="221"/>
      <c r="E52" s="221" t="s">
        <v>301</v>
      </c>
      <c r="F52" s="221" t="s">
        <v>214</v>
      </c>
      <c r="G52" s="221" t="s">
        <v>219</v>
      </c>
      <c r="H52" s="357"/>
      <c r="I52" s="358">
        <f>I50-I51</f>
        <v>20.812314741655427</v>
      </c>
      <c r="J52" s="352"/>
      <c r="K52" s="358">
        <f t="shared" ref="K52:L52" si="78">K50-K51</f>
        <v>83.675785004124918</v>
      </c>
      <c r="L52" s="359">
        <f t="shared" si="78"/>
        <v>-17.490364108271024</v>
      </c>
      <c r="M52" s="284"/>
      <c r="N52" s="222">
        <f>N50-N51</f>
        <v>40.860874948943092</v>
      </c>
      <c r="O52" s="181"/>
      <c r="P52" s="222">
        <f t="shared" ref="P52" si="79">P50-P51</f>
        <v>75.492490811731841</v>
      </c>
      <c r="Q52" s="260">
        <f t="shared" ref="Q52" si="80">Q50-Q51</f>
        <v>-24.598369397404895</v>
      </c>
      <c r="R52" s="261"/>
      <c r="S52" s="222">
        <f>S50-S51</f>
        <v>21.483687709238438</v>
      </c>
      <c r="T52" s="181"/>
      <c r="U52" s="222">
        <f t="shared" ref="U52" si="81">U50-U51</f>
        <v>90.350305972882779</v>
      </c>
      <c r="V52" s="260">
        <f t="shared" ref="V52" si="82">V50-V51</f>
        <v>-17.755998971333611</v>
      </c>
      <c r="W52" s="261"/>
      <c r="X52" s="222">
        <f>X50-X51</f>
        <v>2.2241693236501305</v>
      </c>
      <c r="Y52" s="181"/>
      <c r="Z52" s="222">
        <f t="shared" ref="Z52" si="83">Z50-Z51</f>
        <v>78.327174552236102</v>
      </c>
      <c r="AA52" s="260">
        <f t="shared" ref="AA52" si="84">AA50-AA51</f>
        <v>-13.883468792482745</v>
      </c>
      <c r="AB52" s="264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</row>
    <row r="53" spans="1:42" s="5" customFormat="1">
      <c r="A53" s="1"/>
      <c r="B53" s="1"/>
      <c r="C53" s="1"/>
      <c r="D53" s="223"/>
      <c r="E53" s="223" t="s">
        <v>302</v>
      </c>
      <c r="F53" s="223" t="s">
        <v>214</v>
      </c>
      <c r="G53" s="223" t="s">
        <v>261</v>
      </c>
      <c r="H53" s="354"/>
      <c r="I53" s="355">
        <f>SUMIFS(операции!$Z:$Z,операции!$X:$X,"&gt;="&amp;I$8,операции!$X:$X,"&lt;="&amp;I$9,операции!$AB:$AB,"")</f>
        <v>1026078</v>
      </c>
      <c r="J53" s="341">
        <f>I53-K53-L53</f>
        <v>0</v>
      </c>
      <c r="K53" s="355">
        <f>SUMIFS(операции!$Z:$Z,операции!$X:$X,"&gt;="&amp;I$8,операции!$X:$X,"&lt;="&amp;I$9,операции!$AB:$AB,"",операции!$L:$L,K$9)</f>
        <v>278660</v>
      </c>
      <c r="L53" s="356">
        <f>SUMIFS(операции!$Z:$Z,операции!$X:$X,"&gt;="&amp;I$8,операции!$X:$X,"&lt;="&amp;I$9,операции!$AB:$AB,"",операции!$L:$L,L$9)</f>
        <v>747418</v>
      </c>
      <c r="M53" s="283"/>
      <c r="N53" s="224">
        <f>SUMIFS(операции!$Z:$Z,операции!$X:$X,"&gt;="&amp;N$8,операции!$X:$X,"&lt;="&amp;N$9,операции!$AB:$AB,"")</f>
        <v>184749</v>
      </c>
      <c r="O53" s="216">
        <f>N53-P53-Q53</f>
        <v>0</v>
      </c>
      <c r="P53" s="224">
        <f>SUMIFS(операции!$Z:$Z,операции!$X:$X,"&gt;="&amp;N$8,операции!$X:$X,"&lt;="&amp;N$9,операции!$AB:$AB,"",операции!$L:$L,P$9)</f>
        <v>121384</v>
      </c>
      <c r="Q53" s="258">
        <f>SUMIFS(операции!$Z:$Z,операции!$X:$X,"&gt;="&amp;N$8,операции!$X:$X,"&lt;="&amp;N$9,операции!$AB:$AB,"",операции!$L:$L,Q$9)</f>
        <v>63365</v>
      </c>
      <c r="R53" s="259"/>
      <c r="S53" s="224">
        <f>SUMIFS(операции!$Z:$Z,операции!$X:$X,"&gt;="&amp;S$8,операции!$X:$X,"&lt;="&amp;S$9,операции!$AB:$AB,"")</f>
        <v>380069</v>
      </c>
      <c r="T53" s="216">
        <f>S53-U53-V53</f>
        <v>0</v>
      </c>
      <c r="U53" s="224">
        <f>SUMIFS(операции!$Z:$Z,операции!$X:$X,"&gt;="&amp;S$8,операции!$X:$X,"&lt;="&amp;S$9,операции!$AB:$AB,"",операции!$L:$L,U$9)</f>
        <v>117868</v>
      </c>
      <c r="V53" s="258">
        <f>SUMIFS(операции!$Z:$Z,операции!$X:$X,"&gt;="&amp;S$8,операции!$X:$X,"&lt;="&amp;S$9,операции!$AB:$AB,"",операции!$L:$L,V$9)</f>
        <v>262201</v>
      </c>
      <c r="W53" s="259"/>
      <c r="X53" s="224">
        <f>SUMIFS(операции!$Z:$Z,операции!$X:$X,"&gt;="&amp;X$8,операции!$X:$X,"&lt;="&amp;X$9,операции!$AB:$AB,"")</f>
        <v>461260</v>
      </c>
      <c r="Y53" s="216">
        <f>X53-Z53-AA53</f>
        <v>0</v>
      </c>
      <c r="Z53" s="224">
        <f>SUMIFS(операции!$Z:$Z,операции!$X:$X,"&gt;="&amp;X$8,операции!$X:$X,"&lt;="&amp;X$9,операции!$AB:$AB,"",операции!$L:$L,Z$9)</f>
        <v>39408</v>
      </c>
      <c r="AA53" s="258">
        <f>SUMIFS(операции!$Z:$Z,операции!$X:$X,"&gt;="&amp;X$8,операции!$X:$X,"&lt;="&amp;X$9,операции!$AB:$AB,"",операции!$L:$L,AA$9)</f>
        <v>421852</v>
      </c>
      <c r="AB53" s="266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s="192" customFormat="1" ht="11.25">
      <c r="A54" s="37"/>
      <c r="B54" s="37"/>
      <c r="C54" s="37"/>
      <c r="D54" s="191"/>
      <c r="E54" s="191" t="s">
        <v>303</v>
      </c>
      <c r="F54" s="191" t="s">
        <v>214</v>
      </c>
      <c r="G54" s="191" t="s">
        <v>262</v>
      </c>
      <c r="H54" s="315"/>
      <c r="I54" s="316">
        <f>IF(I53=0,0,SUMIFS(операции!$AG:$AG,операции!$X:$X,"&gt;="&amp;I$8,операции!$X:$X,"&lt;="&amp;I$9,операции!$AB:$AB,"")/I53)</f>
        <v>42330.2520169032</v>
      </c>
      <c r="J54" s="317"/>
      <c r="K54" s="316">
        <f>IF(K53=0,0,SUMIFS(операции!$AG:$AG,операции!$X:$X,"&gt;="&amp;I$8,операции!$X:$X,"&lt;="&amp;I$9,операции!$AB:$AB,"",операции!$L:$L,K$9)/K53)</f>
        <v>42316.922906050386</v>
      </c>
      <c r="L54" s="318">
        <f>IF(L53=0,0,SUMIFS(операции!$AG:$AG,операции!$X:$X,"&gt;="&amp;I$8,операции!$X:$X,"&lt;="&amp;I$9,операции!$AB:$AB,"",операции!$L:$L,L$9)/L53)</f>
        <v>42335.221511925054</v>
      </c>
      <c r="M54" s="274"/>
      <c r="N54" s="193">
        <f>IF(N53=0,0,SUMIFS(операции!$AG:$AG,операции!$X:$X,"&gt;="&amp;N$8,операции!$X:$X,"&lt;="&amp;N$9,операции!$AB:$AB,"")/N53)</f>
        <v>42303.14271254513</v>
      </c>
      <c r="O54" s="196"/>
      <c r="P54" s="193">
        <f>IF(P53=0,0,SUMIFS(операции!$AG:$AG,операции!$X:$X,"&gt;="&amp;N$8,операции!$X:$X,"&lt;="&amp;N$9,операции!$AB:$AB,"",операции!$L:$L,P$9)/P53)</f>
        <v>42302.013238977132</v>
      </c>
      <c r="Q54" s="237">
        <f>IF(Q53=0,0,SUMIFS(операции!$AG:$AG,операции!$X:$X,"&gt;="&amp;N$8,операции!$X:$X,"&lt;="&amp;N$9,операции!$AB:$AB,"",операции!$L:$L,Q$9)/Q53)</f>
        <v>42305.306367868696</v>
      </c>
      <c r="R54" s="238"/>
      <c r="S54" s="193">
        <f>IF(S53=0,0,SUMIFS(операции!$AG:$AG,операции!$X:$X,"&gt;="&amp;S$8,операции!$X:$X,"&lt;="&amp;S$9,операции!$AB:$AB,"")/S53)</f>
        <v>42328.254067024674</v>
      </c>
      <c r="T54" s="196"/>
      <c r="U54" s="193">
        <f>IF(U53=0,0,SUMIFS(операции!$AG:$AG,операции!$X:$X,"&gt;="&amp;S$8,операции!$X:$X,"&lt;="&amp;S$9,операции!$AB:$AB,"",операции!$L:$L,U$9)/U53)</f>
        <v>42323.774357756134</v>
      </c>
      <c r="V54" s="237">
        <f>IF(V53=0,0,SUMIFS(операции!$AG:$AG,операции!$X:$X,"&gt;="&amp;S$8,операции!$X:$X,"&lt;="&amp;S$9,операции!$AB:$AB,"",операции!$L:$L,V$9)/V53)</f>
        <v>42330.26784413484</v>
      </c>
      <c r="W54" s="238"/>
      <c r="X54" s="193">
        <f>IF(X53=0,0,SUMIFS(операции!$AG:$AG,операции!$X:$X,"&gt;="&amp;X$8,операции!$X:$X,"&lt;="&amp;X$9,операции!$AB:$AB,"")/X53)</f>
        <v>42342.756408533147</v>
      </c>
      <c r="Y54" s="196"/>
      <c r="Z54" s="193">
        <f>IF(Z53=0,0,SUMIFS(операции!$AG:$AG,операции!$X:$X,"&gt;="&amp;X$8,операции!$X:$X,"&lt;="&amp;X$9,операции!$AB:$AB,"",операции!$L:$L,Z$9)/Z53)</f>
        <v>42342.355004060089</v>
      </c>
      <c r="AA54" s="237">
        <f>IF(AA53=0,0,SUMIFS(операции!$AG:$AG,операции!$X:$X,"&gt;="&amp;X$8,операции!$X:$X,"&lt;="&amp;X$9,операции!$AB:$AB,"",операции!$L:$L,AA$9)/AA53)</f>
        <v>42342.793906393708</v>
      </c>
      <c r="AB54" s="265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</row>
    <row r="55" spans="1:42" s="5" customFormat="1">
      <c r="A55" s="1"/>
      <c r="B55" s="1"/>
      <c r="C55" s="1"/>
      <c r="D55" s="168"/>
      <c r="E55" s="168" t="s">
        <v>304</v>
      </c>
      <c r="F55" s="168" t="s">
        <v>214</v>
      </c>
      <c r="G55" s="168" t="s">
        <v>261</v>
      </c>
      <c r="H55" s="326"/>
      <c r="I55" s="327">
        <f>SUMIFS(операции!$V:$V,операции!$X:$X,"&gt;="&amp;I$8,операции!$X:$X,"&lt;="&amp;I$9,операции!$AB:$AB,"")</f>
        <v>927256.84</v>
      </c>
      <c r="J55" s="313">
        <f>I55-K55-L55</f>
        <v>0</v>
      </c>
      <c r="K55" s="327">
        <f>SUMIFS(операции!$V:$V,операции!$X:$X,"&gt;="&amp;I$8,операции!$X:$X,"&lt;="&amp;I$9,операции!$AB:$AB,"",операции!$L:$L,K$9)</f>
        <v>251558.25999999998</v>
      </c>
      <c r="L55" s="328">
        <f>SUMIFS(операции!$V:$V,операции!$X:$X,"&gt;="&amp;I$8,операции!$X:$X,"&lt;="&amp;I$9,операции!$AB:$AB,"",операции!$L:$L,L$9)</f>
        <v>675698.58000000007</v>
      </c>
      <c r="M55" s="277"/>
      <c r="N55" s="169">
        <f>SUMIFS(операции!$V:$V,операции!$X:$X,"&gt;="&amp;N$8,операции!$X:$X,"&lt;="&amp;N$9,операции!$AB:$AB,"")</f>
        <v>163299.36999999997</v>
      </c>
      <c r="O55" s="170">
        <f>N55-P55-Q55</f>
        <v>0</v>
      </c>
      <c r="P55" s="169">
        <f>SUMIFS(операции!$V:$V,операции!$X:$X,"&gt;="&amp;N$8,операции!$X:$X,"&lt;="&amp;N$9,операции!$AB:$AB,"",операции!$L:$L,P$9)</f>
        <v>112393.59999999999</v>
      </c>
      <c r="Q55" s="243">
        <f>SUMIFS(операции!$V:$V,операции!$X:$X,"&gt;="&amp;N$8,операции!$X:$X,"&lt;="&amp;N$9,операции!$AB:$AB,"",операции!$L:$L,Q$9)</f>
        <v>50905.77</v>
      </c>
      <c r="R55" s="244"/>
      <c r="S55" s="169">
        <f>SUMIFS(операции!$V:$V,операции!$X:$X,"&gt;="&amp;S$8,операции!$X:$X,"&lt;="&amp;S$9,операции!$AB:$AB,"")</f>
        <v>335885.71</v>
      </c>
      <c r="T55" s="170">
        <f>S55-U55-V55</f>
        <v>0</v>
      </c>
      <c r="U55" s="169">
        <f>SUMIFS(операции!$V:$V,операции!$X:$X,"&gt;="&amp;S$8,операции!$X:$X,"&lt;="&amp;S$9,операции!$AB:$AB,"",операции!$L:$L,U$9)</f>
        <v>102926.16</v>
      </c>
      <c r="V55" s="243">
        <f>SUMIFS(операции!$V:$V,операции!$X:$X,"&gt;="&amp;S$8,операции!$X:$X,"&lt;="&amp;S$9,операции!$AB:$AB,"",операции!$L:$L,V$9)</f>
        <v>232959.55</v>
      </c>
      <c r="W55" s="244"/>
      <c r="X55" s="169">
        <f>SUMIFS(операции!$V:$V,операции!$X:$X,"&gt;="&amp;X$8,операции!$X:$X,"&lt;="&amp;X$9,операции!$AB:$AB,"")</f>
        <v>428071.75999999995</v>
      </c>
      <c r="Y55" s="170">
        <f>X55-Z55-AA55</f>
        <v>0</v>
      </c>
      <c r="Z55" s="169">
        <f>SUMIFS(операции!$V:$V,операции!$X:$X,"&gt;="&amp;X$8,операции!$X:$X,"&lt;="&amp;X$9,операции!$AB:$AB,"",операции!$L:$L,Z$9)</f>
        <v>36238.5</v>
      </c>
      <c r="AA55" s="243">
        <f>SUMIFS(операции!$V:$V,операции!$X:$X,"&gt;="&amp;X$8,операции!$X:$X,"&lt;="&amp;X$9,операции!$AB:$AB,"",операции!$L:$L,AA$9)</f>
        <v>391833.26</v>
      </c>
      <c r="AB55" s="266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s="192" customFormat="1" ht="11.25">
      <c r="A56" s="37"/>
      <c r="B56" s="37"/>
      <c r="C56" s="37"/>
      <c r="D56" s="191"/>
      <c r="E56" s="191" t="s">
        <v>305</v>
      </c>
      <c r="F56" s="191" t="s">
        <v>214</v>
      </c>
      <c r="G56" s="191" t="s">
        <v>262</v>
      </c>
      <c r="H56" s="315"/>
      <c r="I56" s="316">
        <f>IF(I55=0,0,SUMIFS(операции!$AF:$AF,операции!$X:$X,"&gt;="&amp;I$8,операции!$X:$X,"&lt;="&amp;I$9,операции!$AB:$AB,"")/I55)</f>
        <v>42291.881872707469</v>
      </c>
      <c r="J56" s="317"/>
      <c r="K56" s="316">
        <f>IF(K55=0,0,SUMIFS(операции!$AF:$AF,операции!$X:$X,"&gt;="&amp;I$8,операции!$X:$X,"&lt;="&amp;I$9,операции!$AB:$AB,"",операции!$L:$L,K$9)/K55)</f>
        <v>42189.9570020877</v>
      </c>
      <c r="L56" s="318">
        <f>IF(L55=0,0,SUMIFS(операции!$AF:$AF,операции!$X:$X,"&gt;="&amp;I$8,операции!$X:$X,"&lt;="&amp;I$9,операции!$AB:$AB,"",операции!$L:$L,L$9)/L55)</f>
        <v>42329.8278501932</v>
      </c>
      <c r="M56" s="274"/>
      <c r="N56" s="193">
        <f>IF(N55=0,0,SUMIFS(операции!$AF:$AF,операции!$X:$X,"&gt;="&amp;N$8,операции!$X:$X,"&lt;="&amp;N$9,операции!$AB:$AB,"")/N55)</f>
        <v>42234.451505293619</v>
      </c>
      <c r="O56" s="196"/>
      <c r="P56" s="193">
        <f>IF(P55=0,0,SUMIFS(операции!$AF:$AF,операции!$X:$X,"&gt;="&amp;N$8,операции!$X:$X,"&lt;="&amp;N$9,операции!$AB:$AB,"",операции!$L:$L,P$9)/P55)</f>
        <v>42203.79377722575</v>
      </c>
      <c r="Q56" s="237">
        <f>IF(Q55=0,0,SUMIFS(операции!$AF:$AF,операции!$X:$X,"&gt;="&amp;N$8,операции!$X:$X,"&lt;="&amp;N$9,операции!$AB:$AB,"",операции!$L:$L,Q$9)/Q55)</f>
        <v>42302.13995053999</v>
      </c>
      <c r="R56" s="238"/>
      <c r="S56" s="193">
        <f>IF(S55=0,0,SUMIFS(операции!$AF:$AF,операции!$X:$X,"&gt;="&amp;S$8,операции!$X:$X,"&lt;="&amp;S$9,операции!$AB:$AB,"")/S55)</f>
        <v>42284.103655228449</v>
      </c>
      <c r="T56" s="196"/>
      <c r="U56" s="193">
        <f>IF(U55=0,0,SUMIFS(операции!$AF:$AF,операции!$X:$X,"&gt;="&amp;S$8,операции!$X:$X,"&lt;="&amp;S$9,операции!$AB:$AB,"",операции!$L:$L,U$9)/U55)</f>
        <v>42190.737130385503</v>
      </c>
      <c r="V56" s="237">
        <f>IF(V55=0,0,SUMIFS(операции!$AF:$AF,операции!$X:$X,"&gt;="&amp;S$8,операции!$X:$X,"&lt;="&amp;S$9,операции!$AB:$AB,"",операции!$L:$L,V$9)/V55)</f>
        <v>42325.354841859888</v>
      </c>
      <c r="W56" s="238"/>
      <c r="X56" s="193">
        <f>IF(X55=0,0,SUMIFS(операции!$AF:$AF,операции!$X:$X,"&gt;="&amp;X$8,операции!$X:$X,"&lt;="&amp;X$9,операции!$AB:$AB,"")/X55)</f>
        <v>42319.893379278277</v>
      </c>
      <c r="Y56" s="196"/>
      <c r="Z56" s="193">
        <f>IF(Z55=0,0,SUMIFS(операции!$AF:$AF,операции!$X:$X,"&gt;="&amp;X$8,операции!$X:$X,"&lt;="&amp;X$9,операции!$AB:$AB,"",операции!$L:$L,Z$9)/Z55)</f>
        <v>42144.826530899452</v>
      </c>
      <c r="AA56" s="237">
        <f>IF(AA55=0,0,SUMIFS(операции!$AF:$AF,операции!$X:$X,"&gt;="&amp;X$8,операции!$X:$X,"&lt;="&amp;X$9,операции!$AB:$AB,"",операции!$L:$L,AA$9)/AA55)</f>
        <v>42336.084347816715</v>
      </c>
      <c r="AB56" s="265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</row>
    <row r="57" spans="1:42" s="192" customFormat="1" ht="11.25">
      <c r="A57" s="37"/>
      <c r="B57" s="37"/>
      <c r="C57" s="37"/>
      <c r="D57" s="191"/>
      <c r="E57" s="191" t="s">
        <v>307</v>
      </c>
      <c r="F57" s="191" t="s">
        <v>214</v>
      </c>
      <c r="G57" s="191" t="s">
        <v>262</v>
      </c>
      <c r="H57" s="315"/>
      <c r="I57" s="316">
        <f>I$9</f>
        <v>42369</v>
      </c>
      <c r="J57" s="317"/>
      <c r="K57" s="316">
        <f>I$9</f>
        <v>42369</v>
      </c>
      <c r="L57" s="318">
        <f>I$9</f>
        <v>42369</v>
      </c>
      <c r="M57" s="274"/>
      <c r="N57" s="193">
        <f>N$9</f>
        <v>42308</v>
      </c>
      <c r="O57" s="196"/>
      <c r="P57" s="193">
        <f>N$9</f>
        <v>42308</v>
      </c>
      <c r="Q57" s="237">
        <f>N$9</f>
        <v>42308</v>
      </c>
      <c r="R57" s="238"/>
      <c r="S57" s="193">
        <f>S$9</f>
        <v>42338</v>
      </c>
      <c r="T57" s="196"/>
      <c r="U57" s="193">
        <f>S$9</f>
        <v>42338</v>
      </c>
      <c r="V57" s="237">
        <f>S$9</f>
        <v>42338</v>
      </c>
      <c r="W57" s="238"/>
      <c r="X57" s="193">
        <f>X$9</f>
        <v>42369</v>
      </c>
      <c r="Y57" s="196"/>
      <c r="Z57" s="193">
        <f>X$9</f>
        <v>42369</v>
      </c>
      <c r="AA57" s="237">
        <f>X$9</f>
        <v>42369</v>
      </c>
      <c r="AB57" s="265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</row>
    <row r="58" spans="1:42" s="5" customFormat="1">
      <c r="A58" s="1"/>
      <c r="B58" s="1"/>
      <c r="C58" s="1"/>
      <c r="D58" s="168"/>
      <c r="E58" s="168" t="s">
        <v>380</v>
      </c>
      <c r="F58" s="168" t="s">
        <v>214</v>
      </c>
      <c r="G58" s="168" t="s">
        <v>261</v>
      </c>
      <c r="H58" s="326"/>
      <c r="I58" s="327">
        <f>I53-I55</f>
        <v>98821.160000000033</v>
      </c>
      <c r="J58" s="313">
        <f>I58-K58-L58</f>
        <v>0</v>
      </c>
      <c r="K58" s="327">
        <f t="shared" ref="K58:L58" si="85">K53-K55</f>
        <v>27101.74000000002</v>
      </c>
      <c r="L58" s="328">
        <f t="shared" si="85"/>
        <v>71719.419999999925</v>
      </c>
      <c r="M58" s="277"/>
      <c r="N58" s="169">
        <f>N53-N55</f>
        <v>21449.630000000034</v>
      </c>
      <c r="O58" s="170">
        <f>N58-P58-Q58</f>
        <v>2.1827872842550278E-11</v>
      </c>
      <c r="P58" s="169">
        <f t="shared" ref="P58:Q58" si="86">P53-P55</f>
        <v>8990.4000000000087</v>
      </c>
      <c r="Q58" s="243">
        <f t="shared" si="86"/>
        <v>12459.230000000003</v>
      </c>
      <c r="R58" s="244"/>
      <c r="S58" s="169">
        <f>S53-S55</f>
        <v>44183.289999999979</v>
      </c>
      <c r="T58" s="170">
        <f>S58-U58-V58</f>
        <v>-2.9103830456733704E-11</v>
      </c>
      <c r="U58" s="169">
        <f t="shared" ref="U58:V58" si="87">U53-U55</f>
        <v>14941.839999999997</v>
      </c>
      <c r="V58" s="243">
        <f t="shared" si="87"/>
        <v>29241.450000000012</v>
      </c>
      <c r="W58" s="244"/>
      <c r="X58" s="169">
        <f>X53-X55</f>
        <v>33188.240000000049</v>
      </c>
      <c r="Y58" s="170">
        <f>X58-Z58-AA58</f>
        <v>5.8207660913467407E-11</v>
      </c>
      <c r="Z58" s="169">
        <f t="shared" ref="Z58:AA58" si="88">Z53-Z55</f>
        <v>3169.5</v>
      </c>
      <c r="AA58" s="243">
        <f t="shared" si="88"/>
        <v>30018.739999999991</v>
      </c>
      <c r="AB58" s="266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s="211" customFormat="1">
      <c r="A59" s="210"/>
      <c r="B59" s="210"/>
      <c r="C59" s="210"/>
      <c r="D59" s="218"/>
      <c r="E59" s="218" t="s">
        <v>381</v>
      </c>
      <c r="F59" s="218" t="s">
        <v>214</v>
      </c>
      <c r="G59" s="218" t="s">
        <v>218</v>
      </c>
      <c r="H59" s="343"/>
      <c r="I59" s="344">
        <f>IF(I53=0,0,(I58/I53))</f>
        <v>9.630959829564617E-2</v>
      </c>
      <c r="J59" s="345"/>
      <c r="K59" s="344">
        <f t="shared" ref="K59:L59" si="89">IF(K53=0,0,(K58/K53))</f>
        <v>9.7257374578339259E-2</v>
      </c>
      <c r="L59" s="346">
        <f t="shared" si="89"/>
        <v>9.5956238677687614E-2</v>
      </c>
      <c r="M59" s="280"/>
      <c r="N59" s="219">
        <f>IF(N53=0,0,(N58/N53))</f>
        <v>0.11610146739630545</v>
      </c>
      <c r="O59" s="220"/>
      <c r="P59" s="219">
        <f t="shared" ref="P59" si="90">IF(P53=0,0,(P58/P53))</f>
        <v>7.4065774731430903E-2</v>
      </c>
      <c r="Q59" s="252">
        <f t="shared" ref="Q59" si="91">IF(Q53=0,0,(Q58/Q53))</f>
        <v>0.19662637102501385</v>
      </c>
      <c r="R59" s="253"/>
      <c r="S59" s="219">
        <f>IF(S53=0,0,(S58/S53))</f>
        <v>0.11625070710844604</v>
      </c>
      <c r="T59" s="220"/>
      <c r="U59" s="219">
        <f t="shared" ref="U59" si="92">IF(U53=0,0,(U58/U53))</f>
        <v>0.1267675705025961</v>
      </c>
      <c r="V59" s="252">
        <f t="shared" ref="V59" si="93">IF(V53=0,0,(V58/V53))</f>
        <v>0.11152303004183818</v>
      </c>
      <c r="W59" s="253"/>
      <c r="X59" s="219">
        <f>IF(X53=0,0,(X58/X53))</f>
        <v>7.1951263929237411E-2</v>
      </c>
      <c r="Y59" s="220"/>
      <c r="Z59" s="219">
        <f t="shared" ref="Z59" si="94">IF(Z53=0,0,(Z58/Z53))</f>
        <v>8.0427831912302072E-2</v>
      </c>
      <c r="AA59" s="252">
        <f t="shared" ref="AA59" si="95">IF(AA53=0,0,(AA58/AA53))</f>
        <v>7.1159411357537686E-2</v>
      </c>
      <c r="AB59" s="267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</row>
    <row r="60" spans="1:42" s="5" customFormat="1">
      <c r="A60" s="1"/>
      <c r="B60" s="1"/>
      <c r="C60" s="1"/>
      <c r="D60" s="227"/>
      <c r="E60" s="227" t="s">
        <v>306</v>
      </c>
      <c r="F60" s="227" t="s">
        <v>214</v>
      </c>
      <c r="G60" s="227" t="s">
        <v>219</v>
      </c>
      <c r="H60" s="347"/>
      <c r="I60" s="348">
        <f>I54-I56</f>
        <v>38.370144195730973</v>
      </c>
      <c r="J60" s="321"/>
      <c r="K60" s="348">
        <f t="shared" ref="K60:L60" si="96">K54-K56</f>
        <v>126.96590396268584</v>
      </c>
      <c r="L60" s="349">
        <f t="shared" si="96"/>
        <v>5.3936617318540812</v>
      </c>
      <c r="M60" s="281"/>
      <c r="N60" s="228">
        <f>N54-N56</f>
        <v>68.691207251511514</v>
      </c>
      <c r="O60" s="173"/>
      <c r="P60" s="228">
        <f t="shared" ref="P60:Q60" si="97">P54-P56</f>
        <v>98.219461751381459</v>
      </c>
      <c r="Q60" s="254">
        <f t="shared" si="97"/>
        <v>3.1664173287063022</v>
      </c>
      <c r="R60" s="255"/>
      <c r="S60" s="228">
        <f>S54-S56</f>
        <v>44.150411796224944</v>
      </c>
      <c r="T60" s="173"/>
      <c r="U60" s="228">
        <f t="shared" ref="U60:V60" si="98">U54-U56</f>
        <v>133.03722737063072</v>
      </c>
      <c r="V60" s="254">
        <f t="shared" si="98"/>
        <v>4.913002274952305</v>
      </c>
      <c r="W60" s="255"/>
      <c r="X60" s="228">
        <f>X54-X56</f>
        <v>22.863029254869616</v>
      </c>
      <c r="Y60" s="173"/>
      <c r="Z60" s="228">
        <f t="shared" ref="Z60:AA60" si="99">Z54-Z56</f>
        <v>197.52847316063708</v>
      </c>
      <c r="AA60" s="254">
        <f t="shared" si="99"/>
        <v>6.709558576993004</v>
      </c>
      <c r="AB60" s="26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s="5" customFormat="1">
      <c r="A61" s="1"/>
      <c r="B61" s="1"/>
      <c r="C61" s="1"/>
      <c r="D61" s="227"/>
      <c r="E61" s="227" t="s">
        <v>382</v>
      </c>
      <c r="F61" s="227" t="s">
        <v>214</v>
      </c>
      <c r="G61" s="227" t="s">
        <v>219</v>
      </c>
      <c r="H61" s="347"/>
      <c r="I61" s="348">
        <f>I57-I56</f>
        <v>77.118127292531426</v>
      </c>
      <c r="J61" s="321"/>
      <c r="K61" s="348">
        <f t="shared" ref="K61:L61" si="100">K57-K56</f>
        <v>179.04299791230005</v>
      </c>
      <c r="L61" s="349">
        <f t="shared" si="100"/>
        <v>39.172149806800007</v>
      </c>
      <c r="M61" s="281"/>
      <c r="N61" s="228">
        <f>N57-N56</f>
        <v>73.548494706381462</v>
      </c>
      <c r="O61" s="173"/>
      <c r="P61" s="228">
        <f t="shared" ref="P61:Q61" si="101">P57-P56</f>
        <v>104.20622277424991</v>
      </c>
      <c r="Q61" s="254">
        <f t="shared" si="101"/>
        <v>5.8600494600104867</v>
      </c>
      <c r="R61" s="255"/>
      <c r="S61" s="228">
        <f>S57-S56</f>
        <v>53.896344771550503</v>
      </c>
      <c r="T61" s="173"/>
      <c r="U61" s="228">
        <f t="shared" ref="U61:V61" si="102">U57-U56</f>
        <v>147.26286961449659</v>
      </c>
      <c r="V61" s="254">
        <f t="shared" si="102"/>
        <v>12.645158140112471</v>
      </c>
      <c r="W61" s="255"/>
      <c r="X61" s="228">
        <f>X57-X56</f>
        <v>49.10662072172272</v>
      </c>
      <c r="Y61" s="173"/>
      <c r="Z61" s="228">
        <f t="shared" ref="Z61:AA61" si="103">Z57-Z56</f>
        <v>224.17346910054766</v>
      </c>
      <c r="AA61" s="254">
        <f t="shared" si="103"/>
        <v>32.915652183284692</v>
      </c>
      <c r="AB61" s="266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s="5" customFormat="1">
      <c r="A62" s="1"/>
      <c r="B62" s="1"/>
      <c r="C62" s="1"/>
      <c r="D62" s="225"/>
      <c r="E62" s="225" t="s">
        <v>383</v>
      </c>
      <c r="F62" s="225" t="s">
        <v>214</v>
      </c>
      <c r="G62" s="225" t="s">
        <v>219</v>
      </c>
      <c r="H62" s="350"/>
      <c r="I62" s="351">
        <f>I60-I61</f>
        <v>-38.747983096800453</v>
      </c>
      <c r="J62" s="352"/>
      <c r="K62" s="351">
        <f t="shared" ref="K62:L62" si="104">K60-K61</f>
        <v>-52.077093949614209</v>
      </c>
      <c r="L62" s="353">
        <f t="shared" si="104"/>
        <v>-33.778488074945926</v>
      </c>
      <c r="M62" s="282"/>
      <c r="N62" s="226">
        <f>N60-N61</f>
        <v>-4.8572874548699474</v>
      </c>
      <c r="O62" s="181"/>
      <c r="P62" s="226">
        <f t="shared" ref="P62" si="105">P60-P61</f>
        <v>-5.9867610228684498</v>
      </c>
      <c r="Q62" s="256">
        <f t="shared" ref="Q62" si="106">Q60-Q61</f>
        <v>-2.6936321313041844</v>
      </c>
      <c r="R62" s="257"/>
      <c r="S62" s="226">
        <f>S60-S61</f>
        <v>-9.7459329753255588</v>
      </c>
      <c r="T62" s="181"/>
      <c r="U62" s="226">
        <f t="shared" ref="U62" si="107">U60-U61</f>
        <v>-14.225642243865877</v>
      </c>
      <c r="V62" s="256">
        <f t="shared" ref="V62" si="108">V60-V61</f>
        <v>-7.7321558651601663</v>
      </c>
      <c r="W62" s="257"/>
      <c r="X62" s="226">
        <f>X60-X61</f>
        <v>-26.243591466853104</v>
      </c>
      <c r="Y62" s="181"/>
      <c r="Z62" s="226">
        <f t="shared" ref="Z62" si="109">Z60-Z61</f>
        <v>-26.644995939910586</v>
      </c>
      <c r="AA62" s="256">
        <f t="shared" ref="AA62" si="110">AA60-AA61</f>
        <v>-26.206093606291688</v>
      </c>
      <c r="AB62" s="266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s="5" customFormat="1">
      <c r="A63" s="1"/>
      <c r="B63" s="1"/>
      <c r="C63" s="1"/>
      <c r="D63" s="168" t="s">
        <v>312</v>
      </c>
      <c r="E63" s="168"/>
      <c r="F63" s="168" t="s">
        <v>214</v>
      </c>
      <c r="G63" s="168" t="s">
        <v>261</v>
      </c>
      <c r="H63" s="326"/>
      <c r="I63" s="327">
        <f>SUMIFS(операции!$AC:$AC,операции!$AB:$AB,"&gt;="&amp;I$8,операции!$AB:$AB,"&lt;="&amp;I$9)</f>
        <v>2015467.0499999989</v>
      </c>
      <c r="J63" s="313">
        <f>I63-K63-L63</f>
        <v>0</v>
      </c>
      <c r="K63" s="327">
        <f>SUMIFS(операции!$AC:$AC,операции!$AB:$AB,"&gt;="&amp;I$8,операции!$AB:$AB,"&lt;="&amp;I$9,операции!$L:$L,K$9)</f>
        <v>539445.61</v>
      </c>
      <c r="L63" s="328">
        <f>SUMIFS(операции!$AC:$AC,операции!$AB:$AB,"&gt;="&amp;I$8,операции!$AB:$AB,"&lt;="&amp;I$9,операции!$L:$L,L$9)</f>
        <v>1476021.4399999995</v>
      </c>
      <c r="M63" s="277"/>
      <c r="N63" s="169">
        <f>SUMIFS(операции!$AC:$AC,операции!$AB:$AB,"&gt;="&amp;N$8,операции!$AB:$AB,"&lt;="&amp;N$9)</f>
        <v>395462.8</v>
      </c>
      <c r="O63" s="170">
        <f>N63-P63-Q63</f>
        <v>-8.7311491370201111E-11</v>
      </c>
      <c r="P63" s="169">
        <f>SUMIFS(операции!$AC:$AC,операции!$AB:$AB,"&gt;="&amp;N$8,операции!$AB:$AB,"&lt;="&amp;N$9,операции!$L:$L,P$9)</f>
        <v>374215.33000000007</v>
      </c>
      <c r="Q63" s="243">
        <f>SUMIFS(операции!$AC:$AC,операции!$AB:$AB,"&gt;="&amp;N$8,операции!$AB:$AB,"&lt;="&amp;N$9,операции!$L:$L,Q$9)</f>
        <v>21247.47</v>
      </c>
      <c r="R63" s="244"/>
      <c r="S63" s="169">
        <f>SUMIFS(операции!$AC:$AC,операции!$AB:$AB,"&gt;="&amp;S$8,операции!$AB:$AB,"&lt;="&amp;S$9)</f>
        <v>593534.93000000005</v>
      </c>
      <c r="T63" s="170">
        <f>S63-U63-V63</f>
        <v>0</v>
      </c>
      <c r="U63" s="169">
        <f>SUMIFS(операции!$AC:$AC,операции!$AB:$AB,"&gt;="&amp;S$8,операции!$AB:$AB,"&lt;="&amp;S$9,операции!$L:$L,U$9)</f>
        <v>143588.46</v>
      </c>
      <c r="V63" s="243">
        <f>SUMIFS(операции!$AC:$AC,операции!$AB:$AB,"&gt;="&amp;S$8,операции!$AB:$AB,"&lt;="&amp;S$9,операции!$L:$L,V$9)</f>
        <v>449946.47000000009</v>
      </c>
      <c r="W63" s="244"/>
      <c r="X63" s="169">
        <f>SUMIFS(операции!$AC:$AC,операции!$AB:$AB,"&gt;="&amp;X$8,операции!$AB:$AB,"&lt;="&amp;X$9)</f>
        <v>1026469.3199999997</v>
      </c>
      <c r="Y63" s="170">
        <f>X63-Z63-AA63</f>
        <v>0</v>
      </c>
      <c r="Z63" s="169">
        <f>SUMIFS(операции!$AC:$AC,операции!$AB:$AB,"&gt;="&amp;X$8,операции!$AB:$AB,"&lt;="&amp;X$9,операции!$L:$L,Z$9)</f>
        <v>21641.82</v>
      </c>
      <c r="AA63" s="243">
        <f>SUMIFS(операции!$AC:$AC,операции!$AB:$AB,"&gt;="&amp;X$8,операции!$AB:$AB,"&lt;="&amp;X$9,операции!$L:$L,AA$9)</f>
        <v>1004827.4999999999</v>
      </c>
      <c r="AB63" s="266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s="192" customFormat="1" ht="11.25">
      <c r="A64" s="37"/>
      <c r="B64" s="37"/>
      <c r="C64" s="37"/>
      <c r="D64" s="207" t="s">
        <v>255</v>
      </c>
      <c r="E64" s="207"/>
      <c r="F64" s="207" t="s">
        <v>214</v>
      </c>
      <c r="G64" s="207" t="s">
        <v>262</v>
      </c>
      <c r="H64" s="331"/>
      <c r="I64" s="337">
        <f>IF(I63=0,0,SUMIFS(операции!$AH:$AH,операции!$AB:$AB,"&gt;="&amp;I$8,операции!$AB:$AB,"&lt;="&amp;I$9)/I63)</f>
        <v>42333.911036933154</v>
      </c>
      <c r="J64" s="333"/>
      <c r="K64" s="337">
        <f>IF(K63=0,0,SUMIFS(операции!$AH:$AH,операции!$AB:$AB,"&gt;="&amp;I$8,операции!$AB:$AB,"&lt;="&amp;I$9,операции!$L:$L,K$9)/K63)</f>
        <v>42301.583897846525</v>
      </c>
      <c r="L64" s="338">
        <f>IF(L63=0,0,SUMIFS(операции!$AH:$AH,операции!$AB:$AB,"&gt;="&amp;I$8,операции!$AB:$AB,"&lt;="&amp;I$9,операции!$L:$L,L$9)/L63)</f>
        <v>42345.725725251003</v>
      </c>
      <c r="M64" s="278"/>
      <c r="N64" s="217">
        <f>IF(N63=0,0,SUMIFS(операции!$AH:$AH,операции!$AB:$AB,"&gt;="&amp;N$8,операции!$AB:$AB,"&lt;="&amp;N$9)/N63)</f>
        <v>42291.790891406221</v>
      </c>
      <c r="O64" s="208"/>
      <c r="P64" s="217">
        <f>IF(P63=0,0,SUMIFS(операции!$AH:$AH,операции!$AB:$AB,"&gt;="&amp;N$8,операции!$AB:$AB,"&lt;="&amp;N$9,операции!$L:$L,P$9)/P63)</f>
        <v>42290.929699138724</v>
      </c>
      <c r="Q64" s="249">
        <f>IF(Q63=0,0,SUMIFS(операции!$AH:$AH,операции!$AB:$AB,"&gt;="&amp;N$8,операции!$AB:$AB,"&lt;="&amp;N$9,операции!$L:$L,Q$9)/Q63)</f>
        <v>42306.958407753955</v>
      </c>
      <c r="R64" s="247"/>
      <c r="S64" s="217">
        <f>IF(S63=0,0,SUMIFS(операции!$AH:$AH,операции!$AB:$AB,"&gt;="&amp;S$8,операции!$AB:$AB,"&lt;="&amp;S$9)/S63)</f>
        <v>42325.844938393122</v>
      </c>
      <c r="T64" s="208"/>
      <c r="U64" s="217">
        <f>IF(U63=0,0,SUMIFS(операции!$AH:$AH,операции!$AB:$AB,"&gt;="&amp;S$8,операции!$AB:$AB,"&lt;="&amp;S$9,операции!$L:$L,U$9)/U63)</f>
        <v>42321.725476476306</v>
      </c>
      <c r="V64" s="249">
        <f>IF(V63=0,0,SUMIFS(операции!$AH:$AH,операции!$AB:$AB,"&gt;="&amp;S$8,операции!$AB:$AB,"&lt;="&amp;S$9,операции!$L:$L,V$9)/V63)</f>
        <v>42327.15955520219</v>
      </c>
      <c r="W64" s="247"/>
      <c r="X64" s="217">
        <f>IF(X63=0,0,SUMIFS(операции!$AH:$AH,операции!$AB:$AB,"&gt;="&amp;X$8,операции!$AB:$AB,"&lt;="&amp;X$9)/X63)</f>
        <v>42354.802515617339</v>
      </c>
      <c r="Y64" s="208"/>
      <c r="Z64" s="217">
        <f>IF(Z63=0,0,SUMIFS(операции!$AH:$AH,операции!$AB:$AB,"&gt;="&amp;X$8,операции!$AB:$AB,"&lt;="&amp;X$9,операции!$L:$L,Z$9)/Z63)</f>
        <v>42352.174200691072</v>
      </c>
      <c r="AA64" s="249">
        <f>IF(AA63=0,0,SUMIFS(операции!$AH:$AH,операции!$AB:$AB,"&gt;="&amp;X$8,операции!$AB:$AB,"&lt;="&amp;X$9,операции!$L:$L,AA$9)/AA63)</f>
        <v>42354.859123859569</v>
      </c>
      <c r="AB64" s="265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</row>
    <row r="65" spans="1:42" s="111" customFormat="1" ht="11.25">
      <c r="A65" s="108"/>
      <c r="B65" s="108"/>
      <c r="C65" s="209" t="s">
        <v>279</v>
      </c>
      <c r="D65" s="109"/>
      <c r="E65" s="109"/>
      <c r="F65" s="109"/>
      <c r="G65" s="109"/>
      <c r="H65" s="307"/>
      <c r="I65" s="308">
        <f>I66-K66-L66+K65+L65</f>
        <v>0</v>
      </c>
      <c r="J65" s="309">
        <f>I11+I29-I35-I66</f>
        <v>0</v>
      </c>
      <c r="K65" s="308">
        <f>K11+K29-K35-K66</f>
        <v>9.3132257461547852E-10</v>
      </c>
      <c r="L65" s="336">
        <f>L11+L29-L35-L66</f>
        <v>-1.0477378964424133E-9</v>
      </c>
      <c r="M65" s="272"/>
      <c r="N65" s="110">
        <f>N66-P66-Q66</f>
        <v>0</v>
      </c>
      <c r="O65" s="215">
        <f>N11+N29-N35-N66</f>
        <v>0</v>
      </c>
      <c r="P65" s="110">
        <f>P11+P29-P35-P66</f>
        <v>0</v>
      </c>
      <c r="Q65" s="248">
        <f>Q11+Q29-Q35-Q66</f>
        <v>0</v>
      </c>
      <c r="R65" s="234"/>
      <c r="S65" s="110">
        <f>S66-U66-V66</f>
        <v>-9.3132257461547852E-10</v>
      </c>
      <c r="T65" s="215">
        <f>S11+S29-S35-S66</f>
        <v>2.5611370801925659E-9</v>
      </c>
      <c r="U65" s="110">
        <f>U11+U29-U35-U66</f>
        <v>0</v>
      </c>
      <c r="V65" s="248">
        <f>V11+V29-V35-V66</f>
        <v>0</v>
      </c>
      <c r="W65" s="234"/>
      <c r="X65" s="110">
        <f>X66-Z66-AA66</f>
        <v>0</v>
      </c>
      <c r="Y65" s="215">
        <f>X11+X29-X35-X66</f>
        <v>0</v>
      </c>
      <c r="Z65" s="110">
        <f>Z11+Z29-Z35-Z66</f>
        <v>0</v>
      </c>
      <c r="AA65" s="248">
        <f>AA11+AA29-AA35-AA66</f>
        <v>0</v>
      </c>
      <c r="AB65" s="263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</row>
    <row r="66" spans="1:42" s="93" customFormat="1" ht="15">
      <c r="A66" s="92"/>
      <c r="B66" s="92"/>
      <c r="C66" s="214"/>
      <c r="D66" s="151" t="s">
        <v>238</v>
      </c>
      <c r="E66" s="151"/>
      <c r="F66" s="151" t="s">
        <v>214</v>
      </c>
      <c r="G66" s="151" t="s">
        <v>261</v>
      </c>
      <c r="H66" s="311"/>
      <c r="I66" s="312">
        <f>SUMIFS(операции!$V:$V,операции!$T:$T,"&lt;="&amp;I$9,операции!$X:$X,"")+SUMIFS(операции!$V:$V,операции!$T:$T,"&lt;="&amp;I$9,операции!$X:$X,"&gt;"&amp;I$9)</f>
        <v>914632.67000000062</v>
      </c>
      <c r="J66" s="313">
        <f>I66-I71-I77</f>
        <v>0</v>
      </c>
      <c r="K66" s="312">
        <f>SUMIFS(операции!$V:$V,операции!$T:$T,"&lt;="&amp;I$9,операции!$X:$X,"",операции!$L:$L,K$9)+SUMIFS(операции!$V:$V,операции!$T:$T,"&lt;="&amp;I$9,операции!$X:$X,"&gt;"&amp;I$9,операции!$L:$L,K$9)</f>
        <v>695650.87000000058</v>
      </c>
      <c r="L66" s="314">
        <f>SUMIFS(операции!$V:$V,операции!$T:$T,"&lt;="&amp;I$9,операции!$X:$X,"",операции!$L:$L,L$9)+SUMIFS(операции!$V:$V,операции!$T:$T,"&lt;="&amp;I$9,операции!$X:$X,"&gt;"&amp;I$9,операции!$L:$L,L$9)</f>
        <v>218981.79999999993</v>
      </c>
      <c r="M66" s="273"/>
      <c r="N66" s="152">
        <f>SUMIFS(операции!$V:$V,операции!$T:$T,"&lt;="&amp;N$9,операции!$X:$X,"")+SUMIFS(операции!$V:$V,операции!$T:$T,"&lt;="&amp;N$9,операции!$X:$X,"&gt;"&amp;N$9)</f>
        <v>1494105.1600000004</v>
      </c>
      <c r="O66" s="170">
        <f>N66-N71-N77</f>
        <v>6.4028427004814148E-10</v>
      </c>
      <c r="P66" s="152">
        <f>SUMIFS(операции!$V:$V,операции!$T:$T,"&lt;="&amp;N$9,операции!$X:$X,"",операции!$L:$L,P$9)+SUMIFS(операции!$V:$V,операции!$T:$T,"&lt;="&amp;N$9,операции!$X:$X,"&gt;"&amp;N$9,операции!$L:$L,P$9)</f>
        <v>1347125.2300000004</v>
      </c>
      <c r="Q66" s="235">
        <f>SUMIFS(операции!$V:$V,операции!$T:$T,"&lt;="&amp;N$9,операции!$X:$X,"",операции!$L:$L,Q$9)+SUMIFS(операции!$V:$V,операции!$T:$T,"&lt;="&amp;N$9,операции!$X:$X,"&gt;"&amp;N$9,операции!$L:$L,Q$9)</f>
        <v>146979.93000000002</v>
      </c>
      <c r="R66" s="236"/>
      <c r="S66" s="152">
        <f>SUMIFS(операции!$V:$V,операции!$T:$T,"&lt;="&amp;S$9,операции!$X:$X,"")+SUMIFS(операции!$V:$V,операции!$T:$T,"&lt;="&amp;S$9,операции!$X:$X,"&gt;"&amp;S$9)</f>
        <v>1748502.0699999996</v>
      </c>
      <c r="T66" s="170">
        <f>S66-S71-S77</f>
        <v>-9.3132257461547852E-10</v>
      </c>
      <c r="U66" s="152">
        <f>SUMIFS(операции!$V:$V,операции!$T:$T,"&lt;="&amp;S$9,операции!$X:$X,"",операции!$L:$L,U$9)+SUMIFS(операции!$V:$V,операции!$T:$T,"&lt;="&amp;S$9,операции!$X:$X,"&gt;"&amp;S$9,операции!$L:$L,U$9)</f>
        <v>841216.99000000057</v>
      </c>
      <c r="V66" s="235">
        <f>SUMIFS(операции!$V:$V,операции!$T:$T,"&lt;="&amp;S$9,операции!$X:$X,"",операции!$L:$L,V$9)+SUMIFS(операции!$V:$V,операции!$T:$T,"&lt;="&amp;S$9,операции!$X:$X,"&gt;"&amp;S$9,операции!$L:$L,V$9)</f>
        <v>907285.08</v>
      </c>
      <c r="W66" s="236"/>
      <c r="X66" s="152">
        <f>SUMIFS(операции!$V:$V,операции!$T:$T,"&lt;="&amp;X$9,операции!$X:$X,"")+SUMIFS(операции!$V:$V,операции!$T:$T,"&lt;="&amp;X$9,операции!$X:$X,"&gt;"&amp;X$9)</f>
        <v>914632.67000000062</v>
      </c>
      <c r="Y66" s="170">
        <f>X66-X71-X77</f>
        <v>0</v>
      </c>
      <c r="Z66" s="152">
        <f>SUMIFS(операции!$V:$V,операции!$T:$T,"&lt;="&amp;X$9,операции!$X:$X,"",операции!$L:$L,Z$9)+SUMIFS(операции!$V:$V,операции!$T:$T,"&lt;="&amp;X$9,операции!$X:$X,"&gt;"&amp;X$9,операции!$L:$L,Z$9)</f>
        <v>695650.87000000058</v>
      </c>
      <c r="AA66" s="235">
        <f>SUMIFS(операции!$V:$V,операции!$T:$T,"&lt;="&amp;X$9,операции!$X:$X,"",операции!$L:$L,AA$9)+SUMIFS(операции!$V:$V,операции!$T:$T,"&lt;="&amp;X$9,операции!$X:$X,"&gt;"&amp;X$9,операции!$L:$L,AA$9)</f>
        <v>218981.79999999993</v>
      </c>
      <c r="AB66" s="264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</row>
    <row r="67" spans="1:42" s="192" customFormat="1" ht="11.25">
      <c r="A67" s="37"/>
      <c r="B67" s="37"/>
      <c r="C67" s="37"/>
      <c r="D67" s="191" t="s">
        <v>255</v>
      </c>
      <c r="E67" s="191"/>
      <c r="F67" s="191" t="s">
        <v>214</v>
      </c>
      <c r="G67" s="191" t="s">
        <v>262</v>
      </c>
      <c r="H67" s="315"/>
      <c r="I67" s="316">
        <f>IF(I66=0,0,(SUMIFS(операции!$AF:$AF,операции!$T:$T,"&lt;="&amp;I$9,операции!$X:$X,"")+SUMIFS(операции!$AF:$AF,операции!$T:$T,"&lt;="&amp;I$9,операции!$X:$X,"&gt;"&amp;I$9))/I66)</f>
        <v>42237.768743478155</v>
      </c>
      <c r="J67" s="317"/>
      <c r="K67" s="316">
        <f>IF(K66=0,0,(SUMIFS(операции!$AF:$AF,операции!$T:$T,"&lt;="&amp;I$9,операции!$X:$X,"",операции!$L:$L,K$9)+SUMIFS(операции!$AF:$AF,операции!$T:$T,"&lt;="&amp;I$9,операции!$X:$X,"&gt;"&amp;I$9,операции!$L:$L,K$9))/K66)</f>
        <v>42198.400432432398</v>
      </c>
      <c r="L67" s="318">
        <f>IF(L66=0,0,(SUMIFS(операции!$AF:$AF,операции!$T:$T,"&lt;="&amp;I$9,операции!$X:$X,"",операции!$L:$L,L$9)+SUMIFS(операции!$AF:$AF,операции!$T:$T,"&lt;="&amp;I$9,операции!$X:$X,"&gt;"&amp;I$9,операции!$L:$L,L$9))/L66)</f>
        <v>42362.832104129215</v>
      </c>
      <c r="M67" s="274"/>
      <c r="N67" s="193">
        <f>IF(N66=0,0,(SUMIFS(операции!$AF:$AF,операции!$T:$T,"&lt;="&amp;N$9,операции!$X:$X,"")+SUMIFS(операции!$AF:$AF,операции!$T:$T,"&lt;="&amp;N$9,операции!$X:$X,"&gt;"&amp;N$9))/N66)</f>
        <v>42209.484998284854</v>
      </c>
      <c r="O67" s="196"/>
      <c r="P67" s="193">
        <f>IF(P66=0,0,(SUMIFS(операции!$AF:$AF,операции!$T:$T,"&lt;="&amp;N$9,операции!$X:$X,"",операции!$L:$L,P$9)+SUMIFS(операции!$AF:$AF,операции!$T:$T,"&lt;="&amp;N$9,операции!$X:$X,"&gt;"&amp;N$9,операции!$L:$L,P$9))/P66)</f>
        <v>42198.959645548312</v>
      </c>
      <c r="Q67" s="237">
        <f>IF(Q66=0,0,(SUMIFS(операции!$AF:$AF,операции!$T:$T,"&lt;="&amp;N$9,операции!$X:$X,"",операции!$L:$L,Q$9)+SUMIFS(операции!$AF:$AF,операции!$T:$T,"&lt;="&amp;N$9,операции!$X:$X,"&gt;"&amp;N$9,операции!$L:$L,Q$9))/Q66)</f>
        <v>42305.953735384144</v>
      </c>
      <c r="R67" s="238"/>
      <c r="S67" s="193">
        <f>IF(S66=0,0,(SUMIFS(операции!$AF:$AF,операции!$T:$T,"&lt;="&amp;S$9,операции!$X:$X,"")+SUMIFS(операции!$AF:$AF,операции!$T:$T,"&lt;="&amp;S$9,операции!$X:$X,"&gt;"&amp;S$9))/S66)</f>
        <v>42270.647921846634</v>
      </c>
      <c r="T67" s="196"/>
      <c r="U67" s="193">
        <f>IF(U66=0,0,(SUMIFS(операции!$AF:$AF,операции!$T:$T,"&lt;="&amp;S$9,операции!$X:$X,"",операции!$L:$L,U$9)+SUMIFS(операции!$AF:$AF,операции!$T:$T,"&lt;="&amp;S$9,операции!$X:$X,"&gt;"&amp;S$9,операции!$L:$L,U$9))/U66)</f>
        <v>42200.38366206795</v>
      </c>
      <c r="V67" s="237">
        <f>IF(V66=0,0,(SUMIFS(операции!$AF:$AF,операции!$T:$T,"&lt;="&amp;S$9,операции!$X:$X,"",операции!$L:$L,V$9)+SUMIFS(операции!$AF:$AF,операции!$T:$T,"&lt;="&amp;S$9,операции!$X:$X,"&gt;"&amp;S$9,операции!$L:$L,V$9))/V66)</f>
        <v>42335.795569943701</v>
      </c>
      <c r="W67" s="238"/>
      <c r="X67" s="193">
        <f>IF(X66=0,0,(SUMIFS(операции!$AF:$AF,операции!$T:$T,"&lt;="&amp;X$9,операции!$X:$X,"")+SUMIFS(операции!$AF:$AF,операции!$T:$T,"&lt;="&amp;X$9,операции!$X:$X,"&gt;"&amp;X$9))/X66)</f>
        <v>42237.768743478155</v>
      </c>
      <c r="Y67" s="196"/>
      <c r="Z67" s="193">
        <f>IF(Z66=0,0,(SUMIFS(операции!$AF:$AF,операции!$T:$T,"&lt;="&amp;X$9,операции!$X:$X,"",операции!$L:$L,Z$9)+SUMIFS(операции!$AF:$AF,операции!$T:$T,"&lt;="&amp;X$9,операции!$X:$X,"&gt;"&amp;X$9,операции!$L:$L,Z$9))/Z66)</f>
        <v>42198.400432432398</v>
      </c>
      <c r="AA67" s="237">
        <f>IF(AA66=0,0,(SUMIFS(операции!$AF:$AF,операции!$T:$T,"&lt;="&amp;X$9,операции!$X:$X,"",операции!$L:$L,AA$9)+SUMIFS(операции!$AF:$AF,операции!$T:$T,"&lt;="&amp;X$9,операции!$X:$X,"&gt;"&amp;X$9,операции!$L:$L,AA$9))/AA66)</f>
        <v>42362.832104129215</v>
      </c>
      <c r="AB67" s="265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</row>
    <row r="68" spans="1:42" s="50" customFormat="1" ht="11.25">
      <c r="A68" s="48"/>
      <c r="B68" s="48"/>
      <c r="C68" s="48"/>
      <c r="D68" s="154" t="s">
        <v>239</v>
      </c>
      <c r="E68" s="154"/>
      <c r="F68" s="154" t="s">
        <v>214</v>
      </c>
      <c r="G68" s="154" t="s">
        <v>219</v>
      </c>
      <c r="H68" s="319"/>
      <c r="I68" s="320">
        <f>IF(I66=0,0,I$9-I67)</f>
        <v>131.23125652184535</v>
      </c>
      <c r="J68" s="321">
        <f>I68-SUMIFS(ПОбТЗ!$I:$I,ПОбТЗ!$E:$E,$D68,ПОбТЗ!$F:$F,$F68)</f>
        <v>0</v>
      </c>
      <c r="K68" s="320">
        <f>IF(K66=0,0,I$9-K67)</f>
        <v>170.59956756760221</v>
      </c>
      <c r="L68" s="322">
        <f>IF(L66=0,0,I$9-L67)</f>
        <v>6.1678958707852871</v>
      </c>
      <c r="M68" s="275"/>
      <c r="N68" s="155">
        <f>IF(N66=0,0,N$9-N67)</f>
        <v>98.515001715146354</v>
      </c>
      <c r="O68" s="173">
        <f>N68-SUMIFS(ПОбТЗ_1!$J:$J,ПОбТЗ_1!$D:$D,$D68,ПОбТЗ_1!$E:$E,$F68)</f>
        <v>0</v>
      </c>
      <c r="P68" s="155">
        <f>IF(P66=0,0,N$9-P67)</f>
        <v>109.04035445168847</v>
      </c>
      <c r="Q68" s="239">
        <f>IF(Q66=0,0,N$9-Q67)</f>
        <v>2.0462646158557618</v>
      </c>
      <c r="R68" s="240"/>
      <c r="S68" s="155">
        <f>IF(S66=0,0,S$9-S67)</f>
        <v>67.352078153366165</v>
      </c>
      <c r="T68" s="173">
        <f>S68-SUMIFS(ПОбТЗ_1!$K:$K,ПОбТЗ_1!$D:$D,$D68,ПОбТЗ_1!$E:$E,$F68)</f>
        <v>0</v>
      </c>
      <c r="U68" s="155">
        <f>IF(U66=0,0,S$9-U67)</f>
        <v>137.61633793204965</v>
      </c>
      <c r="V68" s="239">
        <f>IF(V66=0,0,S$9-V67)</f>
        <v>2.2044300562993158</v>
      </c>
      <c r="W68" s="240"/>
      <c r="X68" s="155">
        <f>IF(X66=0,0,X$9-X67)</f>
        <v>131.23125652184535</v>
      </c>
      <c r="Y68" s="173">
        <f>X68-SUMIFS(ПОбТЗ_1!$L:$L,ПОбТЗ_1!$D:$D,$D68,ПОбТЗ_1!$E:$E,$F68)</f>
        <v>0</v>
      </c>
      <c r="Z68" s="155">
        <f>IF(Z66=0,0,X$9-Z67)</f>
        <v>170.59956756760221</v>
      </c>
      <c r="AA68" s="239">
        <f>IF(AA66=0,0,X$9-AA67)</f>
        <v>6.1678958707852871</v>
      </c>
      <c r="AB68" s="230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s="93" customFormat="1" ht="15">
      <c r="A69" s="92"/>
      <c r="B69" s="92"/>
      <c r="C69" s="92"/>
      <c r="D69" s="198" t="s">
        <v>280</v>
      </c>
      <c r="E69" s="198"/>
      <c r="F69" s="198" t="s">
        <v>214</v>
      </c>
      <c r="G69" s="198" t="s">
        <v>219</v>
      </c>
      <c r="H69" s="323"/>
      <c r="I69" s="324">
        <f>IF(I66=0,0,(I71*I75+I77*I81)/I66)</f>
        <v>36.159549702099618</v>
      </c>
      <c r="J69" s="321"/>
      <c r="K69" s="324">
        <f>IF(K66=0,0,(K71*K75+K77*K81)/K66)</f>
        <v>45.723550004370551</v>
      </c>
      <c r="L69" s="325">
        <f>IF(L66=0,0,(L71*L75+L77*L81)/L66)</f>
        <v>5.7770926624719809</v>
      </c>
      <c r="M69" s="276"/>
      <c r="N69" s="199">
        <f>IF(N66=0,0,(N71*N75+N77*N81)/N66)</f>
        <v>39.171100125259798</v>
      </c>
      <c r="O69" s="173"/>
      <c r="P69" s="199">
        <f>IF(P66=0,0,(P71*P75+P77*P81)/P66)</f>
        <v>43.221655784761566</v>
      </c>
      <c r="Q69" s="241">
        <f>IF(Q66=0,0,(Q71*Q75+Q77*Q81)/Q66)</f>
        <v>2.0462646158484854</v>
      </c>
      <c r="R69" s="242"/>
      <c r="S69" s="199">
        <f>IF(S66=0,0,(S71*S75+S77*S81)/S66)</f>
        <v>23.658387370417721</v>
      </c>
      <c r="T69" s="173"/>
      <c r="U69" s="199">
        <f>IF(U66=0,0,(U71*U75+U77*U81)/U66)</f>
        <v>46.797310632095652</v>
      </c>
      <c r="V69" s="241">
        <f>IF(V66=0,0,(V71*V75+V77*V81)/V66)</f>
        <v>2.20443005632842</v>
      </c>
      <c r="W69" s="242"/>
      <c r="X69" s="199">
        <f>IF(X66=0,0,(X71*X75+X77*X81)/X66)</f>
        <v>36.159549702099618</v>
      </c>
      <c r="Y69" s="173"/>
      <c r="Z69" s="199">
        <f>IF(Z66=0,0,(Z71*Z75+Z77*Z81)/Z66)</f>
        <v>45.723550004370551</v>
      </c>
      <c r="AA69" s="241">
        <f>IF(AA66=0,0,(AA71*AA75+AA77*AA81)/AA66)</f>
        <v>5.7770926624719809</v>
      </c>
      <c r="AB69" s="264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</row>
    <row r="70" spans="1:42" s="50" customFormat="1" ht="11.25">
      <c r="A70" s="48"/>
      <c r="B70" s="48"/>
      <c r="C70" s="48"/>
      <c r="D70" s="154" t="s">
        <v>281</v>
      </c>
      <c r="E70" s="154"/>
      <c r="F70" s="154" t="s">
        <v>214</v>
      </c>
      <c r="G70" s="154" t="s">
        <v>219</v>
      </c>
      <c r="H70" s="319"/>
      <c r="I70" s="320">
        <f>I68-I69</f>
        <v>95.071706819745742</v>
      </c>
      <c r="J70" s="321"/>
      <c r="K70" s="320">
        <f>K68-K69</f>
        <v>124.87601756323166</v>
      </c>
      <c r="L70" s="322">
        <f>L68-L69</f>
        <v>0.39080320831330617</v>
      </c>
      <c r="M70" s="275"/>
      <c r="N70" s="155">
        <f>N68-N69</f>
        <v>59.343901589886556</v>
      </c>
      <c r="O70" s="173"/>
      <c r="P70" s="155">
        <f>P68-P69</f>
        <v>65.818698666926906</v>
      </c>
      <c r="Q70" s="239">
        <f>Q68-Q69</f>
        <v>7.276401703393276E-12</v>
      </c>
      <c r="R70" s="240"/>
      <c r="S70" s="155">
        <f>S68-S69</f>
        <v>43.693690782948444</v>
      </c>
      <c r="T70" s="173"/>
      <c r="U70" s="155">
        <f>U68-U69</f>
        <v>90.819027299954001</v>
      </c>
      <c r="V70" s="239">
        <f>V68-V69</f>
        <v>-2.9104274545943554E-11</v>
      </c>
      <c r="W70" s="240"/>
      <c r="X70" s="155">
        <f>X68-X69</f>
        <v>95.071706819745742</v>
      </c>
      <c r="Y70" s="173"/>
      <c r="Z70" s="155">
        <f>Z68-Z69</f>
        <v>124.87601756323166</v>
      </c>
      <c r="AA70" s="239">
        <f>AA68-AA69</f>
        <v>0.39080320831330617</v>
      </c>
      <c r="AB70" s="230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s="5" customFormat="1">
      <c r="A71" s="1"/>
      <c r="B71" s="1"/>
      <c r="C71" s="1"/>
      <c r="D71" s="168"/>
      <c r="E71" s="168" t="s">
        <v>282</v>
      </c>
      <c r="F71" s="168" t="s">
        <v>214</v>
      </c>
      <c r="G71" s="168" t="s">
        <v>261</v>
      </c>
      <c r="H71" s="326"/>
      <c r="I71" s="327">
        <f>SUMIFS(операции!$V:$V,операции!$T:$T,"&lt;="&amp;I$9,операции!$X:$X,"",операции!$AB:$AB,"&lt;&gt;"&amp;"",операции!$AB:$AB,"&lt;="&amp;I$9)+SUMIFS(операции!$V:$V,операции!$T:$T,"&lt;="&amp;I$9,операции!$X:$X,"&gt;"&amp;I$9,операции!$AB:$AB,"&lt;&gt;"&amp;"",операции!$AB:$AB,"&lt;="&amp;I$9)</f>
        <v>620893.55000000028</v>
      </c>
      <c r="J71" s="313">
        <f>I71-K71-L71</f>
        <v>-1.4551915228366852E-11</v>
      </c>
      <c r="K71" s="327">
        <f>SUMIFS(операции!$V:$V,операции!$T:$T,"&lt;="&amp;I$9,операции!$X:$X,"",операции!$AB:$AB,"&lt;&gt;"&amp;"",операции!$AB:$AB,"&lt;="&amp;I$9,операции!$L:$L,K$9)+SUMIFS(операции!$V:$V,операции!$T:$T,"&lt;="&amp;I$9,операции!$X:$X,"&gt;"&amp;I$9,операции!$AB:$AB,"&lt;&gt;"&amp;"",операции!$AB:$AB,"&lt;="&amp;I$9,операции!$L:$L,K$9)</f>
        <v>607513.94000000029</v>
      </c>
      <c r="L71" s="328">
        <f>SUMIFS(операции!$V:$V,операции!$T:$T,"&lt;="&amp;I$9,операции!$X:$X,"",операции!$AB:$AB,"&lt;&gt;"&amp;"",операции!$AB:$AB,"&lt;="&amp;I$9,операции!$L:$L,L$9)+SUMIFS(операции!$V:$V,операции!$T:$T,"&lt;="&amp;I$9,операции!$X:$X,"&gt;"&amp;I$9,операции!$AB:$AB,"&lt;&gt;"&amp;"",операции!$AB:$AB,"&lt;="&amp;I$9,операции!$L:$L,L$9)</f>
        <v>13379.61</v>
      </c>
      <c r="M71" s="277"/>
      <c r="N71" s="169">
        <f>SUMIFS(операции!$V:$V,операции!$T:$T,"&lt;="&amp;N$9,операции!$X:$X,"",операции!$AB:$AB,"&lt;&gt;"&amp;"",операции!$AB:$AB,"&lt;="&amp;N$9)+SUMIFS(операции!$V:$V,операции!$T:$T,"&lt;="&amp;N$9,операции!$X:$X,"&gt;"&amp;N$9,операции!$AB:$AB,"&lt;&gt;"&amp;"",операции!$AB:$AB,"&lt;="&amp;N$9)</f>
        <v>990146.43999999971</v>
      </c>
      <c r="O71" s="170">
        <f>N71-P71-Q71</f>
        <v>0</v>
      </c>
      <c r="P71" s="169">
        <f>SUMIFS(операции!$V:$V,операции!$T:$T,"&lt;="&amp;N$9,операции!$X:$X,"",операции!$AB:$AB,"&lt;&gt;"&amp;"",операции!$AB:$AB,"&lt;="&amp;N$9,операции!$L:$L,P$9)+SUMIFS(операции!$V:$V,операции!$T:$T,"&lt;="&amp;N$9,операции!$X:$X,"&gt;"&amp;N$9,операции!$AB:$AB,"&lt;&gt;"&amp;"",операции!$AB:$AB,"&lt;="&amp;N$9,операции!$L:$L,P$9)</f>
        <v>990146.43999999971</v>
      </c>
      <c r="Q71" s="243">
        <f>SUMIFS(операции!$V:$V,операции!$T:$T,"&lt;="&amp;N$9,операции!$X:$X,"",операции!$AB:$AB,"&lt;&gt;"&amp;"",операции!$AB:$AB,"&lt;="&amp;N$9,операции!$L:$L,Q$9)+SUMIFS(операции!$V:$V,операции!$T:$T,"&lt;="&amp;N$9,операции!$X:$X,"&gt;"&amp;N$9,операции!$AB:$AB,"&lt;&gt;"&amp;"",операции!$AB:$AB,"&lt;="&amp;N$9,операции!$L:$L,Q$9)</f>
        <v>0</v>
      </c>
      <c r="R71" s="244"/>
      <c r="S71" s="169">
        <f>SUMIFS(операции!$V:$V,операции!$T:$T,"&lt;="&amp;S$9,операции!$X:$X,"",операции!$AB:$AB,"&lt;&gt;"&amp;"",операции!$AB:$AB,"&lt;="&amp;S$9)+SUMIFS(операции!$V:$V,операции!$T:$T,"&lt;="&amp;S$9,операции!$X:$X,"&gt;"&amp;S$9,операции!$AB:$AB,"&lt;&gt;"&amp;"",операции!$AB:$AB,"&lt;="&amp;S$9)</f>
        <v>705140.15000000026</v>
      </c>
      <c r="T71" s="170">
        <f>S71-U71-V71</f>
        <v>0</v>
      </c>
      <c r="U71" s="169">
        <f>SUMIFS(операции!$V:$V,операции!$T:$T,"&lt;="&amp;S$9,операции!$X:$X,"",операции!$AB:$AB,"&lt;&gt;"&amp;"",операции!$AB:$AB,"&lt;="&amp;S$9,операции!$L:$L,U$9)+SUMIFS(операции!$V:$V,операции!$T:$T,"&lt;="&amp;S$9,операции!$X:$X,"&gt;"&amp;S$9,операции!$AB:$AB,"&lt;&gt;"&amp;"",операции!$AB:$AB,"&lt;="&amp;S$9,операции!$L:$L,U$9)</f>
        <v>705140.15000000026</v>
      </c>
      <c r="V71" s="243">
        <f>SUMIFS(операции!$V:$V,операции!$T:$T,"&lt;="&amp;S$9,операции!$X:$X,"",операции!$AB:$AB,"&lt;&gt;"&amp;"",операции!$AB:$AB,"&lt;="&amp;S$9,операции!$L:$L,V$9)+SUMIFS(операции!$V:$V,операции!$T:$T,"&lt;="&amp;S$9,операции!$X:$X,"&gt;"&amp;S$9,операции!$AB:$AB,"&lt;&gt;"&amp;"",операции!$AB:$AB,"&lt;="&amp;S$9,операции!$L:$L,V$9)</f>
        <v>0</v>
      </c>
      <c r="W71" s="244"/>
      <c r="X71" s="169">
        <f>SUMIFS(операции!$V:$V,операции!$T:$T,"&lt;="&amp;X$9,операции!$X:$X,"",операции!$AB:$AB,"&lt;&gt;"&amp;"",операции!$AB:$AB,"&lt;="&amp;X$9)+SUMIFS(операции!$V:$V,операции!$T:$T,"&lt;="&amp;X$9,операции!$X:$X,"&gt;"&amp;X$9,операции!$AB:$AB,"&lt;&gt;"&amp;"",операции!$AB:$AB,"&lt;="&amp;X$9)</f>
        <v>620893.55000000028</v>
      </c>
      <c r="Y71" s="170">
        <f>X71-Z71-AA71</f>
        <v>-1.4551915228366852E-11</v>
      </c>
      <c r="Z71" s="169">
        <f>SUMIFS(операции!$V:$V,операции!$T:$T,"&lt;="&amp;X$9,операции!$X:$X,"",операции!$AB:$AB,"&lt;&gt;"&amp;"",операции!$AB:$AB,"&lt;="&amp;X$9,операции!$L:$L,Z$9)+SUMIFS(операции!$V:$V,операции!$T:$T,"&lt;="&amp;X$9,операции!$X:$X,"&gt;"&amp;X$9,операции!$AB:$AB,"&lt;&gt;"&amp;"",операции!$AB:$AB,"&lt;="&amp;X$9,операции!$L:$L,Z$9)</f>
        <v>607513.94000000029</v>
      </c>
      <c r="AA71" s="243">
        <f>SUMIFS(операции!$V:$V,операции!$T:$T,"&lt;="&amp;X$9,операции!$X:$X,"",операции!$AB:$AB,"&lt;&gt;"&amp;"",операции!$AB:$AB,"&lt;="&amp;X$9,операции!$L:$L,AA$9)+SUMIFS(операции!$V:$V,операции!$T:$T,"&lt;="&amp;X$9,операции!$X:$X,"&gt;"&amp;X$9,операции!$AB:$AB,"&lt;&gt;"&amp;"",операции!$AB:$AB,"&lt;="&amp;X$9,операции!$L:$L,AA$9)</f>
        <v>13379.61</v>
      </c>
      <c r="AB71" s="266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s="192" customFormat="1" ht="11.25">
      <c r="A72" s="37"/>
      <c r="B72" s="37"/>
      <c r="C72" s="37"/>
      <c r="D72" s="191"/>
      <c r="E72" s="191" t="s">
        <v>255</v>
      </c>
      <c r="F72" s="191" t="s">
        <v>214</v>
      </c>
      <c r="G72" s="191" t="s">
        <v>262</v>
      </c>
      <c r="H72" s="315"/>
      <c r="I72" s="316">
        <f>IF(I71=0,0,(SUMIFS(операции!$AF:$AF,операции!$T:$T,"&lt;="&amp;I$9,операции!$X:$X,"",операции!$AB:$AB,"&lt;&gt;"&amp;"",операции!$AB:$AB,"&lt;="&amp;I$9)+SUMIFS(операции!$AF:$AF,операции!$T:$T,"&lt;="&amp;I$9,операции!$X:$X,"&gt;"&amp;I$9,операции!$AB:$AB,"&lt;&gt;"&amp;"",операции!$AB:$AB,"&lt;="&amp;I$9))/I71)</f>
        <v>42202.273325822083</v>
      </c>
      <c r="J72" s="317"/>
      <c r="K72" s="316">
        <f>IF(K71=0,0,(SUMIFS(операции!$AF:$AF,операции!$T:$T,"&lt;="&amp;I$9,операции!$X:$X,"",операции!$AB:$AB,"&lt;&gt;"&amp;"",операции!$AB:$AB,"&lt;="&amp;I$9,операции!$L:$L,K$9)+SUMIFS(операции!$AF:$AF,операции!$T:$T,"&lt;="&amp;I$9,операции!$X:$X,"&gt;"&amp;I$9,операции!$AB:$AB,"&lt;&gt;"&amp;"",операции!$AB:$AB,"&lt;="&amp;I$9,операции!$L:$L,K$9))/K71)</f>
        <v>42198.953901782043</v>
      </c>
      <c r="L72" s="318">
        <f>IF(L71=0,0,(SUMIFS(операции!$AF:$AF,операции!$T:$T,"&lt;="&amp;I$9,операции!$X:$X,"",операции!$AB:$AB,"&lt;&gt;"&amp;"",операции!$AB:$AB,"&lt;="&amp;I$9,операции!$L:$L,L$9)+SUMIFS(операции!$AF:$AF,операции!$T:$T,"&lt;="&amp;I$9,операции!$X:$X,"&gt;"&amp;I$9,операции!$AB:$AB,"&lt;&gt;"&amp;"",операции!$AB:$AB,"&lt;="&amp;I$9,операции!$L:$L,L$9))/L71)</f>
        <v>42352.994937072159</v>
      </c>
      <c r="M72" s="274"/>
      <c r="N72" s="193">
        <f>IF(N71=0,0,(SUMIFS(операции!$AF:$AF,операции!$T:$T,"&lt;="&amp;N$9,операции!$X:$X,"",операции!$AB:$AB,"&lt;&gt;"&amp;"",операции!$AB:$AB,"&lt;="&amp;N$9)+SUMIFS(операции!$AF:$AF,операции!$T:$T,"&lt;="&amp;N$9,операции!$X:$X,"&gt;"&amp;N$9,операции!$AB:$AB,"&lt;&gt;"&amp;"",операции!$AB:$AB,"&lt;="&amp;N$9))/N71)</f>
        <v>42191.153290386021</v>
      </c>
      <c r="O72" s="196"/>
      <c r="P72" s="193">
        <f>IF(P71=0,0,(SUMIFS(операции!$AF:$AF,операции!$T:$T,"&lt;="&amp;N$9,операции!$X:$X,"",операции!$AB:$AB,"&lt;&gt;"&amp;"",операции!$AB:$AB,"&lt;="&amp;N$9,операции!$L:$L,P$9)+SUMIFS(операции!$AF:$AF,операции!$T:$T,"&lt;="&amp;N$9,операции!$X:$X,"&gt;"&amp;N$9,операции!$AB:$AB,"&lt;&gt;"&amp;"",операции!$AB:$AB,"&lt;="&amp;N$9,операции!$L:$L,P$9))/P71)</f>
        <v>42191.153290386021</v>
      </c>
      <c r="Q72" s="237">
        <f>IF(Q71=0,0,(SUMIFS(операции!$AF:$AF,операции!$T:$T,"&lt;="&amp;N$9,операции!$X:$X,"",операции!$AB:$AB,"&lt;&gt;"&amp;"",операции!$AB:$AB,"&lt;="&amp;N$9,операции!$L:$L,Q$9)+SUMIFS(операции!$AF:$AF,операции!$T:$T,"&lt;="&amp;N$9,операции!$X:$X,"&gt;"&amp;N$9,операции!$AB:$AB,"&lt;&gt;"&amp;"",операции!$AB:$AB,"&lt;="&amp;N$9,операции!$L:$L,Q$9))/Q71)</f>
        <v>0</v>
      </c>
      <c r="R72" s="238"/>
      <c r="S72" s="193">
        <f>IF(S71=0,0,(SUMIFS(операции!$AF:$AF,операции!$T:$T,"&lt;="&amp;S$9,операции!$X:$X,"",операции!$AB:$AB,"&lt;&gt;"&amp;"",операции!$AB:$AB,"&lt;="&amp;S$9)+SUMIFS(операции!$AF:$AF,операции!$T:$T,"&lt;="&amp;S$9,операции!$X:$X,"&gt;"&amp;S$9,операции!$AB:$AB,"&lt;&gt;"&amp;"",операции!$AB:$AB,"&lt;="&amp;S$9))/S71)</f>
        <v>42202.154134550394</v>
      </c>
      <c r="T72" s="196"/>
      <c r="U72" s="193">
        <f>IF(U71=0,0,(SUMIFS(операции!$AF:$AF,операции!$T:$T,"&lt;="&amp;S$9,операции!$X:$X,"",операции!$AB:$AB,"&lt;&gt;"&amp;"",операции!$AB:$AB,"&lt;="&amp;S$9,операции!$L:$L,U$9)+SUMIFS(операции!$AF:$AF,операции!$T:$T,"&lt;="&amp;S$9,операции!$X:$X,"&gt;"&amp;S$9,операции!$AB:$AB,"&lt;&gt;"&amp;"",операции!$AB:$AB,"&lt;="&amp;S$9,операции!$L:$L,U$9))/U71)</f>
        <v>42202.154134550394</v>
      </c>
      <c r="V72" s="237">
        <f>IF(V71=0,0,(SUMIFS(операции!$AF:$AF,операции!$T:$T,"&lt;="&amp;S$9,операции!$X:$X,"",операции!$AB:$AB,"&lt;&gt;"&amp;"",операции!$AB:$AB,"&lt;="&amp;S$9,операции!$L:$L,V$9)+SUMIFS(операции!$AF:$AF,операции!$T:$T,"&lt;="&amp;S$9,операции!$X:$X,"&gt;"&amp;S$9,операции!$AB:$AB,"&lt;&gt;"&amp;"",операции!$AB:$AB,"&lt;="&amp;S$9,операции!$L:$L,V$9))/V71)</f>
        <v>0</v>
      </c>
      <c r="W72" s="238"/>
      <c r="X72" s="193">
        <f>IF(X71=0,0,(SUMIFS(операции!$AF:$AF,операции!$T:$T,"&lt;="&amp;X$9,операции!$X:$X,"",операции!$AB:$AB,"&lt;&gt;"&amp;"",операции!$AB:$AB,"&lt;="&amp;X$9)+SUMIFS(операции!$AF:$AF,операции!$T:$T,"&lt;="&amp;X$9,операции!$X:$X,"&gt;"&amp;X$9,операции!$AB:$AB,"&lt;&gt;"&amp;"",операции!$AB:$AB,"&lt;="&amp;X$9))/X71)</f>
        <v>42202.273325822083</v>
      </c>
      <c r="Y72" s="196"/>
      <c r="Z72" s="193">
        <f>IF(Z71=0,0,(SUMIFS(операции!$AF:$AF,операции!$T:$T,"&lt;="&amp;X$9,операции!$X:$X,"",операции!$AB:$AB,"&lt;&gt;"&amp;"",операции!$AB:$AB,"&lt;="&amp;X$9,операции!$L:$L,Z$9)+SUMIFS(операции!$AF:$AF,операции!$T:$T,"&lt;="&amp;X$9,операции!$X:$X,"&gt;"&amp;X$9,операции!$AB:$AB,"&lt;&gt;"&amp;"",операции!$AB:$AB,"&lt;="&amp;X$9,операции!$L:$L,Z$9))/Z71)</f>
        <v>42198.953901782043</v>
      </c>
      <c r="AA72" s="237">
        <f>IF(AA71=0,0,(SUMIFS(операции!$AF:$AF,операции!$T:$T,"&lt;="&amp;X$9,операции!$X:$X,"",операции!$AB:$AB,"&lt;&gt;"&amp;"",операции!$AB:$AB,"&lt;="&amp;X$9,операции!$L:$L,AA$9)+SUMIFS(операции!$AF:$AF,операции!$T:$T,"&lt;="&amp;X$9,операции!$X:$X,"&gt;"&amp;X$9,операции!$AB:$AB,"&lt;&gt;"&amp;"",операции!$AB:$AB,"&lt;="&amp;X$9,операции!$L:$L,AA$9))/AA71)</f>
        <v>42352.994937072159</v>
      </c>
      <c r="AB72" s="265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</row>
    <row r="73" spans="1:42" s="192" customFormat="1" ht="11.25">
      <c r="A73" s="37"/>
      <c r="B73" s="37"/>
      <c r="C73" s="37"/>
      <c r="D73" s="191"/>
      <c r="E73" s="191" t="s">
        <v>283</v>
      </c>
      <c r="F73" s="191" t="s">
        <v>214</v>
      </c>
      <c r="G73" s="191" t="s">
        <v>219</v>
      </c>
      <c r="H73" s="315"/>
      <c r="I73" s="329">
        <f>IF(I71=0,0,I$9-I72)</f>
        <v>166.72667417791672</v>
      </c>
      <c r="J73" s="317"/>
      <c r="K73" s="329">
        <f>IF(K71=0,0,I$9-K72)</f>
        <v>170.04609821795748</v>
      </c>
      <c r="L73" s="330">
        <f>IF(L71=0,0,I$9-L72)</f>
        <v>16.005062927841209</v>
      </c>
      <c r="M73" s="274"/>
      <c r="N73" s="156">
        <f>IF(N71=0,0,N$9-N72)</f>
        <v>116.84670961397933</v>
      </c>
      <c r="O73" s="196"/>
      <c r="P73" s="156">
        <f>IF(P71=0,0,N$9-P72)</f>
        <v>116.84670961397933</v>
      </c>
      <c r="Q73" s="245">
        <f>IF(Q71=0,0,N$9-Q72)</f>
        <v>0</v>
      </c>
      <c r="R73" s="238"/>
      <c r="S73" s="156">
        <f>IF(S71=0,0,S$9-S72)</f>
        <v>135.84586544960621</v>
      </c>
      <c r="T73" s="196"/>
      <c r="U73" s="156">
        <f>IF(U71=0,0,S$9-U72)</f>
        <v>135.84586544960621</v>
      </c>
      <c r="V73" s="245">
        <f>IF(V71=0,0,S$9-V72)</f>
        <v>0</v>
      </c>
      <c r="W73" s="238"/>
      <c r="X73" s="156">
        <f>IF(X71=0,0,X$9-X72)</f>
        <v>166.72667417791672</v>
      </c>
      <c r="Y73" s="196"/>
      <c r="Z73" s="156">
        <f>IF(Z71=0,0,X$9-Z72)</f>
        <v>170.04609821795748</v>
      </c>
      <c r="AA73" s="245">
        <f>IF(AA71=0,0,X$9-AA72)</f>
        <v>16.005062927841209</v>
      </c>
      <c r="AB73" s="265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</row>
    <row r="74" spans="1:42" s="192" customFormat="1" ht="11.25">
      <c r="A74" s="37"/>
      <c r="B74" s="37"/>
      <c r="C74" s="37"/>
      <c r="D74" s="191"/>
      <c r="E74" s="191" t="s">
        <v>259</v>
      </c>
      <c r="F74" s="191" t="s">
        <v>214</v>
      </c>
      <c r="G74" s="191" t="s">
        <v>262</v>
      </c>
      <c r="H74" s="315"/>
      <c r="I74" s="316">
        <f>IF(I71=0,0,(SUMIFS(операции!$AH:$AH,операции!$T:$T,"&lt;="&amp;I$9,операции!$X:$X,"",операции!$AB:$AB,"&lt;&gt;"&amp;"",операции!$AB:$AB,"&lt;="&amp;I$9)+SUMIFS(операции!$AH:$AH,операции!$T:$T,"&lt;="&amp;I$9,операции!$X:$X,"&gt;"&amp;I$9,операции!$AB:$AB,"&lt;&gt;"&amp;"",операции!$AB:$AB,"&lt;="&amp;I$9))/I71)</f>
        <v>42228.950728993739</v>
      </c>
      <c r="J74" s="317"/>
      <c r="K74" s="316">
        <f>IF(K71=0,0,(SUMIFS(операции!$AH:$AH,операции!$T:$T,"&lt;="&amp;I$9,операции!$X:$X,"",операции!$AB:$AB,"&lt;&gt;"&amp;"",операции!$AB:$AB,"&lt;="&amp;I$9,операции!$L:$L,K$9)+SUMIFS(операции!$AH:$AH,операции!$T:$T,"&lt;="&amp;I$9,операции!$X:$X,"&gt;"&amp;I$9,операции!$AB:$AB,"&lt;&gt;"&amp;"",операции!$AB:$AB,"&lt;="&amp;I$9,операции!$L:$L,K$9))/K71)</f>
        <v>42226.00721491265</v>
      </c>
      <c r="L74" s="318">
        <f>IF(L71=0,0,(SUMIFS(операции!$AH:$AH,операции!$T:$T,"&lt;="&amp;I$9,операции!$X:$X,"",операции!$AB:$AB,"&lt;&gt;"&amp;"",операции!$AB:$AB,"&lt;="&amp;I$9,операции!$L:$L,L$9)+SUMIFS(операции!$AH:$AH,операции!$T:$T,"&lt;="&amp;I$9,операции!$X:$X,"&gt;"&amp;I$9,операции!$AB:$AB,"&lt;&gt;"&amp;"",операции!$AB:$AB,"&lt;="&amp;I$9,операции!$L:$L,L$9))/L71)</f>
        <v>42362.603790394482</v>
      </c>
      <c r="M74" s="274"/>
      <c r="N74" s="193">
        <f>IF(N71=0,0,(SUMIFS(операции!$AH:$AH,операции!$T:$T,"&lt;="&amp;N$9,операции!$X:$X,"",операции!$AB:$AB,"&lt;&gt;"&amp;"",операции!$AB:$AB,"&lt;="&amp;N$9)+SUMIFS(операции!$AH:$AH,операции!$T:$T,"&lt;="&amp;N$9,операции!$X:$X,"&gt;"&amp;N$9,операции!$AB:$AB,"&lt;&gt;"&amp;"",операции!$AB:$AB,"&lt;="&amp;N$9))/N71)</f>
        <v>42218.451599886612</v>
      </c>
      <c r="O74" s="196"/>
      <c r="P74" s="193">
        <f>IF(P71=0,0,(SUMIFS(операции!$AH:$AH,операции!$T:$T,"&lt;="&amp;N$9,операции!$X:$X,"",операции!$AB:$AB,"&lt;&gt;"&amp;"",операции!$AB:$AB,"&lt;="&amp;N$9,операции!$L:$L,P$9)+SUMIFS(операции!$AH:$AH,операции!$T:$T,"&lt;="&amp;N$9,операции!$X:$X,"&gt;"&amp;N$9,операции!$AB:$AB,"&lt;&gt;"&amp;"",операции!$AB:$AB,"&lt;="&amp;N$9,операции!$L:$L,P$9))/P71)</f>
        <v>42218.451599886612</v>
      </c>
      <c r="Q74" s="237">
        <f>IF(Q71=0,0,(SUMIFS(операции!$AH:$AH,операции!$T:$T,"&lt;="&amp;N$9,операции!$X:$X,"",операции!$AB:$AB,"&lt;&gt;"&amp;"",операции!$AB:$AB,"&lt;="&amp;N$9,операции!$L:$L,Q$9)+SUMIFS(операции!$AH:$AH,операции!$T:$T,"&lt;="&amp;N$9,операции!$X:$X,"&gt;"&amp;N$9,операции!$AB:$AB,"&lt;&gt;"&amp;"",операции!$AB:$AB,"&lt;="&amp;N$9,операции!$L:$L,Q$9))/Q71)</f>
        <v>0</v>
      </c>
      <c r="R74" s="238"/>
      <c r="S74" s="193">
        <f>IF(S71=0,0,(SUMIFS(операции!$AH:$AH,операции!$T:$T,"&lt;="&amp;S$9,операции!$X:$X,"",операции!$AB:$AB,"&lt;&gt;"&amp;"",операции!$AB:$AB,"&lt;="&amp;S$9)+SUMIFS(операции!$AH:$AH,операции!$T:$T,"&lt;="&amp;S$9,операции!$X:$X,"&gt;"&amp;S$9,операции!$AB:$AB,"&lt;&gt;"&amp;"",операции!$AB:$AB,"&lt;="&amp;S$9))/S71)</f>
        <v>42229.6548592787</v>
      </c>
      <c r="T74" s="196"/>
      <c r="U74" s="193">
        <f>IF(U71=0,0,(SUMIFS(операции!$AH:$AH,операции!$T:$T,"&lt;="&amp;S$9,операции!$X:$X,"",операции!$AB:$AB,"&lt;&gt;"&amp;"",операции!$AB:$AB,"&lt;="&amp;S$9,операции!$L:$L,U$9)+SUMIFS(операции!$AH:$AH,операции!$T:$T,"&lt;="&amp;S$9,операции!$X:$X,"&gt;"&amp;S$9,операции!$AB:$AB,"&lt;&gt;"&amp;"",операции!$AB:$AB,"&lt;="&amp;S$9,операции!$L:$L,U$9))/U71)</f>
        <v>42229.6548592787</v>
      </c>
      <c r="V74" s="237">
        <f>IF(V71=0,0,(SUMIFS(операции!$AH:$AH,операции!$T:$T,"&lt;="&amp;S$9,операции!$X:$X,"",операции!$AB:$AB,"&lt;&gt;"&amp;"",операции!$AB:$AB,"&lt;="&amp;S$9,операции!$L:$L,V$9)+SUMIFS(операции!$AH:$AH,операции!$T:$T,"&lt;="&amp;S$9,операции!$X:$X,"&gt;"&amp;S$9,операции!$AB:$AB,"&lt;&gt;"&amp;"",операции!$AB:$AB,"&lt;="&amp;S$9,операции!$L:$L,V$9))/V71)</f>
        <v>0</v>
      </c>
      <c r="W74" s="238"/>
      <c r="X74" s="193">
        <f>IF(X71=0,0,(SUMIFS(операции!$AH:$AH,операции!$T:$T,"&lt;="&amp;X$9,операции!$X:$X,"",операции!$AB:$AB,"&lt;&gt;"&amp;"",операции!$AB:$AB,"&lt;="&amp;X$9)+SUMIFS(операции!$AH:$AH,операции!$T:$T,"&lt;="&amp;X$9,операции!$X:$X,"&gt;"&amp;X$9,операции!$AB:$AB,"&lt;&gt;"&amp;"",операции!$AB:$AB,"&lt;="&amp;X$9))/X71)</f>
        <v>42228.950728993739</v>
      </c>
      <c r="Y74" s="196"/>
      <c r="Z74" s="193">
        <f>IF(Z71=0,0,(SUMIFS(операции!$AH:$AH,операции!$T:$T,"&lt;="&amp;X$9,операции!$X:$X,"",операции!$AB:$AB,"&lt;&gt;"&amp;"",операции!$AB:$AB,"&lt;="&amp;X$9,операции!$L:$L,Z$9)+SUMIFS(операции!$AH:$AH,операции!$T:$T,"&lt;="&amp;X$9,операции!$X:$X,"&gt;"&amp;X$9,операции!$AB:$AB,"&lt;&gt;"&amp;"",операции!$AB:$AB,"&lt;="&amp;X$9,операции!$L:$L,Z$9))/Z71)</f>
        <v>42226.00721491265</v>
      </c>
      <c r="AA74" s="237">
        <f>IF(AA71=0,0,(SUMIFS(операции!$AH:$AH,операции!$T:$T,"&lt;="&amp;X$9,операции!$X:$X,"",операции!$AB:$AB,"&lt;&gt;"&amp;"",операции!$AB:$AB,"&lt;="&amp;X$9,операции!$L:$L,AA$9)+SUMIFS(операции!$AH:$AH,операции!$T:$T,"&lt;="&amp;X$9,операции!$X:$X,"&gt;"&amp;X$9,операции!$AB:$AB,"&lt;&gt;"&amp;"",операции!$AB:$AB,"&lt;="&amp;X$9,операции!$L:$L,AA$9))/AA71)</f>
        <v>42362.603790394482</v>
      </c>
      <c r="AB74" s="265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</row>
    <row r="75" spans="1:42" s="192" customFormat="1" ht="11.25">
      <c r="A75" s="37"/>
      <c r="B75" s="37"/>
      <c r="C75" s="37"/>
      <c r="D75" s="191"/>
      <c r="E75" s="191" t="s">
        <v>284</v>
      </c>
      <c r="F75" s="191" t="s">
        <v>214</v>
      </c>
      <c r="G75" s="191" t="s">
        <v>219</v>
      </c>
      <c r="H75" s="315"/>
      <c r="I75" s="329">
        <f>I74-I72</f>
        <v>26.677403171655897</v>
      </c>
      <c r="J75" s="317"/>
      <c r="K75" s="329">
        <f>K74-K72</f>
        <v>27.053313130607421</v>
      </c>
      <c r="L75" s="330">
        <f>L74-L72</f>
        <v>9.6088533223228296</v>
      </c>
      <c r="M75" s="274"/>
      <c r="N75" s="156">
        <f>N74-N72</f>
        <v>27.298309500591131</v>
      </c>
      <c r="O75" s="196"/>
      <c r="P75" s="156">
        <f>P74-P72</f>
        <v>27.298309500591131</v>
      </c>
      <c r="Q75" s="245">
        <f>Q74-Q72</f>
        <v>0</v>
      </c>
      <c r="R75" s="238"/>
      <c r="S75" s="156">
        <f>S74-S72</f>
        <v>27.500724728306523</v>
      </c>
      <c r="T75" s="196"/>
      <c r="U75" s="156">
        <f>U74-U72</f>
        <v>27.500724728306523</v>
      </c>
      <c r="V75" s="245">
        <f>V74-V72</f>
        <v>0</v>
      </c>
      <c r="W75" s="238"/>
      <c r="X75" s="156">
        <f>X74-X72</f>
        <v>26.677403171655897</v>
      </c>
      <c r="Y75" s="196"/>
      <c r="Z75" s="156">
        <f>Z74-Z72</f>
        <v>27.053313130607421</v>
      </c>
      <c r="AA75" s="245">
        <f>AA74-AA72</f>
        <v>9.6088533223228296</v>
      </c>
      <c r="AB75" s="265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</row>
    <row r="76" spans="1:42" s="192" customFormat="1" ht="11.25">
      <c r="A76" s="37"/>
      <c r="B76" s="37"/>
      <c r="C76" s="37"/>
      <c r="D76" s="191"/>
      <c r="E76" s="191" t="s">
        <v>285</v>
      </c>
      <c r="F76" s="191" t="s">
        <v>214</v>
      </c>
      <c r="G76" s="191" t="s">
        <v>219</v>
      </c>
      <c r="H76" s="315"/>
      <c r="I76" s="329">
        <f>I73-I75</f>
        <v>140.04927100626082</v>
      </c>
      <c r="J76" s="317"/>
      <c r="K76" s="329">
        <f>K73-K75</f>
        <v>142.99278508735006</v>
      </c>
      <c r="L76" s="330">
        <f>L73-L75</f>
        <v>6.3962096055183792</v>
      </c>
      <c r="M76" s="274"/>
      <c r="N76" s="156">
        <f>N73-N75</f>
        <v>89.548400113388197</v>
      </c>
      <c r="O76" s="196"/>
      <c r="P76" s="156">
        <f>P73-P75</f>
        <v>89.548400113388197</v>
      </c>
      <c r="Q76" s="245">
        <f>Q73-Q75</f>
        <v>0</v>
      </c>
      <c r="R76" s="238"/>
      <c r="S76" s="156">
        <f>S73-S75</f>
        <v>108.34514072129969</v>
      </c>
      <c r="T76" s="196"/>
      <c r="U76" s="156">
        <f>U73-U75</f>
        <v>108.34514072129969</v>
      </c>
      <c r="V76" s="245">
        <f>V73-V75</f>
        <v>0</v>
      </c>
      <c r="W76" s="238"/>
      <c r="X76" s="156">
        <f>X73-X75</f>
        <v>140.04927100626082</v>
      </c>
      <c r="Y76" s="196"/>
      <c r="Z76" s="156">
        <f>Z73-Z75</f>
        <v>142.99278508735006</v>
      </c>
      <c r="AA76" s="245">
        <f>AA73-AA75</f>
        <v>6.3962096055183792</v>
      </c>
      <c r="AB76" s="265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</row>
    <row r="77" spans="1:42" s="5" customFormat="1">
      <c r="A77" s="1"/>
      <c r="B77" s="1"/>
      <c r="C77" s="1"/>
      <c r="D77" s="168"/>
      <c r="E77" s="168" t="s">
        <v>286</v>
      </c>
      <c r="F77" s="168" t="s">
        <v>214</v>
      </c>
      <c r="G77" s="168" t="s">
        <v>261</v>
      </c>
      <c r="H77" s="326"/>
      <c r="I77" s="327">
        <f>SUMIFS(операции!$V:$V,операции!$T:$T,"&lt;="&amp;I$9,операции!$X:$X,"",операции!$AB:$AB,"")+SUMIFS(операции!$V:$V,операции!$T:$T,"&lt;="&amp;I$9,операции!$X:$X,"&gt;"&amp;I$9,операции!$AB:$AB,"")+SUMIFS(операции!$V:$V,операции!$T:$T,"&lt;="&amp;I$9,операции!$X:$X,"",операции!$AB:$AB,"&gt;"&amp;I$9)+SUMIFS(операции!$V:$V,операции!$T:$T,"&lt;="&amp;I$9,операции!$X:$X,"&gt;"&amp;I$9,операции!$AB:$AB,"&gt;"&amp;I$9)</f>
        <v>293739.12</v>
      </c>
      <c r="J77" s="313">
        <f>I77-K77-L77</f>
        <v>0</v>
      </c>
      <c r="K77" s="327">
        <f>SUMIFS(операции!$V:$V,операции!$T:$T,"&lt;="&amp;I$9,операции!$X:$X,"",операции!$AB:$AB,"",операции!$L:$L,K$9)+SUMIFS(операции!$V:$V,операции!$T:$T,"&lt;="&amp;I$9,операции!$X:$X,"&gt;"&amp;I$9,операции!$AB:$AB,"",операции!$L:$L,K$9)+SUMIFS(операции!$V:$V,операции!$T:$T,"&lt;="&amp;I$9,операции!$X:$X,"",операции!$AB:$AB,"&gt;"&amp;I$9,операции!$L:$L,K$9)+SUMIFS(операции!$V:$V,операции!$T:$T,"&lt;="&amp;I$9,операции!$X:$X,"&gt;"&amp;I$9,операции!$AB:$AB,"&gt;"&amp;I$9,операции!$L:$L,K$9)</f>
        <v>88136.93</v>
      </c>
      <c r="L77" s="328">
        <f>SUMIFS(операции!$V:$V,операции!$T:$T,"&lt;="&amp;I$9,операции!$X:$X,"",операции!$AB:$AB,"",операции!$L:$L,L$9)+SUMIFS(операции!$V:$V,операции!$T:$T,"&lt;="&amp;I$9,операции!$X:$X,"&gt;"&amp;I$9,операции!$AB:$AB,"",операции!$L:$L,L$9)+SUMIFS(операции!$V:$V,операции!$T:$T,"&lt;="&amp;I$9,операции!$X:$X,"",операции!$AB:$AB,"&gt;"&amp;I$9,операции!$L:$L,L$9)+SUMIFS(операции!$V:$V,операции!$T:$T,"&lt;="&amp;I$9,операции!$X:$X,"&gt;"&amp;I$9,операции!$AB:$AB,"&gt;"&amp;I$9,операции!$L:$L,L$9)</f>
        <v>205602.18999999994</v>
      </c>
      <c r="M77" s="277"/>
      <c r="N77" s="169">
        <f>SUMIFS(операции!$V:$V,операции!$T:$T,"&lt;="&amp;N$9,операции!$X:$X,"",операции!$AB:$AB,"")+SUMIFS(операции!$V:$V,операции!$T:$T,"&lt;="&amp;N$9,операции!$X:$X,"&gt;"&amp;N$9,операции!$AB:$AB,"")+SUMIFS(операции!$V:$V,операции!$T:$T,"&lt;="&amp;N$9,операции!$X:$X,"",операции!$AB:$AB,"&gt;"&amp;N$9)+SUMIFS(операции!$V:$V,операции!$T:$T,"&lt;="&amp;N$9,операции!$X:$X,"&gt;"&amp;N$9,операции!$AB:$AB,"&gt;"&amp;N$9)</f>
        <v>503958.72000000003</v>
      </c>
      <c r="O77" s="170">
        <f>N77-P77-Q77</f>
        <v>0</v>
      </c>
      <c r="P77" s="169">
        <f>SUMIFS(операции!$V:$V,операции!$T:$T,"&lt;="&amp;N$9,операции!$X:$X,"",операции!$AB:$AB,"",операции!$L:$L,P$9)+SUMIFS(операции!$V:$V,операции!$T:$T,"&lt;="&amp;N$9,операции!$X:$X,"&gt;"&amp;N$9,операции!$AB:$AB,"",операции!$L:$L,P$9)+SUMIFS(операции!$V:$V,операции!$T:$T,"&lt;="&amp;N$9,операции!$X:$X,"",операции!$AB:$AB,"&gt;"&amp;N$9,операции!$L:$L,P$9)+SUMIFS(операции!$V:$V,операции!$T:$T,"&lt;="&amp;N$9,операции!$X:$X,"&gt;"&amp;N$9,операции!$AB:$AB,"&gt;"&amp;N$9,операции!$L:$L,P$9)</f>
        <v>356978.79</v>
      </c>
      <c r="Q77" s="243">
        <f>SUMIFS(операции!$V:$V,операции!$T:$T,"&lt;="&amp;N$9,операции!$X:$X,"",операции!$AB:$AB,"",операции!$L:$L,Q$9)+SUMIFS(операции!$V:$V,операции!$T:$T,"&lt;="&amp;N$9,операции!$X:$X,"&gt;"&amp;N$9,операции!$AB:$AB,"",операции!$L:$L,Q$9)+SUMIFS(операции!$V:$V,операции!$T:$T,"&lt;="&amp;N$9,операции!$X:$X,"",операции!$AB:$AB,"&gt;"&amp;N$9,операции!$L:$L,Q$9)+SUMIFS(операции!$V:$V,операции!$T:$T,"&lt;="&amp;N$9,операции!$X:$X,"&gt;"&amp;N$9,операции!$AB:$AB,"&gt;"&amp;N$9,операции!$L:$L,Q$9)</f>
        <v>146979.93</v>
      </c>
      <c r="R77" s="244"/>
      <c r="S77" s="169">
        <f>SUMIFS(операции!$V:$V,операции!$T:$T,"&lt;="&amp;S$9,операции!$X:$X,"",операции!$AB:$AB,"")+SUMIFS(операции!$V:$V,операции!$T:$T,"&lt;="&amp;S$9,операции!$X:$X,"&gt;"&amp;S$9,операции!$AB:$AB,"")+SUMIFS(операции!$V:$V,операции!$T:$T,"&lt;="&amp;S$9,операции!$X:$X,"",операции!$AB:$AB,"&gt;"&amp;S$9)+SUMIFS(операции!$V:$V,операции!$T:$T,"&lt;="&amp;S$9,операции!$X:$X,"&gt;"&amp;S$9,операции!$AB:$AB,"&gt;"&amp;S$9)</f>
        <v>1043361.9200000003</v>
      </c>
      <c r="T77" s="170">
        <f>S77-U77-V77</f>
        <v>0</v>
      </c>
      <c r="U77" s="169">
        <f>SUMIFS(операции!$V:$V,операции!$T:$T,"&lt;="&amp;S$9,операции!$X:$X,"",операции!$AB:$AB,"",операции!$L:$L,U$9)+SUMIFS(операции!$V:$V,операции!$T:$T,"&lt;="&amp;S$9,операции!$X:$X,"&gt;"&amp;S$9,операции!$AB:$AB,"",операции!$L:$L,U$9)+SUMIFS(операции!$V:$V,операции!$T:$T,"&lt;="&amp;S$9,операции!$X:$X,"",операции!$AB:$AB,"&gt;"&amp;S$9,операции!$L:$L,U$9)+SUMIFS(операции!$V:$V,операции!$T:$T,"&lt;="&amp;S$9,операции!$X:$X,"&gt;"&amp;S$9,операции!$AB:$AB,"&gt;"&amp;S$9,операции!$L:$L,U$9)</f>
        <v>136076.84</v>
      </c>
      <c r="V77" s="243">
        <f>SUMIFS(операции!$V:$V,операции!$T:$T,"&lt;="&amp;S$9,операции!$X:$X,"",операции!$AB:$AB,"",операции!$L:$L,V$9)+SUMIFS(операции!$V:$V,операции!$T:$T,"&lt;="&amp;S$9,операции!$X:$X,"&gt;"&amp;S$9,операции!$AB:$AB,"",операции!$L:$L,V$9)+SUMIFS(операции!$V:$V,операции!$T:$T,"&lt;="&amp;S$9,операции!$X:$X,"",операции!$AB:$AB,"&gt;"&amp;S$9,операции!$L:$L,V$9)+SUMIFS(операции!$V:$V,операции!$T:$T,"&lt;="&amp;S$9,операции!$X:$X,"&gt;"&amp;S$9,операции!$AB:$AB,"&gt;"&amp;S$9,операции!$L:$L,V$9)</f>
        <v>907285.08000000019</v>
      </c>
      <c r="W77" s="244"/>
      <c r="X77" s="169">
        <f>SUMIFS(операции!$V:$V,операции!$T:$T,"&lt;="&amp;X$9,операции!$X:$X,"",операции!$AB:$AB,"")+SUMIFS(операции!$V:$V,операции!$T:$T,"&lt;="&amp;X$9,операции!$X:$X,"&gt;"&amp;X$9,операции!$AB:$AB,"")+SUMIFS(операции!$V:$V,операции!$T:$T,"&lt;="&amp;X$9,операции!$X:$X,"",операции!$AB:$AB,"&gt;"&amp;X$9)+SUMIFS(операции!$V:$V,операции!$T:$T,"&lt;="&amp;X$9,операции!$X:$X,"&gt;"&amp;X$9,операции!$AB:$AB,"&gt;"&amp;X$9)</f>
        <v>293739.12</v>
      </c>
      <c r="Y77" s="170">
        <f>X77-Z77-AA77</f>
        <v>0</v>
      </c>
      <c r="Z77" s="169">
        <f>SUMIFS(операции!$V:$V,операции!$T:$T,"&lt;="&amp;X$9,операции!$X:$X,"",операции!$AB:$AB,"",операции!$L:$L,Z$9)+SUMIFS(операции!$V:$V,операции!$T:$T,"&lt;="&amp;X$9,операции!$X:$X,"&gt;"&amp;X$9,операции!$AB:$AB,"",операции!$L:$L,Z$9)+SUMIFS(операции!$V:$V,операции!$T:$T,"&lt;="&amp;X$9,операции!$X:$X,"",операции!$AB:$AB,"&gt;"&amp;X$9,операции!$L:$L,Z$9)+SUMIFS(операции!$V:$V,операции!$T:$T,"&lt;="&amp;X$9,операции!$X:$X,"&gt;"&amp;X$9,операции!$AB:$AB,"&gt;"&amp;X$9,операции!$L:$L,Z$9)</f>
        <v>88136.93</v>
      </c>
      <c r="AA77" s="243">
        <f>SUMIFS(операции!$V:$V,операции!$T:$T,"&lt;="&amp;X$9,операции!$X:$X,"",операции!$AB:$AB,"",операции!$L:$L,AA$9)+SUMIFS(операции!$V:$V,операции!$T:$T,"&lt;="&amp;X$9,операции!$X:$X,"&gt;"&amp;X$9,операции!$AB:$AB,"",операции!$L:$L,AA$9)+SUMIFS(операции!$V:$V,операции!$T:$T,"&lt;="&amp;X$9,операции!$X:$X,"",операции!$AB:$AB,"&gt;"&amp;X$9,операции!$L:$L,AA$9)+SUMIFS(операции!$V:$V,операции!$T:$T,"&lt;="&amp;X$9,операции!$X:$X,"&gt;"&amp;X$9,операции!$AB:$AB,"&gt;"&amp;X$9,операции!$L:$L,AA$9)</f>
        <v>205602.18999999994</v>
      </c>
      <c r="AB77" s="266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s="192" customFormat="1" ht="11.25">
      <c r="A78" s="37"/>
      <c r="B78" s="37"/>
      <c r="C78" s="37"/>
      <c r="D78" s="191"/>
      <c r="E78" s="191" t="s">
        <v>255</v>
      </c>
      <c r="F78" s="191" t="s">
        <v>214</v>
      </c>
      <c r="G78" s="191" t="s">
        <v>262</v>
      </c>
      <c r="H78" s="315"/>
      <c r="I78" s="316">
        <f>IF(I77=0,0,(SUMIFS(операции!$AF:$AF,операции!$T:$T,"&lt;="&amp;I$9,операции!$X:$X,"",операции!$AB:$AB,"")+SUMIFS(операции!$AF:$AF,операции!$T:$T,"&lt;="&amp;I$9,операции!$X:$X,"&gt;"&amp;I$9,операции!$AB:$AB,"")+SUMIFS(операции!$AF:$AF,операции!$T:$T,"&lt;="&amp;I$9,операции!$X:$X,"",операции!$AB:$AB,"&gt;"&amp;I$9)+SUMIFS(операции!$AF:$AF,операции!$T:$T,"&lt;="&amp;I$9,операции!$X:$X,"&gt;"&amp;I$9,операции!$AB:$AB,"&gt;"&amp;I$9))/I77)</f>
        <v>42312.797482848051</v>
      </c>
      <c r="J78" s="317"/>
      <c r="K78" s="316">
        <f>IF(K77=0,0,(SUMIFS(операции!$AF:$AF,операции!$T:$T,"&lt;="&amp;I$9,операции!$X:$X,"",операции!$AB:$AB,"",операции!$L:$L,K$9)+SUMIFS(операции!$AF:$AF,операции!$T:$T,"&lt;="&amp;I$9,операции!$X:$X,"&gt;"&amp;I$9,операции!$AB:$AB,"",операции!$L:$L,K$9)+SUMIFS(операции!$AF:$AF,операции!$T:$T,"&lt;="&amp;I$9,операции!$X:$X,"",операции!$AB:$AB,"&gt;"&amp;I$9,операции!$L:$L,K$9)+SUMIFS(операции!$AF:$AF,операции!$T:$T,"&lt;="&amp;I$9,операции!$X:$X,"&gt;"&amp;I$9,операции!$AB:$AB,"&gt;"&amp;I$9,операции!$L:$L,K$9))/K77)</f>
        <v>42194.585455608678</v>
      </c>
      <c r="L78" s="318">
        <f>IF(L77=0,0,(SUMIFS(операции!$AF:$AF,операции!$T:$T,"&lt;="&amp;I$9,операции!$X:$X,"",операции!$AB:$AB,"",операции!$L:$L,L$9)+SUMIFS(операции!$AF:$AF,операции!$T:$T,"&lt;="&amp;I$9,операции!$X:$X,"&gt;"&amp;I$9,операции!$AB:$AB,"",операции!$L:$L,L$9)+SUMIFS(операции!$AF:$AF,операции!$T:$T,"&lt;="&amp;I$9,операции!$X:$X,"",операции!$AB:$AB,"&gt;"&amp;I$9,операции!$L:$L,L$9)+SUMIFS(операции!$AF:$AF,операции!$T:$T,"&lt;="&amp;I$9,операции!$X:$X,"&gt;"&amp;I$9,операции!$AB:$AB,"&gt;"&amp;I$9,операции!$L:$L,L$9))/L77)</f>
        <v>42363.472260047449</v>
      </c>
      <c r="M78" s="274"/>
      <c r="N78" s="193">
        <f>IF(N77=0,0,(SUMIFS(операции!$AF:$AF,операции!$T:$T,"&lt;="&amp;N$9,операции!$X:$X,"",операции!$AB:$AB,"")+SUMIFS(операции!$AF:$AF,операции!$T:$T,"&lt;="&amp;N$9,операции!$X:$X,"&gt;"&amp;N$9,операции!$AB:$AB,"")+SUMIFS(операции!$AF:$AF,операции!$T:$T,"&lt;="&amp;N$9,операции!$X:$X,"",операции!$AB:$AB,"&gt;"&amp;N$9)+SUMIFS(операции!$AF:$AF,операции!$T:$T,"&lt;="&amp;N$9,операции!$X:$X,"&gt;"&amp;N$9,операции!$AB:$AB,"&gt;"&amp;N$9))/N77)</f>
        <v>42245.501986571442</v>
      </c>
      <c r="O78" s="196"/>
      <c r="P78" s="193">
        <f>IF(P77=0,0,(SUMIFS(операции!$AF:$AF,операции!$T:$T,"&lt;="&amp;N$9,операции!$X:$X,"",операции!$AB:$AB,"",операции!$L:$L,P$9)+SUMIFS(операции!$AF:$AF,операции!$T:$T,"&lt;="&amp;N$9,операции!$X:$X,"&gt;"&amp;N$9,операции!$AB:$AB,"",операции!$L:$L,P$9)+SUMIFS(операции!$AF:$AF,операции!$T:$T,"&lt;="&amp;N$9,операции!$X:$X,"",операции!$AB:$AB,"&gt;"&amp;N$9,операции!$L:$L,P$9)+SUMIFS(операции!$AF:$AF,операции!$T:$T,"&lt;="&amp;N$9,операции!$X:$X,"&gt;"&amp;N$9,операции!$AB:$AB,"&gt;"&amp;N$9,операции!$L:$L,P$9))/P77)</f>
        <v>42220.612009749937</v>
      </c>
      <c r="Q78" s="237">
        <f>IF(Q77=0,0,(SUMIFS(операции!$AF:$AF,операции!$T:$T,"&lt;="&amp;N$9,операции!$X:$X,"",операции!$AB:$AB,"",операции!$L:$L,Q$9)+SUMIFS(операции!$AF:$AF,операции!$T:$T,"&lt;="&amp;N$9,операции!$X:$X,"&gt;"&amp;N$9,операции!$AB:$AB,"",операции!$L:$L,Q$9)+SUMIFS(операции!$AF:$AF,операции!$T:$T,"&lt;="&amp;N$9,операции!$X:$X,"",операции!$AB:$AB,"&gt;"&amp;N$9,операции!$L:$L,Q$9)+SUMIFS(операции!$AF:$AF,операции!$T:$T,"&lt;="&amp;N$9,операции!$X:$X,"&gt;"&amp;N$9,операции!$AB:$AB,"&gt;"&amp;N$9,операции!$L:$L,Q$9))/Q77)</f>
        <v>42305.953735384152</v>
      </c>
      <c r="R78" s="238"/>
      <c r="S78" s="193">
        <f>IF(S77=0,0,(SUMIFS(операции!$AF:$AF,операции!$T:$T,"&lt;="&amp;S$9,операции!$X:$X,"",операции!$AB:$AB,"")+SUMIFS(операции!$AF:$AF,операции!$T:$T,"&lt;="&amp;S$9,операции!$X:$X,"&gt;"&amp;S$9,операции!$AB:$AB,"")+SUMIFS(операции!$AF:$AF,операции!$T:$T,"&lt;="&amp;S$9,операции!$X:$X,"",операции!$AB:$AB,"&gt;"&amp;S$9)+SUMIFS(операции!$AF:$AF,операции!$T:$T,"&lt;="&amp;S$9,операции!$X:$X,"&gt;"&amp;S$9,операции!$AB:$AB,"&gt;"&amp;S$9))/S77)</f>
        <v>42316.938397397127</v>
      </c>
      <c r="T78" s="196"/>
      <c r="U78" s="193">
        <f>IF(U77=0,0,(SUMIFS(операции!$AF:$AF,операции!$T:$T,"&lt;="&amp;S$9,операции!$X:$X,"",операции!$AB:$AB,"",операции!$L:$L,U$9)+SUMIFS(операции!$AF:$AF,операции!$T:$T,"&lt;="&amp;S$9,операции!$X:$X,"&gt;"&amp;S$9,операции!$AB:$AB,"",операции!$L:$L,U$9)+SUMIFS(операции!$AF:$AF,операции!$T:$T,"&lt;="&amp;S$9,операции!$X:$X,"",операции!$AB:$AB,"&gt;"&amp;S$9,операции!$L:$L,U$9)+SUMIFS(операции!$AF:$AF,операции!$T:$T,"&lt;="&amp;S$9,операции!$X:$X,"&gt;"&amp;S$9,операции!$AB:$AB,"&gt;"&amp;S$9,операции!$L:$L,U$9))/U77)</f>
        <v>42191.209204226085</v>
      </c>
      <c r="V78" s="237">
        <f>IF(V77=0,0,(SUMIFS(операции!$AF:$AF,операции!$T:$T,"&lt;="&amp;S$9,операции!$X:$X,"",операции!$AB:$AB,"",операции!$L:$L,V$9)+SUMIFS(операции!$AF:$AF,операции!$T:$T,"&lt;="&amp;S$9,операции!$X:$X,"&gt;"&amp;S$9,операции!$AB:$AB,"",операции!$L:$L,V$9)+SUMIFS(операции!$AF:$AF,операции!$T:$T,"&lt;="&amp;S$9,операции!$X:$X,"",операции!$AB:$AB,"&gt;"&amp;S$9,операции!$L:$L,V$9)+SUMIFS(операции!$AF:$AF,операции!$T:$T,"&lt;="&amp;S$9,операции!$X:$X,"&gt;"&amp;S$9,операции!$AB:$AB,"&gt;"&amp;S$9,операции!$L:$L,V$9))/V77)</f>
        <v>42335.795569943672</v>
      </c>
      <c r="W78" s="238"/>
      <c r="X78" s="193">
        <f>IF(X77=0,0,(SUMIFS(операции!$AF:$AF,операции!$T:$T,"&lt;="&amp;X$9,операции!$X:$X,"",операции!$AB:$AB,"")+SUMIFS(операции!$AF:$AF,операции!$T:$T,"&lt;="&amp;X$9,операции!$X:$X,"&gt;"&amp;X$9,операции!$AB:$AB,"")+SUMIFS(операции!$AF:$AF,операции!$T:$T,"&lt;="&amp;X$9,операции!$X:$X,"",операции!$AB:$AB,"&gt;"&amp;X$9)+SUMIFS(операции!$AF:$AF,операции!$T:$T,"&lt;="&amp;X$9,операции!$X:$X,"&gt;"&amp;X$9,операции!$AB:$AB,"&gt;"&amp;X$9))/X77)</f>
        <v>42312.797482848051</v>
      </c>
      <c r="Y78" s="196"/>
      <c r="Z78" s="193">
        <f>IF(Z77=0,0,(SUMIFS(операции!$AF:$AF,операции!$T:$T,"&lt;="&amp;X$9,операции!$X:$X,"",операции!$AB:$AB,"",операции!$L:$L,Z$9)+SUMIFS(операции!$AF:$AF,операции!$T:$T,"&lt;="&amp;X$9,операции!$X:$X,"&gt;"&amp;X$9,операции!$AB:$AB,"",операции!$L:$L,Z$9)+SUMIFS(операции!$AF:$AF,операции!$T:$T,"&lt;="&amp;X$9,операции!$X:$X,"",операции!$AB:$AB,"&gt;"&amp;X$9,операции!$L:$L,Z$9)+SUMIFS(операции!$AF:$AF,операции!$T:$T,"&lt;="&amp;X$9,операции!$X:$X,"&gt;"&amp;X$9,операции!$AB:$AB,"&gt;"&amp;X$9,операции!$L:$L,Z$9))/Z77)</f>
        <v>42194.585455608678</v>
      </c>
      <c r="AA78" s="237">
        <f>IF(AA77=0,0,(SUMIFS(операции!$AF:$AF,операции!$T:$T,"&lt;="&amp;X$9,операции!$X:$X,"",операции!$AB:$AB,"",операции!$L:$L,AA$9)+SUMIFS(операции!$AF:$AF,операции!$T:$T,"&lt;="&amp;X$9,операции!$X:$X,"&gt;"&amp;X$9,операции!$AB:$AB,"",операции!$L:$L,AA$9)+SUMIFS(операции!$AF:$AF,операции!$T:$T,"&lt;="&amp;X$9,операции!$X:$X,"",операции!$AB:$AB,"&gt;"&amp;X$9,операции!$L:$L,AA$9)+SUMIFS(операции!$AF:$AF,операции!$T:$T,"&lt;="&amp;X$9,операции!$X:$X,"&gt;"&amp;X$9,операции!$AB:$AB,"&gt;"&amp;X$9,операции!$L:$L,AA$9))/AA77)</f>
        <v>42363.472260047449</v>
      </c>
      <c r="AB78" s="265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</row>
    <row r="79" spans="1:42" s="192" customFormat="1" ht="11.25">
      <c r="A79" s="37"/>
      <c r="B79" s="37"/>
      <c r="C79" s="37"/>
      <c r="D79" s="191"/>
      <c r="E79" s="191" t="s">
        <v>287</v>
      </c>
      <c r="F79" s="191" t="s">
        <v>214</v>
      </c>
      <c r="G79" s="191" t="s">
        <v>219</v>
      </c>
      <c r="H79" s="315"/>
      <c r="I79" s="329">
        <f>IF(I77=0,0,I$9-I78)</f>
        <v>56.202517151948996</v>
      </c>
      <c r="J79" s="317"/>
      <c r="K79" s="329">
        <f>IF(K77=0,0,I$9-K78)</f>
        <v>174.41454439132212</v>
      </c>
      <c r="L79" s="330">
        <f>IF(L77=0,0,I$9-L78)</f>
        <v>5.527739952551201</v>
      </c>
      <c r="M79" s="274"/>
      <c r="N79" s="156">
        <f>IF(N77=0,0,N$9-N78)</f>
        <v>62.498013428557897</v>
      </c>
      <c r="O79" s="196"/>
      <c r="P79" s="156">
        <f>IF(P77=0,0,N$9-P78)</f>
        <v>87.387990250063012</v>
      </c>
      <c r="Q79" s="245">
        <f>IF(Q77=0,0,N$9-Q78)</f>
        <v>2.0462646158484858</v>
      </c>
      <c r="R79" s="238"/>
      <c r="S79" s="156">
        <f>IF(S77=0,0,S$9-S78)</f>
        <v>21.061602602872881</v>
      </c>
      <c r="T79" s="196"/>
      <c r="U79" s="156">
        <f>IF(U77=0,0,S$9-U78)</f>
        <v>146.79079577391531</v>
      </c>
      <c r="V79" s="245">
        <f>IF(V77=0,0,S$9-V78)</f>
        <v>2.2044300563284196</v>
      </c>
      <c r="W79" s="238"/>
      <c r="X79" s="156">
        <f>IF(X77=0,0,X$9-X78)</f>
        <v>56.202517151948996</v>
      </c>
      <c r="Y79" s="196"/>
      <c r="Z79" s="156">
        <f>IF(Z77=0,0,X$9-Z78)</f>
        <v>174.41454439132212</v>
      </c>
      <c r="AA79" s="245">
        <f>IF(AA77=0,0,X$9-AA78)</f>
        <v>5.527739952551201</v>
      </c>
      <c r="AB79" s="265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</row>
    <row r="80" spans="1:42" s="192" customFormat="1" ht="11.25">
      <c r="A80" s="37"/>
      <c r="B80" s="37"/>
      <c r="C80" s="37"/>
      <c r="D80" s="191"/>
      <c r="E80" s="191" t="s">
        <v>311</v>
      </c>
      <c r="F80" s="191" t="s">
        <v>214</v>
      </c>
      <c r="G80" s="191" t="s">
        <v>262</v>
      </c>
      <c r="H80" s="315"/>
      <c r="I80" s="316">
        <f>I$9</f>
        <v>42369</v>
      </c>
      <c r="J80" s="317"/>
      <c r="K80" s="316">
        <f>I$9</f>
        <v>42369</v>
      </c>
      <c r="L80" s="318">
        <f>I$9</f>
        <v>42369</v>
      </c>
      <c r="M80" s="274"/>
      <c r="N80" s="193">
        <f>N$9</f>
        <v>42308</v>
      </c>
      <c r="O80" s="196"/>
      <c r="P80" s="193">
        <f>N$9</f>
        <v>42308</v>
      </c>
      <c r="Q80" s="237">
        <f>N$9</f>
        <v>42308</v>
      </c>
      <c r="R80" s="238"/>
      <c r="S80" s="193">
        <f>S$9</f>
        <v>42338</v>
      </c>
      <c r="T80" s="196"/>
      <c r="U80" s="193">
        <f>S$9</f>
        <v>42338</v>
      </c>
      <c r="V80" s="237">
        <f>S$9</f>
        <v>42338</v>
      </c>
      <c r="W80" s="238"/>
      <c r="X80" s="193">
        <f>X$9</f>
        <v>42369</v>
      </c>
      <c r="Y80" s="196"/>
      <c r="Z80" s="193">
        <f>X$9</f>
        <v>42369</v>
      </c>
      <c r="AA80" s="237">
        <f>X$9</f>
        <v>42369</v>
      </c>
      <c r="AB80" s="265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</row>
    <row r="81" spans="1:42" s="192" customFormat="1" ht="11.25">
      <c r="A81" s="37"/>
      <c r="B81" s="37"/>
      <c r="C81" s="37"/>
      <c r="D81" s="191"/>
      <c r="E81" s="191" t="s">
        <v>288</v>
      </c>
      <c r="F81" s="191" t="s">
        <v>214</v>
      </c>
      <c r="G81" s="191" t="s">
        <v>219</v>
      </c>
      <c r="H81" s="315"/>
      <c r="I81" s="329">
        <f>IF(I77=0,0,I80-I78)</f>
        <v>56.202517151948996</v>
      </c>
      <c r="J81" s="317"/>
      <c r="K81" s="329">
        <f>IF(K77=0,0,K80-K78)</f>
        <v>174.41454439132212</v>
      </c>
      <c r="L81" s="330">
        <f>IF(L77=0,0,L80-L78)</f>
        <v>5.527739952551201</v>
      </c>
      <c r="M81" s="274"/>
      <c r="N81" s="156">
        <f>IF(N77=0,0,N80-N78)</f>
        <v>62.498013428557897</v>
      </c>
      <c r="O81" s="196"/>
      <c r="P81" s="156">
        <f>IF(P77=0,0,P80-P78)</f>
        <v>87.387990250063012</v>
      </c>
      <c r="Q81" s="245">
        <f>IF(Q77=0,0,Q80-Q78)</f>
        <v>2.0462646158484858</v>
      </c>
      <c r="R81" s="238"/>
      <c r="S81" s="156">
        <f>IF(S77=0,0,S80-S78)</f>
        <v>21.061602602872881</v>
      </c>
      <c r="T81" s="196"/>
      <c r="U81" s="156">
        <f>IF(U77=0,0,U80-U78)</f>
        <v>146.79079577391531</v>
      </c>
      <c r="V81" s="245">
        <f>IF(V77=0,0,V80-V78)</f>
        <v>2.2044300563284196</v>
      </c>
      <c r="W81" s="238"/>
      <c r="X81" s="156">
        <f>IF(X77=0,0,X80-X78)</f>
        <v>56.202517151948996</v>
      </c>
      <c r="Y81" s="196"/>
      <c r="Z81" s="156">
        <f>IF(Z77=0,0,Z80-Z78)</f>
        <v>174.41454439132212</v>
      </c>
      <c r="AA81" s="245">
        <f>IF(AA77=0,0,AA80-AA78)</f>
        <v>5.527739952551201</v>
      </c>
      <c r="AB81" s="265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</row>
    <row r="82" spans="1:42" s="192" customFormat="1" ht="11.25">
      <c r="A82" s="37"/>
      <c r="B82" s="37"/>
      <c r="C82" s="37"/>
      <c r="D82" s="200"/>
      <c r="E82" s="200" t="s">
        <v>289</v>
      </c>
      <c r="F82" s="200" t="s">
        <v>214</v>
      </c>
      <c r="G82" s="200" t="s">
        <v>219</v>
      </c>
      <c r="H82" s="360"/>
      <c r="I82" s="332">
        <f>I79-I81</f>
        <v>0</v>
      </c>
      <c r="J82" s="361"/>
      <c r="K82" s="332">
        <f>K79-K81</f>
        <v>0</v>
      </c>
      <c r="L82" s="362">
        <f>L79-L81</f>
        <v>0</v>
      </c>
      <c r="M82" s="285"/>
      <c r="N82" s="162">
        <f>N79-N81</f>
        <v>0</v>
      </c>
      <c r="O82" s="201"/>
      <c r="P82" s="162">
        <f>P79-P81</f>
        <v>0</v>
      </c>
      <c r="Q82" s="246">
        <f>Q79-Q81</f>
        <v>0</v>
      </c>
      <c r="R82" s="262"/>
      <c r="S82" s="162">
        <f>S79-S81</f>
        <v>0</v>
      </c>
      <c r="T82" s="201"/>
      <c r="U82" s="162">
        <f>U79-U81</f>
        <v>0</v>
      </c>
      <c r="V82" s="246">
        <f>V79-V81</f>
        <v>0</v>
      </c>
      <c r="W82" s="262"/>
      <c r="X82" s="162">
        <f>X79-X81</f>
        <v>0</v>
      </c>
      <c r="Y82" s="201"/>
      <c r="Z82" s="162">
        <f>Z79-Z81</f>
        <v>0</v>
      </c>
      <c r="AA82" s="246">
        <f>AA79-AA81</f>
        <v>0</v>
      </c>
      <c r="AB82" s="265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</row>
    <row r="83" spans="1:42">
      <c r="A83" s="12"/>
      <c r="B83" s="12"/>
      <c r="C83" s="12"/>
      <c r="D83" s="202"/>
      <c r="E83" s="202"/>
      <c r="F83" s="202"/>
      <c r="G83" s="202"/>
      <c r="H83" s="363"/>
      <c r="I83" s="364"/>
      <c r="J83" s="365"/>
      <c r="K83" s="366"/>
      <c r="L83" s="366"/>
      <c r="M83" s="202"/>
      <c r="N83" s="203"/>
      <c r="O83" s="204"/>
      <c r="P83" s="205"/>
      <c r="Q83" s="205"/>
      <c r="R83" s="202"/>
      <c r="S83" s="203"/>
      <c r="T83" s="204"/>
      <c r="U83" s="205"/>
      <c r="V83" s="205"/>
      <c r="W83" s="202"/>
      <c r="X83" s="203"/>
      <c r="Y83" s="204"/>
      <c r="Z83" s="205"/>
      <c r="AA83" s="205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5" customFormat="1">
      <c r="A84" s="1"/>
      <c r="B84" s="1"/>
      <c r="C84" s="194" t="s">
        <v>313</v>
      </c>
      <c r="D84" s="194"/>
      <c r="E84" s="194"/>
      <c r="F84" s="194"/>
      <c r="G84" s="194"/>
      <c r="H84" s="367"/>
      <c r="I84" s="367"/>
      <c r="J84" s="368"/>
      <c r="K84" s="367"/>
      <c r="L84" s="367"/>
      <c r="M84" s="194"/>
      <c r="N84" s="195"/>
      <c r="O84" s="306"/>
      <c r="P84" s="194"/>
      <c r="Q84" s="194"/>
      <c r="R84" s="194"/>
      <c r="S84" s="195"/>
      <c r="T84" s="306"/>
      <c r="U84" s="194"/>
      <c r="V84" s="194"/>
      <c r="W84" s="194"/>
      <c r="X84" s="195"/>
      <c r="Y84" s="306"/>
      <c r="Z84" s="194"/>
      <c r="AA84" s="194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3.5" thickBot="1">
      <c r="A85" s="12"/>
      <c r="B85" s="12"/>
      <c r="C85" s="206"/>
      <c r="D85" s="287"/>
      <c r="E85" s="287"/>
      <c r="F85" s="287"/>
      <c r="G85" s="287"/>
      <c r="H85" s="369"/>
      <c r="I85" s="370"/>
      <c r="J85" s="371"/>
      <c r="K85" s="372"/>
      <c r="L85" s="372"/>
      <c r="M85" s="287"/>
      <c r="N85" s="288"/>
      <c r="O85" s="289"/>
      <c r="P85" s="290"/>
      <c r="Q85" s="290"/>
      <c r="R85" s="287"/>
      <c r="S85" s="288"/>
      <c r="T85" s="289"/>
      <c r="U85" s="290"/>
      <c r="V85" s="290"/>
      <c r="W85" s="287"/>
      <c r="X85" s="288"/>
      <c r="Y85" s="289"/>
      <c r="Z85" s="290"/>
      <c r="AA85" s="290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11" customFormat="1" ht="11.25">
      <c r="A86" s="108"/>
      <c r="B86" s="108"/>
      <c r="C86" s="108" t="s">
        <v>271</v>
      </c>
      <c r="D86" s="291"/>
      <c r="E86" s="291"/>
      <c r="F86" s="291" t="str">
        <f>F87</f>
        <v>Электроника и бытовая техника</v>
      </c>
      <c r="G86" s="291"/>
      <c r="H86" s="373"/>
      <c r="I86" s="374">
        <f>I87-K87-L87</f>
        <v>0</v>
      </c>
      <c r="J86" s="375">
        <f>N86+N104+N142+SUM(O:O)+S86+S104+S142+SUM(T:T)+X86+X104+X142+SUM(Y:Y)</f>
        <v>3.7104683769939584E-9</v>
      </c>
      <c r="K86" s="373"/>
      <c r="L86" s="376"/>
      <c r="M86" s="293"/>
      <c r="N86" s="292">
        <f>N87-P87-Q87</f>
        <v>0</v>
      </c>
      <c r="O86" s="294"/>
      <c r="P86" s="291"/>
      <c r="Q86" s="295"/>
      <c r="R86" s="296"/>
      <c r="S86" s="292">
        <f>S87-U87-V87</f>
        <v>0</v>
      </c>
      <c r="T86" s="294"/>
      <c r="U86" s="291"/>
      <c r="V86" s="295"/>
      <c r="W86" s="296"/>
      <c r="X86" s="292">
        <f>X87-Z87-AA87</f>
        <v>0</v>
      </c>
      <c r="Y86" s="294"/>
      <c r="Z86" s="291"/>
      <c r="AA86" s="295"/>
      <c r="AB86" s="263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</row>
    <row r="87" spans="1:42" s="93" customFormat="1" ht="15">
      <c r="A87" s="92"/>
      <c r="B87" s="92"/>
      <c r="C87" s="92"/>
      <c r="D87" s="151" t="s">
        <v>256</v>
      </c>
      <c r="E87" s="151"/>
      <c r="F87" s="286" t="str">
        <f>микс!$H$46</f>
        <v>Электроника и бытовая техника</v>
      </c>
      <c r="G87" s="151" t="s">
        <v>261</v>
      </c>
      <c r="H87" s="311"/>
      <c r="I87" s="312">
        <f>SUMIFS(операции!$V:$V,операции!$T:$T,"&lt;"&amp;I$8,операции!$X:$X,"",операции!$P:$P,$F87)+SUMIFS(операции!$V:$V,операции!$T:$T,"&lt;"&amp;I$8,операции!$X:$X,"&gt;="&amp;I$8,операции!$P:$P,$F87)</f>
        <v>139870.67000000004</v>
      </c>
      <c r="J87" s="313">
        <f>I87-I92-I98</f>
        <v>5.8207660913467407E-11</v>
      </c>
      <c r="K87" s="312">
        <f>SUMIFS(операции!$V:$V,операции!$T:$T,"&lt;"&amp;I$8,операции!$X:$X,"",операции!$L:$L,K$9,операции!$P:$P,$F87)+SUMIFS(операции!$V:$V,операции!$T:$T,"&lt;"&amp;I$8,операции!$X:$X,"&gt;="&amp;I$8,операции!$L:$L,K$9,операции!$P:$P,$F87)</f>
        <v>139870.67000000004</v>
      </c>
      <c r="L87" s="314">
        <f>SUMIFS(операции!$V:$V,операции!$T:$T,"&lt;"&amp;I$8,операции!$X:$X,"",операции!$L:$L,L$9,операции!$P:$P,$F87)+SUMIFS(операции!$V:$V,операции!$T:$T,"&lt;"&amp;I$8,операции!$X:$X,"&gt;="&amp;I$8,операции!$L:$L,L$9,операции!$P:$P,$F87)</f>
        <v>0</v>
      </c>
      <c r="M87" s="273"/>
      <c r="N87" s="152">
        <f>SUMIFS(операции!$V:$V,операции!$T:$T,"&lt;"&amp;N$8,операции!$X:$X,"",операции!$P:$P,$F87)+SUMIFS(операции!$V:$V,операции!$T:$T,"&lt;"&amp;N$8,операции!$X:$X,"&gt;="&amp;N$8,операции!$P:$P,$F87)</f>
        <v>139870.67000000004</v>
      </c>
      <c r="O87" s="170">
        <f>N87-N92-N98</f>
        <v>5.8207660913467407E-11</v>
      </c>
      <c r="P87" s="152">
        <f>SUMIFS(операции!$V:$V,операции!$T:$T,"&lt;"&amp;N$8,операции!$X:$X,"",операции!$L:$L,P$9,операции!$P:$P,$F87)+SUMIFS(операции!$V:$V,операции!$T:$T,"&lt;"&amp;N$8,операции!$X:$X,"&gt;="&amp;N$8,операции!$L:$L,P$9,операции!$P:$P,$F87)</f>
        <v>139870.67000000004</v>
      </c>
      <c r="Q87" s="235">
        <f>SUMIFS(операции!$V:$V,операции!$T:$T,"&lt;"&amp;N$8,операции!$X:$X,"",операции!$L:$L,Q$9,операции!$P:$P,$F87)+SUMIFS(операции!$V:$V,операции!$T:$T,"&lt;"&amp;N$8,операции!$X:$X,"&gt;="&amp;N$8,операции!$L:$L,Q$9,операции!$P:$P,$F87)</f>
        <v>0</v>
      </c>
      <c r="R87" s="236"/>
      <c r="S87" s="152">
        <f>SUMIFS(операции!$V:$V,операции!$T:$T,"&lt;"&amp;S$8,операции!$X:$X,"",операции!$P:$P,$F87)+SUMIFS(операции!$V:$V,операции!$T:$T,"&lt;"&amp;S$8,операции!$X:$X,"&gt;="&amp;S$8,операции!$P:$P,$F87)</f>
        <v>131201.48000000004</v>
      </c>
      <c r="T87" s="170">
        <f>S87-S92-S98</f>
        <v>0</v>
      </c>
      <c r="U87" s="152">
        <f>SUMIFS(операции!$V:$V,операции!$T:$T,"&lt;"&amp;S$8,операции!$X:$X,"",операции!$L:$L,U$9,операции!$P:$P,$F87)+SUMIFS(операции!$V:$V,операции!$T:$T,"&lt;"&amp;S$8,операции!$X:$X,"&gt;="&amp;S$8,операции!$L:$L,U$9,операции!$P:$P,$F87)</f>
        <v>131201.48000000004</v>
      </c>
      <c r="V87" s="235">
        <f>SUMIFS(операции!$V:$V,операции!$T:$T,"&lt;"&amp;S$8,операции!$X:$X,"",операции!$L:$L,V$9,операции!$P:$P,$F87)+SUMIFS(операции!$V:$V,операции!$T:$T,"&lt;"&amp;S$8,операции!$X:$X,"&gt;="&amp;S$8,операции!$L:$L,V$9,операции!$P:$P,$F87)</f>
        <v>0</v>
      </c>
      <c r="W87" s="236"/>
      <c r="X87" s="152">
        <f>SUMIFS(операции!$V:$V,операции!$T:$T,"&lt;"&amp;X$8,операции!$X:$X,"",операции!$P:$P,$F87)+SUMIFS(операции!$V:$V,операции!$T:$T,"&lt;"&amp;X$8,операции!$X:$X,"&gt;="&amp;X$8,операции!$P:$P,$F87)</f>
        <v>143922.82</v>
      </c>
      <c r="Y87" s="170">
        <f>X87-X92-X98</f>
        <v>0</v>
      </c>
      <c r="Z87" s="152">
        <f>SUMIFS(операции!$V:$V,операции!$T:$T,"&lt;"&amp;X$8,операции!$X:$X,"",операции!$L:$L,Z$9,операции!$P:$P,$F87)+SUMIFS(операции!$V:$V,операции!$T:$T,"&lt;"&amp;X$8,операции!$X:$X,"&gt;="&amp;X$8,операции!$L:$L,Z$9,операции!$P:$P,$F87)</f>
        <v>88779.64</v>
      </c>
      <c r="AA87" s="235">
        <f>SUMIFS(операции!$V:$V,операции!$T:$T,"&lt;"&amp;X$8,операции!$X:$X,"",операции!$L:$L,AA$9,операции!$P:$P,$F87)+SUMIFS(операции!$V:$V,операции!$T:$T,"&lt;"&amp;X$8,операции!$X:$X,"&gt;="&amp;X$8,операции!$L:$L,AA$9,операции!$P:$P,$F87)</f>
        <v>55143.18</v>
      </c>
      <c r="AB87" s="264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</row>
    <row r="88" spans="1:42" s="192" customFormat="1" ht="11.25">
      <c r="A88" s="37"/>
      <c r="B88" s="37"/>
      <c r="C88" s="37"/>
      <c r="D88" s="191" t="s">
        <v>255</v>
      </c>
      <c r="E88" s="191"/>
      <c r="F88" s="191" t="str">
        <f>F87</f>
        <v>Электроника и бытовая техника</v>
      </c>
      <c r="G88" s="191" t="s">
        <v>262</v>
      </c>
      <c r="H88" s="315"/>
      <c r="I88" s="316">
        <f>IF(I87=0,0,(SUMIFS(операции!$AF:$AF,операции!$T:$T,"&lt;"&amp;I$8,операции!$X:$X,"",операции!$P:$P,$F87)+SUMIFS(операции!$AF:$AF,операции!$T:$T,"&lt;"&amp;I$8,операции!$X:$X,"&gt;="&amp;I$8,операции!$P:$P,$F87))/I87)</f>
        <v>42213.903875916221</v>
      </c>
      <c r="J88" s="317"/>
      <c r="K88" s="316">
        <f>IF(K87=0,0,(SUMIFS(операции!$AF:$AF,операции!$T:$T,"&lt;"&amp;I$8,операции!$X:$X,"",операции!$L:$L,K$9,операции!$P:$P,$F87)+SUMIFS(операции!$AF:$AF,операции!$T:$T,"&lt;"&amp;I$8,операции!$X:$X,"&gt;="&amp;I$8,операции!$L:$L,K$9,операции!$P:$P,$F87))/K87)</f>
        <v>42213.903875916221</v>
      </c>
      <c r="L88" s="318">
        <f>IF(L87=0,0,(SUMIFS(операции!$AF:$AF,операции!$T:$T,"&lt;"&amp;I$8,операции!$X:$X,"",операции!$L:$L,L$9,операции!$P:$P,$F87)+SUMIFS(операции!$AF:$AF,операции!$T:$T,"&lt;"&amp;I$8,операции!$X:$X,"&gt;="&amp;I$8,операции!$L:$L,L$9,операции!$P:$P,$F87))/L87)</f>
        <v>0</v>
      </c>
      <c r="M88" s="274"/>
      <c r="N88" s="193">
        <f>IF(N87=0,0,(SUMIFS(операции!$AF:$AF,операции!$T:$T,"&lt;"&amp;N$8,операции!$X:$X,"",операции!$P:$P,$F87)+SUMIFS(операции!$AF:$AF,операции!$T:$T,"&lt;"&amp;N$8,операции!$X:$X,"&gt;="&amp;N$8,операции!$P:$P,$F87))/N87)</f>
        <v>42213.903875916221</v>
      </c>
      <c r="O88" s="196"/>
      <c r="P88" s="193">
        <f>IF(P87=0,0,(SUMIFS(операции!$AF:$AF,операции!$T:$T,"&lt;"&amp;N$8,операции!$X:$X,"",операции!$L:$L,P$9,операции!$P:$P,$F87)+SUMIFS(операции!$AF:$AF,операции!$T:$T,"&lt;"&amp;N$8,операции!$X:$X,"&gt;="&amp;N$8,операции!$L:$L,P$9,операции!$P:$P,$F87))/P87)</f>
        <v>42213.903875916221</v>
      </c>
      <c r="Q88" s="237">
        <f>IF(Q87=0,0,(SUMIFS(операции!$AF:$AF,операции!$T:$T,"&lt;"&amp;N$8,операции!$X:$X,"",операции!$L:$L,Q$9,операции!$P:$P,$F87)+SUMIFS(операции!$AF:$AF,операции!$T:$T,"&lt;"&amp;N$8,операции!$X:$X,"&gt;="&amp;N$8,операции!$L:$L,Q$9,операции!$P:$P,$F87))/Q87)</f>
        <v>0</v>
      </c>
      <c r="R88" s="238"/>
      <c r="S88" s="193">
        <f>IF(S87=0,0,(SUMIFS(операции!$AF:$AF,операции!$T:$T,"&lt;"&amp;S$8,операции!$X:$X,"",операции!$P:$P,$F87)+SUMIFS(операции!$AF:$AF,операции!$T:$T,"&lt;"&amp;S$8,операции!$X:$X,"&gt;="&amp;S$8,операции!$P:$P,$F87))/S87)</f>
        <v>42222.863255353514</v>
      </c>
      <c r="T88" s="196"/>
      <c r="U88" s="193">
        <f>IF(U87=0,0,(SUMIFS(операции!$AF:$AF,операции!$T:$T,"&lt;"&amp;S$8,операции!$X:$X,"",операции!$L:$L,U$9,операции!$P:$P,$F87)+SUMIFS(операции!$AF:$AF,операции!$T:$T,"&lt;"&amp;S$8,операции!$X:$X,"&gt;="&amp;S$8,операции!$L:$L,U$9,операции!$P:$P,$F87))/U87)</f>
        <v>42222.863255353514</v>
      </c>
      <c r="V88" s="237">
        <f>IF(V87=0,0,(SUMIFS(операции!$AF:$AF,операции!$T:$T,"&lt;"&amp;S$8,операции!$X:$X,"",операции!$L:$L,V$9,операции!$P:$P,$F87)+SUMIFS(операции!$AF:$AF,операции!$T:$T,"&lt;"&amp;S$8,операции!$X:$X,"&gt;="&amp;S$8,операции!$L:$L,V$9,операции!$P:$P,$F87))/V87)</f>
        <v>0</v>
      </c>
      <c r="W88" s="238"/>
      <c r="X88" s="193">
        <f>IF(X87=0,0,(SUMIFS(операции!$AF:$AF,операции!$T:$T,"&lt;"&amp;X$8,операции!$X:$X,"",операции!$P:$P,$F87)+SUMIFS(операции!$AF:$AF,операции!$T:$T,"&lt;"&amp;X$8,операции!$X:$X,"&gt;="&amp;X$8,операции!$P:$P,$F87))/X87)</f>
        <v>42272.838571395427</v>
      </c>
      <c r="Y88" s="196"/>
      <c r="Z88" s="193">
        <f>IF(Z87=0,0,(SUMIFS(операции!$AF:$AF,операции!$T:$T,"&lt;"&amp;X$8,операции!$X:$X,"",операции!$L:$L,Z$9,операции!$P:$P,$F87)+SUMIFS(операции!$AF:$AF,операции!$T:$T,"&lt;"&amp;X$8,операции!$X:$X,"&gt;="&amp;X$8,операции!$L:$L,Z$9,операции!$P:$P,$F87))/Z87)</f>
        <v>42233.064893257062</v>
      </c>
      <c r="AA88" s="237">
        <f>IF(AA87=0,0,(SUMIFS(операции!$AF:$AF,операции!$T:$T,"&lt;"&amp;X$8,операции!$X:$X,"",операции!$L:$L,AA$9,операции!$P:$P,$F87)+SUMIFS(операции!$AF:$AF,операции!$T:$T,"&lt;"&amp;X$8,операции!$X:$X,"&gt;="&amp;X$8,операции!$L:$L,AA$9,операции!$P:$P,$F87))/AA87)</f>
        <v>42336.873558615953</v>
      </c>
      <c r="AB88" s="265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</row>
    <row r="89" spans="1:42" s="50" customFormat="1" ht="11.25">
      <c r="A89" s="48"/>
      <c r="B89" s="48"/>
      <c r="C89" s="48"/>
      <c r="D89" s="154" t="s">
        <v>257</v>
      </c>
      <c r="E89" s="154"/>
      <c r="F89" s="154" t="str">
        <f t="shared" ref="F89:F155" si="111">F88</f>
        <v>Электроника и бытовая техника</v>
      </c>
      <c r="G89" s="154" t="s">
        <v>219</v>
      </c>
      <c r="H89" s="319"/>
      <c r="I89" s="320">
        <f>IF(I87=0,0,I$8-I88)</f>
        <v>64.096124083778705</v>
      </c>
      <c r="J89" s="321">
        <f>I89-IF(I87=0,0,(I92*I94+I98*I100)/I87)</f>
        <v>1.0743406164692715E-11</v>
      </c>
      <c r="K89" s="320">
        <f>IF(K87=0,0,I$8-K88)</f>
        <v>64.096124083778705</v>
      </c>
      <c r="L89" s="322">
        <f>IF(L87=0,0,I$8-L88)</f>
        <v>0</v>
      </c>
      <c r="M89" s="275"/>
      <c r="N89" s="155">
        <f>IF(N87=0,0,N$8-N88)</f>
        <v>64.096124083778705</v>
      </c>
      <c r="O89" s="173">
        <f>N89-IF(N87=0,0,(N92*N94+N98*N100)/N87)</f>
        <v>1.0743406164692715E-11</v>
      </c>
      <c r="P89" s="155">
        <f>IF(P87=0,0,N$8-P88)</f>
        <v>64.096124083778705</v>
      </c>
      <c r="Q89" s="239">
        <f>IF(Q87=0,0,N$8-Q88)</f>
        <v>0</v>
      </c>
      <c r="R89" s="240"/>
      <c r="S89" s="155">
        <f>IF(S87=0,0,S$8-S88)</f>
        <v>86.136744646486477</v>
      </c>
      <c r="T89" s="173">
        <f>S89-IF(S87=0,0,(S92*S94+S98*S100)/S87)</f>
        <v>-1.5631940186722204E-12</v>
      </c>
      <c r="U89" s="155">
        <f>IF(U87=0,0,S$8-U88)</f>
        <v>86.136744646486477</v>
      </c>
      <c r="V89" s="239">
        <f>IF(V87=0,0,S$8-V88)</f>
        <v>0</v>
      </c>
      <c r="W89" s="240"/>
      <c r="X89" s="155">
        <f>IF(X87=0,0,X$8-X88)</f>
        <v>66.161428604573302</v>
      </c>
      <c r="Y89" s="173">
        <f>X89-IF(X87=0,0,(X92*X94+X98*X100)/X87)</f>
        <v>-1.0118128557223827E-11</v>
      </c>
      <c r="Z89" s="155">
        <f>IF(Z87=0,0,X$8-Z88)</f>
        <v>105.93510674293793</v>
      </c>
      <c r="AA89" s="239">
        <f>IF(AA87=0,0,X$8-AA88)</f>
        <v>2.1264413840472116</v>
      </c>
      <c r="AB89" s="230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s="93" customFormat="1" ht="15">
      <c r="A90" s="92"/>
      <c r="B90" s="92"/>
      <c r="C90" s="92"/>
      <c r="D90" s="198" t="s">
        <v>267</v>
      </c>
      <c r="E90" s="198"/>
      <c r="F90" s="198" t="str">
        <f t="shared" si="111"/>
        <v>Электроника и бытовая техника</v>
      </c>
      <c r="G90" s="198" t="s">
        <v>219</v>
      </c>
      <c r="H90" s="323"/>
      <c r="I90" s="324">
        <f>IF(I87=0,0,(I92*I96+I98*I102)/I87)</f>
        <v>39.016452269804113</v>
      </c>
      <c r="J90" s="321"/>
      <c r="K90" s="324">
        <f t="shared" ref="K90" si="112">IF(K87=0,0,(K92*K96+K98*K102)/K87)</f>
        <v>39.016452269804113</v>
      </c>
      <c r="L90" s="325">
        <f>IF(L87=0,0,(L92*L96+L98*L102)/L87)</f>
        <v>0</v>
      </c>
      <c r="M90" s="276"/>
      <c r="N90" s="199">
        <f>IF(N87=0,0,(N92*N96+N98*N102)/N87)</f>
        <v>39.016452269804113</v>
      </c>
      <c r="O90" s="173"/>
      <c r="P90" s="199">
        <f t="shared" ref="P90" si="113">IF(P87=0,0,(P92*P96+P98*P102)/P87)</f>
        <v>39.016452269804113</v>
      </c>
      <c r="Q90" s="241">
        <f>IF(Q87=0,0,(Q92*Q96+Q98*Q102)/Q87)</f>
        <v>0</v>
      </c>
      <c r="R90" s="242"/>
      <c r="S90" s="199">
        <f>IF(S87=0,0,(S92*S96+S98*S102)/S87)</f>
        <v>43.479329196588878</v>
      </c>
      <c r="T90" s="173"/>
      <c r="U90" s="199">
        <f t="shared" ref="U90" si="114">IF(U87=0,0,(U92*U96+U98*U102)/U87)</f>
        <v>43.479329196588878</v>
      </c>
      <c r="V90" s="241">
        <f>IF(V87=0,0,(V92*V96+V98*V102)/V87)</f>
        <v>0</v>
      </c>
      <c r="W90" s="242"/>
      <c r="X90" s="199">
        <f>IF(X87=0,0,(X92*X96+X98*X102)/X87)</f>
        <v>20.77240106885375</v>
      </c>
      <c r="Y90" s="173"/>
      <c r="Z90" s="199">
        <f t="shared" ref="Z90" si="115">IF(Z87=0,0,(Z92*Z96+Z98*Z102)/Z87)</f>
        <v>32.353857258268668</v>
      </c>
      <c r="AA90" s="241">
        <f>IF(AA87=0,0,(AA92*AA96+AA98*AA102)/AA87)</f>
        <v>2.126441384061764</v>
      </c>
      <c r="AB90" s="264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</row>
    <row r="91" spans="1:42" s="50" customFormat="1" ht="11.25">
      <c r="A91" s="48"/>
      <c r="B91" s="48"/>
      <c r="C91" s="48"/>
      <c r="D91" s="154" t="s">
        <v>270</v>
      </c>
      <c r="E91" s="154"/>
      <c r="F91" s="154" t="str">
        <f t="shared" si="111"/>
        <v>Электроника и бытовая техника</v>
      </c>
      <c r="G91" s="154" t="s">
        <v>219</v>
      </c>
      <c r="H91" s="319"/>
      <c r="I91" s="320">
        <f>I89-I90</f>
        <v>25.079671813974592</v>
      </c>
      <c r="J91" s="321"/>
      <c r="K91" s="320">
        <f t="shared" ref="K91" si="116">K89-K90</f>
        <v>25.079671813974592</v>
      </c>
      <c r="L91" s="322">
        <f t="shared" ref="L91" si="117">L89-L90</f>
        <v>0</v>
      </c>
      <c r="M91" s="275"/>
      <c r="N91" s="155">
        <f>N89-N90</f>
        <v>25.079671813974592</v>
      </c>
      <c r="O91" s="173"/>
      <c r="P91" s="155">
        <f t="shared" ref="P91" si="118">P89-P90</f>
        <v>25.079671813974592</v>
      </c>
      <c r="Q91" s="239">
        <f t="shared" ref="Q91" si="119">Q89-Q90</f>
        <v>0</v>
      </c>
      <c r="R91" s="240"/>
      <c r="S91" s="155">
        <f>S89-S90</f>
        <v>42.657415449897599</v>
      </c>
      <c r="T91" s="173"/>
      <c r="U91" s="155">
        <f t="shared" ref="U91" si="120">U89-U90</f>
        <v>42.657415449897599</v>
      </c>
      <c r="V91" s="239">
        <f t="shared" ref="V91" si="121">V89-V90</f>
        <v>0</v>
      </c>
      <c r="W91" s="240"/>
      <c r="X91" s="155">
        <f>X89-X90</f>
        <v>45.389027535719549</v>
      </c>
      <c r="Y91" s="173"/>
      <c r="Z91" s="155">
        <f t="shared" ref="Z91" si="122">Z89-Z90</f>
        <v>73.581249484669257</v>
      </c>
      <c r="AA91" s="239">
        <f t="shared" ref="AA91" si="123">AA89-AA90</f>
        <v>-1.4552359317576702E-11</v>
      </c>
      <c r="AB91" s="230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s="5" customFormat="1">
      <c r="A92" s="1"/>
      <c r="B92" s="1"/>
      <c r="C92" s="1"/>
      <c r="D92" s="168"/>
      <c r="E92" s="168" t="s">
        <v>258</v>
      </c>
      <c r="F92" s="168" t="str">
        <f t="shared" si="111"/>
        <v>Электроника и бытовая техника</v>
      </c>
      <c r="G92" s="168" t="s">
        <v>261</v>
      </c>
      <c r="H92" s="326"/>
      <c r="I92" s="327">
        <f>SUMIFS(операции!$V:$V,операции!$T:$T,"&lt;"&amp;I$8,операции!$X:$X,"",операции!$AB:$AB,"&lt;&gt;"&amp;"",операции!$AB:$AB,"&lt;"&amp;I$8,операции!$P:$P,$F87)+SUMIFS(операции!$V:$V,операции!$T:$T,"&lt;"&amp;I$8,операции!$X:$X,"&gt;="&amp;I$8,операции!$AB:$AB,"&lt;&gt;"&amp;"",операции!$AB:$AB,"&lt;"&amp;I$8,операции!$P:$P,$F87)</f>
        <v>85870.359999999986</v>
      </c>
      <c r="J92" s="313">
        <f>I92-K92-L92</f>
        <v>0</v>
      </c>
      <c r="K92" s="327">
        <f>SUMIFS(операции!$V:$V,операции!$T:$T,"&lt;"&amp;I$8,операции!$X:$X,"",операции!$AB:$AB,"&lt;&gt;"&amp;"",операции!$AB:$AB,"&lt;"&amp;I$8,операции!$L:$L,K$9,операции!$P:$P,$F87)+SUMIFS(операции!$V:$V,операции!$T:$T,"&lt;"&amp;I$8,операции!$X:$X,"&gt;="&amp;I$8,операции!$AB:$AB,"&lt;&gt;"&amp;"",операции!$AB:$AB,"&lt;"&amp;I$8,операции!$L:$L,K$9,операции!$P:$P,$F87)</f>
        <v>85870.359999999986</v>
      </c>
      <c r="L92" s="328">
        <f>SUMIFS(операции!$V:$V,операции!$T:$T,"&lt;"&amp;I$8,операции!$X:$X,"",операции!$AB:$AB,"&lt;&gt;"&amp;"",операции!$AB:$AB,"&lt;"&amp;I$8,операции!$L:$L,L$9,операции!$P:$P,$F87)+SUMIFS(операции!$V:$V,операции!$T:$T,"&lt;"&amp;I$8,операции!$X:$X,"&gt;="&amp;I$8,операции!$AB:$AB,"&lt;&gt;"&amp;"",операции!$AB:$AB,"&lt;"&amp;I$8,операции!$L:$L,L$9,операции!$P:$P,$F87)</f>
        <v>0</v>
      </c>
      <c r="M92" s="277"/>
      <c r="N92" s="169">
        <f>SUMIFS(операции!$V:$V,операции!$T:$T,"&lt;"&amp;N$8,операции!$X:$X,"",операции!$AB:$AB,"&lt;&gt;"&amp;"",операции!$AB:$AB,"&lt;"&amp;N$8,операции!$P:$P,$F87)+SUMIFS(операции!$V:$V,операции!$T:$T,"&lt;"&amp;N$8,операции!$X:$X,"&gt;="&amp;N$8,операции!$AB:$AB,"&lt;&gt;"&amp;"",операции!$AB:$AB,"&lt;"&amp;N$8,операции!$P:$P,$F87)</f>
        <v>85870.359999999986</v>
      </c>
      <c r="O92" s="170">
        <f>N92-P92-Q92</f>
        <v>0</v>
      </c>
      <c r="P92" s="169">
        <f>SUMIFS(операции!$V:$V,операции!$T:$T,"&lt;"&amp;N$8,операции!$X:$X,"",операции!$AB:$AB,"&lt;&gt;"&amp;"",операции!$AB:$AB,"&lt;"&amp;N$8,операции!$L:$L,P$9,операции!$P:$P,$F87)+SUMIFS(операции!$V:$V,операции!$T:$T,"&lt;"&amp;N$8,операции!$X:$X,"&gt;="&amp;N$8,операции!$AB:$AB,"&lt;&gt;"&amp;"",операции!$AB:$AB,"&lt;"&amp;N$8,операции!$L:$L,P$9,операции!$P:$P,$F87)</f>
        <v>85870.359999999986</v>
      </c>
      <c r="Q92" s="243">
        <f>SUMIFS(операции!$V:$V,операции!$T:$T,"&lt;"&amp;N$8,операции!$X:$X,"",операции!$AB:$AB,"&lt;&gt;"&amp;"",операции!$AB:$AB,"&lt;"&amp;N$8,операции!$L:$L,Q$9,операции!$P:$P,$F87)+SUMIFS(операции!$V:$V,операции!$T:$T,"&lt;"&amp;N$8,операции!$X:$X,"&gt;="&amp;N$8,операции!$AB:$AB,"&lt;&gt;"&amp;"",операции!$AB:$AB,"&lt;"&amp;N$8,операции!$L:$L,Q$9,операции!$P:$P,$F87)</f>
        <v>0</v>
      </c>
      <c r="R92" s="244"/>
      <c r="S92" s="169">
        <f>SUMIFS(операции!$V:$V,операции!$T:$T,"&lt;"&amp;S$8,операции!$X:$X,"",операции!$AB:$AB,"&lt;&gt;"&amp;"",операции!$AB:$AB,"&lt;"&amp;S$8,операции!$P:$P,$F87)+SUMIFS(операции!$V:$V,операции!$T:$T,"&lt;"&amp;S$8,операции!$X:$X,"&gt;="&amp;S$8,операции!$AB:$AB,"&lt;&gt;"&amp;"",операции!$AB:$AB,"&lt;"&amp;S$8,операции!$P:$P,$F87)</f>
        <v>108670.43000000002</v>
      </c>
      <c r="T92" s="170">
        <f>S92-U92-V92</f>
        <v>0</v>
      </c>
      <c r="U92" s="169">
        <f>SUMIFS(операции!$V:$V,операции!$T:$T,"&lt;"&amp;S$8,операции!$X:$X,"",операции!$AB:$AB,"&lt;&gt;"&amp;"",операции!$AB:$AB,"&lt;"&amp;S$8,операции!$L:$L,U$9,операции!$P:$P,$F87)+SUMIFS(операции!$V:$V,операции!$T:$T,"&lt;"&amp;S$8,операции!$X:$X,"&gt;="&amp;S$8,операции!$AB:$AB,"&lt;&gt;"&amp;"",операции!$AB:$AB,"&lt;"&amp;S$8,операции!$L:$L,U$9,операции!$P:$P,$F87)</f>
        <v>108670.43000000002</v>
      </c>
      <c r="V92" s="243">
        <f>SUMIFS(операции!$V:$V,операции!$T:$T,"&lt;"&amp;S$8,операции!$X:$X,"",операции!$AB:$AB,"&lt;&gt;"&amp;"",операции!$AB:$AB,"&lt;"&amp;S$8,операции!$L:$L,V$9,операции!$P:$P,$F87)+SUMIFS(операции!$V:$V,операции!$T:$T,"&lt;"&amp;S$8,операции!$X:$X,"&gt;="&amp;S$8,операции!$AB:$AB,"&lt;&gt;"&amp;"",операции!$AB:$AB,"&lt;"&amp;S$8,операции!$L:$L,V$9,операции!$P:$P,$F87)</f>
        <v>0</v>
      </c>
      <c r="W92" s="244"/>
      <c r="X92" s="169">
        <f>SUMIFS(операции!$V:$V,операции!$T:$T,"&lt;"&amp;X$8,операции!$X:$X,"",операции!$AB:$AB,"&lt;&gt;"&amp;"",операции!$AB:$AB,"&lt;"&amp;X$8,операции!$P:$P,$F87)+SUMIFS(операции!$V:$V,операции!$T:$T,"&lt;"&amp;X$8,операции!$X:$X,"&gt;="&amp;X$8,операции!$AB:$AB,"&lt;&gt;"&amp;"",операции!$AB:$AB,"&lt;"&amp;X$8,операции!$P:$P,$F87)</f>
        <v>76748.45</v>
      </c>
      <c r="Y92" s="170">
        <f>X92-Z92-AA92</f>
        <v>0</v>
      </c>
      <c r="Z92" s="169">
        <f>SUMIFS(операции!$V:$V,операции!$T:$T,"&lt;"&amp;X$8,операции!$X:$X,"",операции!$AB:$AB,"&lt;&gt;"&amp;"",операции!$AB:$AB,"&lt;"&amp;X$8,операции!$L:$L,Z$9,операции!$P:$P,$F87)+SUMIFS(операции!$V:$V,операции!$T:$T,"&lt;"&amp;X$8,операции!$X:$X,"&gt;="&amp;X$8,операции!$AB:$AB,"&lt;&gt;"&amp;"",операции!$AB:$AB,"&lt;"&amp;X$8,операции!$L:$L,Z$9,операции!$P:$P,$F87)</f>
        <v>76748.45</v>
      </c>
      <c r="AA92" s="243">
        <f>SUMIFS(операции!$V:$V,операции!$T:$T,"&lt;"&amp;X$8,операции!$X:$X,"",операции!$AB:$AB,"&lt;&gt;"&amp;"",операции!$AB:$AB,"&lt;"&amp;X$8,операции!$L:$L,AA$9,операции!$P:$P,$F87)+SUMIFS(операции!$V:$V,операции!$T:$T,"&lt;"&amp;X$8,операции!$X:$X,"&gt;="&amp;X$8,операции!$AB:$AB,"&lt;&gt;"&amp;"",операции!$AB:$AB,"&lt;"&amp;X$8,операции!$L:$L,AA$9,операции!$P:$P,$F87)</f>
        <v>0</v>
      </c>
      <c r="AB92" s="266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s="192" customFormat="1" ht="11.25">
      <c r="A93" s="37"/>
      <c r="B93" s="37"/>
      <c r="C93" s="37"/>
      <c r="D93" s="191"/>
      <c r="E93" s="191" t="s">
        <v>255</v>
      </c>
      <c r="F93" s="191" t="str">
        <f t="shared" si="111"/>
        <v>Электроника и бытовая техника</v>
      </c>
      <c r="G93" s="191" t="s">
        <v>262</v>
      </c>
      <c r="H93" s="315"/>
      <c r="I93" s="316">
        <f>IF(I92=0,0,(SUMIFS(операции!$AF:$AF,операции!$T:$T,"&lt;"&amp;I$8,операции!$X:$X,"",операции!$AB:$AB,"&lt;&gt;"&amp;"",операции!$AB:$AB,"&lt;"&amp;I$8,операции!$P:$P,$F87)+SUMIFS(операции!$AF:$AF,операции!$T:$T,"&lt;"&amp;I$8,операции!$X:$X,"&gt;="&amp;I$8,операции!$AB:$AB,"&lt;&gt;"&amp;"",операции!$AB:$AB,"&lt;"&amp;I$8,операции!$P:$P,$F87))/I92)</f>
        <v>42207.602273823009</v>
      </c>
      <c r="J93" s="317"/>
      <c r="K93" s="316">
        <f>IF(K92=0,0,(SUMIFS(операции!$AF:$AF,операции!$T:$T,"&lt;"&amp;I$8,операции!$X:$X,"",операции!$AB:$AB,"&lt;&gt;"&amp;"",операции!$AB:$AB,"&lt;"&amp;I$8,операции!$L:$L,K$9,операции!$P:$P,$F87)+SUMIFS(операции!$AF:$AF,операции!$T:$T,"&lt;"&amp;I$8,операции!$X:$X,"&gt;="&amp;I$8,операции!$AB:$AB,"&lt;&gt;"&amp;"",операции!$AB:$AB,"&lt;"&amp;I$8,операции!$L:$L,K$9,операции!$P:$P,$F87))/K92)</f>
        <v>42207.602273823009</v>
      </c>
      <c r="L93" s="318">
        <f>IF(L92=0,0,(SUMIFS(операции!$AF:$AF,операции!$T:$T,"&lt;"&amp;I$8,операции!$X:$X,"",операции!$AB:$AB,"&lt;&gt;"&amp;"",операции!$AB:$AB,"&lt;"&amp;I$8,операции!$L:$L,L$9,операции!$P:$P,$F87)+SUMIFS(операции!$AF:$AF,операции!$T:$T,"&lt;"&amp;I$8,операции!$X:$X,"&gt;="&amp;I$8,операции!$AB:$AB,"&lt;&gt;"&amp;"",операции!$AB:$AB,"&lt;"&amp;I$8,операции!$L:$L,L$9,операции!$P:$P,$F87))/L92)</f>
        <v>0</v>
      </c>
      <c r="M93" s="274"/>
      <c r="N93" s="193">
        <f>IF(N92=0,0,(SUMIFS(операции!$AF:$AF,операции!$T:$T,"&lt;"&amp;N$8,операции!$X:$X,"",операции!$AB:$AB,"&lt;&gt;"&amp;"",операции!$AB:$AB,"&lt;"&amp;N$8,операции!$P:$P,$F87)+SUMIFS(операции!$AF:$AF,операции!$T:$T,"&lt;"&amp;N$8,операции!$X:$X,"&gt;="&amp;N$8,операции!$AB:$AB,"&lt;&gt;"&amp;"",операции!$AB:$AB,"&lt;"&amp;N$8,операции!$P:$P,$F87))/N92)</f>
        <v>42207.602273823009</v>
      </c>
      <c r="O93" s="196"/>
      <c r="P93" s="193">
        <f>IF(P92=0,0,(SUMIFS(операции!$AF:$AF,операции!$T:$T,"&lt;"&amp;N$8,операции!$X:$X,"",операции!$AB:$AB,"&lt;&gt;"&amp;"",операции!$AB:$AB,"&lt;"&amp;N$8,операции!$L:$L,P$9,операции!$P:$P,$F87)+SUMIFS(операции!$AF:$AF,операции!$T:$T,"&lt;"&amp;N$8,операции!$X:$X,"&gt;="&amp;N$8,операции!$AB:$AB,"&lt;&gt;"&amp;"",операции!$AB:$AB,"&lt;"&amp;N$8,операции!$L:$L,P$9,операции!$P:$P,$F87))/P92)</f>
        <v>42207.602273823009</v>
      </c>
      <c r="Q93" s="237">
        <f>IF(Q92=0,0,(SUMIFS(операции!$AF:$AF,операции!$T:$T,"&lt;"&amp;N$8,операции!$X:$X,"",операции!$AB:$AB,"&lt;&gt;"&amp;"",операции!$AB:$AB,"&lt;"&amp;N$8,операции!$L:$L,Q$9,операции!$P:$P,$F87)+SUMIFS(операции!$AF:$AF,операции!$T:$T,"&lt;"&amp;N$8,операции!$X:$X,"&gt;="&amp;N$8,операции!$AB:$AB,"&lt;&gt;"&amp;"",операции!$AB:$AB,"&lt;"&amp;N$8,операции!$L:$L,Q$9,операции!$P:$P,$F87))/Q92)</f>
        <v>0</v>
      </c>
      <c r="R93" s="238"/>
      <c r="S93" s="193">
        <f>IF(S92=0,0,(SUMIFS(операции!$AF:$AF,операции!$T:$T,"&lt;"&amp;S$8,операции!$X:$X,"",операции!$AB:$AB,"&lt;&gt;"&amp;"",операции!$AB:$AB,"&lt;"&amp;S$8,операции!$P:$P,$F87)+SUMIFS(операции!$AF:$AF,операции!$T:$T,"&lt;"&amp;S$8,операции!$X:$X,"&gt;="&amp;S$8,операции!$AB:$AB,"&lt;&gt;"&amp;"",операции!$AB:$AB,"&lt;"&amp;S$8,операции!$P:$P,$F87))/S92)</f>
        <v>42224.671525547463</v>
      </c>
      <c r="T93" s="196"/>
      <c r="U93" s="193">
        <f>IF(U92=0,0,(SUMIFS(операции!$AF:$AF,операции!$T:$T,"&lt;"&amp;S$8,операции!$X:$X,"",операции!$AB:$AB,"&lt;&gt;"&amp;"",операции!$AB:$AB,"&lt;"&amp;S$8,операции!$L:$L,U$9,операции!$P:$P,$F87)+SUMIFS(операции!$AF:$AF,операции!$T:$T,"&lt;"&amp;S$8,операции!$X:$X,"&gt;="&amp;S$8,операции!$AB:$AB,"&lt;&gt;"&amp;"",операции!$AB:$AB,"&lt;"&amp;S$8,операции!$L:$L,U$9,операции!$P:$P,$F87))/U92)</f>
        <v>42224.671525547463</v>
      </c>
      <c r="V93" s="237">
        <f>IF(V92=0,0,(SUMIFS(операции!$AF:$AF,операции!$T:$T,"&lt;"&amp;S$8,операции!$X:$X,"",операции!$AB:$AB,"&lt;&gt;"&amp;"",операции!$AB:$AB,"&lt;"&amp;S$8,операции!$L:$L,V$9,операции!$P:$P,$F87)+SUMIFS(операции!$AF:$AF,операции!$T:$T,"&lt;"&amp;S$8,операции!$X:$X,"&gt;="&amp;S$8,операции!$AB:$AB,"&lt;&gt;"&amp;"",операции!$AB:$AB,"&lt;"&amp;S$8,операции!$L:$L,V$9,операции!$P:$P,$F87))/V92)</f>
        <v>0</v>
      </c>
      <c r="W93" s="238"/>
      <c r="X93" s="193">
        <f>IF(X92=0,0,(SUMIFS(операции!$AF:$AF,операции!$T:$T,"&lt;"&amp;X$8,операции!$X:$X,"",операции!$AB:$AB,"&lt;&gt;"&amp;"",операции!$AB:$AB,"&lt;"&amp;X$8,операции!$P:$P,$F87)+SUMIFS(операции!$AF:$AF,операции!$T:$T,"&lt;"&amp;X$8,операции!$X:$X,"&gt;="&amp;X$8,операции!$AB:$AB,"&lt;&gt;"&amp;"",операции!$AB:$AB,"&lt;"&amp;X$8,операции!$P:$P,$F87))/X92)</f>
        <v>42224.039571483198</v>
      </c>
      <c r="Y93" s="196"/>
      <c r="Z93" s="193">
        <f>IF(Z92=0,0,(SUMIFS(операции!$AF:$AF,операции!$T:$T,"&lt;"&amp;X$8,операции!$X:$X,"",операции!$AB:$AB,"&lt;&gt;"&amp;"",операции!$AB:$AB,"&lt;"&amp;X$8,операции!$L:$L,Z$9,операции!$P:$P,$F87)+SUMIFS(операции!$AF:$AF,операции!$T:$T,"&lt;"&amp;X$8,операции!$X:$X,"&gt;="&amp;X$8,операции!$AB:$AB,"&lt;&gt;"&amp;"",операции!$AB:$AB,"&lt;"&amp;X$8,операции!$L:$L,Z$9,операции!$P:$P,$F87))/Z92)</f>
        <v>42224.039571483198</v>
      </c>
      <c r="AA93" s="237">
        <f>IF(AA92=0,0,(SUMIFS(операции!$AF:$AF,операции!$T:$T,"&lt;"&amp;X$8,операции!$X:$X,"",операции!$AB:$AB,"&lt;&gt;"&amp;"",операции!$AB:$AB,"&lt;"&amp;X$8,операции!$L:$L,AA$9,операции!$P:$P,$F87)+SUMIFS(операции!$AF:$AF,операции!$T:$T,"&lt;"&amp;X$8,операции!$X:$X,"&gt;="&amp;X$8,операции!$AB:$AB,"&lt;&gt;"&amp;"",операции!$AB:$AB,"&lt;"&amp;X$8,операции!$L:$L,AA$9,операции!$P:$P,$F87))/AA92)</f>
        <v>0</v>
      </c>
      <c r="AB93" s="265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</row>
    <row r="94" spans="1:42" s="192" customFormat="1" ht="11.25">
      <c r="A94" s="37"/>
      <c r="B94" s="37"/>
      <c r="C94" s="37"/>
      <c r="D94" s="191"/>
      <c r="E94" s="191" t="s">
        <v>260</v>
      </c>
      <c r="F94" s="191" t="str">
        <f t="shared" si="111"/>
        <v>Электроника и бытовая техника</v>
      </c>
      <c r="G94" s="191" t="s">
        <v>219</v>
      </c>
      <c r="H94" s="315"/>
      <c r="I94" s="329">
        <f>IF(I92=0,0,I$8-I93)</f>
        <v>70.397726176990545</v>
      </c>
      <c r="J94" s="317"/>
      <c r="K94" s="329">
        <f>IF(K92=0,0,I$8-K93)</f>
        <v>70.397726176990545</v>
      </c>
      <c r="L94" s="330">
        <f>IF(L92=0,0,I$8-L93)</f>
        <v>0</v>
      </c>
      <c r="M94" s="274"/>
      <c r="N94" s="156">
        <f>IF(N92=0,0,N$8-N93)</f>
        <v>70.397726176990545</v>
      </c>
      <c r="O94" s="196"/>
      <c r="P94" s="156">
        <f>IF(P92=0,0,N$8-P93)</f>
        <v>70.397726176990545</v>
      </c>
      <c r="Q94" s="245">
        <f>IF(Q92=0,0,N$8-Q93)</f>
        <v>0</v>
      </c>
      <c r="R94" s="238"/>
      <c r="S94" s="156">
        <f>IF(S92=0,0,S$8-S93)</f>
        <v>84.328474452537193</v>
      </c>
      <c r="T94" s="196"/>
      <c r="U94" s="156">
        <f>IF(U92=0,0,S$8-U93)</f>
        <v>84.328474452537193</v>
      </c>
      <c r="V94" s="245">
        <f>IF(V92=0,0,S$8-V93)</f>
        <v>0</v>
      </c>
      <c r="W94" s="238"/>
      <c r="X94" s="156">
        <f>IF(X92=0,0,X$8-X93)</f>
        <v>114.96042851680249</v>
      </c>
      <c r="Y94" s="196"/>
      <c r="Z94" s="156">
        <f>IF(Z92=0,0,X$8-Z93)</f>
        <v>114.96042851680249</v>
      </c>
      <c r="AA94" s="245">
        <f>IF(AA92=0,0,X$8-AA93)</f>
        <v>0</v>
      </c>
      <c r="AB94" s="265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</row>
    <row r="95" spans="1:42" s="192" customFormat="1" ht="11.25">
      <c r="A95" s="37"/>
      <c r="B95" s="37"/>
      <c r="C95" s="37"/>
      <c r="D95" s="191"/>
      <c r="E95" s="191" t="s">
        <v>259</v>
      </c>
      <c r="F95" s="191" t="str">
        <f t="shared" si="111"/>
        <v>Электроника и бытовая техника</v>
      </c>
      <c r="G95" s="191" t="s">
        <v>262</v>
      </c>
      <c r="H95" s="315"/>
      <c r="I95" s="316">
        <f>IF(I92=0,0,(SUMIFS(операции!$AH:$AH,операции!$T:$T,"&lt;"&amp;I$8,операции!$X:$X,"",операции!$AB:$AB,"&lt;&gt;"&amp;"",операции!$AB:$AB,"&lt;"&amp;I$8,операции!$P:$P,$F87)+SUMIFS(операции!$AH:$AH,операции!$T:$T,"&lt;"&amp;I$8,операции!$X:$X,"&gt;="&amp;I$8,операции!$AB:$AB,"&lt;&gt;"&amp;"",операции!$AB:$AB,"&lt;"&amp;I$8,операции!$P:$P,$F87))/I92)</f>
        <v>42237.148762157289</v>
      </c>
      <c r="J95" s="317"/>
      <c r="K95" s="316">
        <f>IF(K92=0,0,(SUMIFS(операции!$AH:$AH,операции!$T:$T,"&lt;"&amp;I$8,операции!$X:$X,"",операции!$AB:$AB,"&lt;&gt;"&amp;"",операции!$AB:$AB,"&lt;"&amp;I$8,операции!$L:$L,K$9,операции!$P:$P,$F87)+SUMIFS(операции!$AH:$AH,операции!$T:$T,"&lt;"&amp;I$8,операции!$X:$X,"&gt;="&amp;I$8,операции!$AB:$AB,"&lt;&gt;"&amp;"",операции!$AB:$AB,"&lt;"&amp;I$8,операции!$L:$L,K$9,операции!$P:$P,$F87))/K92)</f>
        <v>42237.148762157289</v>
      </c>
      <c r="L95" s="318">
        <f>IF(L92=0,0,(SUMIFS(операции!$AH:$AH,операции!$T:$T,"&lt;"&amp;I$8,операции!$X:$X,"",операции!$AB:$AB,"&lt;&gt;"&amp;"",операции!$AB:$AB,"&lt;"&amp;I$8,операции!$L:$L,L$9,операции!$P:$P,$F87)+SUMIFS(операции!$AH:$AH,операции!$T:$T,"&lt;"&amp;I$8,операции!$X:$X,"&gt;="&amp;I$8,операции!$AB:$AB,"&lt;&gt;"&amp;"",операции!$AB:$AB,"&lt;"&amp;I$8,операции!$L:$L,L$9,операции!$P:$P,$F87))/L92)</f>
        <v>0</v>
      </c>
      <c r="M95" s="274"/>
      <c r="N95" s="193">
        <f>IF(N92=0,0,(SUMIFS(операции!$AH:$AH,операции!$T:$T,"&lt;"&amp;N$8,операции!$X:$X,"",операции!$AB:$AB,"&lt;&gt;"&amp;"",операции!$AB:$AB,"&lt;"&amp;N$8,операции!$P:$P,$F87)+SUMIFS(операции!$AH:$AH,операции!$T:$T,"&lt;"&amp;N$8,операции!$X:$X,"&gt;="&amp;N$8,операции!$AB:$AB,"&lt;&gt;"&amp;"",операции!$AB:$AB,"&lt;"&amp;N$8,операции!$P:$P,$F87))/N92)</f>
        <v>42237.148762157289</v>
      </c>
      <c r="O95" s="196"/>
      <c r="P95" s="193">
        <f>IF(P92=0,0,(SUMIFS(операции!$AH:$AH,операции!$T:$T,"&lt;"&amp;N$8,операции!$X:$X,"",операции!$AB:$AB,"&lt;&gt;"&amp;"",операции!$AB:$AB,"&lt;"&amp;N$8,операции!$L:$L,P$9,операции!$P:$P,$F87)+SUMIFS(операции!$AH:$AH,операции!$T:$T,"&lt;"&amp;N$8,операции!$X:$X,"&gt;="&amp;N$8,операции!$AB:$AB,"&lt;&gt;"&amp;"",операции!$AB:$AB,"&lt;"&amp;N$8,операции!$L:$L,P$9,операции!$P:$P,$F87))/P92)</f>
        <v>42237.148762157289</v>
      </c>
      <c r="Q95" s="237">
        <f>IF(Q92=0,0,(SUMIFS(операции!$AH:$AH,операции!$T:$T,"&lt;"&amp;N$8,операции!$X:$X,"",операции!$AB:$AB,"&lt;&gt;"&amp;"",операции!$AB:$AB,"&lt;"&amp;N$8,операции!$L:$L,Q$9,операции!$P:$P,$F87)+SUMIFS(операции!$AH:$AH,операции!$T:$T,"&lt;"&amp;N$8,операции!$X:$X,"&gt;="&amp;N$8,операции!$AB:$AB,"&lt;&gt;"&amp;"",операции!$AB:$AB,"&lt;"&amp;N$8,операции!$L:$L,Q$9,операции!$P:$P,$F87))/Q92)</f>
        <v>0</v>
      </c>
      <c r="R95" s="238"/>
      <c r="S95" s="193">
        <f>IF(S92=0,0,(SUMIFS(операции!$AH:$AH,операции!$T:$T,"&lt;"&amp;S$8,операции!$X:$X,"",операции!$AB:$AB,"&lt;&gt;"&amp;"",операции!$AB:$AB,"&lt;"&amp;S$8,операции!$P:$P,$F87)+SUMIFS(операции!$AH:$AH,операции!$T:$T,"&lt;"&amp;S$8,операции!$X:$X,"&gt;="&amp;S$8,операции!$AB:$AB,"&lt;&gt;"&amp;"",операции!$AB:$AB,"&lt;"&amp;S$8,операции!$P:$P,$F87))/S92)</f>
        <v>42257.498261762637</v>
      </c>
      <c r="T95" s="196"/>
      <c r="U95" s="193">
        <f>IF(U92=0,0,(SUMIFS(операции!$AH:$AH,операции!$T:$T,"&lt;"&amp;S$8,операции!$X:$X,"",операции!$AB:$AB,"&lt;&gt;"&amp;"",операции!$AB:$AB,"&lt;"&amp;S$8,операции!$L:$L,U$9,операции!$P:$P,$F87)+SUMIFS(операции!$AH:$AH,операции!$T:$T,"&lt;"&amp;S$8,операции!$X:$X,"&gt;="&amp;S$8,операции!$AB:$AB,"&lt;&gt;"&amp;"",операции!$AB:$AB,"&lt;"&amp;S$8,операции!$L:$L,U$9,операции!$P:$P,$F87))/U92)</f>
        <v>42257.498261762637</v>
      </c>
      <c r="V95" s="237">
        <f>IF(V92=0,0,(SUMIFS(операции!$AH:$AH,операции!$T:$T,"&lt;"&amp;S$8,операции!$X:$X,"",операции!$AB:$AB,"&lt;&gt;"&amp;"",операции!$AB:$AB,"&lt;"&amp;S$8,операции!$L:$L,V$9,операции!$P:$P,$F87)+SUMIFS(операции!$AH:$AH,операции!$T:$T,"&lt;"&amp;S$8,операции!$X:$X,"&gt;="&amp;S$8,операции!$AB:$AB,"&lt;&gt;"&amp;"",операции!$AB:$AB,"&lt;"&amp;S$8,операции!$L:$L,V$9,операции!$P:$P,$F87))/V92)</f>
        <v>0</v>
      </c>
      <c r="W95" s="238"/>
      <c r="X95" s="193">
        <f>IF(X92=0,0,(SUMIFS(операции!$AH:$AH,операции!$T:$T,"&lt;"&amp;X$8,операции!$X:$X,"",операции!$AB:$AB,"&lt;&gt;"&amp;"",операции!$AB:$AB,"&lt;"&amp;X$8,операции!$P:$P,$F87)+SUMIFS(операции!$AH:$AH,операции!$T:$T,"&lt;"&amp;X$8,операции!$X:$X,"&gt;="&amp;X$8,операции!$AB:$AB,"&lt;&gt;"&amp;"",операции!$AB:$AB,"&lt;"&amp;X$8,операции!$P:$P,$F87))/X92)</f>
        <v>42253.884055117727</v>
      </c>
      <c r="Y95" s="196"/>
      <c r="Z95" s="193">
        <f>IF(Z92=0,0,(SUMIFS(операции!$AH:$AH,операции!$T:$T,"&lt;"&amp;X$8,операции!$X:$X,"",операции!$AB:$AB,"&lt;&gt;"&amp;"",операции!$AB:$AB,"&lt;"&amp;X$8,операции!$L:$L,Z$9,операции!$P:$P,$F87)+SUMIFS(операции!$AH:$AH,операции!$T:$T,"&lt;"&amp;X$8,операции!$X:$X,"&gt;="&amp;X$8,операции!$AB:$AB,"&lt;&gt;"&amp;"",операции!$AB:$AB,"&lt;"&amp;X$8,операции!$L:$L,Z$9,операции!$P:$P,$F87))/Z92)</f>
        <v>42253.884055117727</v>
      </c>
      <c r="AA95" s="237">
        <f>IF(AA92=0,0,(SUMIFS(операции!$AH:$AH,операции!$T:$T,"&lt;"&amp;X$8,операции!$X:$X,"",операции!$AB:$AB,"&lt;&gt;"&amp;"",операции!$AB:$AB,"&lt;"&amp;X$8,операции!$L:$L,AA$9,операции!$P:$P,$F87)+SUMIFS(операции!$AH:$AH,операции!$T:$T,"&lt;"&amp;X$8,операции!$X:$X,"&gt;="&amp;X$8,операции!$AB:$AB,"&lt;&gt;"&amp;"",операции!$AB:$AB,"&lt;"&amp;X$8,операции!$L:$L,AA$9,операции!$P:$P,$F87))/AA92)</f>
        <v>0</v>
      </c>
      <c r="AB95" s="265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</row>
    <row r="96" spans="1:42" s="192" customFormat="1" ht="11.25">
      <c r="A96" s="37"/>
      <c r="B96" s="37"/>
      <c r="C96" s="37"/>
      <c r="D96" s="191"/>
      <c r="E96" s="191" t="s">
        <v>265</v>
      </c>
      <c r="F96" s="191" t="str">
        <f t="shared" si="111"/>
        <v>Электроника и бытовая техника</v>
      </c>
      <c r="G96" s="191" t="s">
        <v>219</v>
      </c>
      <c r="H96" s="315"/>
      <c r="I96" s="329">
        <f>I95-I93</f>
        <v>29.546488334279275</v>
      </c>
      <c r="J96" s="317"/>
      <c r="K96" s="329">
        <f t="shared" ref="K96" si="124">K95-K93</f>
        <v>29.546488334279275</v>
      </c>
      <c r="L96" s="330">
        <f>L95-L93</f>
        <v>0</v>
      </c>
      <c r="M96" s="274"/>
      <c r="N96" s="156">
        <f>N95-N93</f>
        <v>29.546488334279275</v>
      </c>
      <c r="O96" s="196"/>
      <c r="P96" s="156">
        <f t="shared" ref="P96" si="125">P95-P93</f>
        <v>29.546488334279275</v>
      </c>
      <c r="Q96" s="245">
        <f>Q95-Q93</f>
        <v>0</v>
      </c>
      <c r="R96" s="238"/>
      <c r="S96" s="156">
        <f>S95-S93</f>
        <v>32.826736215174606</v>
      </c>
      <c r="T96" s="196"/>
      <c r="U96" s="156">
        <f t="shared" ref="U96" si="126">U95-U93</f>
        <v>32.826736215174606</v>
      </c>
      <c r="V96" s="245">
        <f>V95-V93</f>
        <v>0</v>
      </c>
      <c r="W96" s="238"/>
      <c r="X96" s="156">
        <f>X95-X93</f>
        <v>29.844483634529752</v>
      </c>
      <c r="Y96" s="196"/>
      <c r="Z96" s="156">
        <f t="shared" ref="Z96" si="127">Z95-Z93</f>
        <v>29.844483634529752</v>
      </c>
      <c r="AA96" s="245">
        <f>AA95-AA93</f>
        <v>0</v>
      </c>
      <c r="AB96" s="265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</row>
    <row r="97" spans="1:42" s="192" customFormat="1" ht="11.25">
      <c r="A97" s="37"/>
      <c r="B97" s="37"/>
      <c r="C97" s="37"/>
      <c r="D97" s="191"/>
      <c r="E97" s="191" t="s">
        <v>268</v>
      </c>
      <c r="F97" s="191" t="str">
        <f t="shared" si="111"/>
        <v>Электроника и бытовая техника</v>
      </c>
      <c r="G97" s="191" t="s">
        <v>219</v>
      </c>
      <c r="H97" s="315"/>
      <c r="I97" s="329">
        <f>I94-I96</f>
        <v>40.851237842711271</v>
      </c>
      <c r="J97" s="317"/>
      <c r="K97" s="329">
        <f t="shared" ref="K97" si="128">K94-K96</f>
        <v>40.851237842711271</v>
      </c>
      <c r="L97" s="330">
        <f t="shared" ref="L97" si="129">L94-L96</f>
        <v>0</v>
      </c>
      <c r="M97" s="274"/>
      <c r="N97" s="156">
        <f>N94-N96</f>
        <v>40.851237842711271</v>
      </c>
      <c r="O97" s="196"/>
      <c r="P97" s="156">
        <f t="shared" ref="P97" si="130">P94-P96</f>
        <v>40.851237842711271</v>
      </c>
      <c r="Q97" s="245">
        <f t="shared" ref="Q97" si="131">Q94-Q96</f>
        <v>0</v>
      </c>
      <c r="R97" s="238"/>
      <c r="S97" s="156">
        <f>S94-S96</f>
        <v>51.501738237362588</v>
      </c>
      <c r="T97" s="196"/>
      <c r="U97" s="156">
        <f t="shared" ref="U97" si="132">U94-U96</f>
        <v>51.501738237362588</v>
      </c>
      <c r="V97" s="245">
        <f t="shared" ref="V97" si="133">V94-V96</f>
        <v>0</v>
      </c>
      <c r="W97" s="238"/>
      <c r="X97" s="156">
        <f>X94-X96</f>
        <v>85.115944882272743</v>
      </c>
      <c r="Y97" s="196"/>
      <c r="Z97" s="156">
        <f t="shared" ref="Z97" si="134">Z94-Z96</f>
        <v>85.115944882272743</v>
      </c>
      <c r="AA97" s="245">
        <f t="shared" ref="AA97" si="135">AA94-AA96</f>
        <v>0</v>
      </c>
      <c r="AB97" s="265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</row>
    <row r="98" spans="1:42" s="5" customFormat="1">
      <c r="A98" s="1"/>
      <c r="B98" s="1"/>
      <c r="C98" s="1"/>
      <c r="D98" s="168"/>
      <c r="E98" s="168" t="s">
        <v>276</v>
      </c>
      <c r="F98" s="168" t="str">
        <f t="shared" si="111"/>
        <v>Электроника и бытовая техника</v>
      </c>
      <c r="G98" s="168" t="s">
        <v>261</v>
      </c>
      <c r="H98" s="326"/>
      <c r="I98" s="327">
        <f>SUMIFS(операции!$V:$V,операции!$T:$T,"&lt;"&amp;I$8,операции!$X:$X,"",операции!$AB:$AB,"",операции!$P:$P,$F87)+SUMIFS(операции!$V:$V,операции!$T:$T,"&lt;"&amp;I$8,операции!$X:$X,"&gt;="&amp;I$8,операции!$AB:$AB,"",операции!$P:$P,$F87)+SUMIFS(операции!$V:$V,операции!$T:$T,"&lt;"&amp;I$8,операции!$X:$X,"",операции!$AB:$AB,"&gt;="&amp;I$8,операции!$P:$P,$F87)+SUMIFS(операции!$V:$V,операции!$T:$T,"&lt;"&amp;I$8,операции!$X:$X,"&gt;="&amp;I$8,операции!$AB:$AB,"&gt;="&amp;I$8,операции!$P:$P,$F87)</f>
        <v>54000.31</v>
      </c>
      <c r="J98" s="313">
        <f>I98-K98-L98</f>
        <v>0</v>
      </c>
      <c r="K98" s="327">
        <f>SUMIFS(операции!$V:$V,операции!$T:$T,"&lt;"&amp;I$8,операции!$X:$X,"",операции!$AB:$AB,"",операции!$L:$L,K$9,операции!$P:$P,$F87)+SUMIFS(операции!$V:$V,операции!$T:$T,"&lt;"&amp;I$8,операции!$X:$X,"&gt;="&amp;I$8,операции!$AB:$AB,"",операции!$L:$L,K$9,операции!$P:$P,$F87)+SUMIFS(операции!$V:$V,операции!$T:$T,"&lt;"&amp;I$8,операции!$X:$X,"",операции!$AB:$AB,"&gt;="&amp;I$8,операции!$L:$L,K$9,операции!$P:$P,$F87)+SUMIFS(операции!$V:$V,операции!$T:$T,"&lt;"&amp;I$8,операции!$X:$X,"&gt;="&amp;I$8,операции!$AB:$AB,"&gt;="&amp;I$8,операции!$L:$L,K$9,операции!$P:$P,$F87)</f>
        <v>54000.31</v>
      </c>
      <c r="L98" s="328">
        <f>SUMIFS(операции!$V:$V,операции!$T:$T,"&lt;"&amp;I$8,операции!$X:$X,"",операции!$AB:$AB,"",операции!$L:$L,L$9,операции!$P:$P,$F87)+SUMIFS(операции!$V:$V,операции!$T:$T,"&lt;"&amp;I$8,операции!$X:$X,"&gt;="&amp;I$8,операции!$AB:$AB,"",операции!$L:$L,L$9,операции!$P:$P,$F87)+SUMIFS(операции!$V:$V,операции!$T:$T,"&lt;"&amp;I$8,операции!$X:$X,"",операции!$AB:$AB,"&gt;="&amp;I$8,операции!$L:$L,L$9,операции!$P:$P,$F87)+SUMIFS(операции!$V:$V,операции!$T:$T,"&lt;"&amp;I$8,операции!$X:$X,"&gt;="&amp;I$8,операции!$AB:$AB,"&gt;="&amp;I$8,операции!$L:$L,L$9,операции!$P:$P,$F87)</f>
        <v>0</v>
      </c>
      <c r="M98" s="277"/>
      <c r="N98" s="169">
        <f>SUMIFS(операции!$V:$V,операции!$T:$T,"&lt;"&amp;N$8,операции!$X:$X,"",операции!$AB:$AB,"",операции!$P:$P,$F87)+SUMIFS(операции!$V:$V,операции!$T:$T,"&lt;"&amp;N$8,операции!$X:$X,"&gt;="&amp;N$8,операции!$AB:$AB,"",операции!$P:$P,$F87)+SUMIFS(операции!$V:$V,операции!$T:$T,"&lt;"&amp;N$8,операции!$X:$X,"",операции!$AB:$AB,"&gt;="&amp;N$8,операции!$P:$P,$F87)+SUMIFS(операции!$V:$V,операции!$T:$T,"&lt;"&amp;N$8,операции!$X:$X,"&gt;="&amp;N$8,операции!$AB:$AB,"&gt;="&amp;N$8,операции!$P:$P,$F87)</f>
        <v>54000.31</v>
      </c>
      <c r="O98" s="170">
        <f>N98-P98-Q98</f>
        <v>0</v>
      </c>
      <c r="P98" s="169">
        <f>SUMIFS(операции!$V:$V,операции!$T:$T,"&lt;"&amp;N$8,операции!$X:$X,"",операции!$AB:$AB,"",операции!$L:$L,P$9,операции!$P:$P,$F87)+SUMIFS(операции!$V:$V,операции!$T:$T,"&lt;"&amp;N$8,операции!$X:$X,"&gt;="&amp;N$8,операции!$AB:$AB,"",операции!$L:$L,P$9,операции!$P:$P,$F87)+SUMIFS(операции!$V:$V,операции!$T:$T,"&lt;"&amp;N$8,операции!$X:$X,"",операции!$AB:$AB,"&gt;="&amp;N$8,операции!$L:$L,P$9,операции!$P:$P,$F87)+SUMIFS(операции!$V:$V,операции!$T:$T,"&lt;"&amp;N$8,операции!$X:$X,"&gt;="&amp;N$8,операции!$AB:$AB,"&gt;="&amp;N$8,операции!$L:$L,P$9,операции!$P:$P,$F87)</f>
        <v>54000.31</v>
      </c>
      <c r="Q98" s="243">
        <f>SUMIFS(операции!$V:$V,операции!$T:$T,"&lt;"&amp;N$8,операции!$X:$X,"",операции!$AB:$AB,"",операции!$L:$L,Q$9,операции!$P:$P,$F87)+SUMIFS(операции!$V:$V,операции!$T:$T,"&lt;"&amp;N$8,операции!$X:$X,"&gt;="&amp;N$8,операции!$AB:$AB,"",операции!$L:$L,Q$9,операции!$P:$P,$F87)+SUMIFS(операции!$V:$V,операции!$T:$T,"&lt;"&amp;N$8,операции!$X:$X,"",операции!$AB:$AB,"&gt;="&amp;N$8,операции!$L:$L,Q$9,операции!$P:$P,$F87)+SUMIFS(операции!$V:$V,операции!$T:$T,"&lt;"&amp;N$8,операции!$X:$X,"&gt;="&amp;N$8,операции!$AB:$AB,"&gt;="&amp;N$8,операции!$L:$L,Q$9,операции!$P:$P,$F87)</f>
        <v>0</v>
      </c>
      <c r="R98" s="244"/>
      <c r="S98" s="169">
        <f>SUMIFS(операции!$V:$V,операции!$T:$T,"&lt;"&amp;S$8,операции!$X:$X,"",операции!$AB:$AB,"",операции!$P:$P,$F87)+SUMIFS(операции!$V:$V,операции!$T:$T,"&lt;"&amp;S$8,операции!$X:$X,"&gt;="&amp;S$8,операции!$AB:$AB,"",операции!$P:$P,$F87)+SUMIFS(операции!$V:$V,операции!$T:$T,"&lt;"&amp;S$8,операции!$X:$X,"",операции!$AB:$AB,"&gt;="&amp;S$8,операции!$P:$P,$F87)+SUMIFS(операции!$V:$V,операции!$T:$T,"&lt;"&amp;S$8,операции!$X:$X,"&gt;="&amp;S$8,операции!$AB:$AB,"&gt;="&amp;S$8,операции!$P:$P,$F87)</f>
        <v>22531.050000000003</v>
      </c>
      <c r="T98" s="170">
        <f>S98-U98-V98</f>
        <v>0</v>
      </c>
      <c r="U98" s="169">
        <f>SUMIFS(операции!$V:$V,операции!$T:$T,"&lt;"&amp;S$8,операции!$X:$X,"",операции!$AB:$AB,"",операции!$L:$L,U$9,операции!$P:$P,$F87)+SUMIFS(операции!$V:$V,операции!$T:$T,"&lt;"&amp;S$8,операции!$X:$X,"&gt;="&amp;S$8,операции!$AB:$AB,"",операции!$L:$L,U$9,операции!$P:$P,$F87)+SUMIFS(операции!$V:$V,операции!$T:$T,"&lt;"&amp;S$8,операции!$X:$X,"",операции!$AB:$AB,"&gt;="&amp;S$8,операции!$L:$L,U$9,операции!$P:$P,$F87)+SUMIFS(операции!$V:$V,операции!$T:$T,"&lt;"&amp;S$8,операции!$X:$X,"&gt;="&amp;S$8,операции!$AB:$AB,"&gt;="&amp;S$8,операции!$L:$L,U$9,операции!$P:$P,$F87)</f>
        <v>22531.050000000003</v>
      </c>
      <c r="V98" s="243">
        <f>SUMIFS(операции!$V:$V,операции!$T:$T,"&lt;"&amp;S$8,операции!$X:$X,"",операции!$AB:$AB,"",операции!$L:$L,V$9,операции!$P:$P,$F87)+SUMIFS(операции!$V:$V,операции!$T:$T,"&lt;"&amp;S$8,операции!$X:$X,"&gt;="&amp;S$8,операции!$AB:$AB,"",операции!$L:$L,V$9,операции!$P:$P,$F87)+SUMIFS(операции!$V:$V,операции!$T:$T,"&lt;"&amp;S$8,операции!$X:$X,"",операции!$AB:$AB,"&gt;="&amp;S$8,операции!$L:$L,V$9,операции!$P:$P,$F87)+SUMIFS(операции!$V:$V,операции!$T:$T,"&lt;"&amp;S$8,операции!$X:$X,"&gt;="&amp;S$8,операции!$AB:$AB,"&gt;="&amp;S$8,операции!$L:$L,V$9,операции!$P:$P,$F87)</f>
        <v>0</v>
      </c>
      <c r="W98" s="244"/>
      <c r="X98" s="169">
        <f>SUMIFS(операции!$V:$V,операции!$T:$T,"&lt;"&amp;X$8,операции!$X:$X,"",операции!$AB:$AB,"",операции!$P:$P,$F87)+SUMIFS(операции!$V:$V,операции!$T:$T,"&lt;"&amp;X$8,операции!$X:$X,"&gt;="&amp;X$8,операции!$AB:$AB,"",операции!$P:$P,$F87)+SUMIFS(операции!$V:$V,операции!$T:$T,"&lt;"&amp;X$8,операции!$X:$X,"",операции!$AB:$AB,"&gt;="&amp;X$8,операции!$P:$P,$F87)+SUMIFS(операции!$V:$V,операции!$T:$T,"&lt;"&amp;X$8,операции!$X:$X,"&gt;="&amp;X$8,операции!$AB:$AB,"&gt;="&amp;X$8,операции!$P:$P,$F87)</f>
        <v>67174.37</v>
      </c>
      <c r="Y98" s="170">
        <f>X98-Z98-AA98</f>
        <v>0</v>
      </c>
      <c r="Z98" s="169">
        <f>SUMIFS(операции!$V:$V,операции!$T:$T,"&lt;"&amp;X$8,операции!$X:$X,"",операции!$AB:$AB,"",операции!$L:$L,Z$9,операции!$P:$P,$F87)+SUMIFS(операции!$V:$V,операции!$T:$T,"&lt;"&amp;X$8,операции!$X:$X,"&gt;="&amp;X$8,операции!$AB:$AB,"",операции!$L:$L,Z$9,операции!$P:$P,$F87)+SUMIFS(операции!$V:$V,операции!$T:$T,"&lt;"&amp;X$8,операции!$X:$X,"",операции!$AB:$AB,"&gt;="&amp;X$8,операции!$L:$L,Z$9,операции!$P:$P,$F87)+SUMIFS(операции!$V:$V,операции!$T:$T,"&lt;"&amp;X$8,операции!$X:$X,"&gt;="&amp;X$8,операции!$AB:$AB,"&gt;="&amp;X$8,операции!$L:$L,Z$9,операции!$P:$P,$F87)</f>
        <v>12031.19</v>
      </c>
      <c r="AA98" s="243">
        <f>SUMIFS(операции!$V:$V,операции!$T:$T,"&lt;"&amp;X$8,операции!$X:$X,"",операции!$AB:$AB,"",операции!$L:$L,AA$9,операции!$P:$P,$F87)+SUMIFS(операции!$V:$V,операции!$T:$T,"&lt;"&amp;X$8,операции!$X:$X,"&gt;="&amp;X$8,операции!$AB:$AB,"",операции!$L:$L,AA$9,операции!$P:$P,$F87)+SUMIFS(операции!$V:$V,операции!$T:$T,"&lt;"&amp;X$8,операции!$X:$X,"",операции!$AB:$AB,"&gt;="&amp;X$8,операции!$L:$L,AA$9,операции!$P:$P,$F87)+SUMIFS(операции!$V:$V,операции!$T:$T,"&lt;"&amp;X$8,операции!$X:$X,"&gt;="&amp;X$8,операции!$AB:$AB,"&gt;="&amp;X$8,операции!$L:$L,AA$9,операции!$P:$P,$F87)</f>
        <v>55143.180000000008</v>
      </c>
      <c r="AB98" s="266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s="192" customFormat="1" ht="11.25">
      <c r="A99" s="37"/>
      <c r="B99" s="37"/>
      <c r="C99" s="37"/>
      <c r="D99" s="191"/>
      <c r="E99" s="191" t="s">
        <v>255</v>
      </c>
      <c r="F99" s="191" t="str">
        <f t="shared" si="111"/>
        <v>Электроника и бытовая техника</v>
      </c>
      <c r="G99" s="191" t="s">
        <v>262</v>
      </c>
      <c r="H99" s="315"/>
      <c r="I99" s="316">
        <f>IF(I98=0,0,(SUMIFS(операции!$AF:$AF,операции!$T:$T,"&lt;"&amp;I$8,операции!$X:$X,"",операции!$AB:$AB,"",операции!$P:$P,$F87)+SUMIFS(операции!$AF:$AF,операции!$T:$T,"&lt;"&amp;I$8,операции!$X:$X,"&gt;="&amp;I$8,операции!$AB:$AB,"",операции!$P:$P,$F87)+SUMIFS(операции!$AF:$AF,операции!$T:$T,"&lt;"&amp;I$8,операции!$X:$X,"",операции!$AB:$AB,"&gt;="&amp;I$8,операции!$P:$P,$F87)+SUMIFS(операции!$AF:$AF,операции!$T:$T,"&lt;"&amp;I$8,операции!$X:$X,"&gt;="&amp;I$8,операции!$AB:$AB,"&gt;="&amp;I$8,операции!$P:$P,$F87))/I98)</f>
        <v>42223.924574692253</v>
      </c>
      <c r="J99" s="317"/>
      <c r="K99" s="316">
        <f>IF(K98=0,0,(SUMIFS(операции!$AF:$AF,операции!$T:$T,"&lt;"&amp;I$8,операции!$X:$X,"",операции!$AB:$AB,"",операции!$L:$L,K$9,операции!$P:$P,$F87)+SUMIFS(операции!$AF:$AF,операции!$T:$T,"&lt;"&amp;I$8,операции!$X:$X,"&gt;="&amp;I$8,операции!$AB:$AB,"",операции!$L:$L,K$9,операции!$P:$P,$F87)+SUMIFS(операции!$AF:$AF,операции!$T:$T,"&lt;"&amp;I$8,операции!$X:$X,"",операции!$AB:$AB,"&gt;="&amp;I$8,операции!$L:$L,K$9,операции!$P:$P,$F87)+SUMIFS(операции!$AF:$AF,операции!$T:$T,"&lt;"&amp;I$8,операции!$X:$X,"&gt;="&amp;I$8,операции!$AB:$AB,"&gt;="&amp;I$8,операции!$L:$L,K$9,операции!$P:$P,$F87))/K98)</f>
        <v>42223.924574692253</v>
      </c>
      <c r="L99" s="318">
        <f>IF(L98=0,0,(SUMIFS(операции!$AF:$AF,операции!$T:$T,"&lt;"&amp;I$8,операции!$X:$X,"",операции!$AB:$AB,"",операции!$L:$L,L$9,операции!$P:$P,$F87)+SUMIFS(операции!$AF:$AF,операции!$T:$T,"&lt;"&amp;I$8,операции!$X:$X,"&gt;="&amp;I$8,операции!$AB:$AB,"",операции!$L:$L,L$9,операции!$P:$P,$F87)+SUMIFS(операции!$AF:$AF,операции!$T:$T,"&lt;"&amp;I$8,операции!$X:$X,"",операции!$AB:$AB,"&gt;="&amp;I$8,операции!$L:$L,L$9,операции!$P:$P,$F87)+SUMIFS(операции!$AF:$AF,операции!$T:$T,"&lt;"&amp;I$8,операции!$X:$X,"&gt;="&amp;I$8,операции!$AB:$AB,"&gt;="&amp;I$8,операции!$L:$L,L$9,операции!$P:$P,$F87))/L98)</f>
        <v>0</v>
      </c>
      <c r="M99" s="274"/>
      <c r="N99" s="193">
        <f>IF(N98=0,0,(SUMIFS(операции!$AF:$AF,операции!$T:$T,"&lt;"&amp;N$8,операции!$X:$X,"",операции!$AB:$AB,"",операции!$P:$P,$F87)+SUMIFS(операции!$AF:$AF,операции!$T:$T,"&lt;"&amp;N$8,операции!$X:$X,"&gt;="&amp;N$8,операции!$AB:$AB,"",операции!$P:$P,$F87)+SUMIFS(операции!$AF:$AF,операции!$T:$T,"&lt;"&amp;N$8,операции!$X:$X,"",операции!$AB:$AB,"&gt;="&amp;N$8,операции!$P:$P,$F87)+SUMIFS(операции!$AF:$AF,операции!$T:$T,"&lt;"&amp;N$8,операции!$X:$X,"&gt;="&amp;N$8,операции!$AB:$AB,"&gt;="&amp;N$8,операции!$P:$P,$F87))/N98)</f>
        <v>42223.924574692253</v>
      </c>
      <c r="O99" s="196"/>
      <c r="P99" s="193">
        <f>IF(P98=0,0,(SUMIFS(операции!$AF:$AF,операции!$T:$T,"&lt;"&amp;N$8,операции!$X:$X,"",операции!$AB:$AB,"",операции!$L:$L,P$9,операции!$P:$P,$F87)+SUMIFS(операции!$AF:$AF,операции!$T:$T,"&lt;"&amp;N$8,операции!$X:$X,"&gt;="&amp;N$8,операции!$AB:$AB,"",операции!$L:$L,P$9,операции!$P:$P,$F87)+SUMIFS(операции!$AF:$AF,операции!$T:$T,"&lt;"&amp;N$8,операции!$X:$X,"",операции!$AB:$AB,"&gt;="&amp;N$8,операции!$L:$L,P$9,операции!$P:$P,$F87)+SUMIFS(операции!$AF:$AF,операции!$T:$T,"&lt;"&amp;N$8,операции!$X:$X,"&gt;="&amp;N$8,операции!$AB:$AB,"&gt;="&amp;N$8,операции!$L:$L,P$9,операции!$P:$P,$F87))/P98)</f>
        <v>42223.924574692253</v>
      </c>
      <c r="Q99" s="237">
        <f>IF(Q98=0,0,(SUMIFS(операции!$AF:$AF,операции!$T:$T,"&lt;"&amp;N$8,операции!$X:$X,"",операции!$AB:$AB,"",операции!$L:$L,Q$9,операции!$P:$P,$F87)+SUMIFS(операции!$AF:$AF,операции!$T:$T,"&lt;"&amp;N$8,операции!$X:$X,"&gt;="&amp;N$8,операции!$AB:$AB,"",операции!$L:$L,Q$9,операции!$P:$P,$F87)+SUMIFS(операции!$AF:$AF,операции!$T:$T,"&lt;"&amp;N$8,операции!$X:$X,"",операции!$AB:$AB,"&gt;="&amp;N$8,операции!$L:$L,Q$9,операции!$P:$P,$F87)+SUMIFS(операции!$AF:$AF,операции!$T:$T,"&lt;"&amp;N$8,операции!$X:$X,"&gt;="&amp;N$8,операции!$AB:$AB,"&gt;="&amp;N$8,операции!$L:$L,Q$9,операции!$P:$P,$F87))/Q98)</f>
        <v>0</v>
      </c>
      <c r="R99" s="238"/>
      <c r="S99" s="193">
        <f>IF(S98=0,0,(SUMIFS(операции!$AF:$AF,операции!$T:$T,"&lt;"&amp;S$8,операции!$X:$X,"",операции!$AB:$AB,"",операции!$P:$P,$F87)+SUMIFS(операции!$AF:$AF,операции!$T:$T,"&lt;"&amp;S$8,операции!$X:$X,"&gt;="&amp;S$8,операции!$AB:$AB,"",операции!$P:$P,$F87)+SUMIFS(операции!$AF:$AF,операции!$T:$T,"&lt;"&amp;S$8,операции!$X:$X,"",операции!$AB:$AB,"&gt;="&amp;S$8,операции!$P:$P,$F87)+SUMIFS(операции!$AF:$AF,операции!$T:$T,"&lt;"&amp;S$8,операции!$X:$X,"&gt;="&amp;S$8,операции!$AB:$AB,"&gt;="&amp;S$8,операции!$P:$P,$F87))/S98)</f>
        <v>42214.141713324498</v>
      </c>
      <c r="T99" s="196"/>
      <c r="U99" s="193">
        <f>IF(U98=0,0,(SUMIFS(операции!$AF:$AF,операции!$T:$T,"&lt;"&amp;S$8,операции!$X:$X,"",операции!$AB:$AB,"",операции!$L:$L,U$9,операции!$P:$P,$F87)+SUMIFS(операции!$AF:$AF,операции!$T:$T,"&lt;"&amp;S$8,операции!$X:$X,"&gt;="&amp;S$8,операции!$AB:$AB,"",операции!$L:$L,U$9,операции!$P:$P,$F87)+SUMIFS(операции!$AF:$AF,операции!$T:$T,"&lt;"&amp;S$8,операции!$X:$X,"",операции!$AB:$AB,"&gt;="&amp;S$8,операции!$L:$L,U$9,операции!$P:$P,$F87)+SUMIFS(операции!$AF:$AF,операции!$T:$T,"&lt;"&amp;S$8,операции!$X:$X,"&gt;="&amp;S$8,операции!$AB:$AB,"&gt;="&amp;S$8,операции!$L:$L,U$9,операции!$P:$P,$F87))/U98)</f>
        <v>42214.141713324498</v>
      </c>
      <c r="V99" s="237">
        <f>IF(V98=0,0,(SUMIFS(операции!$AF:$AF,операции!$T:$T,"&lt;"&amp;S$8,операции!$X:$X,"",операции!$AB:$AB,"",операции!$L:$L,V$9,операции!$P:$P,$F87)+SUMIFS(операции!$AF:$AF,операции!$T:$T,"&lt;"&amp;S$8,операции!$X:$X,"&gt;="&amp;S$8,операции!$AB:$AB,"",операции!$L:$L,V$9,операции!$P:$P,$F87)+SUMIFS(операции!$AF:$AF,операции!$T:$T,"&lt;"&amp;S$8,операции!$X:$X,"",операции!$AB:$AB,"&gt;="&amp;S$8,операции!$L:$L,V$9,операции!$P:$P,$F87)+SUMIFS(операции!$AF:$AF,операции!$T:$T,"&lt;"&amp;S$8,операции!$X:$X,"&gt;="&amp;S$8,операции!$AB:$AB,"&gt;="&amp;S$8,операции!$L:$L,V$9,операции!$P:$P,$F87))/V98)</f>
        <v>0</v>
      </c>
      <c r="W99" s="238"/>
      <c r="X99" s="193">
        <f>IF(X98=0,0,(SUMIFS(операции!$AF:$AF,операции!$T:$T,"&lt;"&amp;X$8,операции!$X:$X,"",операции!$AB:$AB,"",операции!$P:$P,$F87)+SUMIFS(операции!$AF:$AF,операции!$T:$T,"&lt;"&amp;X$8,операции!$X:$X,"&gt;="&amp;X$8,операции!$AB:$AB,"",операции!$P:$P,$F87)+SUMIFS(операции!$AF:$AF,операции!$T:$T,"&lt;"&amp;X$8,операции!$X:$X,"",операции!$AB:$AB,"&gt;="&amp;X$8,операции!$P:$P,$F87)+SUMIFS(операции!$AF:$AF,операции!$T:$T,"&lt;"&amp;X$8,операции!$X:$X,"&gt;="&amp;X$8,операции!$AB:$AB,"&gt;="&amp;X$8,операции!$P:$P,$F87))/X98)</f>
        <v>42328.592687210912</v>
      </c>
      <c r="Y99" s="196"/>
      <c r="Z99" s="193">
        <f>IF(Z98=0,0,(SUMIFS(операции!$AF:$AF,операции!$T:$T,"&lt;"&amp;X$8,операции!$X:$X,"",операции!$AB:$AB,"",операции!$L:$L,Z$9,операции!$P:$P,$F87)+SUMIFS(операции!$AF:$AF,операции!$T:$T,"&lt;"&amp;X$8,операции!$X:$X,"&gt;="&amp;X$8,операции!$AB:$AB,"",операции!$L:$L,Z$9,операции!$P:$P,$F87)+SUMIFS(операции!$AF:$AF,операции!$T:$T,"&lt;"&amp;X$8,операции!$X:$X,"",операции!$AB:$AB,"&gt;="&amp;X$8,операции!$L:$L,Z$9,операции!$P:$P,$F87)+SUMIFS(операции!$AF:$AF,операции!$T:$T,"&lt;"&amp;X$8,операции!$X:$X,"&gt;="&amp;X$8,операции!$AB:$AB,"&gt;="&amp;X$8,операции!$L:$L,Z$9,операции!$P:$P,$F87))/Z98)</f>
        <v>42290.638537833751</v>
      </c>
      <c r="AA99" s="237">
        <f>IF(AA98=0,0,(SUMIFS(операции!$AF:$AF,операции!$T:$T,"&lt;"&amp;X$8,операции!$X:$X,"",операции!$AB:$AB,"",операции!$L:$L,AA$9,операции!$P:$P,$F87)+SUMIFS(операции!$AF:$AF,операции!$T:$T,"&lt;"&amp;X$8,операции!$X:$X,"&gt;="&amp;X$8,операции!$AB:$AB,"",операции!$L:$L,AA$9,операции!$P:$P,$F87)+SUMIFS(операции!$AF:$AF,операции!$T:$T,"&lt;"&amp;X$8,операции!$X:$X,"",операции!$AB:$AB,"&gt;="&amp;X$8,операции!$L:$L,AA$9,операции!$P:$P,$F87)+SUMIFS(операции!$AF:$AF,операции!$T:$T,"&lt;"&amp;X$8,операции!$X:$X,"&gt;="&amp;X$8,операции!$AB:$AB,"&gt;="&amp;X$8,операции!$L:$L,AA$9,операции!$P:$P,$F87))/AA98)</f>
        <v>42336.873558615938</v>
      </c>
      <c r="AB99" s="265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</row>
    <row r="100" spans="1:42" s="192" customFormat="1" ht="11.25">
      <c r="A100" s="37"/>
      <c r="B100" s="37"/>
      <c r="C100" s="37"/>
      <c r="D100" s="191"/>
      <c r="E100" s="191" t="s">
        <v>263</v>
      </c>
      <c r="F100" s="191" t="str">
        <f t="shared" si="111"/>
        <v>Электроника и бытовая техника</v>
      </c>
      <c r="G100" s="191" t="s">
        <v>219</v>
      </c>
      <c r="H100" s="315"/>
      <c r="I100" s="329">
        <f>IF(I98=0,0,I$8-I99)</f>
        <v>54.075425307746627</v>
      </c>
      <c r="J100" s="317"/>
      <c r="K100" s="329">
        <f>IF(K98=0,0,I$8-K99)</f>
        <v>54.075425307746627</v>
      </c>
      <c r="L100" s="330">
        <f>IF(L98=0,0,I$8-L99)</f>
        <v>0</v>
      </c>
      <c r="M100" s="274"/>
      <c r="N100" s="156">
        <f>IF(N98=0,0,N$8-N99)</f>
        <v>54.075425307746627</v>
      </c>
      <c r="O100" s="196"/>
      <c r="P100" s="156">
        <f>IF(P98=0,0,N$8-P99)</f>
        <v>54.075425307746627</v>
      </c>
      <c r="Q100" s="245">
        <f>IF(Q98=0,0,N$8-Q99)</f>
        <v>0</v>
      </c>
      <c r="R100" s="238"/>
      <c r="S100" s="156">
        <f>IF(S98=0,0,S$8-S99)</f>
        <v>94.858286675502313</v>
      </c>
      <c r="T100" s="196"/>
      <c r="U100" s="156">
        <f>IF(U98=0,0,S$8-U99)</f>
        <v>94.858286675502313</v>
      </c>
      <c r="V100" s="245">
        <f>IF(V98=0,0,S$8-V99)</f>
        <v>0</v>
      </c>
      <c r="W100" s="238"/>
      <c r="X100" s="156">
        <f>IF(X98=0,0,X$8-X99)</f>
        <v>10.407312789087882</v>
      </c>
      <c r="Y100" s="196"/>
      <c r="Z100" s="156">
        <f>IF(Z98=0,0,X$8-Z99)</f>
        <v>48.361462166249112</v>
      </c>
      <c r="AA100" s="245">
        <f>IF(AA98=0,0,X$8-AA99)</f>
        <v>2.1264413840617635</v>
      </c>
      <c r="AB100" s="265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</row>
    <row r="101" spans="1:42" s="192" customFormat="1" ht="11.25">
      <c r="A101" s="37"/>
      <c r="B101" s="37"/>
      <c r="C101" s="37"/>
      <c r="D101" s="191"/>
      <c r="E101" s="191" t="s">
        <v>311</v>
      </c>
      <c r="F101" s="191" t="str">
        <f t="shared" si="111"/>
        <v>Электроника и бытовая техника</v>
      </c>
      <c r="G101" s="191" t="s">
        <v>262</v>
      </c>
      <c r="H101" s="315"/>
      <c r="I101" s="316">
        <f>I$8</f>
        <v>42278</v>
      </c>
      <c r="J101" s="317"/>
      <c r="K101" s="316">
        <f>I$8</f>
        <v>42278</v>
      </c>
      <c r="L101" s="318">
        <f>I$8</f>
        <v>42278</v>
      </c>
      <c r="M101" s="274"/>
      <c r="N101" s="193">
        <f>N$8</f>
        <v>42278</v>
      </c>
      <c r="O101" s="196"/>
      <c r="P101" s="193">
        <f>N$8</f>
        <v>42278</v>
      </c>
      <c r="Q101" s="237">
        <f>N$8</f>
        <v>42278</v>
      </c>
      <c r="R101" s="238"/>
      <c r="S101" s="193">
        <f>S$8</f>
        <v>42309</v>
      </c>
      <c r="T101" s="196"/>
      <c r="U101" s="193">
        <f>S$8</f>
        <v>42309</v>
      </c>
      <c r="V101" s="237">
        <f>S$8</f>
        <v>42309</v>
      </c>
      <c r="W101" s="238"/>
      <c r="X101" s="193">
        <f>X$8</f>
        <v>42339</v>
      </c>
      <c r="Y101" s="196"/>
      <c r="Z101" s="193">
        <f>X$8</f>
        <v>42339</v>
      </c>
      <c r="AA101" s="237">
        <f>X$8</f>
        <v>42339</v>
      </c>
      <c r="AB101" s="265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</row>
    <row r="102" spans="1:42" s="192" customFormat="1" ht="11.25">
      <c r="A102" s="37"/>
      <c r="B102" s="37"/>
      <c r="C102" s="37"/>
      <c r="D102" s="191"/>
      <c r="E102" s="191" t="s">
        <v>264</v>
      </c>
      <c r="F102" s="191" t="str">
        <f t="shared" si="111"/>
        <v>Электроника и бытовая техника</v>
      </c>
      <c r="G102" s="191" t="s">
        <v>219</v>
      </c>
      <c r="H102" s="315"/>
      <c r="I102" s="329">
        <f>IF(I98=0,0,I101-I99)</f>
        <v>54.075425307746627</v>
      </c>
      <c r="J102" s="317"/>
      <c r="K102" s="329">
        <f>IF(K98=0,0,K101-K99)</f>
        <v>54.075425307746627</v>
      </c>
      <c r="L102" s="330">
        <f>IF(L98=0,0,L101-L99)</f>
        <v>0</v>
      </c>
      <c r="M102" s="274"/>
      <c r="N102" s="156">
        <f>IF(N98=0,0,N101-N99)</f>
        <v>54.075425307746627</v>
      </c>
      <c r="O102" s="196"/>
      <c r="P102" s="156">
        <f>IF(P98=0,0,P101-P99)</f>
        <v>54.075425307746627</v>
      </c>
      <c r="Q102" s="245">
        <f>IF(Q98=0,0,Q101-Q99)</f>
        <v>0</v>
      </c>
      <c r="R102" s="238"/>
      <c r="S102" s="156">
        <f>IF(S98=0,0,S101-S99)</f>
        <v>94.858286675502313</v>
      </c>
      <c r="T102" s="196"/>
      <c r="U102" s="156">
        <f>IF(U98=0,0,U101-U99)</f>
        <v>94.858286675502313</v>
      </c>
      <c r="V102" s="245">
        <f>IF(V98=0,0,V101-V99)</f>
        <v>0</v>
      </c>
      <c r="W102" s="238"/>
      <c r="X102" s="156">
        <f>IF(X98=0,0,X101-X99)</f>
        <v>10.407312789087882</v>
      </c>
      <c r="Y102" s="196"/>
      <c r="Z102" s="156">
        <f>IF(Z98=0,0,Z101-Z99)</f>
        <v>48.361462166249112</v>
      </c>
      <c r="AA102" s="245">
        <f>IF(AA98=0,0,AA101-AA99)</f>
        <v>2.1264413840617635</v>
      </c>
      <c r="AB102" s="265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</row>
    <row r="103" spans="1:42" s="192" customFormat="1" ht="11.25">
      <c r="A103" s="37"/>
      <c r="B103" s="37"/>
      <c r="C103" s="37"/>
      <c r="D103" s="207"/>
      <c r="E103" s="207" t="s">
        <v>269</v>
      </c>
      <c r="F103" s="207" t="str">
        <f t="shared" si="111"/>
        <v>Электроника и бытовая техника</v>
      </c>
      <c r="G103" s="207" t="s">
        <v>219</v>
      </c>
      <c r="H103" s="331"/>
      <c r="I103" s="332">
        <f>I100-I102</f>
        <v>0</v>
      </c>
      <c r="J103" s="333"/>
      <c r="K103" s="332">
        <f t="shared" ref="K103" si="136">K100-K102</f>
        <v>0</v>
      </c>
      <c r="L103" s="334">
        <f>L100-L102</f>
        <v>0</v>
      </c>
      <c r="M103" s="278"/>
      <c r="N103" s="162">
        <f>N100-N102</f>
        <v>0</v>
      </c>
      <c r="O103" s="208"/>
      <c r="P103" s="162">
        <f t="shared" ref="P103" si="137">P100-P102</f>
        <v>0</v>
      </c>
      <c r="Q103" s="246">
        <f>Q100-Q102</f>
        <v>0</v>
      </c>
      <c r="R103" s="247"/>
      <c r="S103" s="162">
        <f>S100-S102</f>
        <v>0</v>
      </c>
      <c r="T103" s="208"/>
      <c r="U103" s="162">
        <f t="shared" ref="U103" si="138">U100-U102</f>
        <v>0</v>
      </c>
      <c r="V103" s="246">
        <f>V100-V102</f>
        <v>0</v>
      </c>
      <c r="W103" s="247"/>
      <c r="X103" s="162">
        <f>X100-X102</f>
        <v>0</v>
      </c>
      <c r="Y103" s="208"/>
      <c r="Z103" s="162">
        <f t="shared" ref="Z103" si="139">Z100-Z102</f>
        <v>0</v>
      </c>
      <c r="AA103" s="246">
        <f>AA100-AA102</f>
        <v>0</v>
      </c>
      <c r="AB103" s="265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</row>
    <row r="104" spans="1:42" s="111" customFormat="1" ht="11.25">
      <c r="A104" s="108"/>
      <c r="B104" s="108"/>
      <c r="C104" s="108" t="s">
        <v>272</v>
      </c>
      <c r="D104" s="109"/>
      <c r="E104" s="109"/>
      <c r="F104" s="109" t="str">
        <f t="shared" si="111"/>
        <v>Электроника и бытовая техника</v>
      </c>
      <c r="G104" s="109"/>
      <c r="H104" s="307"/>
      <c r="I104" s="308">
        <f>I105-K105-L105</f>
        <v>0</v>
      </c>
      <c r="J104" s="335"/>
      <c r="K104" s="308"/>
      <c r="L104" s="336"/>
      <c r="M104" s="272"/>
      <c r="N104" s="110">
        <f>N105-P105-Q105</f>
        <v>0</v>
      </c>
      <c r="O104" s="105"/>
      <c r="P104" s="110"/>
      <c r="Q104" s="248"/>
      <c r="R104" s="234"/>
      <c r="S104" s="110">
        <f>S105-U105-V105</f>
        <v>0</v>
      </c>
      <c r="T104" s="105"/>
      <c r="U104" s="110"/>
      <c r="V104" s="248"/>
      <c r="W104" s="234"/>
      <c r="X104" s="110">
        <f>X105-Z105-AA105</f>
        <v>0</v>
      </c>
      <c r="Y104" s="105"/>
      <c r="Z104" s="110"/>
      <c r="AA104" s="248"/>
      <c r="AB104" s="263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</row>
    <row r="105" spans="1:42" s="5" customFormat="1">
      <c r="A105" s="1"/>
      <c r="B105" s="1"/>
      <c r="C105" s="1"/>
      <c r="D105" s="168" t="s">
        <v>273</v>
      </c>
      <c r="E105" s="168"/>
      <c r="F105" s="168" t="str">
        <f t="shared" si="111"/>
        <v>Электроника и бытовая техника</v>
      </c>
      <c r="G105" s="168" t="s">
        <v>261</v>
      </c>
      <c r="H105" s="326"/>
      <c r="I105" s="327">
        <f>SUMIFS(операции!$V:$V,операции!$T:$T,"&gt;="&amp;I$8,операции!$T:$T,"&lt;="&amp;I$9,операции!$P:$P,$F87)</f>
        <v>181748.73999999996</v>
      </c>
      <c r="J105" s="313"/>
      <c r="K105" s="327">
        <f>SUMIFS(операции!$V:$V,операции!$T:$T,"&gt;="&amp;I$8,операции!$T:$T,"&lt;="&amp;I$9,операции!$L:$L,K$9,операции!$P:$P,$F87)</f>
        <v>28694.640000000003</v>
      </c>
      <c r="L105" s="328">
        <f>SUMIFS(операции!$V:$V,операции!$T:$T,"&gt;="&amp;I$8,операции!$T:$T,"&lt;="&amp;I$9,операции!$L:$L,L$9,операции!$P:$P,$F87)</f>
        <v>153054.09999999998</v>
      </c>
      <c r="M105" s="277"/>
      <c r="N105" s="169">
        <f>SUMIFS(операции!$V:$V,операции!$T:$T,"&gt;="&amp;N$8,операции!$T:$T,"&lt;="&amp;N$9,операции!$P:$P,$F87)</f>
        <v>24229.21</v>
      </c>
      <c r="O105" s="170"/>
      <c r="P105" s="169">
        <f>SUMIFS(операции!$V:$V,операции!$T:$T,"&gt;="&amp;N$8,операции!$T:$T,"&lt;="&amp;N$9,операции!$L:$L,P$9,операции!$P:$P,$F87)</f>
        <v>11746.16</v>
      </c>
      <c r="Q105" s="243">
        <f>SUMIFS(операции!$V:$V,операции!$T:$T,"&gt;="&amp;N$8,операции!$T:$T,"&lt;="&amp;N$9,операции!$L:$L,Q$9,операции!$P:$P,$F87)</f>
        <v>12483.05</v>
      </c>
      <c r="R105" s="244"/>
      <c r="S105" s="169">
        <f>SUMIFS(операции!$V:$V,операции!$T:$T,"&gt;="&amp;S$8,операции!$T:$T,"&lt;="&amp;S$9,операции!$P:$P,$F87)</f>
        <v>126680.57999999999</v>
      </c>
      <c r="T105" s="170"/>
      <c r="U105" s="169">
        <f>SUMIFS(операции!$V:$V,операции!$T:$T,"&gt;="&amp;S$8,операции!$T:$T,"&lt;="&amp;S$9,операции!$L:$L,U$9,операции!$P:$P,$F87)</f>
        <v>16948.48</v>
      </c>
      <c r="V105" s="243">
        <f>SUMIFS(операции!$V:$V,операции!$T:$T,"&gt;="&amp;S$8,операции!$T:$T,"&lt;="&amp;S$9,операции!$L:$L,V$9,операции!$P:$P,$F87)</f>
        <v>109732.1</v>
      </c>
      <c r="W105" s="244"/>
      <c r="X105" s="169">
        <f>SUMIFS(операции!$V:$V,операции!$T:$T,"&gt;="&amp;X$8,операции!$T:$T,"&lt;="&amp;X$9,операции!$P:$P,$F87)</f>
        <v>30838.95</v>
      </c>
      <c r="Y105" s="170"/>
      <c r="Z105" s="169">
        <f>SUMIFS(операции!$V:$V,операции!$T:$T,"&gt;="&amp;X$8,операции!$T:$T,"&lt;="&amp;X$9,операции!$L:$L,Z$9,операции!$P:$P,$F87)</f>
        <v>0</v>
      </c>
      <c r="AA105" s="243">
        <f>SUMIFS(операции!$V:$V,операции!$T:$T,"&gt;="&amp;X$8,операции!$T:$T,"&lt;="&amp;X$9,операции!$L:$L,AA$9,операции!$P:$P,$F87)</f>
        <v>30838.95</v>
      </c>
      <c r="AB105" s="266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s="192" customFormat="1" ht="11.25">
      <c r="A106" s="37"/>
      <c r="B106" s="37"/>
      <c r="C106" s="37"/>
      <c r="D106" s="207" t="s">
        <v>255</v>
      </c>
      <c r="E106" s="207"/>
      <c r="F106" s="207" t="str">
        <f t="shared" si="111"/>
        <v>Электроника и бытовая техника</v>
      </c>
      <c r="G106" s="207" t="s">
        <v>262</v>
      </c>
      <c r="H106" s="331"/>
      <c r="I106" s="337">
        <f>IF(I105=0,0,SUMIFS(операции!$AF:$AF,операции!$T:$T,"&gt;="&amp;I$8,операции!$T:$T,"&lt;="&amp;I$9,операции!$P:$P,$F87)/I105)</f>
        <v>42330.429418052656</v>
      </c>
      <c r="J106" s="333"/>
      <c r="K106" s="337">
        <f>IF(K105=0,0,SUMIFS(операции!$AF:$AF,операции!$T:$T,"&gt;="&amp;I$8,операции!$T:$T,"&lt;="&amp;I$9,операции!$L:$L,K$9,операции!$P:$P,$F87)/K105)</f>
        <v>42301.951243855998</v>
      </c>
      <c r="L106" s="338">
        <f>IF(L105=0,0,SUMIFS(операции!$AF:$AF,операции!$T:$T,"&gt;="&amp;I$8,операции!$T:$T,"&lt;="&amp;I$9,операции!$L:$L,L$9,операции!$P:$P,$F87)/L105)</f>
        <v>42335.768516818571</v>
      </c>
      <c r="M106" s="278"/>
      <c r="N106" s="217">
        <f>IF(N105=0,0,SUMIFS(операции!$AF:$AF,операции!$T:$T,"&gt;="&amp;N$8,операции!$T:$T,"&lt;="&amp;N$9,операции!$P:$P,$F87)/N105)</f>
        <v>42296.271867716699</v>
      </c>
      <c r="O106" s="208"/>
      <c r="P106" s="217">
        <f>IF(P105=0,0,SUMIFS(операции!$AF:$AF,операции!$T:$T,"&gt;="&amp;N$8,операции!$T:$T,"&lt;="&amp;N$9,операции!$L:$L,P$9,операции!$P:$P,$F87)/P105)</f>
        <v>42288.749787164488</v>
      </c>
      <c r="Q106" s="249">
        <f>IF(Q105=0,0,SUMIFS(операции!$AF:$AF,операции!$T:$T,"&gt;="&amp;N$8,операции!$T:$T,"&lt;="&amp;N$9,операции!$L:$L,Q$9,операции!$P:$P,$F87)/Q105)</f>
        <v>42303.349910478617</v>
      </c>
      <c r="R106" s="247"/>
      <c r="S106" s="217">
        <f>IF(S105=0,0,SUMIFS(операции!$AF:$AF,операции!$T:$T,"&gt;="&amp;S$8,операции!$T:$T,"&lt;="&amp;S$9,операции!$P:$P,$F87)/S105)</f>
        <v>42328.845439766708</v>
      </c>
      <c r="T106" s="208"/>
      <c r="U106" s="217">
        <f>IF(U105=0,0,SUMIFS(операции!$AF:$AF,операции!$T:$T,"&gt;="&amp;S$8,операции!$T:$T,"&lt;="&amp;S$9,операции!$L:$L,U$9,операции!$P:$P,$F87)/U105)</f>
        <v>42311.100525828871</v>
      </c>
      <c r="V106" s="249">
        <f>IF(V105=0,0,SUMIFS(операции!$AF:$AF,операции!$T:$T,"&gt;="&amp;S$8,операции!$T:$T,"&lt;="&amp;S$9,операции!$L:$L,V$9,операции!$P:$P,$F87)/V105)</f>
        <v>42331.586199480371</v>
      </c>
      <c r="W106" s="247"/>
      <c r="X106" s="217">
        <f>IF(X105=0,0,SUMIFS(операции!$AF:$AF,операции!$T:$T,"&gt;="&amp;X$8,операции!$T:$T,"&lt;="&amp;X$9,операции!$P:$P,$F87)/X105)</f>
        <v>42363.772633309505</v>
      </c>
      <c r="Y106" s="208"/>
      <c r="Z106" s="217">
        <f>IF(Z105=0,0,SUMIFS(операции!$AF:$AF,операции!$T:$T,"&gt;="&amp;X$8,операции!$T:$T,"&lt;="&amp;X$9,операции!$L:$L,Z$9,операции!$P:$P,$F87)/Z105)</f>
        <v>0</v>
      </c>
      <c r="AA106" s="249">
        <f>IF(AA105=0,0,SUMIFS(операции!$AF:$AF,операции!$T:$T,"&gt;="&amp;X$8,операции!$T:$T,"&lt;="&amp;X$9,операции!$L:$L,AA$9,операции!$P:$P,$F87)/AA105)</f>
        <v>42363.772633309505</v>
      </c>
      <c r="AB106" s="265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</row>
    <row r="107" spans="1:42" s="93" customFormat="1" ht="15">
      <c r="A107" s="92"/>
      <c r="B107" s="92"/>
      <c r="C107" s="92"/>
      <c r="D107" s="212" t="s">
        <v>274</v>
      </c>
      <c r="E107" s="212"/>
      <c r="F107" s="212" t="str">
        <f t="shared" si="111"/>
        <v>Электроника и бытовая техника</v>
      </c>
      <c r="G107" s="212" t="s">
        <v>261</v>
      </c>
      <c r="H107" s="339"/>
      <c r="I107" s="340">
        <f>SUMIFS(операции!$Z:$Z,операции!$X:$X,"&gt;="&amp;I$8,операции!$X:$X,"&lt;="&amp;I$9,операции!$P:$P,$F87)</f>
        <v>235726</v>
      </c>
      <c r="J107" s="341">
        <f>I107-I120-I130</f>
        <v>0</v>
      </c>
      <c r="K107" s="340">
        <f>SUMIFS(операции!$Z:$Z,операции!$X:$X,"&gt;="&amp;I$8,операции!$X:$X,"&lt;="&amp;I$9,операции!$L:$L,K$9,операции!$P:$P,$F87)</f>
        <v>105850</v>
      </c>
      <c r="L107" s="342">
        <f>SUMIFS(операции!$Z:$Z,операции!$X:$X,"&gt;="&amp;I$8,операции!$X:$X,"&lt;="&amp;I$9,операции!$L:$L,L$9,операции!$P:$P,$F87)</f>
        <v>129876</v>
      </c>
      <c r="M107" s="279"/>
      <c r="N107" s="213">
        <f>SUMIFS(операции!$Z:$Z,операции!$X:$X,"&gt;="&amp;N$8,операции!$X:$X,"&lt;="&amp;N$9,операции!$P:$P,$F87)</f>
        <v>35950</v>
      </c>
      <c r="O107" s="216">
        <f>N107-N120-N130</f>
        <v>0</v>
      </c>
      <c r="P107" s="213">
        <f>SUMIFS(операции!$Z:$Z,операции!$X:$X,"&gt;="&amp;N$8,операции!$X:$X,"&lt;="&amp;N$9,операции!$L:$L,P$9,операции!$P:$P,$F87)</f>
        <v>22100</v>
      </c>
      <c r="Q107" s="250">
        <f>SUMIFS(операции!$Z:$Z,операции!$X:$X,"&gt;="&amp;N$8,операции!$X:$X,"&lt;="&amp;N$9,операции!$L:$L,Q$9,операции!$P:$P,$F87)</f>
        <v>13850</v>
      </c>
      <c r="R107" s="251"/>
      <c r="S107" s="213">
        <f>SUMIFS(операции!$Z:$Z,операции!$X:$X,"&gt;="&amp;S$8,операции!$X:$X,"&lt;="&amp;S$9,операции!$P:$P,$F87)</f>
        <v>121355</v>
      </c>
      <c r="T107" s="216">
        <f>S107-S120-S130</f>
        <v>0</v>
      </c>
      <c r="U107" s="213">
        <f>SUMIFS(операции!$Z:$Z,операции!$X:$X,"&gt;="&amp;S$8,операции!$X:$X,"&lt;="&amp;S$9,операции!$L:$L,U$9,операции!$P:$P,$F87)</f>
        <v>64068</v>
      </c>
      <c r="V107" s="250">
        <f>SUMIFS(операции!$Z:$Z,операции!$X:$X,"&gt;="&amp;S$8,операции!$X:$X,"&lt;="&amp;S$9,операции!$L:$L,V$9,операции!$P:$P,$F87)</f>
        <v>57287</v>
      </c>
      <c r="W107" s="251"/>
      <c r="X107" s="213">
        <f>SUMIFS(операции!$Z:$Z,операции!$X:$X,"&gt;="&amp;X$8,операции!$X:$X,"&lt;="&amp;X$9,операции!$P:$P,$F87)</f>
        <v>78421</v>
      </c>
      <c r="Y107" s="216">
        <f>X107-X120-X130</f>
        <v>0</v>
      </c>
      <c r="Z107" s="213">
        <f>SUMIFS(операции!$Z:$Z,операции!$X:$X,"&gt;="&amp;X$8,операции!$X:$X,"&lt;="&amp;X$9,операции!$L:$L,Z$9,операции!$P:$P,$F87)</f>
        <v>19682</v>
      </c>
      <c r="AA107" s="250">
        <f>SUMIFS(операции!$Z:$Z,операции!$X:$X,"&gt;="&amp;X$8,операции!$X:$X,"&lt;="&amp;X$9,операции!$L:$L,AA$9,операции!$P:$P,$F87)</f>
        <v>58739</v>
      </c>
      <c r="AB107" s="264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</row>
    <row r="108" spans="1:42" s="407" customFormat="1" ht="11.25">
      <c r="A108" s="404"/>
      <c r="B108" s="404"/>
      <c r="C108" s="404"/>
      <c r="D108" s="405" t="s">
        <v>332</v>
      </c>
      <c r="E108" s="405"/>
      <c r="F108" s="405" t="str">
        <f>F106</f>
        <v>Электроника и бытовая техника</v>
      </c>
      <c r="G108" s="405" t="s">
        <v>218</v>
      </c>
      <c r="H108" s="408"/>
      <c r="I108" s="408">
        <f>IF(I$31=0,0,I107/I$31)</f>
        <v>6.3541841879401886E-2</v>
      </c>
      <c r="J108" s="409"/>
      <c r="K108" s="408">
        <f t="shared" ref="K108:L108" si="140">IF(K$31=0,0,K107/K$31)</f>
        <v>8.1305871382330391E-2</v>
      </c>
      <c r="L108" s="410">
        <f t="shared" si="140"/>
        <v>5.3937411074038724E-2</v>
      </c>
      <c r="M108" s="411"/>
      <c r="N108" s="412">
        <f t="shared" ref="N108" si="141">IF(N$31=0,0,N107/N$31)</f>
        <v>4.6386917211933373E-2</v>
      </c>
      <c r="O108" s="413"/>
      <c r="P108" s="412">
        <f t="shared" ref="P108" si="142">IF(P$31=0,0,P107/P$31)</f>
        <v>4.4157961620537249E-2</v>
      </c>
      <c r="Q108" s="414">
        <f t="shared" ref="Q108" si="143">IF(Q$31=0,0,Q107/Q$31)</f>
        <v>5.0450411070677929E-2</v>
      </c>
      <c r="R108" s="415"/>
      <c r="S108" s="412">
        <f t="shared" ref="S108" si="144">IF(S$31=0,0,S107/S$31)</f>
        <v>6.8380764018606016E-2</v>
      </c>
      <c r="T108" s="413"/>
      <c r="U108" s="412">
        <f t="shared" ref="U108" si="145">IF(U$31=0,0,U107/U$31)</f>
        <v>0.10173480162920501</v>
      </c>
      <c r="V108" s="414">
        <f t="shared" ref="V108" si="146">IF(V$31=0,0,V107/V$31)</f>
        <v>5.0034936328541231E-2</v>
      </c>
      <c r="W108" s="415"/>
      <c r="X108" s="412">
        <f t="shared" ref="X108" si="147">IF(X$31=0,0,X107/X$31)</f>
        <v>6.7599764843398455E-2</v>
      </c>
      <c r="Y108" s="413"/>
      <c r="Z108" s="412">
        <f t="shared" ref="Z108" si="148">IF(Z$31=0,0,Z107/Z$31)</f>
        <v>0.1146682358150347</v>
      </c>
      <c r="AA108" s="414">
        <f t="shared" ref="AA108" si="149">IF(AA$31=0,0,AA107/AA$31)</f>
        <v>5.9426264751855203E-2</v>
      </c>
      <c r="AB108" s="406"/>
      <c r="AC108" s="404"/>
      <c r="AD108" s="404"/>
      <c r="AE108" s="404"/>
      <c r="AF108" s="404"/>
      <c r="AG108" s="404"/>
      <c r="AH108" s="404"/>
      <c r="AI108" s="404"/>
      <c r="AJ108" s="404"/>
      <c r="AK108" s="404"/>
      <c r="AL108" s="404"/>
      <c r="AM108" s="404"/>
      <c r="AN108" s="404"/>
      <c r="AO108" s="404"/>
      <c r="AP108" s="404"/>
    </row>
    <row r="109" spans="1:42" s="192" customFormat="1" ht="11.25">
      <c r="A109" s="37"/>
      <c r="B109" s="37"/>
      <c r="C109" s="37"/>
      <c r="D109" s="191" t="s">
        <v>331</v>
      </c>
      <c r="E109" s="191"/>
      <c r="F109" s="191" t="str">
        <f>F107</f>
        <v>Электроника и бытовая техника</v>
      </c>
      <c r="G109" s="191" t="s">
        <v>334</v>
      </c>
      <c r="H109" s="315"/>
      <c r="I109" s="329">
        <f>SUMIFS(операции!$R:$R,операции!$X:$X,"&gt;="&amp;I$8,операции!$X:$X,"&lt;="&amp;I$9,операции!$P:$P,$F87)</f>
        <v>55</v>
      </c>
      <c r="J109" s="317">
        <f>I109-K109-L109</f>
        <v>0</v>
      </c>
      <c r="K109" s="329">
        <f>SUMIFS(операции!$R:$R,операции!$X:$X,"&gt;="&amp;I$8,операции!$X:$X,"&lt;="&amp;I$9,операции!$L:$L,K$9,операции!$P:$P,$F87)</f>
        <v>32</v>
      </c>
      <c r="L109" s="330">
        <f>SUMIFS(операции!$R:$R,операции!$X:$X,"&gt;="&amp;I$8,операции!$X:$X,"&lt;="&amp;I$9,операции!$L:$L,L$9,операции!$P:$P,$F87)</f>
        <v>23</v>
      </c>
      <c r="M109" s="402"/>
      <c r="N109" s="156">
        <f>SUMIFS(операции!$R:$R,операции!$X:$X,"&gt;="&amp;N$8,операции!$X:$X,"&lt;="&amp;N$9,операции!$P:$P,$F87)</f>
        <v>6</v>
      </c>
      <c r="O109" s="196">
        <f t="shared" ref="O109" si="150">N109-P109-Q109</f>
        <v>0</v>
      </c>
      <c r="P109" s="156">
        <f>SUMIFS(операции!$R:$R,операции!$X:$X,"&gt;="&amp;N$8,операции!$X:$X,"&lt;="&amp;N$9,операции!$L:$L,P$9,операции!$P:$P,$F87)</f>
        <v>4</v>
      </c>
      <c r="Q109" s="245">
        <f>SUMIFS(операции!$R:$R,операции!$X:$X,"&gt;="&amp;N$8,операции!$X:$X,"&lt;="&amp;N$9,операции!$L:$L,Q$9,операции!$P:$P,$F87)</f>
        <v>2</v>
      </c>
      <c r="R109" s="403"/>
      <c r="S109" s="156">
        <f>SUMIFS(операции!$R:$R,операции!$X:$X,"&gt;="&amp;S$8,операции!$X:$X,"&lt;="&amp;S$9,операции!$P:$P,$F87)</f>
        <v>33</v>
      </c>
      <c r="T109" s="196">
        <f t="shared" ref="T109" si="151">S109-U109-V109</f>
        <v>0</v>
      </c>
      <c r="U109" s="156">
        <f>SUMIFS(операции!$R:$R,операции!$X:$X,"&gt;="&amp;S$8,операции!$X:$X,"&lt;="&amp;S$9,операции!$L:$L,U$9,операции!$P:$P,$F87)</f>
        <v>24</v>
      </c>
      <c r="V109" s="245">
        <f>SUMIFS(операции!$R:$R,операции!$X:$X,"&gt;="&amp;S$8,операции!$X:$X,"&lt;="&amp;S$9,операции!$L:$L,V$9,операции!$P:$P,$F87)</f>
        <v>9</v>
      </c>
      <c r="W109" s="403"/>
      <c r="X109" s="156">
        <f>SUMIFS(операции!$R:$R,операции!$X:$X,"&gt;="&amp;X$8,операции!$X:$X,"&lt;="&amp;X$9,операции!$P:$P,$F87)</f>
        <v>16</v>
      </c>
      <c r="Y109" s="196">
        <f t="shared" ref="Y109" si="152">X109-Z109-AA109</f>
        <v>0</v>
      </c>
      <c r="Z109" s="156">
        <f>SUMIFS(операции!$R:$R,операции!$X:$X,"&gt;="&amp;X$8,операции!$X:$X,"&lt;="&amp;X$9,операции!$L:$L,Z$9,операции!$P:$P,$F87)</f>
        <v>4</v>
      </c>
      <c r="AA109" s="245">
        <f>SUMIFS(операции!$R:$R,операции!$X:$X,"&gt;="&amp;X$8,операции!$X:$X,"&lt;="&amp;X$9,операции!$L:$L,AA$9,операции!$P:$P,$F87)</f>
        <v>12</v>
      </c>
      <c r="AB109" s="265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</row>
    <row r="110" spans="1:42" s="192" customFormat="1" ht="11.25">
      <c r="A110" s="37"/>
      <c r="B110" s="37"/>
      <c r="C110" s="37"/>
      <c r="D110" s="191" t="s">
        <v>333</v>
      </c>
      <c r="E110" s="191"/>
      <c r="F110" s="191" t="str">
        <f t="shared" si="111"/>
        <v>Электроника и бытовая техника</v>
      </c>
      <c r="G110" s="191" t="s">
        <v>261</v>
      </c>
      <c r="H110" s="315"/>
      <c r="I110" s="329">
        <f>IF(I109=0,0,I107/I109)</f>
        <v>4285.9272727272728</v>
      </c>
      <c r="J110" s="317"/>
      <c r="K110" s="329">
        <f t="shared" ref="K110" si="153">IF(K109=0,0,K107/K109)</f>
        <v>3307.8125</v>
      </c>
      <c r="L110" s="330">
        <f t="shared" ref="L110" si="154">IF(L109=0,0,L107/L109)</f>
        <v>5646.782608695652</v>
      </c>
      <c r="M110" s="402"/>
      <c r="N110" s="156">
        <f>IF(N109=0,0,N107/N109)</f>
        <v>5991.666666666667</v>
      </c>
      <c r="O110" s="196"/>
      <c r="P110" s="156">
        <f>IF(P109=0,0,P107/P109)</f>
        <v>5525</v>
      </c>
      <c r="Q110" s="245">
        <f>IF(Q109=0,0,Q107/Q109)</f>
        <v>6925</v>
      </c>
      <c r="R110" s="403"/>
      <c r="S110" s="156">
        <f>IF(S109=0,0,S107/S109)</f>
        <v>3677.4242424242425</v>
      </c>
      <c r="T110" s="196"/>
      <c r="U110" s="156">
        <f>IF(U109=0,0,U107/U109)</f>
        <v>2669.5</v>
      </c>
      <c r="V110" s="245">
        <f>IF(V109=0,0,V107/V109)</f>
        <v>6365.2222222222226</v>
      </c>
      <c r="W110" s="403"/>
      <c r="X110" s="156">
        <f>IF(X109=0,0,X107/X109)</f>
        <v>4901.3125</v>
      </c>
      <c r="Y110" s="196"/>
      <c r="Z110" s="156">
        <f>IF(Z109=0,0,Z107/Z109)</f>
        <v>4920.5</v>
      </c>
      <c r="AA110" s="245">
        <f>IF(AA109=0,0,AA107/AA109)</f>
        <v>4894.916666666667</v>
      </c>
      <c r="AB110" s="265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</row>
    <row r="111" spans="1:42" s="192" customFormat="1" ht="11.25">
      <c r="A111" s="37"/>
      <c r="B111" s="37"/>
      <c r="C111" s="37"/>
      <c r="D111" s="191" t="s">
        <v>290</v>
      </c>
      <c r="E111" s="191"/>
      <c r="F111" s="191" t="str">
        <f t="shared" si="111"/>
        <v>Электроника и бытовая техника</v>
      </c>
      <c r="G111" s="191" t="s">
        <v>262</v>
      </c>
      <c r="H111" s="315"/>
      <c r="I111" s="316">
        <f>IF(I107=0,0,SUMIFS(операции!$AG:$AG,операции!$X:$X,"&gt;="&amp;I$8,операции!$X:$X,"&lt;="&amp;I$9,операции!$P:$P,$F87)/I107)</f>
        <v>42329.43059314628</v>
      </c>
      <c r="J111" s="317"/>
      <c r="K111" s="316">
        <f>IF(K107=0,0,SUMIFS(операции!$AG:$AG,операции!$X:$X,"&gt;="&amp;I$8,операции!$X:$X,"&lt;="&amp;I$9,операции!$L:$L,K$9,операции!$P:$P,$F87)/K107)</f>
        <v>42324.082919225322</v>
      </c>
      <c r="L111" s="318">
        <f>IF(L107=0,0,SUMIFS(операции!$AG:$AG,операции!$X:$X,"&gt;="&amp;I$8,операции!$X:$X,"&lt;="&amp;I$9,операции!$L:$L,L$9,операции!$P:$P,$F87)/L107)</f>
        <v>42333.788991037603</v>
      </c>
      <c r="M111" s="274"/>
      <c r="N111" s="193">
        <f>IF(N107=0,0,SUMIFS(операции!$AG:$AG,операции!$X:$X,"&gt;="&amp;N$8,операции!$X:$X,"&lt;="&amp;N$9,операции!$P:$P,$F87)/N107)</f>
        <v>42301.850125173849</v>
      </c>
      <c r="O111" s="196"/>
      <c r="P111" s="193">
        <f>IF(P107=0,0,SUMIFS(операции!$AG:$AG,операции!$X:$X,"&gt;="&amp;N$8,операции!$X:$X,"&lt;="&amp;N$9,операции!$L:$L,P$9,операции!$P:$P,$F87)/P107)</f>
        <v>42298.674751131221</v>
      </c>
      <c r="Q111" s="237">
        <f>IF(Q107=0,0,SUMIFS(операции!$AG:$AG,операции!$X:$X,"&gt;="&amp;N$8,операции!$X:$X,"&lt;="&amp;N$9,операции!$L:$L,Q$9,операции!$P:$P,$F87)/Q107)</f>
        <v>42306.916967509023</v>
      </c>
      <c r="R111" s="238"/>
      <c r="S111" s="193">
        <f>IF(S107=0,0,SUMIFS(операции!$AG:$AG,операции!$X:$X,"&gt;="&amp;S$8,операции!$X:$X,"&lt;="&amp;S$9,операции!$P:$P,$F87)/S107)</f>
        <v>42328.974562234769</v>
      </c>
      <c r="T111" s="196"/>
      <c r="U111" s="193">
        <f>IF(U107=0,0,SUMIFS(операции!$AG:$AG,операции!$X:$X,"&gt;="&amp;S$8,операции!$X:$X,"&lt;="&amp;S$9,операции!$L:$L,U$9,операции!$P:$P,$F87)/U107)</f>
        <v>42327.846865830055</v>
      </c>
      <c r="V111" s="237">
        <f>IF(V107=0,0,SUMIFS(операции!$AG:$AG,операции!$X:$X,"&gt;="&amp;S$8,операции!$X:$X,"&lt;="&amp;S$9,операции!$L:$L,V$9,операции!$P:$P,$F87)/V107)</f>
        <v>42330.235742838689</v>
      </c>
      <c r="W111" s="238"/>
      <c r="X111" s="193">
        <f>IF(X107=0,0,SUMIFS(операции!$AG:$AG,операции!$X:$X,"&gt;="&amp;X$8,операции!$X:$X,"&lt;="&amp;X$9,операции!$P:$P,$F87)/X107)</f>
        <v>42342.779816630748</v>
      </c>
      <c r="Y111" s="196"/>
      <c r="Z111" s="193">
        <f>IF(Z107=0,0,SUMIFS(операции!$AG:$AG,операции!$X:$X,"&gt;="&amp;X$8,операции!$X:$X,"&lt;="&amp;X$9,операции!$L:$L,Z$9,операции!$P:$P,$F87)/Z107)</f>
        <v>42340.360329234834</v>
      </c>
      <c r="AA111" s="237">
        <f>IF(AA107=0,0,SUMIFS(операции!$AG:$AG,операции!$X:$X,"&gt;="&amp;X$8,операции!$X:$X,"&lt;="&amp;X$9,операции!$L:$L,AA$9,операции!$P:$P,$F87)/AA107)</f>
        <v>42343.590527588145</v>
      </c>
      <c r="AB111" s="265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</row>
    <row r="112" spans="1:42" s="93" customFormat="1" ht="15">
      <c r="A112" s="92"/>
      <c r="B112" s="92"/>
      <c r="C112" s="92"/>
      <c r="D112" s="151" t="s">
        <v>275</v>
      </c>
      <c r="E112" s="151"/>
      <c r="F112" s="151" t="str">
        <f>F111</f>
        <v>Электроника и бытовая техника</v>
      </c>
      <c r="G112" s="151" t="s">
        <v>261</v>
      </c>
      <c r="H112" s="311"/>
      <c r="I112" s="312">
        <f>SUMIFS(операции!$V:$V,операции!$X:$X,"&gt;="&amp;I$8,операции!$X:$X,"&lt;="&amp;I$9,операции!$P:$P,$F87)</f>
        <v>219331.31999999992</v>
      </c>
      <c r="J112" s="313">
        <f>I112-I122-I132</f>
        <v>-1.1641532182693481E-10</v>
      </c>
      <c r="K112" s="312">
        <f>SUMIFS(операции!$V:$V,операции!$X:$X,"&gt;="&amp;I$8,операции!$X:$X,"&lt;="&amp;I$9,операции!$L:$L,K$9,операции!$P:$P,$F87)</f>
        <v>97116.170000000027</v>
      </c>
      <c r="L112" s="314">
        <f>SUMIFS(операции!$V:$V,операции!$X:$X,"&gt;="&amp;I$8,операции!$X:$X,"&lt;="&amp;I$9,операции!$L:$L,L$9,операции!$P:$P,$F87)</f>
        <v>122215.15</v>
      </c>
      <c r="M112" s="273"/>
      <c r="N112" s="152">
        <f>SUMIFS(операции!$V:$V,операции!$X:$X,"&gt;="&amp;N$8,операции!$X:$X,"&lt;="&amp;N$9,операции!$P:$P,$F87)</f>
        <v>32898.399999999994</v>
      </c>
      <c r="O112" s="170">
        <f>N112-N122-N132</f>
        <v>0</v>
      </c>
      <c r="P112" s="152">
        <f>SUMIFS(операции!$V:$V,операции!$X:$X,"&gt;="&amp;N$8,операции!$X:$X,"&lt;="&amp;N$9,операции!$L:$L,P$9,операции!$P:$P,$F87)</f>
        <v>20415.349999999999</v>
      </c>
      <c r="Q112" s="235">
        <f>SUMIFS(операции!$V:$V,операции!$X:$X,"&gt;="&amp;N$8,операции!$X:$X,"&lt;="&amp;N$9,операции!$L:$L,Q$9,операции!$P:$P,$F87)</f>
        <v>12483.05</v>
      </c>
      <c r="R112" s="236"/>
      <c r="S112" s="152">
        <f>SUMIFS(операции!$V:$V,операции!$X:$X,"&gt;="&amp;S$8,операции!$X:$X,"&lt;="&amp;S$9,операции!$P:$P,$F87)</f>
        <v>113959.24000000002</v>
      </c>
      <c r="T112" s="170">
        <f>S112-S122-S132</f>
        <v>0</v>
      </c>
      <c r="U112" s="152">
        <f>SUMIFS(операции!$V:$V,операции!$X:$X,"&gt;="&amp;S$8,операции!$X:$X,"&lt;="&amp;S$9,операции!$L:$L,U$9,операции!$P:$P,$F87)</f>
        <v>59370.320000000014</v>
      </c>
      <c r="V112" s="235">
        <f>SUMIFS(операции!$V:$V,операции!$X:$X,"&gt;="&amp;S$8,операции!$X:$X,"&lt;="&amp;S$9,операции!$L:$L,V$9,операции!$P:$P,$F87)</f>
        <v>54588.92</v>
      </c>
      <c r="W112" s="236"/>
      <c r="X112" s="152">
        <f>SUMIFS(операции!$V:$V,операции!$X:$X,"&gt;="&amp;X$8,операции!$X:$X,"&lt;="&amp;X$9,операции!$P:$P,$F87)</f>
        <v>72473.679999999993</v>
      </c>
      <c r="Y112" s="170">
        <f>X112-X122-X132</f>
        <v>0</v>
      </c>
      <c r="Z112" s="152">
        <f>SUMIFS(операции!$V:$V,операции!$X:$X,"&gt;="&amp;X$8,операции!$X:$X,"&lt;="&amp;X$9,операции!$L:$L,Z$9,операции!$P:$P,$F87)</f>
        <v>17330.5</v>
      </c>
      <c r="AA112" s="235">
        <f>SUMIFS(операции!$V:$V,операции!$X:$X,"&gt;="&amp;X$8,операции!$X:$X,"&lt;="&amp;X$9,операции!$L:$L,AA$9,операции!$P:$P,$F87)</f>
        <v>55143.18</v>
      </c>
      <c r="AB112" s="264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</row>
    <row r="113" spans="1:42" s="192" customFormat="1" ht="11.25">
      <c r="A113" s="37"/>
      <c r="B113" s="37"/>
      <c r="C113" s="37"/>
      <c r="D113" s="191" t="s">
        <v>291</v>
      </c>
      <c r="E113" s="191"/>
      <c r="F113" s="191" t="str">
        <f t="shared" si="111"/>
        <v>Электроника и бытовая техника</v>
      </c>
      <c r="G113" s="191" t="s">
        <v>262</v>
      </c>
      <c r="H113" s="315"/>
      <c r="I113" s="316">
        <f>IF(I112=0,0,SUMIFS(операции!$AF:$AF,операции!$X:$X,"&gt;="&amp;I$8,операции!$X:$X,"&lt;="&amp;I$9,операции!$P:$P,$F87)/I112)</f>
        <v>42285.550020671944</v>
      </c>
      <c r="J113" s="317"/>
      <c r="K113" s="316">
        <f>IF(K112=0,0,SUMIFS(операции!$AF:$AF,операции!$X:$X,"&gt;="&amp;I$8,операции!$X:$X,"&lt;="&amp;I$9,операции!$L:$L,K$9,операции!$P:$P,$F87)/K112)</f>
        <v>42231.245536762814</v>
      </c>
      <c r="L113" s="318">
        <f>IF(L112=0,0,SUMIFS(операции!$AF:$AF,операции!$X:$X,"&gt;="&amp;I$8,операции!$X:$X,"&lt;="&amp;I$9,операции!$L:$L,L$9,операции!$P:$P,$F87)/L112)</f>
        <v>42328.70214617419</v>
      </c>
      <c r="M113" s="274"/>
      <c r="N113" s="193">
        <f>IF(N112=0,0,SUMIFS(операции!$AF:$AF,операции!$X:$X,"&gt;="&amp;N$8,операции!$X:$X,"&lt;="&amp;N$9,операции!$P:$P,$F87)/N112)</f>
        <v>42238.836016341236</v>
      </c>
      <c r="O113" s="196"/>
      <c r="P113" s="193">
        <f>IF(P112=0,0,SUMIFS(операции!$AF:$AF,операции!$X:$X,"&gt;="&amp;N$8,операции!$X:$X,"&lt;="&amp;N$9,операции!$L:$L,P$9,операции!$P:$P,$F87)/P112)</f>
        <v>42199.388729558894</v>
      </c>
      <c r="Q113" s="237">
        <f>IF(Q112=0,0,SUMIFS(операции!$AF:$AF,операции!$X:$X,"&gt;="&amp;N$8,операции!$X:$X,"&lt;="&amp;N$9,операции!$L:$L,Q$9,операции!$P:$P,$F87)/Q112)</f>
        <v>42303.349910478617</v>
      </c>
      <c r="R113" s="238"/>
      <c r="S113" s="193">
        <f>IF(S112=0,0,SUMIFS(операции!$AF:$AF,операции!$X:$X,"&gt;="&amp;S$8,операции!$X:$X,"&lt;="&amp;S$9,операции!$P:$P,$F87)/S112)</f>
        <v>42277.560848773646</v>
      </c>
      <c r="T113" s="196"/>
      <c r="U113" s="193">
        <f>IF(U112=0,0,SUMIFS(операции!$AF:$AF,операции!$X:$X,"&gt;="&amp;S$8,операции!$X:$X,"&lt;="&amp;S$9,операции!$L:$L,U$9,операции!$P:$P,$F87)/U112)</f>
        <v>42232.797341499914</v>
      </c>
      <c r="V113" s="237">
        <f>IF(V112=0,0,SUMIFS(операции!$AF:$AF,операции!$X:$X,"&gt;="&amp;S$8,операции!$X:$X,"&lt;="&amp;S$9,операции!$L:$L,V$9,операции!$P:$P,$F87)/V112)</f>
        <v>42326.245155976714</v>
      </c>
      <c r="W113" s="238"/>
      <c r="X113" s="193">
        <f>IF(X112=0,0,SUMIFS(операции!$AF:$AF,операции!$X:$X,"&gt;="&amp;X$8,операции!$X:$X,"&lt;="&amp;X$9,операции!$P:$P,$F87)/X112)</f>
        <v>42319.317534034439</v>
      </c>
      <c r="Y113" s="196"/>
      <c r="Z113" s="193">
        <f>IF(Z112=0,0,SUMIFS(операции!$AF:$AF,операции!$X:$X,"&gt;="&amp;X$8,операции!$X:$X,"&lt;="&amp;X$9,операции!$L:$L,Z$9,операции!$P:$P,$F87)/Z112)</f>
        <v>42263.456766971525</v>
      </c>
      <c r="AA113" s="237">
        <f>IF(AA112=0,0,SUMIFS(операции!$AF:$AF,операции!$X:$X,"&gt;="&amp;X$8,операции!$X:$X,"&lt;="&amp;X$9,операции!$L:$L,AA$9,операции!$P:$P,$F87)/AA112)</f>
        <v>42336.873558615953</v>
      </c>
      <c r="AB113" s="265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</row>
    <row r="114" spans="1:42" s="192" customFormat="1" ht="11.25">
      <c r="A114" s="37"/>
      <c r="B114" s="37"/>
      <c r="C114" s="37"/>
      <c r="D114" s="191" t="s">
        <v>308</v>
      </c>
      <c r="E114" s="191"/>
      <c r="F114" s="191" t="str">
        <f t="shared" si="111"/>
        <v>Электроника и бытовая техника</v>
      </c>
      <c r="G114" s="191" t="s">
        <v>262</v>
      </c>
      <c r="H114" s="315"/>
      <c r="I114" s="316">
        <f>IF(I112=0,0,(I122*I124+I132*I134)/I112)</f>
        <v>42325.3421030795</v>
      </c>
      <c r="J114" s="317"/>
      <c r="K114" s="316">
        <f t="shared" ref="K114:L114" si="155">IF(K112=0,0,(K122*K124+K132*K134)/K112)</f>
        <v>42289.097517745999</v>
      </c>
      <c r="L114" s="318">
        <f t="shared" si="155"/>
        <v>42354.14324034295</v>
      </c>
      <c r="M114" s="274"/>
      <c r="N114" s="193">
        <f>IF(N112=0,0,(N122*N124+N132*N134)/N112)</f>
        <v>42271.371162427364</v>
      </c>
      <c r="O114" s="196"/>
      <c r="P114" s="193">
        <f t="shared" ref="P114:Q114" si="156">IF(P112=0,0,(P122*P124+P132*P134)/P112)</f>
        <v>42235.950226177854</v>
      </c>
      <c r="Q114" s="237">
        <f t="shared" si="156"/>
        <v>42329.300179042788</v>
      </c>
      <c r="R114" s="238"/>
      <c r="S114" s="193">
        <f>IF(S112=0,0,(S122*S124+S132*S134)/S112)</f>
        <v>42317.386932292618</v>
      </c>
      <c r="T114" s="196"/>
      <c r="U114" s="193">
        <f t="shared" ref="U114:V114" si="157">IF(U112=0,0,(U122*U124+U132*U134)/U112)</f>
        <v>42296.567101373192</v>
      </c>
      <c r="V114" s="237">
        <f t="shared" si="157"/>
        <v>42340.03035561063</v>
      </c>
      <c r="W114" s="238"/>
      <c r="X114" s="193">
        <f>IF(X112=0,0,(X122*X124+X132*X134)/X112)</f>
        <v>42351.604648197805</v>
      </c>
      <c r="Y114" s="196"/>
      <c r="Z114" s="193">
        <f t="shared" ref="Z114:AA114" si="158">IF(Z112=0,0,(Z122*Z124+Z132*Z134)/Z112)</f>
        <v>42304.808659877097</v>
      </c>
      <c r="AA114" s="237">
        <f t="shared" si="158"/>
        <v>42366.311777449184</v>
      </c>
      <c r="AB114" s="265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</row>
    <row r="115" spans="1:42" s="93" customFormat="1" ht="15">
      <c r="A115" s="92"/>
      <c r="B115" s="92"/>
      <c r="C115" s="92"/>
      <c r="D115" s="151" t="s">
        <v>278</v>
      </c>
      <c r="E115" s="151"/>
      <c r="F115" s="151" t="str">
        <f t="shared" si="111"/>
        <v>Электроника и бытовая техника</v>
      </c>
      <c r="G115" s="151" t="s">
        <v>261</v>
      </c>
      <c r="H115" s="311"/>
      <c r="I115" s="312">
        <f>I107-I112</f>
        <v>16394.68000000008</v>
      </c>
      <c r="J115" s="313">
        <f>I115-K115-L115</f>
        <v>1.0186340659856796E-10</v>
      </c>
      <c r="K115" s="312">
        <f t="shared" ref="K115:L115" si="159">K107-K112</f>
        <v>8733.8299999999726</v>
      </c>
      <c r="L115" s="314">
        <f t="shared" si="159"/>
        <v>7660.8500000000058</v>
      </c>
      <c r="M115" s="273"/>
      <c r="N115" s="152">
        <f>N107-N112</f>
        <v>3051.6000000000058</v>
      </c>
      <c r="O115" s="170">
        <f>N115-P115-Q115</f>
        <v>3.637978807091713E-12</v>
      </c>
      <c r="P115" s="152">
        <f t="shared" ref="P115:Q115" si="160">P107-P112</f>
        <v>1684.6500000000015</v>
      </c>
      <c r="Q115" s="235">
        <f t="shared" si="160"/>
        <v>1366.9500000000007</v>
      </c>
      <c r="R115" s="236"/>
      <c r="S115" s="152">
        <f>S107-S112</f>
        <v>7395.7599999999802</v>
      </c>
      <c r="T115" s="170">
        <f>S115-U115-V115</f>
        <v>-7.2759576141834259E-12</v>
      </c>
      <c r="U115" s="152">
        <f t="shared" ref="U115:V115" si="161">U107-U112</f>
        <v>4697.6799999999857</v>
      </c>
      <c r="V115" s="235">
        <f t="shared" si="161"/>
        <v>2698.0800000000017</v>
      </c>
      <c r="W115" s="236"/>
      <c r="X115" s="152">
        <f>X107-X112</f>
        <v>5947.320000000007</v>
      </c>
      <c r="Y115" s="170">
        <f>X115-Z115-AA115</f>
        <v>7.2759576141834259E-12</v>
      </c>
      <c r="Z115" s="152">
        <f t="shared" ref="Z115:AA115" si="162">Z107-Z112</f>
        <v>2351.5</v>
      </c>
      <c r="AA115" s="235">
        <f t="shared" si="162"/>
        <v>3595.8199999999997</v>
      </c>
      <c r="AB115" s="264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</row>
    <row r="116" spans="1:42" s="211" customFormat="1">
      <c r="A116" s="210"/>
      <c r="B116" s="210"/>
      <c r="C116" s="210"/>
      <c r="D116" s="218" t="s">
        <v>277</v>
      </c>
      <c r="E116" s="218"/>
      <c r="F116" s="218" t="str">
        <f t="shared" si="111"/>
        <v>Электроника и бытовая техника</v>
      </c>
      <c r="G116" s="218" t="s">
        <v>218</v>
      </c>
      <c r="H116" s="343"/>
      <c r="I116" s="344">
        <f>IF(I107=0,0,(I115/I107))</f>
        <v>6.9549731467891021E-2</v>
      </c>
      <c r="J116" s="345"/>
      <c r="K116" s="344">
        <f t="shared" ref="K116" si="163">IF(K107=0,0,(K115/K107))</f>
        <v>8.2511384034010135E-2</v>
      </c>
      <c r="L116" s="346">
        <f t="shared" ref="L116" si="164">IF(L107=0,0,(L115/L107))</f>
        <v>5.8985878838276558E-2</v>
      </c>
      <c r="M116" s="280"/>
      <c r="N116" s="219">
        <f>IF(N107=0,0,(N115/N107))</f>
        <v>8.488456189151615E-2</v>
      </c>
      <c r="O116" s="220"/>
      <c r="P116" s="219">
        <f t="shared" ref="P116" si="165">IF(P107=0,0,(P115/P107))</f>
        <v>7.6228506787330383E-2</v>
      </c>
      <c r="Q116" s="252">
        <f t="shared" ref="Q116" si="166">IF(Q107=0,0,(Q115/Q107))</f>
        <v>9.8696750902527122E-2</v>
      </c>
      <c r="R116" s="253"/>
      <c r="S116" s="219">
        <f>IF(S107=0,0,(S115/S107))</f>
        <v>6.094318322277599E-2</v>
      </c>
      <c r="T116" s="220"/>
      <c r="U116" s="219">
        <f t="shared" ref="U116" si="167">IF(U107=0,0,(U115/U107))</f>
        <v>7.332334394705603E-2</v>
      </c>
      <c r="V116" s="252">
        <f t="shared" ref="V116" si="168">IF(V107=0,0,(V115/V107))</f>
        <v>4.7097596313299732E-2</v>
      </c>
      <c r="W116" s="253"/>
      <c r="X116" s="219">
        <f>IF(X107=0,0,(X115/X107))</f>
        <v>7.5838359623060236E-2</v>
      </c>
      <c r="Y116" s="220"/>
      <c r="Z116" s="219">
        <f t="shared" ref="Z116" si="169">IF(Z107=0,0,(Z115/Z107))</f>
        <v>0.11947464688547912</v>
      </c>
      <c r="AA116" s="252">
        <f t="shared" ref="AA116" si="170">IF(AA107=0,0,(AA115/AA107))</f>
        <v>6.1216908697798729E-2</v>
      </c>
      <c r="AB116" s="267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</row>
    <row r="117" spans="1:42" s="93" customFormat="1" ht="15">
      <c r="A117" s="92"/>
      <c r="B117" s="92"/>
      <c r="C117" s="92"/>
      <c r="D117" s="198" t="s">
        <v>220</v>
      </c>
      <c r="E117" s="198"/>
      <c r="F117" s="198" t="str">
        <f t="shared" si="111"/>
        <v>Электроника и бытовая техника</v>
      </c>
      <c r="G117" s="198" t="s">
        <v>219</v>
      </c>
      <c r="H117" s="323"/>
      <c r="I117" s="324">
        <f>I111-I113</f>
        <v>43.880572474336077</v>
      </c>
      <c r="J117" s="321">
        <f>I117-SUMIFS(ПОбТЗ!$I:$I,ПОбТЗ!$E:$E,$D117,ПОбТЗ!$F:$F,$F117)</f>
        <v>0</v>
      </c>
      <c r="K117" s="324">
        <f t="shared" ref="K117:L117" si="171">K111-K113</f>
        <v>92.837382462508685</v>
      </c>
      <c r="L117" s="325">
        <f t="shared" si="171"/>
        <v>5.0868448634137167</v>
      </c>
      <c r="M117" s="276"/>
      <c r="N117" s="199">
        <f>N111-N113</f>
        <v>63.014108832612692</v>
      </c>
      <c r="O117" s="173">
        <f>N117-SUMIFS(ПОбТЗ_2!$J:$J,ПОбТЗ_2!$D:$D,$D117,ПОбТЗ_2!$E:$E,$F117)</f>
        <v>0</v>
      </c>
      <c r="P117" s="199">
        <f t="shared" ref="P117:Q117" si="172">P111-P113</f>
        <v>99.286021572326717</v>
      </c>
      <c r="Q117" s="241">
        <f t="shared" si="172"/>
        <v>3.5670570304064313</v>
      </c>
      <c r="R117" s="242"/>
      <c r="S117" s="199">
        <f>S111-S113</f>
        <v>51.413713461122825</v>
      </c>
      <c r="T117" s="173">
        <f>S117-SUMIFS(ПОбТЗ_2!$K:$K,ПОбТЗ_2!$D:$D,$D117,ПОбТЗ_2!$E:$E,$F117)</f>
        <v>0</v>
      </c>
      <c r="U117" s="199">
        <f t="shared" ref="U117:V117" si="173">U111-U113</f>
        <v>95.049524330141139</v>
      </c>
      <c r="V117" s="241">
        <f t="shared" si="173"/>
        <v>3.9905868619753164</v>
      </c>
      <c r="W117" s="242"/>
      <c r="X117" s="199">
        <f>X111-X113</f>
        <v>23.462282596308796</v>
      </c>
      <c r="Y117" s="173">
        <f>X117-SUMIFS(ПОбТЗ_2!$L:$L,ПОбТЗ_2!$D:$D,$D117,ПОбТЗ_2!$E:$E,$F117)</f>
        <v>0</v>
      </c>
      <c r="Z117" s="199">
        <f t="shared" ref="Z117:AA117" si="174">Z111-Z113</f>
        <v>76.903562263309141</v>
      </c>
      <c r="AA117" s="241">
        <f t="shared" si="174"/>
        <v>6.7169689721922623</v>
      </c>
      <c r="AB117" s="264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</row>
    <row r="118" spans="1:42" s="5" customFormat="1">
      <c r="A118" s="1"/>
      <c r="B118" s="1"/>
      <c r="C118" s="1"/>
      <c r="D118" s="227" t="s">
        <v>309</v>
      </c>
      <c r="E118" s="227"/>
      <c r="F118" s="227" t="str">
        <f t="shared" si="111"/>
        <v>Электроника и бытовая техника</v>
      </c>
      <c r="G118" s="227" t="s">
        <v>219</v>
      </c>
      <c r="H118" s="347"/>
      <c r="I118" s="348">
        <f>I114-I113</f>
        <v>39.792082407555426</v>
      </c>
      <c r="J118" s="321"/>
      <c r="K118" s="348">
        <f t="shared" ref="K118:L118" si="175">K114-K113</f>
        <v>57.851980983185058</v>
      </c>
      <c r="L118" s="349">
        <f t="shared" si="175"/>
        <v>25.441094168760173</v>
      </c>
      <c r="M118" s="281"/>
      <c r="N118" s="228">
        <f>N114-N113</f>
        <v>32.535146086127497</v>
      </c>
      <c r="O118" s="173"/>
      <c r="P118" s="228">
        <f t="shared" ref="P118:Q118" si="176">P114-P113</f>
        <v>36.561496618960518</v>
      </c>
      <c r="Q118" s="254">
        <f t="shared" si="176"/>
        <v>25.950268564170983</v>
      </c>
      <c r="R118" s="255"/>
      <c r="S118" s="228">
        <f>S114-S113</f>
        <v>39.826083518972155</v>
      </c>
      <c r="T118" s="173"/>
      <c r="U118" s="228">
        <f t="shared" ref="U118:V118" si="177">U114-U113</f>
        <v>63.769759873277508</v>
      </c>
      <c r="V118" s="254">
        <f t="shared" si="177"/>
        <v>13.785199633915909</v>
      </c>
      <c r="W118" s="255"/>
      <c r="X118" s="228">
        <f>X114-X113</f>
        <v>32.287114163365914</v>
      </c>
      <c r="Y118" s="173"/>
      <c r="Z118" s="228">
        <f t="shared" ref="Z118:AA118" si="178">Z114-Z113</f>
        <v>41.351892905571731</v>
      </c>
      <c r="AA118" s="254">
        <f t="shared" si="178"/>
        <v>29.438218833231076</v>
      </c>
      <c r="AB118" s="266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s="5" customFormat="1">
      <c r="A119" s="1"/>
      <c r="B119" s="1"/>
      <c r="C119" s="1"/>
      <c r="D119" s="225" t="s">
        <v>310</v>
      </c>
      <c r="E119" s="225"/>
      <c r="F119" s="225" t="str">
        <f t="shared" si="111"/>
        <v>Электроника и бытовая техника</v>
      </c>
      <c r="G119" s="225" t="s">
        <v>219</v>
      </c>
      <c r="H119" s="350"/>
      <c r="I119" s="351">
        <f>I117-I118</f>
        <v>4.0884900667806505</v>
      </c>
      <c r="J119" s="352"/>
      <c r="K119" s="351">
        <f t="shared" ref="K119" si="179">K117-K118</f>
        <v>34.985401479323627</v>
      </c>
      <c r="L119" s="353">
        <f t="shared" ref="L119" si="180">L117-L118</f>
        <v>-20.354249305346457</v>
      </c>
      <c r="M119" s="282"/>
      <c r="N119" s="226">
        <f>N117-N118</f>
        <v>30.478962746485195</v>
      </c>
      <c r="O119" s="181"/>
      <c r="P119" s="226">
        <f t="shared" ref="P119" si="181">P117-P118</f>
        <v>62.724524953366199</v>
      </c>
      <c r="Q119" s="256">
        <f t="shared" ref="Q119" si="182">Q117-Q118</f>
        <v>-22.383211533764552</v>
      </c>
      <c r="R119" s="257"/>
      <c r="S119" s="226">
        <f>S117-S118</f>
        <v>11.58762994215067</v>
      </c>
      <c r="T119" s="181"/>
      <c r="U119" s="226">
        <f t="shared" ref="U119" si="183">U117-U118</f>
        <v>31.279764456863631</v>
      </c>
      <c r="V119" s="256">
        <f t="shared" ref="V119" si="184">V117-V118</f>
        <v>-9.7946127719405922</v>
      </c>
      <c r="W119" s="257"/>
      <c r="X119" s="226">
        <f>X117-X118</f>
        <v>-8.8248315670571174</v>
      </c>
      <c r="Y119" s="181"/>
      <c r="Z119" s="226">
        <f t="shared" ref="Z119" si="185">Z117-Z118</f>
        <v>35.55166935773741</v>
      </c>
      <c r="AA119" s="256">
        <f t="shared" ref="AA119" si="186">AA117-AA118</f>
        <v>-22.721249861038814</v>
      </c>
      <c r="AB119" s="266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s="5" customFormat="1">
      <c r="A120" s="1"/>
      <c r="B120" s="1"/>
      <c r="C120" s="1"/>
      <c r="D120" s="223"/>
      <c r="E120" s="223" t="s">
        <v>293</v>
      </c>
      <c r="F120" s="223" t="str">
        <f t="shared" si="111"/>
        <v>Электроника и бытовая техника</v>
      </c>
      <c r="G120" s="223" t="s">
        <v>261</v>
      </c>
      <c r="H120" s="354"/>
      <c r="I120" s="355">
        <f>SUMIFS(операции!$Z:$Z,операции!$X:$X,"&gt;="&amp;I$8,операции!$X:$X,"&lt;="&amp;I$9,операции!$AB:$AB,"&lt;&gt;"&amp;"",операции!$P:$P,$F87)</f>
        <v>169850</v>
      </c>
      <c r="J120" s="341">
        <f>I120-K120-L120</f>
        <v>0</v>
      </c>
      <c r="K120" s="355">
        <f>SUMIFS(операции!$Z:$Z,операции!$X:$X,"&gt;="&amp;I$8,операции!$X:$X,"&lt;="&amp;I$9,операции!$AB:$AB,"&lt;&gt;"&amp;"",операции!$L:$L,K$9,операции!$P:$P,$F87)</f>
        <v>93485</v>
      </c>
      <c r="L120" s="356">
        <f>SUMIFS(операции!$Z:$Z,операции!$X:$X,"&gt;="&amp;I$8,операции!$X:$X,"&lt;="&amp;I$9,операции!$AB:$AB,"&lt;&gt;"&amp;"",операции!$L:$L,L$9,операции!$P:$P,$F87)</f>
        <v>76365</v>
      </c>
      <c r="M120" s="283"/>
      <c r="N120" s="224">
        <f>SUMIFS(операции!$Z:$Z,операции!$X:$X,"&gt;="&amp;N$8,операции!$X:$X,"&lt;="&amp;N$9,операции!$AB:$AB,"&lt;&gt;"&amp;"",операции!$P:$P,$F87)</f>
        <v>35950</v>
      </c>
      <c r="O120" s="216">
        <f>N120-P120-Q120</f>
        <v>0</v>
      </c>
      <c r="P120" s="224">
        <f>SUMIFS(операции!$Z:$Z,операции!$X:$X,"&gt;="&amp;N$8,операции!$X:$X,"&lt;="&amp;N$9,операции!$AB:$AB,"&lt;&gt;"&amp;"",операции!$L:$L,P$9,операции!$P:$P,$F87)</f>
        <v>22100</v>
      </c>
      <c r="Q120" s="258">
        <f>SUMIFS(операции!$Z:$Z,операции!$X:$X,"&gt;="&amp;N$8,операции!$X:$X,"&lt;="&amp;N$9,операции!$AB:$AB,"&lt;&gt;"&amp;"",операции!$L:$L,Q$9,операции!$P:$P,$F87)</f>
        <v>13850</v>
      </c>
      <c r="R120" s="259"/>
      <c r="S120" s="224">
        <f>SUMIFS(операции!$Z:$Z,операции!$X:$X,"&gt;="&amp;S$8,операции!$X:$X,"&lt;="&amp;S$9,операции!$AB:$AB,"&lt;&gt;"&amp;"",операции!$P:$P,$F87)</f>
        <v>95010</v>
      </c>
      <c r="T120" s="216">
        <f>S120-U120-V120</f>
        <v>0</v>
      </c>
      <c r="U120" s="224">
        <f>SUMIFS(операции!$Z:$Z,операции!$X:$X,"&gt;="&amp;S$8,операции!$X:$X,"&lt;="&amp;S$9,операции!$AB:$AB,"&lt;&gt;"&amp;"",операции!$L:$L,U$9,операции!$P:$P,$F87)</f>
        <v>51703</v>
      </c>
      <c r="V120" s="258">
        <f>SUMIFS(операции!$Z:$Z,операции!$X:$X,"&gt;="&amp;S$8,операции!$X:$X,"&lt;="&amp;S$9,операции!$AB:$AB,"&lt;&gt;"&amp;"",операции!$L:$L,V$9,операции!$P:$P,$F87)</f>
        <v>43307</v>
      </c>
      <c r="W120" s="259"/>
      <c r="X120" s="224">
        <f>SUMIFS(операции!$Z:$Z,операции!$X:$X,"&gt;="&amp;X$8,операции!$X:$X,"&lt;="&amp;X$9,операции!$AB:$AB,"&lt;&gt;"&amp;"",операции!$P:$P,$F87)</f>
        <v>38890</v>
      </c>
      <c r="Y120" s="216">
        <f>X120-Z120-AA120</f>
        <v>0</v>
      </c>
      <c r="Z120" s="224">
        <f>SUMIFS(операции!$Z:$Z,операции!$X:$X,"&gt;="&amp;X$8,операции!$X:$X,"&lt;="&amp;X$9,операции!$AB:$AB,"&lt;&gt;"&amp;"",операции!$L:$L,Z$9,операции!$P:$P,$F87)</f>
        <v>19682</v>
      </c>
      <c r="AA120" s="258">
        <f>SUMIFS(операции!$Z:$Z,операции!$X:$X,"&gt;="&amp;X$8,операции!$X:$X,"&lt;="&amp;X$9,операции!$AB:$AB,"&lt;&gt;"&amp;"",операции!$L:$L,AA$9,операции!$P:$P,$F87)</f>
        <v>19208</v>
      </c>
      <c r="AB120" s="26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s="192" customFormat="1" ht="11.25">
      <c r="A121" s="37"/>
      <c r="B121" s="37"/>
      <c r="C121" s="37"/>
      <c r="D121" s="191"/>
      <c r="E121" s="191" t="s">
        <v>295</v>
      </c>
      <c r="F121" s="191" t="str">
        <f t="shared" si="111"/>
        <v>Электроника и бытовая техника</v>
      </c>
      <c r="G121" s="191" t="s">
        <v>262</v>
      </c>
      <c r="H121" s="315"/>
      <c r="I121" s="316">
        <f>IF(I120=0,0,SUMIFS(операции!$AG:$AG,операции!$X:$X,"&gt;="&amp;I$8,операции!$X:$X,"&lt;="&amp;I$9,операции!$AB:$AB,"&lt;&gt;"&amp;"",операции!$P:$P,$F87)/I120)</f>
        <v>42325.639399470121</v>
      </c>
      <c r="J121" s="317"/>
      <c r="K121" s="316">
        <f>IF(K120=0,0,SUMIFS(операции!$AG:$AG,операции!$X:$X,"&gt;="&amp;I$8,операции!$X:$X,"&lt;="&amp;I$9,операции!$AB:$AB,"&lt;&gt;"&amp;"",операции!$L:$L,K$9,операции!$P:$P,$F87)/K120)</f>
        <v>42323.403390918327</v>
      </c>
      <c r="L121" s="318">
        <f>IF(L120=0,0,SUMIFS(операции!$AG:$AG,операции!$X:$X,"&gt;="&amp;I$8,операции!$X:$X,"&lt;="&amp;I$9,операции!$AB:$AB,"&lt;&gt;"&amp;"",операции!$L:$L,L$9,операции!$P:$P,$F87)/L120)</f>
        <v>42328.376690892423</v>
      </c>
      <c r="M121" s="274"/>
      <c r="N121" s="193">
        <f>IF(N120=0,0,SUMIFS(операции!$AG:$AG,операции!$X:$X,"&gt;="&amp;N$8,операции!$X:$X,"&lt;="&amp;N$9,операции!$AB:$AB,"&lt;&gt;"&amp;"",операции!$P:$P,$F87)/N120)</f>
        <v>42301.850125173849</v>
      </c>
      <c r="O121" s="196"/>
      <c r="P121" s="193">
        <f>IF(P120=0,0,SUMIFS(операции!$AG:$AG,операции!$X:$X,"&gt;="&amp;N$8,операции!$X:$X,"&lt;="&amp;N$9,операции!$AB:$AB,"&lt;&gt;"&amp;"",операции!$L:$L,P$9,операции!$P:$P,$F87)/P120)</f>
        <v>42298.674751131221</v>
      </c>
      <c r="Q121" s="237">
        <f>IF(Q120=0,0,SUMIFS(операции!$AG:$AG,операции!$X:$X,"&gt;="&amp;N$8,операции!$X:$X,"&lt;="&amp;N$9,операции!$AB:$AB,"&lt;&gt;"&amp;"",операции!$L:$L,Q$9,операции!$P:$P,$F87)/Q120)</f>
        <v>42306.916967509023</v>
      </c>
      <c r="R121" s="238"/>
      <c r="S121" s="193">
        <f>IF(S120=0,0,SUMIFS(операции!$AG:$AG,операции!$X:$X,"&gt;="&amp;S$8,операции!$X:$X,"&lt;="&amp;S$9,операции!$AB:$AB,"&lt;&gt;"&amp;"",операции!$P:$P,$F87)/S120)</f>
        <v>42327.982391327227</v>
      </c>
      <c r="T121" s="196"/>
      <c r="U121" s="193">
        <f>IF(U120=0,0,SUMIFS(операции!$AG:$AG,операции!$X:$X,"&gt;="&amp;S$8,операции!$X:$X,"&lt;="&amp;S$9,операции!$AB:$AB,"&lt;&gt;"&amp;"",операции!$L:$L,U$9,операции!$P:$P,$F87)/U120)</f>
        <v>42327.518364504962</v>
      </c>
      <c r="V121" s="237">
        <f>IF(V120=0,0,SUMIFS(операции!$AG:$AG,операции!$X:$X,"&gt;="&amp;S$8,операции!$X:$X,"&lt;="&amp;S$9,операции!$AB:$AB,"&lt;&gt;"&amp;"",операции!$L:$L,V$9,операции!$P:$P,$F87)/V120)</f>
        <v>42328.536379800033</v>
      </c>
      <c r="W121" s="238"/>
      <c r="X121" s="193">
        <f>IF(X120=0,0,SUMIFS(операции!$AG:$AG,операции!$X:$X,"&gt;="&amp;X$8,операции!$X:$X,"&lt;="&amp;X$9,операции!$AB:$AB,"&lt;&gt;"&amp;"",операции!$P:$P,$F87)/X120)</f>
        <v>42341.906222679354</v>
      </c>
      <c r="Y121" s="196"/>
      <c r="Z121" s="193">
        <f>IF(Z120=0,0,SUMIFS(операции!$AG:$AG,операции!$X:$X,"&gt;="&amp;X$8,операции!$X:$X,"&lt;="&amp;X$9,операции!$AB:$AB,"&lt;&gt;"&amp;"",операции!$L:$L,Z$9,операции!$P:$P,$F87)/Z120)</f>
        <v>42340.360329234834</v>
      </c>
      <c r="AA121" s="237">
        <f>IF(AA120=0,0,SUMIFS(операции!$AG:$AG,операции!$X:$X,"&gt;="&amp;X$8,операции!$X:$X,"&lt;="&amp;X$9,операции!$AB:$AB,"&lt;&gt;"&amp;"",операции!$L:$L,AA$9,операции!$P:$P,$F87)/AA120)</f>
        <v>42343.490264473134</v>
      </c>
      <c r="AB121" s="265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</row>
    <row r="122" spans="1:42" s="93" customFormat="1" ht="15">
      <c r="A122" s="92"/>
      <c r="B122" s="92"/>
      <c r="C122" s="92"/>
      <c r="D122" s="151"/>
      <c r="E122" s="151" t="s">
        <v>292</v>
      </c>
      <c r="F122" s="151" t="str">
        <f t="shared" si="111"/>
        <v>Электроника и бытовая техника</v>
      </c>
      <c r="G122" s="151" t="s">
        <v>261</v>
      </c>
      <c r="H122" s="311"/>
      <c r="I122" s="312">
        <f>SUMIFS(операции!$V:$V,операции!$X:$X,"&gt;="&amp;I$8,операции!$X:$X,"&lt;="&amp;I$9,операции!$AB:$AB,"&lt;&gt;"&amp;"",операции!$P:$P,$F87)</f>
        <v>157374.60000000003</v>
      </c>
      <c r="J122" s="313">
        <f>I122-K122-L122</f>
        <v>0</v>
      </c>
      <c r="K122" s="312">
        <f>SUMIFS(операции!$V:$V,операции!$X:$X,"&gt;="&amp;I$8,операции!$X:$X,"&lt;="&amp;I$9,операции!$AB:$AB,"&lt;&gt;"&amp;"",операции!$L:$L,K$9,операции!$P:$P,$F87)</f>
        <v>85204.33</v>
      </c>
      <c r="L122" s="314">
        <f>SUMIFS(операции!$V:$V,операции!$X:$X,"&gt;="&amp;I$8,операции!$X:$X,"&lt;="&amp;I$9,операции!$AB:$AB,"&lt;&gt;"&amp;"",операции!$L:$L,L$9,операции!$P:$P,$F87)</f>
        <v>72170.27</v>
      </c>
      <c r="M122" s="273"/>
      <c r="N122" s="152">
        <f>SUMIFS(операции!$V:$V,операции!$X:$X,"&gt;="&amp;N$8,операции!$X:$X,"&lt;="&amp;N$9,операции!$AB:$AB,"&lt;&gt;"&amp;"",операции!$P:$P,$F87)</f>
        <v>32898.399999999994</v>
      </c>
      <c r="O122" s="170">
        <f>N122-P122-Q122</f>
        <v>0</v>
      </c>
      <c r="P122" s="152">
        <f>SUMIFS(операции!$V:$V,операции!$X:$X,"&gt;="&amp;N$8,операции!$X:$X,"&lt;="&amp;N$9,операции!$AB:$AB,"&lt;&gt;"&amp;"",операции!$L:$L,P$9,операции!$P:$P,$F87)</f>
        <v>20415.349999999999</v>
      </c>
      <c r="Q122" s="235">
        <f>SUMIFS(операции!$V:$V,операции!$X:$X,"&gt;="&amp;N$8,операции!$X:$X,"&lt;="&amp;N$9,операции!$AB:$AB,"&lt;&gt;"&amp;"",операции!$L:$L,Q$9,операции!$P:$P,$F87)</f>
        <v>12483.05</v>
      </c>
      <c r="R122" s="236"/>
      <c r="S122" s="152">
        <f>SUMIFS(операции!$V:$V,операции!$X:$X,"&gt;="&amp;S$8,операции!$X:$X,"&lt;="&amp;S$9,операции!$AB:$AB,"&lt;&gt;"&amp;"",операции!$P:$P,$F87)</f>
        <v>88837.32</v>
      </c>
      <c r="T122" s="170">
        <f>S122-U122-V122</f>
        <v>0</v>
      </c>
      <c r="U122" s="152">
        <f>SUMIFS(операции!$V:$V,операции!$X:$X,"&gt;="&amp;S$8,операции!$X:$X,"&lt;="&amp;S$9,операции!$AB:$AB,"&lt;&gt;"&amp;"",операции!$L:$L,U$9,операции!$P:$P,$F87)</f>
        <v>47458.479999999989</v>
      </c>
      <c r="V122" s="235">
        <f>SUMIFS(операции!$V:$V,операции!$X:$X,"&gt;="&amp;S$8,операции!$X:$X,"&lt;="&amp;S$9,операции!$AB:$AB,"&lt;&gt;"&amp;"",операции!$L:$L,V$9,операции!$P:$P,$F87)</f>
        <v>41378.840000000004</v>
      </c>
      <c r="W122" s="236"/>
      <c r="X122" s="152">
        <f>SUMIFS(операции!$V:$V,операции!$X:$X,"&gt;="&amp;X$8,операции!$X:$X,"&lt;="&amp;X$9,операции!$AB:$AB,"&lt;&gt;"&amp;"",операции!$P:$P,$F87)</f>
        <v>35638.879999999997</v>
      </c>
      <c r="Y122" s="170">
        <f>X122-Z122-AA122</f>
        <v>0</v>
      </c>
      <c r="Z122" s="152">
        <f>SUMIFS(операции!$V:$V,операции!$X:$X,"&gt;="&amp;X$8,операции!$X:$X,"&lt;="&amp;X$9,операции!$AB:$AB,"&lt;&gt;"&amp;"",операции!$L:$L,Z$9,операции!$P:$P,$F87)</f>
        <v>17330.5</v>
      </c>
      <c r="AA122" s="235">
        <f>SUMIFS(операции!$V:$V,операции!$X:$X,"&gt;="&amp;X$8,операции!$X:$X,"&lt;="&amp;X$9,операции!$AB:$AB,"&lt;&gt;"&amp;"",операции!$L:$L,AA$9,операции!$P:$P,$F87)</f>
        <v>18308.38</v>
      </c>
      <c r="AB122" s="264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</row>
    <row r="123" spans="1:42" s="192" customFormat="1" ht="11.25">
      <c r="A123" s="37"/>
      <c r="B123" s="37"/>
      <c r="C123" s="37"/>
      <c r="D123" s="191"/>
      <c r="E123" s="191" t="s">
        <v>294</v>
      </c>
      <c r="F123" s="191" t="str">
        <f t="shared" si="111"/>
        <v>Электроника и бытовая техника</v>
      </c>
      <c r="G123" s="191" t="s">
        <v>262</v>
      </c>
      <c r="H123" s="315"/>
      <c r="I123" s="316">
        <f>IF(I122=0,0,SUMIFS(операции!$AF:$AF,операции!$X:$X,"&gt;="&amp;I$8,операции!$X:$X,"&lt;="&amp;I$9,операции!$AB:$AB,"&lt;&gt;"&amp;"",операции!$P:$P,$F87)/I122)</f>
        <v>42279.560593005466</v>
      </c>
      <c r="J123" s="317"/>
      <c r="K123" s="316">
        <f>IF(K122=0,0,SUMIFS(операции!$AF:$AF,операции!$X:$X,"&gt;="&amp;I$8,операции!$X:$X,"&lt;="&amp;I$9,операции!$AB:$AB,"&lt;&gt;"&amp;"",операции!$L:$L,K$9,операции!$P:$P,$F87)/K122)</f>
        <v>42242.168027845531</v>
      </c>
      <c r="L123" s="318">
        <f>IF(L122=0,0,SUMIFS(операции!$AF:$AF,операции!$X:$X,"&gt;="&amp;I$8,операции!$X:$X,"&lt;="&amp;I$9,операции!$AB:$AB,"&lt;&gt;"&amp;"",операции!$L:$L,L$9,операции!$P:$P,$F87)/L122)</f>
        <v>42323.706312031245</v>
      </c>
      <c r="M123" s="274"/>
      <c r="N123" s="193">
        <f>IF(N122=0,0,SUMIFS(операции!$AF:$AF,операции!$X:$X,"&gt;="&amp;N$8,операции!$X:$X,"&lt;="&amp;N$9,операции!$AB:$AB,"&lt;&gt;"&amp;"",операции!$P:$P,$F87)/N122)</f>
        <v>42238.836016341236</v>
      </c>
      <c r="O123" s="196"/>
      <c r="P123" s="193">
        <f>IF(P122=0,0,SUMIFS(операции!$AF:$AF,операции!$X:$X,"&gt;="&amp;N$8,операции!$X:$X,"&lt;="&amp;N$9,операции!$AB:$AB,"&lt;&gt;"&amp;"",операции!$L:$L,P$9,операции!$P:$P,$F87)/P122)</f>
        <v>42199.388729558894</v>
      </c>
      <c r="Q123" s="237">
        <f>IF(Q122=0,0,SUMIFS(операции!$AF:$AF,операции!$X:$X,"&gt;="&amp;N$8,операции!$X:$X,"&lt;="&amp;N$9,операции!$AB:$AB,"&lt;&gt;"&amp;"",операции!$L:$L,Q$9,операции!$P:$P,$F87)/Q122)</f>
        <v>42303.349910478617</v>
      </c>
      <c r="R123" s="238"/>
      <c r="S123" s="193">
        <f>IF(S122=0,0,SUMIFS(операции!$AF:$AF,операции!$X:$X,"&gt;="&amp;S$8,операции!$X:$X,"&lt;="&amp;S$9,операции!$AB:$AB,"&lt;&gt;"&amp;"",операции!$P:$P,$F87)/S122)</f>
        <v>42286.151816826525</v>
      </c>
      <c r="T123" s="196"/>
      <c r="U123" s="193">
        <f>IF(U122=0,0,SUMIFS(операции!$AF:$AF,операции!$X:$X,"&gt;="&amp;S$8,операции!$X:$X,"&lt;="&amp;S$9,операции!$AB:$AB,"&lt;&gt;"&amp;"",операции!$L:$L,U$9,операции!$P:$P,$F87)/U122)</f>
        <v>42252.796473043389</v>
      </c>
      <c r="V123" s="237">
        <f>IF(V122=0,0,SUMIFS(операции!$AF:$AF,операции!$X:$X,"&gt;="&amp;S$8,операции!$X:$X,"&lt;="&amp;S$9,операции!$AB:$AB,"&lt;&gt;"&amp;"",операции!$L:$L,V$9,операции!$P:$P,$F87)/V122)</f>
        <v>42324.407937970223</v>
      </c>
      <c r="W123" s="238"/>
      <c r="X123" s="193">
        <f>IF(X122=0,0,SUMIFS(операции!$AF:$AF,операции!$X:$X,"&gt;="&amp;X$8,операции!$X:$X,"&lt;="&amp;X$9,операции!$AB:$AB,"&lt;&gt;"&amp;"",операции!$P:$P,$F87)/X122)</f>
        <v>42300.723624872619</v>
      </c>
      <c r="Y123" s="196"/>
      <c r="Z123" s="193">
        <f>IF(Z122=0,0,SUMIFS(операции!$AF:$AF,операции!$X:$X,"&gt;="&amp;X$8,операции!$X:$X,"&lt;="&amp;X$9,операции!$AB:$AB,"&lt;&gt;"&amp;"",операции!$L:$L,Z$9,операции!$P:$P,$F87)/Z122)</f>
        <v>42263.456766971525</v>
      </c>
      <c r="AA123" s="237">
        <f>IF(AA122=0,0,SUMIFS(операции!$AF:$AF,операции!$X:$X,"&gt;="&amp;X$8,операции!$X:$X,"&lt;="&amp;X$9,операции!$AB:$AB,"&lt;&gt;"&amp;"",операции!$L:$L,AA$9,операции!$P:$P,$F87)/AA122)</f>
        <v>42336</v>
      </c>
      <c r="AB123" s="265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</row>
    <row r="124" spans="1:42" s="192" customFormat="1" ht="11.25">
      <c r="A124" s="37"/>
      <c r="B124" s="37"/>
      <c r="C124" s="37"/>
      <c r="D124" s="191"/>
      <c r="E124" s="191" t="s">
        <v>299</v>
      </c>
      <c r="F124" s="191" t="str">
        <f t="shared" si="111"/>
        <v>Электроника и бытовая техника</v>
      </c>
      <c r="G124" s="191" t="s">
        <v>262</v>
      </c>
      <c r="H124" s="315"/>
      <c r="I124" s="316">
        <f>IF(I122=0,0,SUMIFS(операции!$AH:$AH,операции!$X:$X,"&gt;="&amp;I$8,операции!$X:$X,"&lt;="&amp;I$9,операции!$AB:$AB,"&lt;&gt;"&amp;"",операции!$P:$P,$F87)/I122)</f>
        <v>42308.154449574446</v>
      </c>
      <c r="J124" s="317"/>
      <c r="K124" s="316">
        <f>IF(K122=0,0,SUMIFS(операции!$AH:$AH,операции!$X:$X,"&gt;="&amp;I$8,операции!$X:$X,"&lt;="&amp;I$9,операции!$AB:$AB,"&lt;&gt;"&amp;"",операции!$L:$L,K$9,операции!$P:$P,$F87)/K122)</f>
        <v>42277.92689315202</v>
      </c>
      <c r="L124" s="318">
        <f>IF(L122=0,0,SUMIFS(операции!$AH:$AH,операции!$X:$X,"&gt;="&amp;I$8,операции!$X:$X,"&lt;="&amp;I$9,операции!$AB:$AB,"&lt;&gt;"&amp;"",операции!$L:$L,L$9,операции!$P:$P,$F87)/L122)</f>
        <v>42343.841148439649</v>
      </c>
      <c r="M124" s="274"/>
      <c r="N124" s="193">
        <f>IF(N122=0,0,SUMIFS(операции!$AH:$AH,операции!$X:$X,"&gt;="&amp;N$8,операции!$X:$X,"&lt;="&amp;N$9,операции!$AB:$AB,"&lt;&gt;"&amp;"",операции!$P:$P,$F87)/N122)</f>
        <v>42271.371162427364</v>
      </c>
      <c r="O124" s="196"/>
      <c r="P124" s="193">
        <f>IF(P122=0,0,SUMIFS(операции!$AH:$AH,операции!$X:$X,"&gt;="&amp;N$8,операции!$X:$X,"&lt;="&amp;N$9,операции!$AB:$AB,"&lt;&gt;"&amp;"",операции!$L:$L,P$9,операции!$P:$P,$F87)/P122)</f>
        <v>42235.950226177854</v>
      </c>
      <c r="Q124" s="237">
        <f>IF(Q122=0,0,SUMIFS(операции!$AH:$AH,операции!$X:$X,"&gt;="&amp;N$8,операции!$X:$X,"&lt;="&amp;N$9,операции!$AB:$AB,"&lt;&gt;"&amp;"",операции!$L:$L,Q$9,операции!$P:$P,$F87)/Q122)</f>
        <v>42329.300179042788</v>
      </c>
      <c r="R124" s="238"/>
      <c r="S124" s="193">
        <f>IF(S122=0,0,SUMIFS(операции!$AH:$AH,операции!$X:$X,"&gt;="&amp;S$8,операции!$X:$X,"&lt;="&amp;S$9,операции!$AB:$AB,"&lt;&gt;"&amp;"",операции!$P:$P,$F87)/S122)</f>
        <v>42311.557852375547</v>
      </c>
      <c r="T124" s="196"/>
      <c r="U124" s="193">
        <f>IF(U122=0,0,SUMIFS(операции!$AH:$AH,операции!$X:$X,"&gt;="&amp;S$8,операции!$X:$X,"&lt;="&amp;S$9,операции!$AB:$AB,"&lt;&gt;"&amp;"",операции!$L:$L,U$9,операции!$P:$P,$F87)/U122)</f>
        <v>42286.167652019198</v>
      </c>
      <c r="V124" s="237">
        <f>IF(V122=0,0,SUMIFS(операции!$AH:$AH,операции!$X:$X,"&gt;="&amp;S$8,операции!$X:$X,"&lt;="&amp;S$9,операции!$AB:$AB,"&lt;&gt;"&amp;"",операции!$L:$L,V$9,операции!$P:$P,$F87)/V122)</f>
        <v>42340.678541012749</v>
      </c>
      <c r="W124" s="238"/>
      <c r="X124" s="193">
        <f>IF(X122=0,0,SUMIFS(операции!$AH:$AH,операции!$X:$X,"&gt;="&amp;X$8,операции!$X:$X,"&lt;="&amp;X$9,операции!$AB:$AB,"&lt;&gt;"&amp;"",операции!$P:$P,$F87)/X122)</f>
        <v>42333.625567357907</v>
      </c>
      <c r="Y124" s="196"/>
      <c r="Z124" s="193">
        <f>IF(Z122=0,0,SUMIFS(операции!$AH:$AH,операции!$X:$X,"&gt;="&amp;X$8,операции!$X:$X,"&lt;="&amp;X$9,операции!$AB:$AB,"&lt;&gt;"&amp;"",операции!$L:$L,Z$9,операции!$P:$P,$F87)/Z122)</f>
        <v>42304.808659877097</v>
      </c>
      <c r="AA124" s="237">
        <f>IF(AA122=0,0,SUMIFS(операции!$AH:$AH,операции!$X:$X,"&gt;="&amp;X$8,операции!$X:$X,"&lt;="&amp;X$9,операции!$AB:$AB,"&lt;&gt;"&amp;"",операции!$L:$L,AA$9,операции!$P:$P,$F87)/AA122)</f>
        <v>42360.903317497236</v>
      </c>
      <c r="AB124" s="265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</row>
    <row r="125" spans="1:42" s="5" customFormat="1">
      <c r="A125" s="1"/>
      <c r="B125" s="1"/>
      <c r="C125" s="1"/>
      <c r="D125" s="168"/>
      <c r="E125" s="168" t="s">
        <v>296</v>
      </c>
      <c r="F125" s="168" t="str">
        <f t="shared" si="111"/>
        <v>Электроника и бытовая техника</v>
      </c>
      <c r="G125" s="168" t="s">
        <v>261</v>
      </c>
      <c r="H125" s="326"/>
      <c r="I125" s="327">
        <f>I120-I122</f>
        <v>12475.399999999965</v>
      </c>
      <c r="J125" s="313">
        <f>I125-K125-L125</f>
        <v>-2.9103830456733704E-11</v>
      </c>
      <c r="K125" s="327">
        <f t="shared" ref="K125:L125" si="187">K120-K122</f>
        <v>8280.6699999999983</v>
      </c>
      <c r="L125" s="328">
        <f t="shared" si="187"/>
        <v>4194.7299999999959</v>
      </c>
      <c r="M125" s="277"/>
      <c r="N125" s="169">
        <f>N120-N122</f>
        <v>3051.6000000000058</v>
      </c>
      <c r="O125" s="170">
        <f>N125-P125-Q125</f>
        <v>3.637978807091713E-12</v>
      </c>
      <c r="P125" s="169">
        <f t="shared" ref="P125:Q125" si="188">P120-P122</f>
        <v>1684.6500000000015</v>
      </c>
      <c r="Q125" s="243">
        <f t="shared" si="188"/>
        <v>1366.9500000000007</v>
      </c>
      <c r="R125" s="244"/>
      <c r="S125" s="169">
        <f>S120-S122</f>
        <v>6172.679999999993</v>
      </c>
      <c r="T125" s="170">
        <f>S125-U125-V125</f>
        <v>-1.4551915228366852E-11</v>
      </c>
      <c r="U125" s="169">
        <f t="shared" ref="U125:V125" si="189">U120-U122</f>
        <v>4244.5200000000114</v>
      </c>
      <c r="V125" s="243">
        <f t="shared" si="189"/>
        <v>1928.1599999999962</v>
      </c>
      <c r="W125" s="244"/>
      <c r="X125" s="169">
        <f>X120-X122</f>
        <v>3251.1200000000026</v>
      </c>
      <c r="Y125" s="170">
        <f>X125-Z125-AA125</f>
        <v>3.637978807091713E-12</v>
      </c>
      <c r="Z125" s="169">
        <f t="shared" ref="Z125:AA125" si="190">Z120-Z122</f>
        <v>2351.5</v>
      </c>
      <c r="AA125" s="243">
        <f t="shared" si="190"/>
        <v>899.61999999999898</v>
      </c>
      <c r="AB125" s="266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s="211" customFormat="1">
      <c r="A126" s="210"/>
      <c r="B126" s="210"/>
      <c r="C126" s="210"/>
      <c r="D126" s="218"/>
      <c r="E126" s="218" t="s">
        <v>297</v>
      </c>
      <c r="F126" s="218" t="str">
        <f t="shared" si="111"/>
        <v>Электроника и бытовая техника</v>
      </c>
      <c r="G126" s="218" t="s">
        <v>218</v>
      </c>
      <c r="H126" s="343"/>
      <c r="I126" s="344">
        <f>IF(I120=0,0,(I125/I120))</f>
        <v>7.3449514277303299E-2</v>
      </c>
      <c r="J126" s="345"/>
      <c r="K126" s="344">
        <f t="shared" ref="K126" si="191">IF(K120=0,0,(K125/K120))</f>
        <v>8.8577525806279062E-2</v>
      </c>
      <c r="L126" s="346">
        <f t="shared" ref="L126" si="192">IF(L120=0,0,(L125/L120))</f>
        <v>5.4930007202252287E-2</v>
      </c>
      <c r="M126" s="280"/>
      <c r="N126" s="219">
        <f>IF(N120=0,0,(N125/N120))</f>
        <v>8.488456189151615E-2</v>
      </c>
      <c r="O126" s="220"/>
      <c r="P126" s="219">
        <f t="shared" ref="P126" si="193">IF(P120=0,0,(P125/P120))</f>
        <v>7.6228506787330383E-2</v>
      </c>
      <c r="Q126" s="252">
        <f t="shared" ref="Q126" si="194">IF(Q120=0,0,(Q125/Q120))</f>
        <v>9.8696750902527122E-2</v>
      </c>
      <c r="R126" s="253"/>
      <c r="S126" s="219">
        <f>IF(S120=0,0,(S125/S120))</f>
        <v>6.4968740132617539E-2</v>
      </c>
      <c r="T126" s="220"/>
      <c r="U126" s="219">
        <f t="shared" ref="U126" si="195">IF(U120=0,0,(U125/U120))</f>
        <v>8.2094269191343078E-2</v>
      </c>
      <c r="V126" s="252">
        <f t="shared" ref="V126" si="196">IF(V120=0,0,(V125/V120))</f>
        <v>4.4523056318839821E-2</v>
      </c>
      <c r="W126" s="253"/>
      <c r="X126" s="219">
        <f>IF(X120=0,0,(X125/X120))</f>
        <v>8.3597840061712586E-2</v>
      </c>
      <c r="Y126" s="220"/>
      <c r="Z126" s="219">
        <f t="shared" ref="Z126" si="197">IF(Z120=0,0,(Z125/Z120))</f>
        <v>0.11947464688547912</v>
      </c>
      <c r="AA126" s="252">
        <f t="shared" ref="AA126" si="198">IF(AA120=0,0,(AA125/AA120))</f>
        <v>4.6835693461057842E-2</v>
      </c>
      <c r="AB126" s="267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</row>
    <row r="127" spans="1:42" s="5" customFormat="1">
      <c r="A127" s="1"/>
      <c r="B127" s="1"/>
      <c r="C127" s="1"/>
      <c r="D127" s="227"/>
      <c r="E127" s="227" t="s">
        <v>298</v>
      </c>
      <c r="F127" s="227" t="str">
        <f t="shared" si="111"/>
        <v>Электроника и бытовая техника</v>
      </c>
      <c r="G127" s="227" t="s">
        <v>219</v>
      </c>
      <c r="H127" s="347"/>
      <c r="I127" s="348">
        <f>I121-I123</f>
        <v>46.078806464654917</v>
      </c>
      <c r="J127" s="321"/>
      <c r="K127" s="348">
        <f t="shared" ref="K127:L127" si="199">K121-K123</f>
        <v>81.235363072795735</v>
      </c>
      <c r="L127" s="349">
        <f t="shared" si="199"/>
        <v>4.6703788611775963</v>
      </c>
      <c r="M127" s="281"/>
      <c r="N127" s="228">
        <f>N121-N123</f>
        <v>63.014108832612692</v>
      </c>
      <c r="O127" s="173"/>
      <c r="P127" s="228">
        <f t="shared" ref="P127:Q127" si="200">P121-P123</f>
        <v>99.286021572326717</v>
      </c>
      <c r="Q127" s="254">
        <f t="shared" si="200"/>
        <v>3.5670570304064313</v>
      </c>
      <c r="R127" s="255"/>
      <c r="S127" s="228">
        <f>S121-S123</f>
        <v>41.830574500701914</v>
      </c>
      <c r="T127" s="173"/>
      <c r="U127" s="228">
        <f t="shared" ref="U127:V127" si="201">U121-U123</f>
        <v>74.72189146157325</v>
      </c>
      <c r="V127" s="254">
        <f t="shared" si="201"/>
        <v>4.1284418298091623</v>
      </c>
      <c r="W127" s="255"/>
      <c r="X127" s="228">
        <f>X121-X123</f>
        <v>41.18259780673543</v>
      </c>
      <c r="Y127" s="173"/>
      <c r="Z127" s="228">
        <f t="shared" ref="Z127:AA127" si="202">Z121-Z123</f>
        <v>76.903562263309141</v>
      </c>
      <c r="AA127" s="254">
        <f t="shared" si="202"/>
        <v>7.4902644731337205</v>
      </c>
      <c r="AB127" s="266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s="5" customFormat="1">
      <c r="A128" s="1"/>
      <c r="B128" s="1"/>
      <c r="C128" s="1"/>
      <c r="D128" s="227"/>
      <c r="E128" s="227" t="s">
        <v>300</v>
      </c>
      <c r="F128" s="227" t="str">
        <f t="shared" si="111"/>
        <v>Электроника и бытовая техника</v>
      </c>
      <c r="G128" s="227" t="s">
        <v>219</v>
      </c>
      <c r="H128" s="347"/>
      <c r="I128" s="348">
        <f>I124-I123</f>
        <v>28.59385656897939</v>
      </c>
      <c r="J128" s="321"/>
      <c r="K128" s="348">
        <f t="shared" ref="K128:L128" si="203">K124-K123</f>
        <v>35.758865306488588</v>
      </c>
      <c r="L128" s="349">
        <f t="shared" si="203"/>
        <v>20.134836408404226</v>
      </c>
      <c r="M128" s="281"/>
      <c r="N128" s="228">
        <f>N124-N123</f>
        <v>32.535146086127497</v>
      </c>
      <c r="O128" s="173"/>
      <c r="P128" s="228">
        <f t="shared" ref="P128:Q128" si="204">P124-P123</f>
        <v>36.561496618960518</v>
      </c>
      <c r="Q128" s="254">
        <f t="shared" si="204"/>
        <v>25.950268564170983</v>
      </c>
      <c r="R128" s="255"/>
      <c r="S128" s="228">
        <f>S124-S123</f>
        <v>25.406035549021908</v>
      </c>
      <c r="T128" s="173"/>
      <c r="U128" s="228">
        <f t="shared" ref="U128:V128" si="205">U124-U123</f>
        <v>33.371178975809016</v>
      </c>
      <c r="V128" s="254">
        <f t="shared" si="205"/>
        <v>16.270603042525181</v>
      </c>
      <c r="W128" s="255"/>
      <c r="X128" s="228">
        <f>X124-X123</f>
        <v>32.9019424852886</v>
      </c>
      <c r="Y128" s="173"/>
      <c r="Z128" s="228">
        <f t="shared" ref="Z128:AA128" si="206">Z124-Z123</f>
        <v>41.351892905571731</v>
      </c>
      <c r="AA128" s="254">
        <f t="shared" si="206"/>
        <v>24.903317497235548</v>
      </c>
      <c r="AB128" s="266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s="93" customFormat="1" ht="15">
      <c r="A129" s="92"/>
      <c r="B129" s="92"/>
      <c r="C129" s="92"/>
      <c r="D129" s="221"/>
      <c r="E129" s="221" t="s">
        <v>301</v>
      </c>
      <c r="F129" s="221" t="str">
        <f t="shared" si="111"/>
        <v>Электроника и бытовая техника</v>
      </c>
      <c r="G129" s="221" t="s">
        <v>219</v>
      </c>
      <c r="H129" s="357"/>
      <c r="I129" s="358">
        <f>I127-I128</f>
        <v>17.484949895675527</v>
      </c>
      <c r="J129" s="352"/>
      <c r="K129" s="358">
        <f t="shared" ref="K129" si="207">K127-K128</f>
        <v>45.476497766307148</v>
      </c>
      <c r="L129" s="359">
        <f t="shared" ref="L129" si="208">L127-L128</f>
        <v>-15.46445754722663</v>
      </c>
      <c r="M129" s="284"/>
      <c r="N129" s="222">
        <f>N127-N128</f>
        <v>30.478962746485195</v>
      </c>
      <c r="O129" s="181"/>
      <c r="P129" s="222">
        <f t="shared" ref="P129" si="209">P127-P128</f>
        <v>62.724524953366199</v>
      </c>
      <c r="Q129" s="260">
        <f t="shared" ref="Q129" si="210">Q127-Q128</f>
        <v>-22.383211533764552</v>
      </c>
      <c r="R129" s="261"/>
      <c r="S129" s="222">
        <f>S127-S128</f>
        <v>16.424538951680006</v>
      </c>
      <c r="T129" s="181"/>
      <c r="U129" s="222">
        <f t="shared" ref="U129" si="211">U127-U128</f>
        <v>41.350712485764234</v>
      </c>
      <c r="V129" s="260">
        <f t="shared" ref="V129" si="212">V127-V128</f>
        <v>-12.142161212716019</v>
      </c>
      <c r="W129" s="261"/>
      <c r="X129" s="222">
        <f>X127-X128</f>
        <v>8.2806553214468295</v>
      </c>
      <c r="Y129" s="181"/>
      <c r="Z129" s="222">
        <f t="shared" ref="Z129" si="213">Z127-Z128</f>
        <v>35.55166935773741</v>
      </c>
      <c r="AA129" s="260">
        <f t="shared" ref="AA129" si="214">AA127-AA128</f>
        <v>-17.413053024101828</v>
      </c>
      <c r="AB129" s="264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</row>
    <row r="130" spans="1:42" s="5" customFormat="1">
      <c r="A130" s="1"/>
      <c r="B130" s="1"/>
      <c r="C130" s="1"/>
      <c r="D130" s="223"/>
      <c r="E130" s="223" t="s">
        <v>302</v>
      </c>
      <c r="F130" s="223" t="str">
        <f t="shared" si="111"/>
        <v>Электроника и бытовая техника</v>
      </c>
      <c r="G130" s="223" t="s">
        <v>261</v>
      </c>
      <c r="H130" s="354"/>
      <c r="I130" s="355">
        <f>SUMIFS(операции!$Z:$Z,операции!$X:$X,"&gt;="&amp;I$8,операции!$X:$X,"&lt;="&amp;I$9,операции!$AB:$AB,"",операции!$P:$P,$F87)</f>
        <v>65876</v>
      </c>
      <c r="J130" s="341">
        <f>I130-K130-L130</f>
        <v>0</v>
      </c>
      <c r="K130" s="355">
        <f>SUMIFS(операции!$Z:$Z,операции!$X:$X,"&gt;="&amp;I$8,операции!$X:$X,"&lt;="&amp;I$9,операции!$AB:$AB,"",операции!$L:$L,K$9,операции!$P:$P,$F87)</f>
        <v>12365</v>
      </c>
      <c r="L130" s="356">
        <f>SUMIFS(операции!$Z:$Z,операции!$X:$X,"&gt;="&amp;I$8,операции!$X:$X,"&lt;="&amp;I$9,операции!$AB:$AB,"",операции!$L:$L,L$9,операции!$P:$P,$F87)</f>
        <v>53511</v>
      </c>
      <c r="M130" s="283"/>
      <c r="N130" s="224">
        <f>SUMIFS(операции!$Z:$Z,операции!$X:$X,"&gt;="&amp;N$8,операции!$X:$X,"&lt;="&amp;N$9,операции!$AB:$AB,"",операции!$P:$P,$F87)</f>
        <v>0</v>
      </c>
      <c r="O130" s="216">
        <f>N130-P130-Q130</f>
        <v>0</v>
      </c>
      <c r="P130" s="224">
        <f>SUMIFS(операции!$Z:$Z,операции!$X:$X,"&gt;="&amp;N$8,операции!$X:$X,"&lt;="&amp;N$9,операции!$AB:$AB,"",операции!$L:$L,P$9,операции!$P:$P,$F87)</f>
        <v>0</v>
      </c>
      <c r="Q130" s="258">
        <f>SUMIFS(операции!$Z:$Z,операции!$X:$X,"&gt;="&amp;N$8,операции!$X:$X,"&lt;="&amp;N$9,операции!$AB:$AB,"",операции!$L:$L,Q$9,операции!$P:$P,$F87)</f>
        <v>0</v>
      </c>
      <c r="R130" s="259"/>
      <c r="S130" s="224">
        <f>SUMIFS(операции!$Z:$Z,операции!$X:$X,"&gt;="&amp;S$8,операции!$X:$X,"&lt;="&amp;S$9,операции!$AB:$AB,"",операции!$P:$P,$F87)</f>
        <v>26345</v>
      </c>
      <c r="T130" s="216">
        <f>S130-U130-V130</f>
        <v>0</v>
      </c>
      <c r="U130" s="224">
        <f>SUMIFS(операции!$Z:$Z,операции!$X:$X,"&gt;="&amp;S$8,операции!$X:$X,"&lt;="&amp;S$9,операции!$AB:$AB,"",операции!$L:$L,U$9,операции!$P:$P,$F87)</f>
        <v>12365</v>
      </c>
      <c r="V130" s="258">
        <f>SUMIFS(операции!$Z:$Z,операции!$X:$X,"&gt;="&amp;S$8,операции!$X:$X,"&lt;="&amp;S$9,операции!$AB:$AB,"",операции!$L:$L,V$9,операции!$P:$P,$F87)</f>
        <v>13980</v>
      </c>
      <c r="W130" s="259"/>
      <c r="X130" s="224">
        <f>SUMIFS(операции!$Z:$Z,операции!$X:$X,"&gt;="&amp;X$8,операции!$X:$X,"&lt;="&amp;X$9,операции!$AB:$AB,"",операции!$P:$P,$F87)</f>
        <v>39531</v>
      </c>
      <c r="Y130" s="216">
        <f>X130-Z130-AA130</f>
        <v>0</v>
      </c>
      <c r="Z130" s="224">
        <f>SUMIFS(операции!$Z:$Z,операции!$X:$X,"&gt;="&amp;X$8,операции!$X:$X,"&lt;="&amp;X$9,операции!$AB:$AB,"",операции!$L:$L,Z$9,операции!$P:$P,$F87)</f>
        <v>0</v>
      </c>
      <c r="AA130" s="258">
        <f>SUMIFS(операции!$Z:$Z,операции!$X:$X,"&gt;="&amp;X$8,операции!$X:$X,"&lt;="&amp;X$9,операции!$AB:$AB,"",операции!$L:$L,AA$9,операции!$P:$P,$F87)</f>
        <v>39531</v>
      </c>
      <c r="AB130" s="266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s="192" customFormat="1" ht="11.25">
      <c r="A131" s="37"/>
      <c r="B131" s="37"/>
      <c r="C131" s="37"/>
      <c r="D131" s="191"/>
      <c r="E131" s="191" t="s">
        <v>303</v>
      </c>
      <c r="F131" s="191" t="str">
        <f t="shared" si="111"/>
        <v>Электроника и бытовая техника</v>
      </c>
      <c r="G131" s="191" t="s">
        <v>262</v>
      </c>
      <c r="H131" s="315"/>
      <c r="I131" s="316">
        <f>IF(I130=0,0,SUMIFS(операции!$AG:$AG,операции!$X:$X,"&gt;="&amp;I$8,операции!$X:$X,"&lt;="&amp;I$9,операции!$AB:$AB,"",операции!$P:$P,$F87)/I130)</f>
        <v>42339.205537676848</v>
      </c>
      <c r="J131" s="317"/>
      <c r="K131" s="316">
        <f>IF(K130=0,0,SUMIFS(операции!$AG:$AG,операции!$X:$X,"&gt;="&amp;I$8,операции!$X:$X,"&lt;="&amp;I$9,операции!$AB:$AB,"",операции!$L:$L,K$9,операции!$P:$P,$F87)/K130)</f>
        <v>42329.220460978569</v>
      </c>
      <c r="L131" s="318">
        <f>IF(L130=0,0,SUMIFS(операции!$AG:$AG,операции!$X:$X,"&gt;="&amp;I$8,операции!$X:$X,"&lt;="&amp;I$9,операции!$AB:$AB,"",операции!$L:$L,L$9,операции!$P:$P,$F87)/L130)</f>
        <v>42341.512829137937</v>
      </c>
      <c r="M131" s="274"/>
      <c r="N131" s="193">
        <f>IF(N130=0,0,SUMIFS(операции!$AG:$AG,операции!$X:$X,"&gt;="&amp;N$8,операции!$X:$X,"&lt;="&amp;N$9,операции!$AB:$AB,"",операции!$P:$P,$F87)/N130)</f>
        <v>0</v>
      </c>
      <c r="O131" s="196"/>
      <c r="P131" s="193">
        <f>IF(P130=0,0,SUMIFS(операции!$AG:$AG,операции!$X:$X,"&gt;="&amp;N$8,операции!$X:$X,"&lt;="&amp;N$9,операции!$AB:$AB,"",операции!$L:$L,P$9,операции!$P:$P,$F87)/P130)</f>
        <v>0</v>
      </c>
      <c r="Q131" s="237">
        <f>IF(Q130=0,0,SUMIFS(операции!$AG:$AG,операции!$X:$X,"&gt;="&amp;N$8,операции!$X:$X,"&lt;="&amp;N$9,операции!$AB:$AB,"",операции!$L:$L,Q$9,операции!$P:$P,$F87)/Q130)</f>
        <v>0</v>
      </c>
      <c r="R131" s="238"/>
      <c r="S131" s="193">
        <f>IF(S130=0,0,SUMIFS(операции!$AG:$AG,операции!$X:$X,"&gt;="&amp;S$8,операции!$X:$X,"&lt;="&amp;S$9,операции!$AB:$AB,"",операции!$P:$P,$F87)/S130)</f>
        <v>42332.552704498004</v>
      </c>
      <c r="T131" s="196"/>
      <c r="U131" s="193">
        <f>IF(U130=0,0,SUMIFS(операции!$AG:$AG,операции!$X:$X,"&gt;="&amp;S$8,операции!$X:$X,"&lt;="&amp;S$9,операции!$AB:$AB,"",операции!$L:$L,U$9,операции!$P:$P,$F87)/U130)</f>
        <v>42329.220460978569</v>
      </c>
      <c r="V131" s="237">
        <f>IF(V130=0,0,SUMIFS(операции!$AG:$AG,операции!$X:$X,"&gt;="&amp;S$8,операции!$X:$X,"&lt;="&amp;S$9,операции!$AB:$AB,"",операции!$L:$L,V$9,операции!$P:$P,$F87)/V130)</f>
        <v>42335.5</v>
      </c>
      <c r="W131" s="238"/>
      <c r="X131" s="193">
        <f>IF(X130=0,0,SUMIFS(операции!$AG:$AG,операции!$X:$X,"&gt;="&amp;X$8,операции!$X:$X,"&lt;="&amp;X$9,операции!$AB:$AB,"",операции!$P:$P,$F87)/X130)</f>
        <v>42343.639245149374</v>
      </c>
      <c r="Y131" s="196"/>
      <c r="Z131" s="193">
        <f>IF(Z130=0,0,SUMIFS(операции!$AG:$AG,операции!$X:$X,"&gt;="&amp;X$8,операции!$X:$X,"&lt;="&amp;X$9,операции!$AB:$AB,"",операции!$L:$L,Z$9,операции!$P:$P,$F87)/Z130)</f>
        <v>0</v>
      </c>
      <c r="AA131" s="237">
        <f>IF(AA130=0,0,SUMIFS(операции!$AG:$AG,операции!$X:$X,"&gt;="&amp;X$8,операции!$X:$X,"&lt;="&amp;X$9,операции!$AB:$AB,"",операции!$L:$L,AA$9,операции!$P:$P,$F87)/AA130)</f>
        <v>42343.639245149374</v>
      </c>
      <c r="AB131" s="265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</row>
    <row r="132" spans="1:42" s="5" customFormat="1">
      <c r="A132" s="1"/>
      <c r="B132" s="1"/>
      <c r="C132" s="1"/>
      <c r="D132" s="168"/>
      <c r="E132" s="168" t="s">
        <v>304</v>
      </c>
      <c r="F132" s="168" t="str">
        <f t="shared" si="111"/>
        <v>Электроника и бытовая техника</v>
      </c>
      <c r="G132" s="168" t="s">
        <v>261</v>
      </c>
      <c r="H132" s="326"/>
      <c r="I132" s="327">
        <f>SUMIFS(операции!$V:$V,операции!$X:$X,"&gt;="&amp;I$8,операции!$X:$X,"&lt;="&amp;I$9,операции!$AB:$AB,"",операции!$P:$P,$F87)</f>
        <v>61956.72</v>
      </c>
      <c r="J132" s="313">
        <f>I132-K132-L132</f>
        <v>0</v>
      </c>
      <c r="K132" s="327">
        <f>SUMIFS(операции!$V:$V,операции!$X:$X,"&gt;="&amp;I$8,операции!$X:$X,"&lt;="&amp;I$9,операции!$AB:$AB,"",операции!$L:$L,K$9,операции!$P:$P,$F87)</f>
        <v>11911.84</v>
      </c>
      <c r="L132" s="328">
        <f>SUMIFS(операции!$V:$V,операции!$X:$X,"&gt;="&amp;I$8,операции!$X:$X,"&lt;="&amp;I$9,операции!$AB:$AB,"",операции!$L:$L,L$9,операции!$P:$P,$F87)</f>
        <v>50044.880000000005</v>
      </c>
      <c r="M132" s="277"/>
      <c r="N132" s="169">
        <f>SUMIFS(операции!$V:$V,операции!$X:$X,"&gt;="&amp;N$8,операции!$X:$X,"&lt;="&amp;N$9,операции!$AB:$AB,"",операции!$P:$P,$F87)</f>
        <v>0</v>
      </c>
      <c r="O132" s="170">
        <f>N132-P132-Q132</f>
        <v>0</v>
      </c>
      <c r="P132" s="169">
        <f>SUMIFS(операции!$V:$V,операции!$X:$X,"&gt;="&amp;N$8,операции!$X:$X,"&lt;="&amp;N$9,операции!$AB:$AB,"",операции!$L:$L,P$9,операции!$P:$P,$F87)</f>
        <v>0</v>
      </c>
      <c r="Q132" s="243">
        <f>SUMIFS(операции!$V:$V,операции!$X:$X,"&gt;="&amp;N$8,операции!$X:$X,"&lt;="&amp;N$9,операции!$AB:$AB,"",операции!$L:$L,Q$9,операции!$P:$P,$F87)</f>
        <v>0</v>
      </c>
      <c r="R132" s="244"/>
      <c r="S132" s="169">
        <f>SUMIFS(операции!$V:$V,операции!$X:$X,"&gt;="&amp;S$8,операции!$X:$X,"&lt;="&amp;S$9,операции!$AB:$AB,"",операции!$P:$P,$F87)</f>
        <v>25121.919999999998</v>
      </c>
      <c r="T132" s="170">
        <f>S132-U132-V132</f>
        <v>0</v>
      </c>
      <c r="U132" s="169">
        <f>SUMIFS(операции!$V:$V,операции!$X:$X,"&gt;="&amp;S$8,операции!$X:$X,"&lt;="&amp;S$9,операции!$AB:$AB,"",операции!$L:$L,U$9,операции!$P:$P,$F87)</f>
        <v>11911.84</v>
      </c>
      <c r="V132" s="243">
        <f>SUMIFS(операции!$V:$V,операции!$X:$X,"&gt;="&amp;S$8,операции!$X:$X,"&lt;="&amp;S$9,операции!$AB:$AB,"",операции!$L:$L,V$9,операции!$P:$P,$F87)</f>
        <v>13210.08</v>
      </c>
      <c r="W132" s="244"/>
      <c r="X132" s="169">
        <f>SUMIFS(операции!$V:$V,операции!$X:$X,"&gt;="&amp;X$8,операции!$X:$X,"&lt;="&amp;X$9,операции!$AB:$AB,"",операции!$P:$P,$F87)</f>
        <v>36834.800000000003</v>
      </c>
      <c r="Y132" s="170">
        <f>X132-Z132-AA132</f>
        <v>0</v>
      </c>
      <c r="Z132" s="169">
        <f>SUMIFS(операции!$V:$V,операции!$X:$X,"&gt;="&amp;X$8,операции!$X:$X,"&lt;="&amp;X$9,операции!$AB:$AB,"",операции!$L:$L,Z$9,операции!$P:$P,$F87)</f>
        <v>0</v>
      </c>
      <c r="AA132" s="243">
        <f>SUMIFS(операции!$V:$V,операции!$X:$X,"&gt;="&amp;X$8,операции!$X:$X,"&lt;="&amp;X$9,операции!$AB:$AB,"",операции!$L:$L,AA$9,операции!$P:$P,$F87)</f>
        <v>36834.800000000003</v>
      </c>
      <c r="AB132" s="266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s="192" customFormat="1" ht="11.25">
      <c r="A133" s="37"/>
      <c r="B133" s="37"/>
      <c r="C133" s="37"/>
      <c r="D133" s="191"/>
      <c r="E133" s="191" t="s">
        <v>305</v>
      </c>
      <c r="F133" s="191" t="str">
        <f t="shared" si="111"/>
        <v>Электроника и бытовая техника</v>
      </c>
      <c r="G133" s="191" t="s">
        <v>262</v>
      </c>
      <c r="H133" s="315"/>
      <c r="I133" s="316">
        <f>IF(I132=0,0,SUMIFS(операции!$AF:$AF,операции!$X:$X,"&gt;="&amp;I$8,операции!$X:$X,"&lt;="&amp;I$9,операции!$AB:$AB,"",операции!$P:$P,$F87)/I132)</f>
        <v>42300.763604981024</v>
      </c>
      <c r="J133" s="317"/>
      <c r="K133" s="316">
        <f>IF(K132=0,0,SUMIFS(операции!$AF:$AF,операции!$X:$X,"&gt;="&amp;I$8,операции!$X:$X,"&lt;="&amp;I$9,операции!$AB:$AB,"",операции!$L:$L,K$9,операции!$P:$P,$F87)/K132)</f>
        <v>42153.11793140271</v>
      </c>
      <c r="L133" s="318">
        <f>IF(L132=0,0,SUMIFS(операции!$AF:$AF,операции!$X:$X,"&gt;="&amp;I$8,операции!$X:$X,"&lt;="&amp;I$9,операции!$AB:$AB,"",операции!$L:$L,L$9,операции!$P:$P,$F87)/L132)</f>
        <v>42335.906693352037</v>
      </c>
      <c r="M133" s="274"/>
      <c r="N133" s="193">
        <f>IF(N132=0,0,SUMIFS(операции!$AF:$AF,операции!$X:$X,"&gt;="&amp;N$8,операции!$X:$X,"&lt;="&amp;N$9,операции!$AB:$AB,"",операции!$P:$P,$F87)/N132)</f>
        <v>0</v>
      </c>
      <c r="O133" s="196"/>
      <c r="P133" s="193">
        <f>IF(P132=0,0,SUMIFS(операции!$AF:$AF,операции!$X:$X,"&gt;="&amp;N$8,операции!$X:$X,"&lt;="&amp;N$9,операции!$AB:$AB,"",операции!$L:$L,P$9,операции!$P:$P,$F87)/P132)</f>
        <v>0</v>
      </c>
      <c r="Q133" s="237">
        <f>IF(Q132=0,0,SUMIFS(операции!$AF:$AF,операции!$X:$X,"&gt;="&amp;N$8,операции!$X:$X,"&lt;="&amp;N$9,операции!$AB:$AB,"",операции!$L:$L,Q$9,операции!$P:$P,$F87)/Q132)</f>
        <v>0</v>
      </c>
      <c r="R133" s="238"/>
      <c r="S133" s="193">
        <f>IF(S132=0,0,SUMIFS(операции!$AF:$AF,операции!$X:$X,"&gt;="&amp;S$8,операции!$X:$X,"&lt;="&amp;S$9,операции!$AB:$AB,"",операции!$P:$P,$F87)/S132)</f>
        <v>42247.181061797826</v>
      </c>
      <c r="T133" s="196"/>
      <c r="U133" s="193">
        <f>IF(U132=0,0,SUMIFS(операции!$AF:$AF,операции!$X:$X,"&gt;="&amp;S$8,операции!$X:$X,"&lt;="&amp;S$9,операции!$AB:$AB,"",операции!$L:$L,U$9,операции!$P:$P,$F87)/U132)</f>
        <v>42153.11793140271</v>
      </c>
      <c r="V133" s="237">
        <f>IF(V132=0,0,SUMIFS(операции!$AF:$AF,операции!$X:$X,"&gt;="&amp;S$8,операции!$X:$X,"&lt;="&amp;S$9,операции!$AB:$AB,"",операции!$L:$L,V$9,операции!$P:$P,$F87)/V132)</f>
        <v>42331.999999999993</v>
      </c>
      <c r="W133" s="238"/>
      <c r="X133" s="193">
        <f>IF(X132=0,0,SUMIFS(операции!$AF:$AF,операции!$X:$X,"&gt;="&amp;X$8,операции!$X:$X,"&lt;="&amp;X$9,операции!$AB:$AB,"",операции!$P:$P,$F87)/X132)</f>
        <v>42337.307752451481</v>
      </c>
      <c r="Y133" s="196"/>
      <c r="Z133" s="193">
        <f>IF(Z132=0,0,SUMIFS(операции!$AF:$AF,операции!$X:$X,"&gt;="&amp;X$8,операции!$X:$X,"&lt;="&amp;X$9,операции!$AB:$AB,"",операции!$L:$L,Z$9,операции!$P:$P,$F87)/Z132)</f>
        <v>0</v>
      </c>
      <c r="AA133" s="237">
        <f>IF(AA132=0,0,SUMIFS(операции!$AF:$AF,операции!$X:$X,"&gt;="&amp;X$8,операции!$X:$X,"&lt;="&amp;X$9,операции!$AB:$AB,"",операции!$L:$L,AA$9,операции!$P:$P,$F87)/AA132)</f>
        <v>42337.307752451481</v>
      </c>
      <c r="AB133" s="265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</row>
    <row r="134" spans="1:42" s="192" customFormat="1" ht="11.25">
      <c r="A134" s="37"/>
      <c r="B134" s="37"/>
      <c r="C134" s="37"/>
      <c r="D134" s="191"/>
      <c r="E134" s="191" t="s">
        <v>307</v>
      </c>
      <c r="F134" s="191" t="str">
        <f t="shared" si="111"/>
        <v>Электроника и бытовая техника</v>
      </c>
      <c r="G134" s="191" t="s">
        <v>262</v>
      </c>
      <c r="H134" s="315"/>
      <c r="I134" s="316">
        <f>I$9</f>
        <v>42369</v>
      </c>
      <c r="J134" s="317"/>
      <c r="K134" s="316">
        <f>I$9</f>
        <v>42369</v>
      </c>
      <c r="L134" s="318">
        <f>I$9</f>
        <v>42369</v>
      </c>
      <c r="M134" s="274"/>
      <c r="N134" s="193">
        <f>N$9</f>
        <v>42308</v>
      </c>
      <c r="O134" s="196"/>
      <c r="P134" s="193">
        <f>N$9</f>
        <v>42308</v>
      </c>
      <c r="Q134" s="237">
        <f>N$9</f>
        <v>42308</v>
      </c>
      <c r="R134" s="238"/>
      <c r="S134" s="193">
        <f>S$9</f>
        <v>42338</v>
      </c>
      <c r="T134" s="196"/>
      <c r="U134" s="193">
        <f>S$9</f>
        <v>42338</v>
      </c>
      <c r="V134" s="237">
        <f>S$9</f>
        <v>42338</v>
      </c>
      <c r="W134" s="238"/>
      <c r="X134" s="193">
        <f>X$9</f>
        <v>42369</v>
      </c>
      <c r="Y134" s="196"/>
      <c r="Z134" s="193">
        <f>X$9</f>
        <v>42369</v>
      </c>
      <c r="AA134" s="237">
        <f>X$9</f>
        <v>42369</v>
      </c>
      <c r="AB134" s="265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</row>
    <row r="135" spans="1:42" s="5" customFormat="1">
      <c r="A135" s="1"/>
      <c r="B135" s="1"/>
      <c r="C135" s="1"/>
      <c r="D135" s="168"/>
      <c r="E135" s="168" t="s">
        <v>380</v>
      </c>
      <c r="F135" s="168" t="str">
        <f t="shared" si="111"/>
        <v>Электроника и бытовая техника</v>
      </c>
      <c r="G135" s="168" t="s">
        <v>261</v>
      </c>
      <c r="H135" s="326"/>
      <c r="I135" s="327">
        <f>I130-I132</f>
        <v>3919.2799999999988</v>
      </c>
      <c r="J135" s="313">
        <f>I135-K135-L135</f>
        <v>3.637978807091713E-12</v>
      </c>
      <c r="K135" s="327">
        <f t="shared" ref="K135:L135" si="215">K130-K132</f>
        <v>453.15999999999985</v>
      </c>
      <c r="L135" s="328">
        <f t="shared" si="215"/>
        <v>3466.1199999999953</v>
      </c>
      <c r="M135" s="277"/>
      <c r="N135" s="169">
        <f>N130-N132</f>
        <v>0</v>
      </c>
      <c r="O135" s="170">
        <f>N135-P135-Q135</f>
        <v>0</v>
      </c>
      <c r="P135" s="169">
        <f t="shared" ref="P135:Q135" si="216">P130-P132</f>
        <v>0</v>
      </c>
      <c r="Q135" s="243">
        <f t="shared" si="216"/>
        <v>0</v>
      </c>
      <c r="R135" s="244"/>
      <c r="S135" s="169">
        <f>S130-S132</f>
        <v>1223.0800000000017</v>
      </c>
      <c r="T135" s="170">
        <f>S135-U135-V135</f>
        <v>1.8189894035458565E-12</v>
      </c>
      <c r="U135" s="169">
        <f t="shared" ref="U135:V135" si="217">U130-U132</f>
        <v>453.15999999999985</v>
      </c>
      <c r="V135" s="243">
        <f t="shared" si="217"/>
        <v>769.92000000000007</v>
      </c>
      <c r="W135" s="244"/>
      <c r="X135" s="169">
        <f>X130-X132</f>
        <v>2696.1999999999971</v>
      </c>
      <c r="Y135" s="170">
        <f>X135-Z135-AA135</f>
        <v>0</v>
      </c>
      <c r="Z135" s="169">
        <f t="shared" ref="Z135:AA135" si="218">Z130-Z132</f>
        <v>0</v>
      </c>
      <c r="AA135" s="243">
        <f t="shared" si="218"/>
        <v>2696.1999999999971</v>
      </c>
      <c r="AB135" s="266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s="211" customFormat="1">
      <c r="A136" s="210"/>
      <c r="B136" s="210"/>
      <c r="C136" s="210"/>
      <c r="D136" s="218"/>
      <c r="E136" s="218" t="s">
        <v>381</v>
      </c>
      <c r="F136" s="218" t="str">
        <f t="shared" si="111"/>
        <v>Электроника и бытовая техника</v>
      </c>
      <c r="G136" s="218" t="s">
        <v>218</v>
      </c>
      <c r="H136" s="343"/>
      <c r="I136" s="344">
        <f>IF(I130=0,0,(I135/I130))</f>
        <v>5.9494808427955535E-2</v>
      </c>
      <c r="J136" s="345"/>
      <c r="K136" s="344">
        <f t="shared" ref="K136" si="219">IF(K130=0,0,(K135/K130))</f>
        <v>3.6648604933279406E-2</v>
      </c>
      <c r="L136" s="346">
        <f t="shared" ref="L136" si="220">IF(L130=0,0,(L135/L130))</f>
        <v>6.4773971706751796E-2</v>
      </c>
      <c r="M136" s="280"/>
      <c r="N136" s="219">
        <f>IF(N130=0,0,(N135/N130))</f>
        <v>0</v>
      </c>
      <c r="O136" s="220"/>
      <c r="P136" s="219">
        <f t="shared" ref="P136" si="221">IF(P130=0,0,(P135/P130))</f>
        <v>0</v>
      </c>
      <c r="Q136" s="252">
        <f t="shared" ref="Q136" si="222">IF(Q130=0,0,(Q135/Q130))</f>
        <v>0</v>
      </c>
      <c r="R136" s="253"/>
      <c r="S136" s="219">
        <f>IF(S130=0,0,(S135/S130))</f>
        <v>4.6425507686468089E-2</v>
      </c>
      <c r="T136" s="220"/>
      <c r="U136" s="219">
        <f t="shared" ref="U136" si="223">IF(U130=0,0,(U135/U130))</f>
        <v>3.6648604933279406E-2</v>
      </c>
      <c r="V136" s="252">
        <f t="shared" ref="V136" si="224">IF(V130=0,0,(V135/V130))</f>
        <v>5.5072961373390565E-2</v>
      </c>
      <c r="W136" s="253"/>
      <c r="X136" s="219">
        <f>IF(X130=0,0,(X135/X130))</f>
        <v>6.8204700108775315E-2</v>
      </c>
      <c r="Y136" s="220"/>
      <c r="Z136" s="219">
        <f t="shared" ref="Z136" si="225">IF(Z130=0,0,(Z135/Z130))</f>
        <v>0</v>
      </c>
      <c r="AA136" s="252">
        <f t="shared" ref="AA136" si="226">IF(AA130=0,0,(AA135/AA130))</f>
        <v>6.8204700108775315E-2</v>
      </c>
      <c r="AB136" s="267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</row>
    <row r="137" spans="1:42" s="5" customFormat="1">
      <c r="A137" s="1"/>
      <c r="B137" s="1"/>
      <c r="C137" s="1"/>
      <c r="D137" s="227"/>
      <c r="E137" s="227" t="s">
        <v>306</v>
      </c>
      <c r="F137" s="227" t="str">
        <f t="shared" si="111"/>
        <v>Электроника и бытовая техника</v>
      </c>
      <c r="G137" s="227" t="s">
        <v>219</v>
      </c>
      <c r="H137" s="347"/>
      <c r="I137" s="348">
        <f>I131-I133</f>
        <v>38.441932695823198</v>
      </c>
      <c r="J137" s="321"/>
      <c r="K137" s="348">
        <f t="shared" ref="K137:L137" si="227">K131-K133</f>
        <v>176.10252957585908</v>
      </c>
      <c r="L137" s="349">
        <f t="shared" si="227"/>
        <v>5.6061357858998235</v>
      </c>
      <c r="M137" s="281"/>
      <c r="N137" s="228">
        <f>N131-N133</f>
        <v>0</v>
      </c>
      <c r="O137" s="173"/>
      <c r="P137" s="228">
        <f t="shared" ref="P137:Q137" si="228">P131-P133</f>
        <v>0</v>
      </c>
      <c r="Q137" s="254">
        <f t="shared" si="228"/>
        <v>0</v>
      </c>
      <c r="R137" s="255"/>
      <c r="S137" s="228">
        <f>S131-S133</f>
        <v>85.371642700178199</v>
      </c>
      <c r="T137" s="173"/>
      <c r="U137" s="228">
        <f t="shared" ref="U137:V137" si="229">U131-U133</f>
        <v>176.10252957585908</v>
      </c>
      <c r="V137" s="254">
        <f t="shared" si="229"/>
        <v>3.500000000007276</v>
      </c>
      <c r="W137" s="255"/>
      <c r="X137" s="228">
        <f>X131-X133</f>
        <v>6.331492697892827</v>
      </c>
      <c r="Y137" s="173"/>
      <c r="Z137" s="228">
        <f t="shared" ref="Z137:AA137" si="230">Z131-Z133</f>
        <v>0</v>
      </c>
      <c r="AA137" s="254">
        <f t="shared" si="230"/>
        <v>6.331492697892827</v>
      </c>
      <c r="AB137" s="266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s="5" customFormat="1">
      <c r="A138" s="1"/>
      <c r="B138" s="1"/>
      <c r="C138" s="1"/>
      <c r="D138" s="227"/>
      <c r="E138" s="227" t="s">
        <v>382</v>
      </c>
      <c r="F138" s="227" t="str">
        <f t="shared" si="111"/>
        <v>Электроника и бытовая техника</v>
      </c>
      <c r="G138" s="227" t="s">
        <v>219</v>
      </c>
      <c r="H138" s="347"/>
      <c r="I138" s="348">
        <f>I134-I133</f>
        <v>68.2363950189756</v>
      </c>
      <c r="J138" s="321"/>
      <c r="K138" s="348">
        <f t="shared" ref="K138:L138" si="231">K134-K133</f>
        <v>215.88206859728962</v>
      </c>
      <c r="L138" s="349">
        <f t="shared" si="231"/>
        <v>33.093306647962891</v>
      </c>
      <c r="M138" s="281"/>
      <c r="N138" s="228">
        <f>N134-N133</f>
        <v>42308</v>
      </c>
      <c r="O138" s="173"/>
      <c r="P138" s="228">
        <f t="shared" ref="P138:Q138" si="232">P134-P133</f>
        <v>42308</v>
      </c>
      <c r="Q138" s="254">
        <f t="shared" si="232"/>
        <v>42308</v>
      </c>
      <c r="R138" s="255"/>
      <c r="S138" s="228">
        <f>S134-S133</f>
        <v>90.81893820217374</v>
      </c>
      <c r="T138" s="173"/>
      <c r="U138" s="228">
        <f t="shared" ref="U138:V138" si="233">U134-U133</f>
        <v>184.88206859728962</v>
      </c>
      <c r="V138" s="254">
        <f t="shared" si="233"/>
        <v>6.000000000007276</v>
      </c>
      <c r="W138" s="255"/>
      <c r="X138" s="228">
        <f>X134-X133</f>
        <v>31.692247548518935</v>
      </c>
      <c r="Y138" s="173"/>
      <c r="Z138" s="228">
        <f t="shared" ref="Z138:AA138" si="234">Z134-Z133</f>
        <v>42369</v>
      </c>
      <c r="AA138" s="254">
        <f t="shared" si="234"/>
        <v>31.692247548518935</v>
      </c>
      <c r="AB138" s="266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s="5" customFormat="1">
      <c r="A139" s="1"/>
      <c r="B139" s="1"/>
      <c r="C139" s="1"/>
      <c r="D139" s="225"/>
      <c r="E139" s="225" t="s">
        <v>383</v>
      </c>
      <c r="F139" s="225" t="str">
        <f t="shared" si="111"/>
        <v>Электроника и бытовая техника</v>
      </c>
      <c r="G139" s="225" t="s">
        <v>219</v>
      </c>
      <c r="H139" s="350"/>
      <c r="I139" s="351">
        <f>I137-I138</f>
        <v>-29.794462323152402</v>
      </c>
      <c r="J139" s="352"/>
      <c r="K139" s="351">
        <f t="shared" ref="K139" si="235">K137-K138</f>
        <v>-39.779539021430537</v>
      </c>
      <c r="L139" s="353">
        <f t="shared" ref="L139" si="236">L137-L138</f>
        <v>-27.487170862063067</v>
      </c>
      <c r="M139" s="282"/>
      <c r="N139" s="226">
        <f>N137-N138</f>
        <v>-42308</v>
      </c>
      <c r="O139" s="181"/>
      <c r="P139" s="226">
        <f t="shared" ref="P139" si="237">P137-P138</f>
        <v>-42308</v>
      </c>
      <c r="Q139" s="256">
        <f t="shared" ref="Q139" si="238">Q137-Q138</f>
        <v>-42308</v>
      </c>
      <c r="R139" s="257"/>
      <c r="S139" s="226">
        <f>S137-S138</f>
        <v>-5.4472955019955407</v>
      </c>
      <c r="T139" s="181"/>
      <c r="U139" s="226">
        <f t="shared" ref="U139" si="239">U137-U138</f>
        <v>-8.7795390214305371</v>
      </c>
      <c r="V139" s="256">
        <f t="shared" ref="V139" si="240">V137-V138</f>
        <v>-2.5</v>
      </c>
      <c r="W139" s="257"/>
      <c r="X139" s="226">
        <f>X137-X138</f>
        <v>-25.360754850626108</v>
      </c>
      <c r="Y139" s="181"/>
      <c r="Z139" s="226">
        <f t="shared" ref="Z139" si="241">Z137-Z138</f>
        <v>-42369</v>
      </c>
      <c r="AA139" s="256">
        <f t="shared" ref="AA139" si="242">AA137-AA138</f>
        <v>-25.360754850626108</v>
      </c>
      <c r="AB139" s="266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s="5" customFormat="1">
      <c r="A140" s="1"/>
      <c r="B140" s="1"/>
      <c r="C140" s="1"/>
      <c r="D140" s="168" t="s">
        <v>312</v>
      </c>
      <c r="E140" s="168"/>
      <c r="F140" s="168" t="str">
        <f t="shared" si="111"/>
        <v>Электроника и бытовая техника</v>
      </c>
      <c r="G140" s="168" t="s">
        <v>261</v>
      </c>
      <c r="H140" s="326"/>
      <c r="I140" s="327">
        <f>SUMIFS(операции!$AC:$AC,операции!$AB:$AB,"&gt;="&amp;I$8,операции!$AB:$AB,"&lt;="&amp;I$9,операции!$P:$P,$F87)</f>
        <v>135585.25</v>
      </c>
      <c r="J140" s="313">
        <f>I140-K140-L140</f>
        <v>0</v>
      </c>
      <c r="K140" s="327">
        <f>SUMIFS(операции!$AC:$AC,операции!$AB:$AB,"&gt;="&amp;I$8,операции!$AB:$AB,"&lt;="&amp;I$9,операции!$L:$L,K$9,операции!$P:$P,$F87)</f>
        <v>63414.979999999996</v>
      </c>
      <c r="L140" s="328">
        <f>SUMIFS(операции!$AC:$AC,операции!$AB:$AB,"&gt;="&amp;I$8,операции!$AB:$AB,"&lt;="&amp;I$9,операции!$L:$L,L$9,операции!$P:$P,$F87)</f>
        <v>72170.27</v>
      </c>
      <c r="M140" s="277"/>
      <c r="N140" s="169">
        <f>SUMIFS(операции!$AC:$AC,операции!$AB:$AB,"&gt;="&amp;N$8,операции!$AB:$AB,"&lt;="&amp;N$9,операции!$P:$P,$F87)</f>
        <v>43215.42</v>
      </c>
      <c r="O140" s="170">
        <f>N140-P140-Q140</f>
        <v>0</v>
      </c>
      <c r="P140" s="169">
        <f>SUMIFS(операции!$AC:$AC,операции!$AB:$AB,"&gt;="&amp;N$8,операции!$AB:$AB,"&lt;="&amp;N$9,операции!$L:$L,P$9,операции!$P:$P,$F87)</f>
        <v>43215.42</v>
      </c>
      <c r="Q140" s="243">
        <f>SUMIFS(операции!$AC:$AC,операции!$AB:$AB,"&gt;="&amp;N$8,операции!$AB:$AB,"&lt;="&amp;N$9,операции!$L:$L,Q$9,операции!$P:$P,$F87)</f>
        <v>0</v>
      </c>
      <c r="R140" s="244"/>
      <c r="S140" s="169">
        <f>SUMIFS(операции!$AC:$AC,операции!$AB:$AB,"&gt;="&amp;S$8,операции!$AB:$AB,"&lt;="&amp;S$9,операции!$P:$P,$F87)</f>
        <v>47215.7</v>
      </c>
      <c r="T140" s="170">
        <f>S140-U140-V140</f>
        <v>0</v>
      </c>
      <c r="U140" s="169">
        <f>SUMIFS(операции!$AC:$AC,операции!$AB:$AB,"&gt;="&amp;S$8,операции!$AB:$AB,"&lt;="&amp;S$9,операции!$L:$L,U$9,операции!$P:$P,$F87)</f>
        <v>14056.850000000002</v>
      </c>
      <c r="V140" s="243">
        <f>SUMIFS(операции!$AC:$AC,операции!$AB:$AB,"&gt;="&amp;S$8,операции!$AB:$AB,"&lt;="&amp;S$9,операции!$L:$L,V$9,операции!$P:$P,$F87)</f>
        <v>33158.85</v>
      </c>
      <c r="W140" s="244"/>
      <c r="X140" s="169">
        <f>SUMIFS(операции!$AC:$AC,операции!$AB:$AB,"&gt;="&amp;X$8,операции!$AB:$AB,"&lt;="&amp;X$9,операции!$P:$P,$F87)</f>
        <v>45154.130000000005</v>
      </c>
      <c r="Y140" s="170">
        <f>X140-Z140-AA140</f>
        <v>0</v>
      </c>
      <c r="Z140" s="169">
        <f>SUMIFS(операции!$AC:$AC,операции!$AB:$AB,"&gt;="&amp;X$8,операции!$AB:$AB,"&lt;="&amp;X$9,операции!$L:$L,Z$9,операции!$P:$P,$F87)</f>
        <v>6142.7100000000009</v>
      </c>
      <c r="AA140" s="243">
        <f>SUMIFS(операции!$AC:$AC,операции!$AB:$AB,"&gt;="&amp;X$8,операции!$AB:$AB,"&lt;="&amp;X$9,операции!$L:$L,AA$9,операции!$P:$P,$F87)</f>
        <v>39011.42</v>
      </c>
      <c r="AB140" s="266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s="192" customFormat="1" ht="11.25">
      <c r="A141" s="37"/>
      <c r="B141" s="37"/>
      <c r="C141" s="37"/>
      <c r="D141" s="207" t="s">
        <v>255</v>
      </c>
      <c r="E141" s="207"/>
      <c r="F141" s="207" t="str">
        <f t="shared" si="111"/>
        <v>Электроника и бытовая техника</v>
      </c>
      <c r="G141" s="207" t="s">
        <v>262</v>
      </c>
      <c r="H141" s="331"/>
      <c r="I141" s="337">
        <f>IF(I140=0,0,SUMIFS(операции!$AH:$AH,операции!$AB:$AB,"&gt;="&amp;I$8,операции!$AB:$AB,"&lt;="&amp;I$9,операции!$P:$P,$F87)/I140)</f>
        <v>42324.684157089367</v>
      </c>
      <c r="J141" s="333"/>
      <c r="K141" s="337">
        <f>IF(K140=0,0,SUMIFS(операции!$AH:$AH,операции!$AB:$AB,"&gt;="&amp;I$8,операции!$AB:$AB,"&lt;="&amp;I$9,операции!$L:$L,K$9,операции!$P:$P,$F87)/K140)</f>
        <v>42302.882285699699</v>
      </c>
      <c r="L141" s="338">
        <f>IF(L140=0,0,SUMIFS(операции!$AH:$AH,операции!$AB:$AB,"&gt;="&amp;I$8,операции!$AB:$AB,"&lt;="&amp;I$9,операции!$L:$L,L$9,операции!$P:$P,$F87)/L140)</f>
        <v>42343.841148439649</v>
      </c>
      <c r="M141" s="278"/>
      <c r="N141" s="217">
        <f>IF(N140=0,0,SUMIFS(операции!$AH:$AH,операции!$AB:$AB,"&gt;="&amp;N$8,операции!$AB:$AB,"&lt;="&amp;N$9,операции!$P:$P,$F87)/N140)</f>
        <v>42287.753854989729</v>
      </c>
      <c r="O141" s="208"/>
      <c r="P141" s="217">
        <f>IF(P140=0,0,SUMIFS(операции!$AH:$AH,операции!$AB:$AB,"&gt;="&amp;N$8,операции!$AB:$AB,"&lt;="&amp;N$9,операции!$L:$L,P$9,операции!$P:$P,$F87)/P140)</f>
        <v>42287.753854989729</v>
      </c>
      <c r="Q141" s="249">
        <f>IF(Q140=0,0,SUMIFS(операции!$AH:$AH,операции!$AB:$AB,"&gt;="&amp;N$8,операции!$AB:$AB,"&lt;="&amp;N$9,операции!$L:$L,Q$9,операции!$P:$P,$F87)/Q140)</f>
        <v>0</v>
      </c>
      <c r="R141" s="247"/>
      <c r="S141" s="217">
        <f>IF(S140=0,0,SUMIFS(операции!$AH:$AH,операции!$AB:$AB,"&gt;="&amp;S$8,операции!$AB:$AB,"&lt;="&amp;S$9,операции!$P:$P,$F87)/S140)</f>
        <v>42330.321317273709</v>
      </c>
      <c r="T141" s="208"/>
      <c r="U141" s="217">
        <f>IF(U140=0,0,SUMIFS(операции!$AH:$AH,операции!$AB:$AB,"&gt;="&amp;S$8,операции!$AB:$AB,"&lt;="&amp;S$9,операции!$L:$L,U$9,операции!$P:$P,$F87)/U140)</f>
        <v>42325.347671775678</v>
      </c>
      <c r="V141" s="249">
        <f>IF(V140=0,0,SUMIFS(операции!$AH:$AH,операции!$AB:$AB,"&gt;="&amp;S$8,операции!$AB:$AB,"&lt;="&amp;S$9,операции!$L:$L,V$9,операции!$P:$P,$F87)/V140)</f>
        <v>42332.429767618611</v>
      </c>
      <c r="W141" s="247"/>
      <c r="X141" s="217">
        <f>IF(X140=0,0,SUMIFS(операции!$AH:$AH,операции!$AB:$AB,"&gt;="&amp;X$8,операции!$AB:$AB,"&lt;="&amp;X$9,операции!$P:$P,$F87)/X140)</f>
        <v>42354.134310416339</v>
      </c>
      <c r="Y141" s="208"/>
      <c r="Z141" s="217">
        <f>IF(Z140=0,0,SUMIFS(операции!$AH:$AH,операции!$AB:$AB,"&gt;="&amp;X$8,операции!$AB:$AB,"&lt;="&amp;X$9,операции!$L:$L,Z$9,операции!$P:$P,$F87)/Z140)</f>
        <v>42357.90505656298</v>
      </c>
      <c r="AA141" s="249">
        <f>IF(AA140=0,0,SUMIFS(операции!$AH:$AH,операции!$AB:$AB,"&gt;="&amp;X$8,операции!$AB:$AB,"&lt;="&amp;X$9,операции!$L:$L,AA$9,операции!$P:$P,$F87)/AA140)</f>
        <v>42353.540571453181</v>
      </c>
      <c r="AB141" s="265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</row>
    <row r="142" spans="1:42" s="111" customFormat="1" ht="11.25">
      <c r="A142" s="108"/>
      <c r="B142" s="108"/>
      <c r="C142" s="209" t="s">
        <v>279</v>
      </c>
      <c r="D142" s="109"/>
      <c r="E142" s="109"/>
      <c r="F142" s="109" t="str">
        <f t="shared" si="111"/>
        <v>Электроника и бытовая техника</v>
      </c>
      <c r="G142" s="109"/>
      <c r="H142" s="307"/>
      <c r="I142" s="308">
        <f>I143-K143-L143+K142+L142</f>
        <v>1.0913936421275139E-11</v>
      </c>
      <c r="J142" s="309">
        <f>I87+I105-I112-I143</f>
        <v>0</v>
      </c>
      <c r="K142" s="308">
        <f>K87+K105-K112-K143</f>
        <v>0</v>
      </c>
      <c r="L142" s="336">
        <f>L87+L105-L112-L143</f>
        <v>0</v>
      </c>
      <c r="M142" s="272"/>
      <c r="N142" s="110">
        <f>N143-P143-Q143</f>
        <v>0</v>
      </c>
      <c r="O142" s="215">
        <f>N87+N105-N112-N143</f>
        <v>0</v>
      </c>
      <c r="P142" s="110">
        <f>P87+P105-P112-P143</f>
        <v>0</v>
      </c>
      <c r="Q142" s="248">
        <f>Q87+Q105-Q112-Q143</f>
        <v>0</v>
      </c>
      <c r="R142" s="234"/>
      <c r="S142" s="110">
        <f>S143-U143-V143</f>
        <v>0</v>
      </c>
      <c r="T142" s="215">
        <f>S87+S105-S112-S143</f>
        <v>0</v>
      </c>
      <c r="U142" s="110">
        <f>U87+U105-U112-U143</f>
        <v>0</v>
      </c>
      <c r="V142" s="248">
        <f>V87+V105-V112-V143</f>
        <v>0</v>
      </c>
      <c r="W142" s="234"/>
      <c r="X142" s="110">
        <f>X143-Z143-AA143</f>
        <v>0</v>
      </c>
      <c r="Y142" s="215">
        <f>X87+X105-X112-X143</f>
        <v>0</v>
      </c>
      <c r="Z142" s="110">
        <f>Z87+Z105-Z112-Z143</f>
        <v>0</v>
      </c>
      <c r="AA142" s="248">
        <f>AA87+AA105-AA112-AA143</f>
        <v>0</v>
      </c>
      <c r="AB142" s="263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</row>
    <row r="143" spans="1:42" s="93" customFormat="1" ht="15">
      <c r="A143" s="92"/>
      <c r="B143" s="92"/>
      <c r="C143" s="214"/>
      <c r="D143" s="151" t="s">
        <v>238</v>
      </c>
      <c r="E143" s="151"/>
      <c r="F143" s="151" t="str">
        <f t="shared" si="111"/>
        <v>Электроника и бытовая техника</v>
      </c>
      <c r="G143" s="151" t="s">
        <v>261</v>
      </c>
      <c r="H143" s="311"/>
      <c r="I143" s="312">
        <f>SUMIFS(операции!$V:$V,операции!$T:$T,"&lt;="&amp;I$9,операции!$X:$X,"",операции!$P:$P,$F87)+SUMIFS(операции!$V:$V,операции!$T:$T,"&lt;="&amp;I$9,операции!$X:$X,"&gt;"&amp;I$9,операции!$P:$P,$F87)</f>
        <v>102288.09000000001</v>
      </c>
      <c r="J143" s="313">
        <f>I143-I148-I154</f>
        <v>0</v>
      </c>
      <c r="K143" s="312">
        <f>SUMIFS(операции!$V:$V,операции!$T:$T,"&lt;="&amp;I$9,операции!$X:$X,"",операции!$L:$L,K$9,операции!$P:$P,$F87)+SUMIFS(операции!$V:$V,операции!$T:$T,"&lt;="&amp;I$9,операции!$X:$X,"&gt;"&amp;I$9,операции!$L:$L,K$9,операции!$P:$P,$F87)</f>
        <v>71449.14</v>
      </c>
      <c r="L143" s="314">
        <f>SUMIFS(операции!$V:$V,операции!$T:$T,"&lt;="&amp;I$9,операции!$X:$X,"",операции!$L:$L,L$9,операции!$P:$P,$F87)+SUMIFS(операции!$V:$V,операции!$T:$T,"&lt;="&amp;I$9,операции!$X:$X,"&gt;"&amp;I$9,операции!$L:$L,L$9,операции!$P:$P,$F87)</f>
        <v>30838.95</v>
      </c>
      <c r="M143" s="273"/>
      <c r="N143" s="152">
        <f>SUMIFS(операции!$V:$V,операции!$T:$T,"&lt;="&amp;N$9,операции!$X:$X,"",операции!$P:$P,$F87)+SUMIFS(операции!$V:$V,операции!$T:$T,"&lt;="&amp;N$9,операции!$X:$X,"&gt;"&amp;N$9,операции!$P:$P,$F87)</f>
        <v>131201.48000000004</v>
      </c>
      <c r="O143" s="170">
        <f>N143-N148-N154</f>
        <v>0</v>
      </c>
      <c r="P143" s="152">
        <f>SUMIFS(операции!$V:$V,операции!$T:$T,"&lt;="&amp;N$9,операции!$X:$X,"",операции!$L:$L,P$9,операции!$P:$P,$F87)+SUMIFS(операции!$V:$V,операции!$T:$T,"&lt;="&amp;N$9,операции!$X:$X,"&gt;"&amp;N$9,операции!$L:$L,P$9,операции!$P:$P,$F87)</f>
        <v>131201.48000000004</v>
      </c>
      <c r="Q143" s="235">
        <f>SUMIFS(операции!$V:$V,операции!$T:$T,"&lt;="&amp;N$9,операции!$X:$X,"",операции!$L:$L,Q$9,операции!$P:$P,$F87)+SUMIFS(операции!$V:$V,операции!$T:$T,"&lt;="&amp;N$9,операции!$X:$X,"&gt;"&amp;N$9,операции!$L:$L,Q$9,операции!$P:$P,$F87)</f>
        <v>0</v>
      </c>
      <c r="R143" s="236"/>
      <c r="S143" s="152">
        <f>SUMIFS(операции!$V:$V,операции!$T:$T,"&lt;="&amp;S$9,операции!$X:$X,"",операции!$P:$P,$F87)+SUMIFS(операции!$V:$V,операции!$T:$T,"&lt;="&amp;S$9,операции!$X:$X,"&gt;"&amp;S$9,операции!$P:$P,$F87)</f>
        <v>143922.82</v>
      </c>
      <c r="T143" s="170">
        <f>S143-S148-S154</f>
        <v>0</v>
      </c>
      <c r="U143" s="152">
        <f>SUMIFS(операции!$V:$V,операции!$T:$T,"&lt;="&amp;S$9,операции!$X:$X,"",операции!$L:$L,U$9,операции!$P:$P,$F87)+SUMIFS(операции!$V:$V,операции!$T:$T,"&lt;="&amp;S$9,операции!$X:$X,"&gt;"&amp;S$9,операции!$L:$L,U$9,операции!$P:$P,$F87)</f>
        <v>88779.64</v>
      </c>
      <c r="V143" s="235">
        <f>SUMIFS(операции!$V:$V,операции!$T:$T,"&lt;="&amp;S$9,операции!$X:$X,"",операции!$L:$L,V$9,операции!$P:$P,$F87)+SUMIFS(операции!$V:$V,операции!$T:$T,"&lt;="&amp;S$9,операции!$X:$X,"&gt;"&amp;S$9,операции!$L:$L,V$9,операции!$P:$P,$F87)</f>
        <v>55143.18</v>
      </c>
      <c r="W143" s="236"/>
      <c r="X143" s="152">
        <f>SUMIFS(операции!$V:$V,операции!$T:$T,"&lt;="&amp;X$9,операции!$X:$X,"",операции!$P:$P,$F87)+SUMIFS(операции!$V:$V,операции!$T:$T,"&lt;="&amp;X$9,операции!$X:$X,"&gt;"&amp;X$9,операции!$P:$P,$F87)</f>
        <v>102288.09000000001</v>
      </c>
      <c r="Y143" s="170">
        <f>X143-X148-X154</f>
        <v>0</v>
      </c>
      <c r="Z143" s="152">
        <f>SUMIFS(операции!$V:$V,операции!$T:$T,"&lt;="&amp;X$9,операции!$X:$X,"",операции!$L:$L,Z$9,операции!$P:$P,$F87)+SUMIFS(операции!$V:$V,операции!$T:$T,"&lt;="&amp;X$9,операции!$X:$X,"&gt;"&amp;X$9,операции!$L:$L,Z$9,операции!$P:$P,$F87)</f>
        <v>71449.14</v>
      </c>
      <c r="AA143" s="235">
        <f>SUMIFS(операции!$V:$V,операции!$T:$T,"&lt;="&amp;X$9,операции!$X:$X,"",операции!$L:$L,AA$9,операции!$P:$P,$F87)+SUMIFS(операции!$V:$V,операции!$T:$T,"&lt;="&amp;X$9,операции!$X:$X,"&gt;"&amp;X$9,операции!$L:$L,AA$9,операции!$P:$P,$F87)</f>
        <v>30838.95</v>
      </c>
      <c r="AB143" s="264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</row>
    <row r="144" spans="1:42" s="192" customFormat="1" ht="11.25">
      <c r="A144" s="37"/>
      <c r="B144" s="37"/>
      <c r="C144" s="37"/>
      <c r="D144" s="191" t="s">
        <v>255</v>
      </c>
      <c r="E144" s="191"/>
      <c r="F144" s="191" t="str">
        <f t="shared" si="111"/>
        <v>Электроника и бытовая техника</v>
      </c>
      <c r="G144" s="191" t="s">
        <v>262</v>
      </c>
      <c r="H144" s="315"/>
      <c r="I144" s="316">
        <f>IF(I143=0,0,(SUMIFS(операции!$AF:$AF,операции!$T:$T,"&lt;="&amp;I$9,операции!$X:$X,"",операции!$P:$P,$F87)+SUMIFS(операции!$AF:$AF,операции!$T:$T,"&lt;="&amp;I$9,операции!$X:$X,"&gt;"&amp;I$9,операции!$P:$P,$F87))/I143)</f>
        <v>42267.322870824944</v>
      </c>
      <c r="J144" s="317"/>
      <c r="K144" s="316">
        <f>IF(K143=0,0,(SUMIFS(операции!$AF:$AF,операции!$T:$T,"&lt;="&amp;I$9,операции!$X:$X,"",операции!$L:$L,K$9,операции!$P:$P,$F87)+SUMIFS(операции!$AF:$AF,операции!$T:$T,"&lt;="&amp;I$9,операции!$X:$X,"&gt;"&amp;I$9,операции!$L:$L,K$9,операции!$P:$P,$F87))/K143)</f>
        <v>42225.693126887192</v>
      </c>
      <c r="L144" s="318">
        <f>IF(L143=0,0,(SUMIFS(операции!$AF:$AF,операции!$T:$T,"&lt;="&amp;I$9,операции!$X:$X,"",операции!$L:$L,L$9,операции!$P:$P,$F87)+SUMIFS(операции!$AF:$AF,операции!$T:$T,"&lt;="&amp;I$9,операции!$X:$X,"&gt;"&amp;I$9,операции!$L:$L,L$9,операции!$P:$P,$F87))/L143)</f>
        <v>42363.772633309505</v>
      </c>
      <c r="M144" s="274"/>
      <c r="N144" s="193">
        <f>IF(N143=0,0,(SUMIFS(операции!$AF:$AF,операции!$T:$T,"&lt;="&amp;N$9,операции!$X:$X,"",операции!$P:$P,$F87)+SUMIFS(операции!$AF:$AF,операции!$T:$T,"&lt;="&amp;N$9,операции!$X:$X,"&gt;"&amp;N$9,операции!$P:$P,$F87))/N143)</f>
        <v>42222.863255353514</v>
      </c>
      <c r="O144" s="196"/>
      <c r="P144" s="193">
        <f>IF(P143=0,0,(SUMIFS(операции!$AF:$AF,операции!$T:$T,"&lt;="&amp;N$9,операции!$X:$X,"",операции!$L:$L,P$9,операции!$P:$P,$F87)+SUMIFS(операции!$AF:$AF,операции!$T:$T,"&lt;="&amp;N$9,операции!$X:$X,"&gt;"&amp;N$9,операции!$L:$L,P$9,операции!$P:$P,$F87))/P143)</f>
        <v>42222.863255353514</v>
      </c>
      <c r="Q144" s="237">
        <f>IF(Q143=0,0,(SUMIFS(операции!$AF:$AF,операции!$T:$T,"&lt;="&amp;N$9,операции!$X:$X,"",операции!$L:$L,Q$9,операции!$P:$P,$F87)+SUMIFS(операции!$AF:$AF,операции!$T:$T,"&lt;="&amp;N$9,операции!$X:$X,"&gt;"&amp;N$9,операции!$L:$L,Q$9,операции!$P:$P,$F87))/Q143)</f>
        <v>0</v>
      </c>
      <c r="R144" s="238"/>
      <c r="S144" s="193">
        <f>IF(S143=0,0,(SUMIFS(операции!$AF:$AF,операции!$T:$T,"&lt;="&amp;S$9,операции!$X:$X,"",операции!$P:$P,$F87)+SUMIFS(операции!$AF:$AF,операции!$T:$T,"&lt;="&amp;S$9,операции!$X:$X,"&gt;"&amp;S$9,операции!$P:$P,$F87))/S143)</f>
        <v>42272.838571395427</v>
      </c>
      <c r="T144" s="196"/>
      <c r="U144" s="193">
        <f>IF(U143=0,0,(SUMIFS(операции!$AF:$AF,операции!$T:$T,"&lt;="&amp;S$9,операции!$X:$X,"",операции!$L:$L,U$9,операции!$P:$P,$F87)+SUMIFS(операции!$AF:$AF,операции!$T:$T,"&lt;="&amp;S$9,операции!$X:$X,"&gt;"&amp;S$9,операции!$L:$L,U$9,операции!$P:$P,$F87))/U143)</f>
        <v>42233.064893257062</v>
      </c>
      <c r="V144" s="237">
        <f>IF(V143=0,0,(SUMIFS(операции!$AF:$AF,операции!$T:$T,"&lt;="&amp;S$9,операции!$X:$X,"",операции!$L:$L,V$9,операции!$P:$P,$F87)+SUMIFS(операции!$AF:$AF,операции!$T:$T,"&lt;="&amp;S$9,операции!$X:$X,"&gt;"&amp;S$9,операции!$L:$L,V$9,операции!$P:$P,$F87))/V143)</f>
        <v>42336.873558615953</v>
      </c>
      <c r="W144" s="238"/>
      <c r="X144" s="193">
        <f>IF(X143=0,0,(SUMIFS(операции!$AF:$AF,операции!$T:$T,"&lt;="&amp;X$9,операции!$X:$X,"",операции!$P:$P,$F87)+SUMIFS(операции!$AF:$AF,операции!$T:$T,"&lt;="&amp;X$9,операции!$X:$X,"&gt;"&amp;X$9,операции!$P:$P,$F87))/X143)</f>
        <v>42267.322870824944</v>
      </c>
      <c r="Y144" s="196"/>
      <c r="Z144" s="193">
        <f>IF(Z143=0,0,(SUMIFS(операции!$AF:$AF,операции!$T:$T,"&lt;="&amp;X$9,операции!$X:$X,"",операции!$L:$L,Z$9,операции!$P:$P,$F87)+SUMIFS(операции!$AF:$AF,операции!$T:$T,"&lt;="&amp;X$9,операции!$X:$X,"&gt;"&amp;X$9,операции!$L:$L,Z$9,операции!$P:$P,$F87))/Z143)</f>
        <v>42225.693126887192</v>
      </c>
      <c r="AA144" s="237">
        <f>IF(AA143=0,0,(SUMIFS(операции!$AF:$AF,операции!$T:$T,"&lt;="&amp;X$9,операции!$X:$X,"",операции!$L:$L,AA$9,операции!$P:$P,$F87)+SUMIFS(операции!$AF:$AF,операции!$T:$T,"&lt;="&amp;X$9,операции!$X:$X,"&gt;"&amp;X$9,операции!$L:$L,AA$9,операции!$P:$P,$F87))/AA143)</f>
        <v>42363.772633309505</v>
      </c>
      <c r="AB144" s="265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</row>
    <row r="145" spans="1:42" s="50" customFormat="1" ht="11.25">
      <c r="A145" s="48"/>
      <c r="B145" s="48"/>
      <c r="C145" s="48"/>
      <c r="D145" s="154" t="s">
        <v>239</v>
      </c>
      <c r="E145" s="154"/>
      <c r="F145" s="154" t="str">
        <f t="shared" si="111"/>
        <v>Электроника и бытовая техника</v>
      </c>
      <c r="G145" s="154" t="s">
        <v>219</v>
      </c>
      <c r="H145" s="319"/>
      <c r="I145" s="320">
        <f>IF(I143=0,0,I$9-I144)</f>
        <v>101.6771291750556</v>
      </c>
      <c r="J145" s="321">
        <f>I145-SUMIFS(ПОбТЗ!$I:$I,ПОбТЗ!$E:$E,$D145,ПОбТЗ!$F:$F,$F145)</f>
        <v>0</v>
      </c>
      <c r="K145" s="320">
        <f>IF(K143=0,0,I$9-K144)</f>
        <v>143.30687311280781</v>
      </c>
      <c r="L145" s="322">
        <f>IF(L143=0,0,I$9-L144)</f>
        <v>5.2273666904948186</v>
      </c>
      <c r="M145" s="275"/>
      <c r="N145" s="155">
        <f>IF(N143=0,0,N$9-N144)</f>
        <v>85.136744646486477</v>
      </c>
      <c r="O145" s="173">
        <f>N145-SUMIFS(ПОбТЗ_2!$J:$J,ПОбТЗ_2!$D:$D,$D145,ПОбТЗ_2!$E:$E,$F145)</f>
        <v>0</v>
      </c>
      <c r="P145" s="155">
        <f>IF(P143=0,0,N$9-P144)</f>
        <v>85.136744646486477</v>
      </c>
      <c r="Q145" s="239">
        <f>IF(Q143=0,0,N$9-Q144)</f>
        <v>0</v>
      </c>
      <c r="R145" s="240"/>
      <c r="S145" s="155">
        <f>IF(S143=0,0,S$9-S144)</f>
        <v>65.161428604573302</v>
      </c>
      <c r="T145" s="173">
        <f>S145-SUMIFS(ПОбТЗ_2!$K:$K,ПОбТЗ_2!$D:$D,$D145,ПОбТЗ_2!$E:$E,$F145)</f>
        <v>0</v>
      </c>
      <c r="U145" s="155">
        <f>IF(U143=0,0,S$9-U144)</f>
        <v>104.93510674293793</v>
      </c>
      <c r="V145" s="239">
        <f>IF(V143=0,0,S$9-V144)</f>
        <v>1.1264413840472116</v>
      </c>
      <c r="W145" s="240"/>
      <c r="X145" s="155">
        <f>IF(X143=0,0,X$9-X144)</f>
        <v>101.6771291750556</v>
      </c>
      <c r="Y145" s="173">
        <f>X145-SUMIFS(ПОбТЗ_2!$L:$L,ПОбТЗ_2!$D:$D,$D145,ПОбТЗ_2!$E:$E,$F145)</f>
        <v>0</v>
      </c>
      <c r="Z145" s="155">
        <f>IF(Z143=0,0,X$9-Z144)</f>
        <v>143.30687311280781</v>
      </c>
      <c r="AA145" s="239">
        <f>IF(AA143=0,0,X$9-AA144)</f>
        <v>5.2273666904948186</v>
      </c>
      <c r="AB145" s="230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</row>
    <row r="146" spans="1:42" s="93" customFormat="1" ht="15">
      <c r="A146" s="92"/>
      <c r="B146" s="92"/>
      <c r="C146" s="92"/>
      <c r="D146" s="198" t="s">
        <v>280</v>
      </c>
      <c r="E146" s="198"/>
      <c r="F146" s="198" t="str">
        <f t="shared" si="111"/>
        <v>Электроника и бытовая техника</v>
      </c>
      <c r="G146" s="198" t="s">
        <v>219</v>
      </c>
      <c r="H146" s="323"/>
      <c r="I146" s="324">
        <f>IF(I143=0,0,(I148*I152+I154*I158)/I143)</f>
        <v>25.860445727356826</v>
      </c>
      <c r="J146" s="321"/>
      <c r="K146" s="324">
        <f>IF(K143=0,0,(K148*K152+K154*K158)/K143)</f>
        <v>34.76611614919689</v>
      </c>
      <c r="L146" s="325">
        <f>IF(L143=0,0,(L148*L152+L154*L158)/L143)</f>
        <v>5.2273666904948186</v>
      </c>
      <c r="M146" s="276"/>
      <c r="N146" s="199">
        <f>IF(N143=0,0,(N148*N152+N154*N158)/N143)</f>
        <v>43.30760056974718</v>
      </c>
      <c r="O146" s="173"/>
      <c r="P146" s="199">
        <f>IF(P143=0,0,(P148*P152+P154*P158)/P143)</f>
        <v>43.30760056974718</v>
      </c>
      <c r="Q146" s="241">
        <f>IF(Q143=0,0,(Q148*Q152+Q154*Q158)/Q143)</f>
        <v>0</v>
      </c>
      <c r="R146" s="242"/>
      <c r="S146" s="199">
        <f>IF(S143=0,0,(S148*S152+S154*S158)/S143)</f>
        <v>20.305662229245133</v>
      </c>
      <c r="T146" s="173"/>
      <c r="U146" s="199">
        <f>IF(U143=0,0,(U148*U152+U154*U158)/U143)</f>
        <v>32.21833981305263</v>
      </c>
      <c r="V146" s="241">
        <f>IF(V143=0,0,(V148*V152+V154*V158)/V143)</f>
        <v>1.1264413840617635</v>
      </c>
      <c r="W146" s="242"/>
      <c r="X146" s="199">
        <f>IF(X143=0,0,(X148*X152+X154*X158)/X143)</f>
        <v>25.860445727356826</v>
      </c>
      <c r="Y146" s="173"/>
      <c r="Z146" s="199">
        <f>IF(Z143=0,0,(Z148*Z152+Z154*Z158)/Z143)</f>
        <v>34.76611614919689</v>
      </c>
      <c r="AA146" s="241">
        <f>IF(AA143=0,0,(AA148*AA152+AA154*AA158)/AA143)</f>
        <v>5.2273666904948186</v>
      </c>
      <c r="AB146" s="264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</row>
    <row r="147" spans="1:42" s="50" customFormat="1" ht="11.25">
      <c r="A147" s="48"/>
      <c r="B147" s="48"/>
      <c r="C147" s="48"/>
      <c r="D147" s="154" t="s">
        <v>281</v>
      </c>
      <c r="E147" s="154"/>
      <c r="F147" s="154" t="str">
        <f t="shared" si="111"/>
        <v>Электроника и бытовая техника</v>
      </c>
      <c r="G147" s="154" t="s">
        <v>219</v>
      </c>
      <c r="H147" s="319"/>
      <c r="I147" s="320">
        <f>I145-I146</f>
        <v>75.816683447698779</v>
      </c>
      <c r="J147" s="321"/>
      <c r="K147" s="320">
        <f>K145-K146</f>
        <v>108.54075696361092</v>
      </c>
      <c r="L147" s="322">
        <f>L145-L146</f>
        <v>0</v>
      </c>
      <c r="M147" s="275"/>
      <c r="N147" s="155">
        <f>N145-N146</f>
        <v>41.829144076739297</v>
      </c>
      <c r="O147" s="173"/>
      <c r="P147" s="155">
        <f>P145-P146</f>
        <v>41.829144076739297</v>
      </c>
      <c r="Q147" s="239">
        <f>Q145-Q146</f>
        <v>0</v>
      </c>
      <c r="R147" s="240"/>
      <c r="S147" s="155">
        <f>S145-S146</f>
        <v>44.855766375328173</v>
      </c>
      <c r="T147" s="173"/>
      <c r="U147" s="155">
        <f>U145-U146</f>
        <v>72.716766929885296</v>
      </c>
      <c r="V147" s="239">
        <f>V145-V146</f>
        <v>-1.4551915228366852E-11</v>
      </c>
      <c r="W147" s="240"/>
      <c r="X147" s="155">
        <f>X145-X146</f>
        <v>75.816683447698779</v>
      </c>
      <c r="Y147" s="173"/>
      <c r="Z147" s="155">
        <f>Z145-Z146</f>
        <v>108.54075696361092</v>
      </c>
      <c r="AA147" s="239">
        <f>AA145-AA146</f>
        <v>0</v>
      </c>
      <c r="AB147" s="230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</row>
    <row r="148" spans="1:42" s="5" customFormat="1">
      <c r="A148" s="1"/>
      <c r="B148" s="1"/>
      <c r="C148" s="1"/>
      <c r="D148" s="168"/>
      <c r="E148" s="168" t="s">
        <v>282</v>
      </c>
      <c r="F148" s="168" t="str">
        <f t="shared" si="111"/>
        <v>Электроника и бытовая техника</v>
      </c>
      <c r="G148" s="168" t="s">
        <v>261</v>
      </c>
      <c r="H148" s="326"/>
      <c r="I148" s="327">
        <f>SUMIFS(операции!$V:$V,операции!$T:$T,"&lt;="&amp;I$9,операции!$X:$X,"",операции!$AB:$AB,"&lt;&gt;"&amp;"",операции!$AB:$AB,"&lt;="&amp;I$9,операции!$P:$P,$F87)+SUMIFS(операции!$V:$V,операции!$T:$T,"&lt;="&amp;I$9,операции!$X:$X,"&gt;"&amp;I$9,операции!$AB:$AB,"&lt;&gt;"&amp;"",операции!$AB:$AB,"&lt;="&amp;I$9,операции!$P:$P,$F87)</f>
        <v>64081.01</v>
      </c>
      <c r="J148" s="313">
        <f>I148-K148-L148</f>
        <v>0</v>
      </c>
      <c r="K148" s="327">
        <f>SUMIFS(операции!$V:$V,операции!$T:$T,"&lt;="&amp;I$9,операции!$X:$X,"",операции!$AB:$AB,"&lt;&gt;"&amp;"",операции!$AB:$AB,"&lt;="&amp;I$9,операции!$L:$L,K$9,операции!$P:$P,$F87)+SUMIFS(операции!$V:$V,операции!$T:$T,"&lt;="&amp;I$9,операции!$X:$X,"&gt;"&amp;I$9,операции!$AB:$AB,"&lt;&gt;"&amp;"",операции!$AB:$AB,"&lt;="&amp;I$9,операции!$L:$L,K$9,операции!$P:$P,$F87)</f>
        <v>64081.01</v>
      </c>
      <c r="L148" s="328">
        <f>SUMIFS(операции!$V:$V,операции!$T:$T,"&lt;="&amp;I$9,операции!$X:$X,"",операции!$AB:$AB,"&lt;&gt;"&amp;"",операции!$AB:$AB,"&lt;="&amp;I$9,операции!$L:$L,L$9,операции!$P:$P,$F87)+SUMIFS(операции!$V:$V,операции!$T:$T,"&lt;="&amp;I$9,операции!$X:$X,"&gt;"&amp;I$9,операции!$AB:$AB,"&lt;&gt;"&amp;"",операции!$AB:$AB,"&lt;="&amp;I$9,операции!$L:$L,L$9,операции!$P:$P,$F87)</f>
        <v>0</v>
      </c>
      <c r="M148" s="277"/>
      <c r="N148" s="169">
        <f>SUMIFS(операции!$V:$V,операции!$T:$T,"&lt;="&amp;N$9,операции!$X:$X,"",операции!$AB:$AB,"&lt;&gt;"&amp;"",операции!$AB:$AB,"&lt;="&amp;N$9,операции!$P:$P,$F87)+SUMIFS(операции!$V:$V,операции!$T:$T,"&lt;="&amp;N$9,операции!$X:$X,"&gt;"&amp;N$9,операции!$AB:$AB,"&lt;&gt;"&amp;"",операции!$AB:$AB,"&lt;="&amp;N$9,операции!$P:$P,$F87)</f>
        <v>108670.43000000002</v>
      </c>
      <c r="O148" s="170">
        <f>N148-P148-Q148</f>
        <v>0</v>
      </c>
      <c r="P148" s="169">
        <f>SUMIFS(операции!$V:$V,операции!$T:$T,"&lt;="&amp;N$9,операции!$X:$X,"",операции!$AB:$AB,"&lt;&gt;"&amp;"",операции!$AB:$AB,"&lt;="&amp;N$9,операции!$L:$L,P$9,операции!$P:$P,$F87)+SUMIFS(операции!$V:$V,операции!$T:$T,"&lt;="&amp;N$9,операции!$X:$X,"&gt;"&amp;N$9,операции!$AB:$AB,"&lt;&gt;"&amp;"",операции!$AB:$AB,"&lt;="&amp;N$9,операции!$L:$L,P$9,операции!$P:$P,$F87)</f>
        <v>108670.43000000002</v>
      </c>
      <c r="Q148" s="243">
        <f>SUMIFS(операции!$V:$V,операции!$T:$T,"&lt;="&amp;N$9,операции!$X:$X,"",операции!$AB:$AB,"&lt;&gt;"&amp;"",операции!$AB:$AB,"&lt;="&amp;N$9,операции!$L:$L,Q$9,операции!$P:$P,$F87)+SUMIFS(операции!$V:$V,операции!$T:$T,"&lt;="&amp;N$9,операции!$X:$X,"&gt;"&amp;N$9,операции!$AB:$AB,"&lt;&gt;"&amp;"",операции!$AB:$AB,"&lt;="&amp;N$9,операции!$L:$L,Q$9,операции!$P:$P,$F87)</f>
        <v>0</v>
      </c>
      <c r="R148" s="244"/>
      <c r="S148" s="169">
        <f>SUMIFS(операции!$V:$V,операции!$T:$T,"&lt;="&amp;S$9,операции!$X:$X,"",операции!$AB:$AB,"&lt;&gt;"&amp;"",операции!$AB:$AB,"&lt;="&amp;S$9,операции!$P:$P,$F87)+SUMIFS(операции!$V:$V,операции!$T:$T,"&lt;="&amp;S$9,операции!$X:$X,"&gt;"&amp;S$9,операции!$AB:$AB,"&lt;&gt;"&amp;"",операции!$AB:$AB,"&lt;="&amp;S$9,операции!$P:$P,$F87)</f>
        <v>76748.45</v>
      </c>
      <c r="T148" s="170">
        <f>S148-U148-V148</f>
        <v>0</v>
      </c>
      <c r="U148" s="169">
        <f>SUMIFS(операции!$V:$V,операции!$T:$T,"&lt;="&amp;S$9,операции!$X:$X,"",операции!$AB:$AB,"&lt;&gt;"&amp;"",операции!$AB:$AB,"&lt;="&amp;S$9,операции!$L:$L,U$9,операции!$P:$P,$F87)+SUMIFS(операции!$V:$V,операции!$T:$T,"&lt;="&amp;S$9,операции!$X:$X,"&gt;"&amp;S$9,операции!$AB:$AB,"&lt;&gt;"&amp;"",операции!$AB:$AB,"&lt;="&amp;S$9,операции!$L:$L,U$9,операции!$P:$P,$F87)</f>
        <v>76748.45</v>
      </c>
      <c r="V148" s="243">
        <f>SUMIFS(операции!$V:$V,операции!$T:$T,"&lt;="&amp;S$9,операции!$X:$X,"",операции!$AB:$AB,"&lt;&gt;"&amp;"",операции!$AB:$AB,"&lt;="&amp;S$9,операции!$L:$L,V$9,операции!$P:$P,$F87)+SUMIFS(операции!$V:$V,операции!$T:$T,"&lt;="&amp;S$9,операции!$X:$X,"&gt;"&amp;S$9,операции!$AB:$AB,"&lt;&gt;"&amp;"",операции!$AB:$AB,"&lt;="&amp;S$9,операции!$L:$L,V$9,операции!$P:$P,$F87)</f>
        <v>0</v>
      </c>
      <c r="W148" s="244"/>
      <c r="X148" s="169">
        <f>SUMIFS(операции!$V:$V,операции!$T:$T,"&lt;="&amp;X$9,операции!$X:$X,"",операции!$AB:$AB,"&lt;&gt;"&amp;"",операции!$AB:$AB,"&lt;="&amp;X$9,операции!$P:$P,$F87)+SUMIFS(операции!$V:$V,операции!$T:$T,"&lt;="&amp;X$9,операции!$X:$X,"&gt;"&amp;X$9,операции!$AB:$AB,"&lt;&gt;"&amp;"",операции!$AB:$AB,"&lt;="&amp;X$9,операции!$P:$P,$F87)</f>
        <v>64081.01</v>
      </c>
      <c r="Y148" s="170">
        <f>X148-Z148-AA148</f>
        <v>0</v>
      </c>
      <c r="Z148" s="169">
        <f>SUMIFS(операции!$V:$V,операции!$T:$T,"&lt;="&amp;X$9,операции!$X:$X,"",операции!$AB:$AB,"&lt;&gt;"&amp;"",операции!$AB:$AB,"&lt;="&amp;X$9,операции!$L:$L,Z$9,операции!$P:$P,$F87)+SUMIFS(операции!$V:$V,операции!$T:$T,"&lt;="&amp;X$9,операции!$X:$X,"&gt;"&amp;X$9,операции!$AB:$AB,"&lt;&gt;"&amp;"",операции!$AB:$AB,"&lt;="&amp;X$9,операции!$L:$L,Z$9,операции!$P:$P,$F87)</f>
        <v>64081.01</v>
      </c>
      <c r="AA148" s="243">
        <f>SUMIFS(операции!$V:$V,операции!$T:$T,"&lt;="&amp;X$9,операции!$X:$X,"",операции!$AB:$AB,"&lt;&gt;"&amp;"",операции!$AB:$AB,"&lt;="&amp;X$9,операции!$L:$L,AA$9,операции!$P:$P,$F87)+SUMIFS(операции!$V:$V,операции!$T:$T,"&lt;="&amp;X$9,операции!$X:$X,"&gt;"&amp;X$9,операции!$AB:$AB,"&lt;&gt;"&amp;"",операции!$AB:$AB,"&lt;="&amp;X$9,операции!$L:$L,AA$9,операции!$P:$P,$F87)</f>
        <v>0</v>
      </c>
      <c r="AB148" s="266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s="192" customFormat="1" ht="11.25">
      <c r="A149" s="37"/>
      <c r="B149" s="37"/>
      <c r="C149" s="37"/>
      <c r="D149" s="191"/>
      <c r="E149" s="191" t="s">
        <v>255</v>
      </c>
      <c r="F149" s="191" t="str">
        <f t="shared" si="111"/>
        <v>Электроника и бытовая техника</v>
      </c>
      <c r="G149" s="191" t="s">
        <v>262</v>
      </c>
      <c r="H149" s="315"/>
      <c r="I149" s="316">
        <f>IF(I148=0,0,(SUMIFS(операции!$AF:$AF,операции!$T:$T,"&lt;="&amp;I$9,операции!$X:$X,"",операции!$AB:$AB,"&lt;&gt;"&amp;"",операции!$AB:$AB,"&lt;="&amp;I$9,операции!$P:$P,$F87)+SUMIFS(операции!$AF:$AF,операции!$T:$T,"&lt;="&amp;I$9,операции!$X:$X,"&gt;"&amp;I$9,операции!$AB:$AB,"&lt;&gt;"&amp;"",операции!$AB:$AB,"&lt;="&amp;I$9,операции!$P:$P,$F87))/I148)</f>
        <v>42219.78004201244</v>
      </c>
      <c r="J149" s="317"/>
      <c r="K149" s="316">
        <f>IF(K148=0,0,(SUMIFS(операции!$AF:$AF,операции!$T:$T,"&lt;="&amp;I$9,операции!$X:$X,"",операции!$AB:$AB,"&lt;&gt;"&amp;"",операции!$AB:$AB,"&lt;="&amp;I$9,операции!$L:$L,K$9,операции!$P:$P,$F87)+SUMIFS(операции!$AF:$AF,операции!$T:$T,"&lt;="&amp;I$9,операции!$X:$X,"&gt;"&amp;I$9,операции!$AB:$AB,"&lt;&gt;"&amp;"",операции!$AB:$AB,"&lt;="&amp;I$9,операции!$L:$L,K$9,операции!$P:$P,$F87))/K148)</f>
        <v>42219.78004201244</v>
      </c>
      <c r="L149" s="318">
        <f>IF(L148=0,0,(SUMIFS(операции!$AF:$AF,операции!$T:$T,"&lt;="&amp;I$9,операции!$X:$X,"",операции!$AB:$AB,"&lt;&gt;"&amp;"",операции!$AB:$AB,"&lt;="&amp;I$9,операции!$L:$L,L$9,операции!$P:$P,$F87)+SUMIFS(операции!$AF:$AF,операции!$T:$T,"&lt;="&amp;I$9,операции!$X:$X,"&gt;"&amp;I$9,операции!$AB:$AB,"&lt;&gt;"&amp;"",операции!$AB:$AB,"&lt;="&amp;I$9,операции!$L:$L,L$9,операции!$P:$P,$F87))/L148)</f>
        <v>0</v>
      </c>
      <c r="M149" s="274"/>
      <c r="N149" s="193">
        <f>IF(N148=0,0,(SUMIFS(операции!$AF:$AF,операции!$T:$T,"&lt;="&amp;N$9,операции!$X:$X,"",операции!$AB:$AB,"&lt;&gt;"&amp;"",операции!$AB:$AB,"&lt;="&amp;N$9,операции!$P:$P,$F87)+SUMIFS(операции!$AF:$AF,операции!$T:$T,"&lt;="&amp;N$9,операции!$X:$X,"&gt;"&amp;N$9,операции!$AB:$AB,"&lt;&gt;"&amp;"",операции!$AB:$AB,"&lt;="&amp;N$9,операции!$P:$P,$F87))/N148)</f>
        <v>42224.671525547463</v>
      </c>
      <c r="O149" s="196"/>
      <c r="P149" s="193">
        <f>IF(P148=0,0,(SUMIFS(операции!$AF:$AF,операции!$T:$T,"&lt;="&amp;N$9,операции!$X:$X,"",операции!$AB:$AB,"&lt;&gt;"&amp;"",операции!$AB:$AB,"&lt;="&amp;N$9,операции!$L:$L,P$9,операции!$P:$P,$F87)+SUMIFS(операции!$AF:$AF,операции!$T:$T,"&lt;="&amp;N$9,операции!$X:$X,"&gt;"&amp;N$9,операции!$AB:$AB,"&lt;&gt;"&amp;"",операции!$AB:$AB,"&lt;="&amp;N$9,операции!$L:$L,P$9,операции!$P:$P,$F87))/P148)</f>
        <v>42224.671525547463</v>
      </c>
      <c r="Q149" s="237">
        <f>IF(Q148=0,0,(SUMIFS(операции!$AF:$AF,операции!$T:$T,"&lt;="&amp;N$9,операции!$X:$X,"",операции!$AB:$AB,"&lt;&gt;"&amp;"",операции!$AB:$AB,"&lt;="&amp;N$9,операции!$L:$L,Q$9,операции!$P:$P,$F87)+SUMIFS(операции!$AF:$AF,операции!$T:$T,"&lt;="&amp;N$9,операции!$X:$X,"&gt;"&amp;N$9,операции!$AB:$AB,"&lt;&gt;"&amp;"",операции!$AB:$AB,"&lt;="&amp;N$9,операции!$L:$L,Q$9,операции!$P:$P,$F87))/Q148)</f>
        <v>0</v>
      </c>
      <c r="R149" s="238"/>
      <c r="S149" s="193">
        <f>IF(S148=0,0,(SUMIFS(операции!$AF:$AF,операции!$T:$T,"&lt;="&amp;S$9,операции!$X:$X,"",операции!$AB:$AB,"&lt;&gt;"&amp;"",операции!$AB:$AB,"&lt;="&amp;S$9,операции!$P:$P,$F87)+SUMIFS(операции!$AF:$AF,операции!$T:$T,"&lt;="&amp;S$9,операции!$X:$X,"&gt;"&amp;S$9,операции!$AB:$AB,"&lt;&gt;"&amp;"",операции!$AB:$AB,"&lt;="&amp;S$9,операции!$P:$P,$F87))/S148)</f>
        <v>42224.039571483198</v>
      </c>
      <c r="T149" s="196"/>
      <c r="U149" s="193">
        <f>IF(U148=0,0,(SUMIFS(операции!$AF:$AF,операции!$T:$T,"&lt;="&amp;S$9,операции!$X:$X,"",операции!$AB:$AB,"&lt;&gt;"&amp;"",операции!$AB:$AB,"&lt;="&amp;S$9,операции!$L:$L,U$9,операции!$P:$P,$F87)+SUMIFS(операции!$AF:$AF,операции!$T:$T,"&lt;="&amp;S$9,операции!$X:$X,"&gt;"&amp;S$9,операции!$AB:$AB,"&lt;&gt;"&amp;"",операции!$AB:$AB,"&lt;="&amp;S$9,операции!$L:$L,U$9,операции!$P:$P,$F87))/U148)</f>
        <v>42224.039571483198</v>
      </c>
      <c r="V149" s="237">
        <f>IF(V148=0,0,(SUMIFS(операции!$AF:$AF,операции!$T:$T,"&lt;="&amp;S$9,операции!$X:$X,"",операции!$AB:$AB,"&lt;&gt;"&amp;"",операции!$AB:$AB,"&lt;="&amp;S$9,операции!$L:$L,V$9,операции!$P:$P,$F87)+SUMIFS(операции!$AF:$AF,операции!$T:$T,"&lt;="&amp;S$9,операции!$X:$X,"&gt;"&amp;S$9,операции!$AB:$AB,"&lt;&gt;"&amp;"",операции!$AB:$AB,"&lt;="&amp;S$9,операции!$L:$L,V$9,операции!$P:$P,$F87))/V148)</f>
        <v>0</v>
      </c>
      <c r="W149" s="238"/>
      <c r="X149" s="193">
        <f>IF(X148=0,0,(SUMIFS(операции!$AF:$AF,операции!$T:$T,"&lt;="&amp;X$9,операции!$X:$X,"",операции!$AB:$AB,"&lt;&gt;"&amp;"",операции!$AB:$AB,"&lt;="&amp;X$9,операции!$P:$P,$F87)+SUMIFS(операции!$AF:$AF,операции!$T:$T,"&lt;="&amp;X$9,операции!$X:$X,"&gt;"&amp;X$9,операции!$AB:$AB,"&lt;&gt;"&amp;"",операции!$AB:$AB,"&lt;="&amp;X$9,операции!$P:$P,$F87))/X148)</f>
        <v>42219.78004201244</v>
      </c>
      <c r="Y149" s="196"/>
      <c r="Z149" s="193">
        <f>IF(Z148=0,0,(SUMIFS(операции!$AF:$AF,операции!$T:$T,"&lt;="&amp;X$9,операции!$X:$X,"",операции!$AB:$AB,"&lt;&gt;"&amp;"",операции!$AB:$AB,"&lt;="&amp;X$9,операции!$L:$L,Z$9,операции!$P:$P,$F87)+SUMIFS(операции!$AF:$AF,операции!$T:$T,"&lt;="&amp;X$9,операции!$X:$X,"&gt;"&amp;X$9,операции!$AB:$AB,"&lt;&gt;"&amp;"",операции!$AB:$AB,"&lt;="&amp;X$9,операции!$L:$L,Z$9,операции!$P:$P,$F87))/Z148)</f>
        <v>42219.78004201244</v>
      </c>
      <c r="AA149" s="237">
        <f>IF(AA148=0,0,(SUMIFS(операции!$AF:$AF,операции!$T:$T,"&lt;="&amp;X$9,операции!$X:$X,"",операции!$AB:$AB,"&lt;&gt;"&amp;"",операции!$AB:$AB,"&lt;="&amp;X$9,операции!$L:$L,AA$9,операции!$P:$P,$F87)+SUMIFS(операции!$AF:$AF,операции!$T:$T,"&lt;="&amp;X$9,операции!$X:$X,"&gt;"&amp;X$9,операции!$AB:$AB,"&lt;&gt;"&amp;"",операции!$AB:$AB,"&lt;="&amp;X$9,операции!$L:$L,AA$9,операции!$P:$P,$F87))/AA148)</f>
        <v>0</v>
      </c>
      <c r="AB149" s="265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</row>
    <row r="150" spans="1:42" s="192" customFormat="1" ht="11.25">
      <c r="A150" s="37"/>
      <c r="B150" s="37"/>
      <c r="C150" s="37"/>
      <c r="D150" s="191"/>
      <c r="E150" s="191" t="s">
        <v>283</v>
      </c>
      <c r="F150" s="191" t="str">
        <f t="shared" si="111"/>
        <v>Электроника и бытовая техника</v>
      </c>
      <c r="G150" s="191" t="s">
        <v>219</v>
      </c>
      <c r="H150" s="315"/>
      <c r="I150" s="329">
        <f>IF(I148=0,0,I$9-I149)</f>
        <v>149.21995798755961</v>
      </c>
      <c r="J150" s="317"/>
      <c r="K150" s="329">
        <f>IF(K148=0,0,I$9-K149)</f>
        <v>149.21995798755961</v>
      </c>
      <c r="L150" s="330">
        <f>IF(L148=0,0,I$9-L149)</f>
        <v>0</v>
      </c>
      <c r="M150" s="274"/>
      <c r="N150" s="156">
        <f>IF(N148=0,0,N$9-N149)</f>
        <v>83.328474452537193</v>
      </c>
      <c r="O150" s="196"/>
      <c r="P150" s="156">
        <f>IF(P148=0,0,N$9-P149)</f>
        <v>83.328474452537193</v>
      </c>
      <c r="Q150" s="245">
        <f>IF(Q148=0,0,N$9-Q149)</f>
        <v>0</v>
      </c>
      <c r="R150" s="238"/>
      <c r="S150" s="156">
        <f>IF(S148=0,0,S$9-S149)</f>
        <v>113.96042851680249</v>
      </c>
      <c r="T150" s="196"/>
      <c r="U150" s="156">
        <f>IF(U148=0,0,S$9-U149)</f>
        <v>113.96042851680249</v>
      </c>
      <c r="V150" s="245">
        <f>IF(V148=0,0,S$9-V149)</f>
        <v>0</v>
      </c>
      <c r="W150" s="238"/>
      <c r="X150" s="156">
        <f>IF(X148=0,0,X$9-X149)</f>
        <v>149.21995798755961</v>
      </c>
      <c r="Y150" s="196"/>
      <c r="Z150" s="156">
        <f>IF(Z148=0,0,X$9-Z149)</f>
        <v>149.21995798755961</v>
      </c>
      <c r="AA150" s="245">
        <f>IF(AA148=0,0,X$9-AA149)</f>
        <v>0</v>
      </c>
      <c r="AB150" s="265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</row>
    <row r="151" spans="1:42" s="192" customFormat="1" ht="11.25">
      <c r="A151" s="37"/>
      <c r="B151" s="37"/>
      <c r="C151" s="37"/>
      <c r="D151" s="191"/>
      <c r="E151" s="191" t="s">
        <v>259</v>
      </c>
      <c r="F151" s="191" t="str">
        <f t="shared" si="111"/>
        <v>Электроника и бытовая техника</v>
      </c>
      <c r="G151" s="191" t="s">
        <v>262</v>
      </c>
      <c r="H151" s="315"/>
      <c r="I151" s="316">
        <f>IF(I148=0,0,(SUMIFS(операции!$AH:$AH,операции!$T:$T,"&lt;="&amp;I$9,операции!$X:$X,"",операции!$AB:$AB,"&lt;&gt;"&amp;"",операции!$AB:$AB,"&lt;="&amp;I$9,операции!$P:$P,$F87)+SUMIFS(операции!$AH:$AH,операции!$T:$T,"&lt;="&amp;I$9,операции!$X:$X,"&gt;"&amp;I$9,операции!$AB:$AB,"&lt;&gt;"&amp;"",операции!$AB:$AB,"&lt;="&amp;I$9,операции!$P:$P,$F87))/I148)</f>
        <v>42247.979065092761</v>
      </c>
      <c r="J151" s="317"/>
      <c r="K151" s="316">
        <f>IF(K148=0,0,(SUMIFS(операции!$AH:$AH,операции!$T:$T,"&lt;="&amp;I$9,операции!$X:$X,"",операции!$AB:$AB,"&lt;&gt;"&amp;"",операции!$AB:$AB,"&lt;="&amp;I$9,операции!$L:$L,K$9,операции!$P:$P,$F87)+SUMIFS(операции!$AH:$AH,операции!$T:$T,"&lt;="&amp;I$9,операции!$X:$X,"&gt;"&amp;I$9,операции!$AB:$AB,"&lt;&gt;"&amp;"",операции!$AB:$AB,"&lt;="&amp;I$9,операции!$L:$L,K$9,операции!$P:$P,$F87))/K148)</f>
        <v>42247.979065092761</v>
      </c>
      <c r="L151" s="318">
        <f>IF(L148=0,0,(SUMIFS(операции!$AH:$AH,операции!$T:$T,"&lt;="&amp;I$9,операции!$X:$X,"",операции!$AB:$AB,"&lt;&gt;"&amp;"",операции!$AB:$AB,"&lt;="&amp;I$9,операции!$L:$L,L$9,операции!$P:$P,$F87)+SUMIFS(операции!$AH:$AH,операции!$T:$T,"&lt;="&amp;I$9,операции!$X:$X,"&gt;"&amp;I$9,операции!$AB:$AB,"&lt;&gt;"&amp;"",операции!$AB:$AB,"&lt;="&amp;I$9,операции!$L:$L,L$9,операции!$P:$P,$F87))/L148)</f>
        <v>0</v>
      </c>
      <c r="M151" s="274"/>
      <c r="N151" s="193">
        <f>IF(N148=0,0,(SUMIFS(операции!$AH:$AH,операции!$T:$T,"&lt;="&amp;N$9,операции!$X:$X,"",операции!$AB:$AB,"&lt;&gt;"&amp;"",операции!$AB:$AB,"&lt;="&amp;N$9,операции!$P:$P,$F87)+SUMIFS(операции!$AH:$AH,операции!$T:$T,"&lt;="&amp;N$9,операции!$X:$X,"&gt;"&amp;N$9,операции!$AB:$AB,"&lt;&gt;"&amp;"",операции!$AB:$AB,"&lt;="&amp;N$9,операции!$P:$P,$F87))/N148)</f>
        <v>42257.498261762637</v>
      </c>
      <c r="O151" s="196"/>
      <c r="P151" s="193">
        <f>IF(P148=0,0,(SUMIFS(операции!$AH:$AH,операции!$T:$T,"&lt;="&amp;N$9,операции!$X:$X,"",операции!$AB:$AB,"&lt;&gt;"&amp;"",операции!$AB:$AB,"&lt;="&amp;N$9,операции!$L:$L,P$9,операции!$P:$P,$F87)+SUMIFS(операции!$AH:$AH,операции!$T:$T,"&lt;="&amp;N$9,операции!$X:$X,"&gt;"&amp;N$9,операции!$AB:$AB,"&lt;&gt;"&amp;"",операции!$AB:$AB,"&lt;="&amp;N$9,операции!$L:$L,P$9,операции!$P:$P,$F87))/P148)</f>
        <v>42257.498261762637</v>
      </c>
      <c r="Q151" s="237">
        <f>IF(Q148=0,0,(SUMIFS(операции!$AH:$AH,операции!$T:$T,"&lt;="&amp;N$9,операции!$X:$X,"",операции!$AB:$AB,"&lt;&gt;"&amp;"",операции!$AB:$AB,"&lt;="&amp;N$9,операции!$L:$L,Q$9,операции!$P:$P,$F87)+SUMIFS(операции!$AH:$AH,операции!$T:$T,"&lt;="&amp;N$9,операции!$X:$X,"&gt;"&amp;N$9,операции!$AB:$AB,"&lt;&gt;"&amp;"",операции!$AB:$AB,"&lt;="&amp;N$9,операции!$L:$L,Q$9,операции!$P:$P,$F87))/Q148)</f>
        <v>0</v>
      </c>
      <c r="R151" s="238"/>
      <c r="S151" s="193">
        <f>IF(S148=0,0,(SUMIFS(операции!$AH:$AH,операции!$T:$T,"&lt;="&amp;S$9,операции!$X:$X,"",операции!$AB:$AB,"&lt;&gt;"&amp;"",операции!$AB:$AB,"&lt;="&amp;S$9,операции!$P:$P,$F87)+SUMIFS(операции!$AH:$AH,операции!$T:$T,"&lt;="&amp;S$9,операции!$X:$X,"&gt;"&amp;S$9,операции!$AB:$AB,"&lt;&gt;"&amp;"",операции!$AB:$AB,"&lt;="&amp;S$9,операции!$P:$P,$F87))/S148)</f>
        <v>42253.884055117727</v>
      </c>
      <c r="T151" s="196"/>
      <c r="U151" s="193">
        <f>IF(U148=0,0,(SUMIFS(операции!$AH:$AH,операции!$T:$T,"&lt;="&amp;S$9,операции!$X:$X,"",операции!$AB:$AB,"&lt;&gt;"&amp;"",операции!$AB:$AB,"&lt;="&amp;S$9,операции!$L:$L,U$9,операции!$P:$P,$F87)+SUMIFS(операции!$AH:$AH,операции!$T:$T,"&lt;="&amp;S$9,операции!$X:$X,"&gt;"&amp;S$9,операции!$AB:$AB,"&lt;&gt;"&amp;"",операции!$AB:$AB,"&lt;="&amp;S$9,операции!$L:$L,U$9,операции!$P:$P,$F87))/U148)</f>
        <v>42253.884055117727</v>
      </c>
      <c r="V151" s="237">
        <f>IF(V148=0,0,(SUMIFS(операции!$AH:$AH,операции!$T:$T,"&lt;="&amp;S$9,операции!$X:$X,"",операции!$AB:$AB,"&lt;&gt;"&amp;"",операции!$AB:$AB,"&lt;="&amp;S$9,операции!$L:$L,V$9,операции!$P:$P,$F87)+SUMIFS(операции!$AH:$AH,операции!$T:$T,"&lt;="&amp;S$9,операции!$X:$X,"&gt;"&amp;S$9,операции!$AB:$AB,"&lt;&gt;"&amp;"",операции!$AB:$AB,"&lt;="&amp;S$9,операции!$L:$L,V$9,операции!$P:$P,$F87))/V148)</f>
        <v>0</v>
      </c>
      <c r="W151" s="238"/>
      <c r="X151" s="193">
        <f>IF(X148=0,0,(SUMIFS(операции!$AH:$AH,операции!$T:$T,"&lt;="&amp;X$9,операции!$X:$X,"",операции!$AB:$AB,"&lt;&gt;"&amp;"",операции!$AB:$AB,"&lt;="&amp;X$9,операции!$P:$P,$F87)+SUMIFS(операции!$AH:$AH,операции!$T:$T,"&lt;="&amp;X$9,операции!$X:$X,"&gt;"&amp;X$9,операции!$AB:$AB,"&lt;&gt;"&amp;"",операции!$AB:$AB,"&lt;="&amp;X$9,операции!$P:$P,$F87))/X148)</f>
        <v>42247.979065092761</v>
      </c>
      <c r="Y151" s="196"/>
      <c r="Z151" s="193">
        <f>IF(Z148=0,0,(SUMIFS(операции!$AH:$AH,операции!$T:$T,"&lt;="&amp;X$9,операции!$X:$X,"",операции!$AB:$AB,"&lt;&gt;"&amp;"",операции!$AB:$AB,"&lt;="&amp;X$9,операции!$L:$L,Z$9,операции!$P:$P,$F87)+SUMIFS(операции!$AH:$AH,операции!$T:$T,"&lt;="&amp;X$9,операции!$X:$X,"&gt;"&amp;X$9,операции!$AB:$AB,"&lt;&gt;"&amp;"",операции!$AB:$AB,"&lt;="&amp;X$9,операции!$L:$L,Z$9,операции!$P:$P,$F87))/Z148)</f>
        <v>42247.979065092761</v>
      </c>
      <c r="AA151" s="237">
        <f>IF(AA148=0,0,(SUMIFS(операции!$AH:$AH,операции!$T:$T,"&lt;="&amp;X$9,операции!$X:$X,"",операции!$AB:$AB,"&lt;&gt;"&amp;"",операции!$AB:$AB,"&lt;="&amp;X$9,операции!$L:$L,AA$9,операции!$P:$P,$F87)+SUMIFS(операции!$AH:$AH,операции!$T:$T,"&lt;="&amp;X$9,операции!$X:$X,"&gt;"&amp;X$9,операции!$AB:$AB,"&lt;&gt;"&amp;"",операции!$AB:$AB,"&lt;="&amp;X$9,операции!$L:$L,AA$9,операции!$P:$P,$F87))/AA148)</f>
        <v>0</v>
      </c>
      <c r="AB151" s="265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</row>
    <row r="152" spans="1:42" s="192" customFormat="1" ht="11.25">
      <c r="A152" s="37"/>
      <c r="B152" s="37"/>
      <c r="C152" s="37"/>
      <c r="D152" s="191"/>
      <c r="E152" s="191" t="s">
        <v>284</v>
      </c>
      <c r="F152" s="191" t="str">
        <f t="shared" si="111"/>
        <v>Электроника и бытовая техника</v>
      </c>
      <c r="G152" s="191" t="s">
        <v>219</v>
      </c>
      <c r="H152" s="315"/>
      <c r="I152" s="329">
        <f>I151-I149</f>
        <v>28.19902308032033</v>
      </c>
      <c r="J152" s="317"/>
      <c r="K152" s="329">
        <f>K151-K149</f>
        <v>28.19902308032033</v>
      </c>
      <c r="L152" s="330">
        <f>L151-L149</f>
        <v>0</v>
      </c>
      <c r="M152" s="274"/>
      <c r="N152" s="156">
        <f>N151-N149</f>
        <v>32.826736215174606</v>
      </c>
      <c r="O152" s="196"/>
      <c r="P152" s="156">
        <f>P151-P149</f>
        <v>32.826736215174606</v>
      </c>
      <c r="Q152" s="245">
        <f>Q151-Q149</f>
        <v>0</v>
      </c>
      <c r="R152" s="238"/>
      <c r="S152" s="156">
        <f>S151-S149</f>
        <v>29.844483634529752</v>
      </c>
      <c r="T152" s="196"/>
      <c r="U152" s="156">
        <f>U151-U149</f>
        <v>29.844483634529752</v>
      </c>
      <c r="V152" s="245">
        <f>V151-V149</f>
        <v>0</v>
      </c>
      <c r="W152" s="238"/>
      <c r="X152" s="156">
        <f>X151-X149</f>
        <v>28.19902308032033</v>
      </c>
      <c r="Y152" s="196"/>
      <c r="Z152" s="156">
        <f>Z151-Z149</f>
        <v>28.19902308032033</v>
      </c>
      <c r="AA152" s="245">
        <f>AA151-AA149</f>
        <v>0</v>
      </c>
      <c r="AB152" s="265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</row>
    <row r="153" spans="1:42" s="192" customFormat="1" ht="11.25">
      <c r="A153" s="37"/>
      <c r="B153" s="37"/>
      <c r="C153" s="37"/>
      <c r="D153" s="191"/>
      <c r="E153" s="191" t="s">
        <v>285</v>
      </c>
      <c r="F153" s="191" t="str">
        <f t="shared" si="111"/>
        <v>Электроника и бытовая техника</v>
      </c>
      <c r="G153" s="191" t="s">
        <v>219</v>
      </c>
      <c r="H153" s="315"/>
      <c r="I153" s="329">
        <f>I150-I152</f>
        <v>121.02093490723928</v>
      </c>
      <c r="J153" s="317"/>
      <c r="K153" s="329">
        <f>K150-K152</f>
        <v>121.02093490723928</v>
      </c>
      <c r="L153" s="330">
        <f>L150-L152</f>
        <v>0</v>
      </c>
      <c r="M153" s="274"/>
      <c r="N153" s="156">
        <f>N150-N152</f>
        <v>50.501738237362588</v>
      </c>
      <c r="O153" s="196"/>
      <c r="P153" s="156">
        <f>P150-P152</f>
        <v>50.501738237362588</v>
      </c>
      <c r="Q153" s="245">
        <f>Q150-Q152</f>
        <v>0</v>
      </c>
      <c r="R153" s="238"/>
      <c r="S153" s="156">
        <f>S150-S152</f>
        <v>84.115944882272743</v>
      </c>
      <c r="T153" s="196"/>
      <c r="U153" s="156">
        <f>U150-U152</f>
        <v>84.115944882272743</v>
      </c>
      <c r="V153" s="245">
        <f>V150-V152</f>
        <v>0</v>
      </c>
      <c r="W153" s="238"/>
      <c r="X153" s="156">
        <f>X150-X152</f>
        <v>121.02093490723928</v>
      </c>
      <c r="Y153" s="196"/>
      <c r="Z153" s="156">
        <f>Z150-Z152</f>
        <v>121.02093490723928</v>
      </c>
      <c r="AA153" s="245">
        <f>AA150-AA152</f>
        <v>0</v>
      </c>
      <c r="AB153" s="265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</row>
    <row r="154" spans="1:42" s="5" customFormat="1">
      <c r="A154" s="1"/>
      <c r="B154" s="1"/>
      <c r="C154" s="1"/>
      <c r="D154" s="168"/>
      <c r="E154" s="168" t="s">
        <v>286</v>
      </c>
      <c r="F154" s="168" t="str">
        <f t="shared" si="111"/>
        <v>Электроника и бытовая техника</v>
      </c>
      <c r="G154" s="168" t="s">
        <v>261</v>
      </c>
      <c r="H154" s="326"/>
      <c r="I154" s="327">
        <f>SUMIFS(операции!$V:$V,операции!$T:$T,"&lt;="&amp;I$9,операции!$X:$X,"",операции!$AB:$AB,"",операции!$P:$P,$F87)+SUMIFS(операции!$V:$V,операции!$T:$T,"&lt;="&amp;I$9,операции!$X:$X,"&gt;"&amp;I$9,операции!$AB:$AB,"",операции!$P:$P,$F87)+SUMIFS(операции!$V:$V,операции!$T:$T,"&lt;="&amp;I$9,операции!$X:$X,"",операции!$AB:$AB,"&gt;"&amp;I$9,операции!$P:$P,$F87)+SUMIFS(операции!$V:$V,операции!$T:$T,"&lt;="&amp;I$9,операции!$X:$X,"&gt;"&amp;I$9,операции!$AB:$AB,"&gt;"&amp;I$9,операции!$P:$P,$F87)</f>
        <v>38207.08</v>
      </c>
      <c r="J154" s="313">
        <f>I154-K154-L154</f>
        <v>0</v>
      </c>
      <c r="K154" s="327">
        <f>SUMIFS(операции!$V:$V,операции!$T:$T,"&lt;="&amp;I$9,операции!$X:$X,"",операции!$AB:$AB,"",операции!$L:$L,K$9,операции!$P:$P,$F87)+SUMIFS(операции!$V:$V,операции!$T:$T,"&lt;="&amp;I$9,операции!$X:$X,"&gt;"&amp;I$9,операции!$AB:$AB,"",операции!$L:$L,K$9,операции!$P:$P,$F87)+SUMIFS(операции!$V:$V,операции!$T:$T,"&lt;="&amp;I$9,операции!$X:$X,"",операции!$AB:$AB,"&gt;"&amp;I$9,операции!$L:$L,K$9,операции!$P:$P,$F87)+SUMIFS(операции!$V:$V,операции!$T:$T,"&lt;="&amp;I$9,операции!$X:$X,"&gt;"&amp;I$9,операции!$AB:$AB,"&gt;"&amp;I$9,операции!$L:$L,K$9,операции!$P:$P,$F87)</f>
        <v>7368.13</v>
      </c>
      <c r="L154" s="328">
        <f>SUMIFS(операции!$V:$V,операции!$T:$T,"&lt;="&amp;I$9,операции!$X:$X,"",операции!$AB:$AB,"",операции!$L:$L,L$9,операции!$P:$P,$F87)+SUMIFS(операции!$V:$V,операции!$T:$T,"&lt;="&amp;I$9,операции!$X:$X,"&gt;"&amp;I$9,операции!$AB:$AB,"",операции!$L:$L,L$9,операции!$P:$P,$F87)+SUMIFS(операции!$V:$V,операции!$T:$T,"&lt;="&amp;I$9,операции!$X:$X,"",операции!$AB:$AB,"&gt;"&amp;I$9,операции!$L:$L,L$9,операции!$P:$P,$F87)+SUMIFS(операции!$V:$V,операции!$T:$T,"&lt;="&amp;I$9,операции!$X:$X,"&gt;"&amp;I$9,операции!$AB:$AB,"&gt;"&amp;I$9,операции!$L:$L,L$9,операции!$P:$P,$F87)</f>
        <v>30838.95</v>
      </c>
      <c r="M154" s="277"/>
      <c r="N154" s="169">
        <f>SUMIFS(операции!$V:$V,операции!$T:$T,"&lt;="&amp;N$9,операции!$X:$X,"",операции!$AB:$AB,"",операции!$P:$P,$F87)+SUMIFS(операции!$V:$V,операции!$T:$T,"&lt;="&amp;N$9,операции!$X:$X,"&gt;"&amp;N$9,операции!$AB:$AB,"",операции!$P:$P,$F87)+SUMIFS(операции!$V:$V,операции!$T:$T,"&lt;="&amp;N$9,операции!$X:$X,"",операции!$AB:$AB,"&gt;"&amp;N$9,операции!$P:$P,$F87)+SUMIFS(операции!$V:$V,операции!$T:$T,"&lt;="&amp;N$9,операции!$X:$X,"&gt;"&amp;N$9,операции!$AB:$AB,"&gt;"&amp;N$9,операции!$P:$P,$F87)</f>
        <v>22531.050000000003</v>
      </c>
      <c r="O154" s="170">
        <f>N154-P154-Q154</f>
        <v>0</v>
      </c>
      <c r="P154" s="169">
        <f>SUMIFS(операции!$V:$V,операции!$T:$T,"&lt;="&amp;N$9,операции!$X:$X,"",операции!$AB:$AB,"",операции!$L:$L,P$9,операции!$P:$P,$F87)+SUMIFS(операции!$V:$V,операции!$T:$T,"&lt;="&amp;N$9,операции!$X:$X,"&gt;"&amp;N$9,операции!$AB:$AB,"",операции!$L:$L,P$9,операции!$P:$P,$F87)+SUMIFS(операции!$V:$V,операции!$T:$T,"&lt;="&amp;N$9,операции!$X:$X,"",операции!$AB:$AB,"&gt;"&amp;N$9,операции!$L:$L,P$9,операции!$P:$P,$F87)+SUMIFS(операции!$V:$V,операции!$T:$T,"&lt;="&amp;N$9,операции!$X:$X,"&gt;"&amp;N$9,операции!$AB:$AB,"&gt;"&amp;N$9,операции!$L:$L,P$9,операции!$P:$P,$F87)</f>
        <v>22531.050000000003</v>
      </c>
      <c r="Q154" s="243">
        <f>SUMIFS(операции!$V:$V,операции!$T:$T,"&lt;="&amp;N$9,операции!$X:$X,"",операции!$AB:$AB,"",операции!$L:$L,Q$9,операции!$P:$P,$F87)+SUMIFS(операции!$V:$V,операции!$T:$T,"&lt;="&amp;N$9,операции!$X:$X,"&gt;"&amp;N$9,операции!$AB:$AB,"",операции!$L:$L,Q$9,операции!$P:$P,$F87)+SUMIFS(операции!$V:$V,операции!$T:$T,"&lt;="&amp;N$9,операции!$X:$X,"",операции!$AB:$AB,"&gt;"&amp;N$9,операции!$L:$L,Q$9,операции!$P:$P,$F87)+SUMIFS(операции!$V:$V,операции!$T:$T,"&lt;="&amp;N$9,операции!$X:$X,"&gt;"&amp;N$9,операции!$AB:$AB,"&gt;"&amp;N$9,операции!$L:$L,Q$9,операции!$P:$P,$F87)</f>
        <v>0</v>
      </c>
      <c r="R154" s="244"/>
      <c r="S154" s="169">
        <f>SUMIFS(операции!$V:$V,операции!$T:$T,"&lt;="&amp;S$9,операции!$X:$X,"",операции!$AB:$AB,"",операции!$P:$P,$F87)+SUMIFS(операции!$V:$V,операции!$T:$T,"&lt;="&amp;S$9,операции!$X:$X,"&gt;"&amp;S$9,операции!$AB:$AB,"",операции!$P:$P,$F87)+SUMIFS(операции!$V:$V,операции!$T:$T,"&lt;="&amp;S$9,операции!$X:$X,"",операции!$AB:$AB,"&gt;"&amp;S$9,операции!$P:$P,$F87)+SUMIFS(операции!$V:$V,операции!$T:$T,"&lt;="&amp;S$9,операции!$X:$X,"&gt;"&amp;S$9,операции!$AB:$AB,"&gt;"&amp;S$9,операции!$P:$P,$F87)</f>
        <v>67174.37</v>
      </c>
      <c r="T154" s="170">
        <f>S154-U154-V154</f>
        <v>0</v>
      </c>
      <c r="U154" s="169">
        <f>SUMIFS(операции!$V:$V,операции!$T:$T,"&lt;="&amp;S$9,операции!$X:$X,"",операции!$AB:$AB,"",операции!$L:$L,U$9,операции!$P:$P,$F87)+SUMIFS(операции!$V:$V,операции!$T:$T,"&lt;="&amp;S$9,операции!$X:$X,"&gt;"&amp;S$9,операции!$AB:$AB,"",операции!$L:$L,U$9,операции!$P:$P,$F87)+SUMIFS(операции!$V:$V,операции!$T:$T,"&lt;="&amp;S$9,операции!$X:$X,"",операции!$AB:$AB,"&gt;"&amp;S$9,операции!$L:$L,U$9,операции!$P:$P,$F87)+SUMIFS(операции!$V:$V,операции!$T:$T,"&lt;="&amp;S$9,операции!$X:$X,"&gt;"&amp;S$9,операции!$AB:$AB,"&gt;"&amp;S$9,операции!$L:$L,U$9,операции!$P:$P,$F87)</f>
        <v>12031.19</v>
      </c>
      <c r="V154" s="243">
        <f>SUMIFS(операции!$V:$V,операции!$T:$T,"&lt;="&amp;S$9,операции!$X:$X,"",операции!$AB:$AB,"",операции!$L:$L,V$9,операции!$P:$P,$F87)+SUMIFS(операции!$V:$V,операции!$T:$T,"&lt;="&amp;S$9,операции!$X:$X,"&gt;"&amp;S$9,операции!$AB:$AB,"",операции!$L:$L,V$9,операции!$P:$P,$F87)+SUMIFS(операции!$V:$V,операции!$T:$T,"&lt;="&amp;S$9,операции!$X:$X,"",операции!$AB:$AB,"&gt;"&amp;S$9,операции!$L:$L,V$9,операции!$P:$P,$F87)+SUMIFS(операции!$V:$V,операции!$T:$T,"&lt;="&amp;S$9,операции!$X:$X,"&gt;"&amp;S$9,операции!$AB:$AB,"&gt;"&amp;S$9,операции!$L:$L,V$9,операции!$P:$P,$F87)</f>
        <v>55143.180000000008</v>
      </c>
      <c r="W154" s="244"/>
      <c r="X154" s="169">
        <f>SUMIFS(операции!$V:$V,операции!$T:$T,"&lt;="&amp;X$9,операции!$X:$X,"",операции!$AB:$AB,"",операции!$P:$P,$F87)+SUMIFS(операции!$V:$V,операции!$T:$T,"&lt;="&amp;X$9,операции!$X:$X,"&gt;"&amp;X$9,операции!$AB:$AB,"",операции!$P:$P,$F87)+SUMIFS(операции!$V:$V,операции!$T:$T,"&lt;="&amp;X$9,операции!$X:$X,"",операции!$AB:$AB,"&gt;"&amp;X$9,операции!$P:$P,$F87)+SUMIFS(операции!$V:$V,операции!$T:$T,"&lt;="&amp;X$9,операции!$X:$X,"&gt;"&amp;X$9,операции!$AB:$AB,"&gt;"&amp;X$9,операции!$P:$P,$F87)</f>
        <v>38207.08</v>
      </c>
      <c r="Y154" s="170">
        <f>X154-Z154-AA154</f>
        <v>0</v>
      </c>
      <c r="Z154" s="169">
        <f>SUMIFS(операции!$V:$V,операции!$T:$T,"&lt;="&amp;X$9,операции!$X:$X,"",операции!$AB:$AB,"",операции!$L:$L,Z$9,операции!$P:$P,$F87)+SUMIFS(операции!$V:$V,операции!$T:$T,"&lt;="&amp;X$9,операции!$X:$X,"&gt;"&amp;X$9,операции!$AB:$AB,"",операции!$L:$L,Z$9,операции!$P:$P,$F87)+SUMIFS(операции!$V:$V,операции!$T:$T,"&lt;="&amp;X$9,операции!$X:$X,"",операции!$AB:$AB,"&gt;"&amp;X$9,операции!$L:$L,Z$9,операции!$P:$P,$F87)+SUMIFS(операции!$V:$V,операции!$T:$T,"&lt;="&amp;X$9,операции!$X:$X,"&gt;"&amp;X$9,операции!$AB:$AB,"&gt;"&amp;X$9,операции!$L:$L,Z$9,операции!$P:$P,$F87)</f>
        <v>7368.13</v>
      </c>
      <c r="AA154" s="243">
        <f>SUMIFS(операции!$V:$V,операции!$T:$T,"&lt;="&amp;X$9,операции!$X:$X,"",операции!$AB:$AB,"",операции!$L:$L,AA$9,операции!$P:$P,$F87)+SUMIFS(операции!$V:$V,операции!$T:$T,"&lt;="&amp;X$9,операции!$X:$X,"&gt;"&amp;X$9,операции!$AB:$AB,"",операции!$L:$L,AA$9,операции!$P:$P,$F87)+SUMIFS(операции!$V:$V,операции!$T:$T,"&lt;="&amp;X$9,операции!$X:$X,"",операции!$AB:$AB,"&gt;"&amp;X$9,операции!$L:$L,AA$9,операции!$P:$P,$F87)+SUMIFS(операции!$V:$V,операции!$T:$T,"&lt;="&amp;X$9,операции!$X:$X,"&gt;"&amp;X$9,операции!$AB:$AB,"&gt;"&amp;X$9,операции!$L:$L,AA$9,операции!$P:$P,$F87)</f>
        <v>30838.95</v>
      </c>
      <c r="AB154" s="266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s="192" customFormat="1" ht="11.25">
      <c r="A155" s="37"/>
      <c r="B155" s="37"/>
      <c r="C155" s="37"/>
      <c r="D155" s="191"/>
      <c r="E155" s="191" t="s">
        <v>255</v>
      </c>
      <c r="F155" s="191" t="str">
        <f t="shared" si="111"/>
        <v>Электроника и бытовая техника</v>
      </c>
      <c r="G155" s="191" t="s">
        <v>262</v>
      </c>
      <c r="H155" s="315"/>
      <c r="I155" s="316">
        <f>IF(I154=0,0,(SUMIFS(операции!$AF:$AF,операции!$T:$T,"&lt;="&amp;I$9,операции!$X:$X,"",операции!$AB:$AB,"",операции!$P:$P,$F87)+SUMIFS(операции!$AF:$AF,операции!$T:$T,"&lt;="&amp;I$9,операции!$X:$X,"&gt;"&amp;I$9,операции!$AB:$AB,"",операции!$P:$P,$F87)+SUMIFS(операции!$AF:$AF,операции!$T:$T,"&lt;="&amp;I$9,операции!$X:$X,"",операции!$AB:$AB,"&gt;"&amp;I$9,операции!$P:$P,$F87)+SUMIFS(операции!$AF:$AF,операции!$T:$T,"&lt;="&amp;I$9,операции!$X:$X,"&gt;"&amp;I$9,операции!$AB:$AB,"&gt;"&amp;I$9,операции!$P:$P,$F87))/I154)</f>
        <v>42347.061822049742</v>
      </c>
      <c r="J155" s="317"/>
      <c r="K155" s="316">
        <f>IF(K154=0,0,(SUMIFS(операции!$AF:$AF,операции!$T:$T,"&lt;="&amp;I$9,операции!$X:$X,"",операции!$AB:$AB,"",операции!$L:$L,K$9,операции!$P:$P,$F87)+SUMIFS(операции!$AF:$AF,операции!$T:$T,"&lt;="&amp;I$9,операции!$X:$X,"&gt;"&amp;I$9,операции!$AB:$AB,"",операции!$L:$L,K$9,операции!$P:$P,$F87)+SUMIFS(операции!$AF:$AF,операции!$T:$T,"&lt;="&amp;I$9,операции!$X:$X,"",операции!$AB:$AB,"&gt;"&amp;I$9,операции!$L:$L,K$9,операции!$P:$P,$F87)+SUMIFS(операции!$AF:$AF,операции!$T:$T,"&lt;="&amp;I$9,операции!$X:$X,"&gt;"&amp;I$9,операции!$AB:$AB,"&gt;"&amp;I$9,операции!$L:$L,K$9,операции!$P:$P,$F87))/K154)</f>
        <v>42277.119533721583</v>
      </c>
      <c r="L155" s="318">
        <f>IF(L154=0,0,(SUMIFS(операции!$AF:$AF,операции!$T:$T,"&lt;="&amp;I$9,операции!$X:$X,"",операции!$AB:$AB,"",операции!$L:$L,L$9,операции!$P:$P,$F87)+SUMIFS(операции!$AF:$AF,операции!$T:$T,"&lt;="&amp;I$9,операции!$X:$X,"&gt;"&amp;I$9,операции!$AB:$AB,"",операции!$L:$L,L$9,операции!$P:$P,$F87)+SUMIFS(операции!$AF:$AF,операции!$T:$T,"&lt;="&amp;I$9,операции!$X:$X,"",операции!$AB:$AB,"&gt;"&amp;I$9,операции!$L:$L,L$9,операции!$P:$P,$F87)+SUMIFS(операции!$AF:$AF,операции!$T:$T,"&lt;="&amp;I$9,операции!$X:$X,"&gt;"&amp;I$9,операции!$AB:$AB,"&gt;"&amp;I$9,операции!$L:$L,L$9,операции!$P:$P,$F87))/L154)</f>
        <v>42363.772633309505</v>
      </c>
      <c r="M155" s="274"/>
      <c r="N155" s="193">
        <f>IF(N154=0,0,(SUMIFS(операции!$AF:$AF,операции!$T:$T,"&lt;="&amp;N$9,операции!$X:$X,"",операции!$AB:$AB,"",операции!$P:$P,$F87)+SUMIFS(операции!$AF:$AF,операции!$T:$T,"&lt;="&amp;N$9,операции!$X:$X,"&gt;"&amp;N$9,операции!$AB:$AB,"",операции!$P:$P,$F87)+SUMIFS(операции!$AF:$AF,операции!$T:$T,"&lt;="&amp;N$9,операции!$X:$X,"",операции!$AB:$AB,"&gt;"&amp;N$9,операции!$P:$P,$F87)+SUMIFS(операции!$AF:$AF,операции!$T:$T,"&lt;="&amp;N$9,операции!$X:$X,"&gt;"&amp;N$9,операции!$AB:$AB,"&gt;"&amp;N$9,операции!$P:$P,$F87))/N154)</f>
        <v>42214.141713324498</v>
      </c>
      <c r="O155" s="196"/>
      <c r="P155" s="193">
        <f>IF(P154=0,0,(SUMIFS(операции!$AF:$AF,операции!$T:$T,"&lt;="&amp;N$9,операции!$X:$X,"",операции!$AB:$AB,"",операции!$L:$L,P$9,операции!$P:$P,$F87)+SUMIFS(операции!$AF:$AF,операции!$T:$T,"&lt;="&amp;N$9,операции!$X:$X,"&gt;"&amp;N$9,операции!$AB:$AB,"",операции!$L:$L,P$9,операции!$P:$P,$F87)+SUMIFS(операции!$AF:$AF,операции!$T:$T,"&lt;="&amp;N$9,операции!$X:$X,"",операции!$AB:$AB,"&gt;"&amp;N$9,операции!$L:$L,P$9,операции!$P:$P,$F87)+SUMIFS(операции!$AF:$AF,операции!$T:$T,"&lt;="&amp;N$9,операции!$X:$X,"&gt;"&amp;N$9,операции!$AB:$AB,"&gt;"&amp;N$9,операции!$L:$L,P$9,операции!$P:$P,$F87))/P154)</f>
        <v>42214.141713324498</v>
      </c>
      <c r="Q155" s="237">
        <f>IF(Q154=0,0,(SUMIFS(операции!$AF:$AF,операции!$T:$T,"&lt;="&amp;N$9,операции!$X:$X,"",операции!$AB:$AB,"",операции!$L:$L,Q$9,операции!$P:$P,$F87)+SUMIFS(операции!$AF:$AF,операции!$T:$T,"&lt;="&amp;N$9,операции!$X:$X,"&gt;"&amp;N$9,операции!$AB:$AB,"",операции!$L:$L,Q$9,операции!$P:$P,$F87)+SUMIFS(операции!$AF:$AF,операции!$T:$T,"&lt;="&amp;N$9,операции!$X:$X,"",операции!$AB:$AB,"&gt;"&amp;N$9,операции!$L:$L,Q$9,операции!$P:$P,$F87)+SUMIFS(операции!$AF:$AF,операции!$T:$T,"&lt;="&amp;N$9,операции!$X:$X,"&gt;"&amp;N$9,операции!$AB:$AB,"&gt;"&amp;N$9,операции!$L:$L,Q$9,операции!$P:$P,$F87))/Q154)</f>
        <v>0</v>
      </c>
      <c r="R155" s="238"/>
      <c r="S155" s="193">
        <f>IF(S154=0,0,(SUMIFS(операции!$AF:$AF,операции!$T:$T,"&lt;="&amp;S$9,операции!$X:$X,"",операции!$AB:$AB,"",операции!$P:$P,$F87)+SUMIFS(операции!$AF:$AF,операции!$T:$T,"&lt;="&amp;S$9,операции!$X:$X,"&gt;"&amp;S$9,операции!$AB:$AB,"",операции!$P:$P,$F87)+SUMIFS(операции!$AF:$AF,операции!$T:$T,"&lt;="&amp;S$9,операции!$X:$X,"",операции!$AB:$AB,"&gt;"&amp;S$9,операции!$P:$P,$F87)+SUMIFS(операции!$AF:$AF,операции!$T:$T,"&lt;="&amp;S$9,операции!$X:$X,"&gt;"&amp;S$9,операции!$AB:$AB,"&gt;"&amp;S$9,операции!$P:$P,$F87))/S154)</f>
        <v>42328.592687210912</v>
      </c>
      <c r="T155" s="196"/>
      <c r="U155" s="193">
        <f>IF(U154=0,0,(SUMIFS(операции!$AF:$AF,операции!$T:$T,"&lt;="&amp;S$9,операции!$X:$X,"",операции!$AB:$AB,"",операции!$L:$L,U$9,операции!$P:$P,$F87)+SUMIFS(операции!$AF:$AF,операции!$T:$T,"&lt;="&amp;S$9,операции!$X:$X,"&gt;"&amp;S$9,операции!$AB:$AB,"",операции!$L:$L,U$9,операции!$P:$P,$F87)+SUMIFS(операции!$AF:$AF,операции!$T:$T,"&lt;="&amp;S$9,операции!$X:$X,"",операции!$AB:$AB,"&gt;"&amp;S$9,операции!$L:$L,U$9,операции!$P:$P,$F87)+SUMIFS(операции!$AF:$AF,операции!$T:$T,"&lt;="&amp;S$9,операции!$X:$X,"&gt;"&amp;S$9,операции!$AB:$AB,"&gt;"&amp;S$9,операции!$L:$L,U$9,операции!$P:$P,$F87))/U154)</f>
        <v>42290.638537833751</v>
      </c>
      <c r="V155" s="237">
        <f>IF(V154=0,0,(SUMIFS(операции!$AF:$AF,операции!$T:$T,"&lt;="&amp;S$9,операции!$X:$X,"",операции!$AB:$AB,"",операции!$L:$L,V$9,операции!$P:$P,$F87)+SUMIFS(операции!$AF:$AF,операции!$T:$T,"&lt;="&amp;S$9,операции!$X:$X,"&gt;"&amp;S$9,операции!$AB:$AB,"",операции!$L:$L,V$9,операции!$P:$P,$F87)+SUMIFS(операции!$AF:$AF,операции!$T:$T,"&lt;="&amp;S$9,операции!$X:$X,"",операции!$AB:$AB,"&gt;"&amp;S$9,операции!$L:$L,V$9,операции!$P:$P,$F87)+SUMIFS(операции!$AF:$AF,операции!$T:$T,"&lt;="&amp;S$9,операции!$X:$X,"&gt;"&amp;S$9,операции!$AB:$AB,"&gt;"&amp;S$9,операции!$L:$L,V$9,операции!$P:$P,$F87))/V154)</f>
        <v>42336.873558615938</v>
      </c>
      <c r="W155" s="238"/>
      <c r="X155" s="193">
        <f>IF(X154=0,0,(SUMIFS(операции!$AF:$AF,операции!$T:$T,"&lt;="&amp;X$9,операции!$X:$X,"",операции!$AB:$AB,"",операции!$P:$P,$F87)+SUMIFS(операции!$AF:$AF,операции!$T:$T,"&lt;="&amp;X$9,операции!$X:$X,"&gt;"&amp;X$9,операции!$AB:$AB,"",операции!$P:$P,$F87)+SUMIFS(операции!$AF:$AF,операции!$T:$T,"&lt;="&amp;X$9,операции!$X:$X,"",операции!$AB:$AB,"&gt;"&amp;X$9,операции!$P:$P,$F87)+SUMIFS(операции!$AF:$AF,операции!$T:$T,"&lt;="&amp;X$9,операции!$X:$X,"&gt;"&amp;X$9,операции!$AB:$AB,"&gt;"&amp;X$9,операции!$P:$P,$F87))/X154)</f>
        <v>42347.061822049742</v>
      </c>
      <c r="Y155" s="196"/>
      <c r="Z155" s="193">
        <f>IF(Z154=0,0,(SUMIFS(операции!$AF:$AF,операции!$T:$T,"&lt;="&amp;X$9,операции!$X:$X,"",операции!$AB:$AB,"",операции!$L:$L,Z$9,операции!$P:$P,$F87)+SUMIFS(операции!$AF:$AF,операции!$T:$T,"&lt;="&amp;X$9,операции!$X:$X,"&gt;"&amp;X$9,операции!$AB:$AB,"",операции!$L:$L,Z$9,операции!$P:$P,$F87)+SUMIFS(операции!$AF:$AF,операции!$T:$T,"&lt;="&amp;X$9,операции!$X:$X,"",операции!$AB:$AB,"&gt;"&amp;X$9,операции!$L:$L,Z$9,операции!$P:$P,$F87)+SUMIFS(операции!$AF:$AF,операции!$T:$T,"&lt;="&amp;X$9,операции!$X:$X,"&gt;"&amp;X$9,операции!$AB:$AB,"&gt;"&amp;X$9,операции!$L:$L,Z$9,операции!$P:$P,$F87))/Z154)</f>
        <v>42277.119533721583</v>
      </c>
      <c r="AA155" s="237">
        <f>IF(AA154=0,0,(SUMIFS(операции!$AF:$AF,операции!$T:$T,"&lt;="&amp;X$9,операции!$X:$X,"",операции!$AB:$AB,"",операции!$L:$L,AA$9,операции!$P:$P,$F87)+SUMIFS(операции!$AF:$AF,операции!$T:$T,"&lt;="&amp;X$9,операции!$X:$X,"&gt;"&amp;X$9,операции!$AB:$AB,"",операции!$L:$L,AA$9,операции!$P:$P,$F87)+SUMIFS(операции!$AF:$AF,операции!$T:$T,"&lt;="&amp;X$9,операции!$X:$X,"",операции!$AB:$AB,"&gt;"&amp;X$9,операции!$L:$L,AA$9,операции!$P:$P,$F87)+SUMIFS(операции!$AF:$AF,операции!$T:$T,"&lt;="&amp;X$9,операции!$X:$X,"&gt;"&amp;X$9,операции!$AB:$AB,"&gt;"&amp;X$9,операции!$L:$L,AA$9,операции!$P:$P,$F87))/AA154)</f>
        <v>42363.772633309505</v>
      </c>
      <c r="AB155" s="265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</row>
    <row r="156" spans="1:42" s="192" customFormat="1" ht="11.25">
      <c r="A156" s="37"/>
      <c r="B156" s="37"/>
      <c r="C156" s="37"/>
      <c r="D156" s="191"/>
      <c r="E156" s="191" t="s">
        <v>287</v>
      </c>
      <c r="F156" s="191" t="str">
        <f t="shared" ref="F156:F159" si="243">F155</f>
        <v>Электроника и бытовая техника</v>
      </c>
      <c r="G156" s="191" t="s">
        <v>219</v>
      </c>
      <c r="H156" s="315"/>
      <c r="I156" s="329">
        <f>IF(I154=0,0,I$9-I155)</f>
        <v>21.93817795025825</v>
      </c>
      <c r="J156" s="317"/>
      <c r="K156" s="329">
        <f>IF(K154=0,0,I$9-K155)</f>
        <v>91.880466278416861</v>
      </c>
      <c r="L156" s="330">
        <f>IF(L154=0,0,I$9-L155)</f>
        <v>5.2273666904948186</v>
      </c>
      <c r="M156" s="274"/>
      <c r="N156" s="156">
        <f>IF(N154=0,0,N$9-N155)</f>
        <v>93.858286675502313</v>
      </c>
      <c r="O156" s="196"/>
      <c r="P156" s="156">
        <f>IF(P154=0,0,N$9-P155)</f>
        <v>93.858286675502313</v>
      </c>
      <c r="Q156" s="245">
        <f>IF(Q154=0,0,N$9-Q155)</f>
        <v>0</v>
      </c>
      <c r="R156" s="238"/>
      <c r="S156" s="156">
        <f>IF(S154=0,0,S$9-S155)</f>
        <v>9.4073127890878823</v>
      </c>
      <c r="T156" s="196"/>
      <c r="U156" s="156">
        <f>IF(U154=0,0,S$9-U155)</f>
        <v>47.361462166249112</v>
      </c>
      <c r="V156" s="245">
        <f>IF(V154=0,0,S$9-V155)</f>
        <v>1.1264413840617635</v>
      </c>
      <c r="W156" s="238"/>
      <c r="X156" s="156">
        <f>IF(X154=0,0,X$9-X155)</f>
        <v>21.93817795025825</v>
      </c>
      <c r="Y156" s="196"/>
      <c r="Z156" s="156">
        <f>IF(Z154=0,0,X$9-Z155)</f>
        <v>91.880466278416861</v>
      </c>
      <c r="AA156" s="245">
        <f>IF(AA154=0,0,X$9-AA155)</f>
        <v>5.2273666904948186</v>
      </c>
      <c r="AB156" s="265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</row>
    <row r="157" spans="1:42" s="192" customFormat="1" ht="11.25">
      <c r="A157" s="37"/>
      <c r="B157" s="37"/>
      <c r="C157" s="37"/>
      <c r="D157" s="191"/>
      <c r="E157" s="191" t="s">
        <v>311</v>
      </c>
      <c r="F157" s="191" t="str">
        <f t="shared" si="243"/>
        <v>Электроника и бытовая техника</v>
      </c>
      <c r="G157" s="191" t="s">
        <v>262</v>
      </c>
      <c r="H157" s="315"/>
      <c r="I157" s="316">
        <f>I$9</f>
        <v>42369</v>
      </c>
      <c r="J157" s="317"/>
      <c r="K157" s="316">
        <f>I$9</f>
        <v>42369</v>
      </c>
      <c r="L157" s="318">
        <f>I$9</f>
        <v>42369</v>
      </c>
      <c r="M157" s="274"/>
      <c r="N157" s="193">
        <f>N$9</f>
        <v>42308</v>
      </c>
      <c r="O157" s="196"/>
      <c r="P157" s="193">
        <f>N$9</f>
        <v>42308</v>
      </c>
      <c r="Q157" s="237">
        <f>N$9</f>
        <v>42308</v>
      </c>
      <c r="R157" s="238"/>
      <c r="S157" s="193">
        <f>S$9</f>
        <v>42338</v>
      </c>
      <c r="T157" s="196"/>
      <c r="U157" s="193">
        <f>S$9</f>
        <v>42338</v>
      </c>
      <c r="V157" s="237">
        <f>S$9</f>
        <v>42338</v>
      </c>
      <c r="W157" s="238"/>
      <c r="X157" s="193">
        <f>X$9</f>
        <v>42369</v>
      </c>
      <c r="Y157" s="196"/>
      <c r="Z157" s="193">
        <f>X$9</f>
        <v>42369</v>
      </c>
      <c r="AA157" s="237">
        <f>X$9</f>
        <v>42369</v>
      </c>
      <c r="AB157" s="265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</row>
    <row r="158" spans="1:42" s="192" customFormat="1" ht="11.25">
      <c r="A158" s="37"/>
      <c r="B158" s="37"/>
      <c r="C158" s="37"/>
      <c r="D158" s="191"/>
      <c r="E158" s="191" t="s">
        <v>288</v>
      </c>
      <c r="F158" s="191" t="str">
        <f t="shared" si="243"/>
        <v>Электроника и бытовая техника</v>
      </c>
      <c r="G158" s="191" t="s">
        <v>219</v>
      </c>
      <c r="H158" s="315"/>
      <c r="I158" s="329">
        <f>IF(I154=0,0,I157-I155)</f>
        <v>21.93817795025825</v>
      </c>
      <c r="J158" s="317"/>
      <c r="K158" s="329">
        <f>IF(K154=0,0,K157-K155)</f>
        <v>91.880466278416861</v>
      </c>
      <c r="L158" s="330">
        <f>IF(L154=0,0,L157-L155)</f>
        <v>5.2273666904948186</v>
      </c>
      <c r="M158" s="274"/>
      <c r="N158" s="156">
        <f>IF(N154=0,0,N157-N155)</f>
        <v>93.858286675502313</v>
      </c>
      <c r="O158" s="196"/>
      <c r="P158" s="156">
        <f>IF(P154=0,0,P157-P155)</f>
        <v>93.858286675502313</v>
      </c>
      <c r="Q158" s="245">
        <f>IF(Q154=0,0,Q157-Q155)</f>
        <v>0</v>
      </c>
      <c r="R158" s="238"/>
      <c r="S158" s="156">
        <f>IF(S154=0,0,S157-S155)</f>
        <v>9.4073127890878823</v>
      </c>
      <c r="T158" s="196"/>
      <c r="U158" s="156">
        <f>IF(U154=0,0,U157-U155)</f>
        <v>47.361462166249112</v>
      </c>
      <c r="V158" s="245">
        <f>IF(V154=0,0,V157-V155)</f>
        <v>1.1264413840617635</v>
      </c>
      <c r="W158" s="238"/>
      <c r="X158" s="156">
        <f>IF(X154=0,0,X157-X155)</f>
        <v>21.93817795025825</v>
      </c>
      <c r="Y158" s="196"/>
      <c r="Z158" s="156">
        <f>IF(Z154=0,0,Z157-Z155)</f>
        <v>91.880466278416861</v>
      </c>
      <c r="AA158" s="245">
        <f>IF(AA154=0,0,AA157-AA155)</f>
        <v>5.2273666904948186</v>
      </c>
      <c r="AB158" s="265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</row>
    <row r="159" spans="1:42" s="192" customFormat="1" ht="12" thickBot="1">
      <c r="A159" s="37"/>
      <c r="B159" s="37"/>
      <c r="C159" s="37"/>
      <c r="D159" s="297"/>
      <c r="E159" s="297" t="s">
        <v>289</v>
      </c>
      <c r="F159" s="297" t="str">
        <f t="shared" si="243"/>
        <v>Электроника и бытовая техника</v>
      </c>
      <c r="G159" s="297" t="s">
        <v>219</v>
      </c>
      <c r="H159" s="377"/>
      <c r="I159" s="378">
        <f>I156-I158</f>
        <v>0</v>
      </c>
      <c r="J159" s="379"/>
      <c r="K159" s="378">
        <f>K156-K158</f>
        <v>0</v>
      </c>
      <c r="L159" s="380">
        <f>L156-L158</f>
        <v>0</v>
      </c>
      <c r="M159" s="300"/>
      <c r="N159" s="298">
        <f>N156-N158</f>
        <v>0</v>
      </c>
      <c r="O159" s="299"/>
      <c r="P159" s="298">
        <f>P156-P158</f>
        <v>0</v>
      </c>
      <c r="Q159" s="301">
        <f>Q156-Q158</f>
        <v>0</v>
      </c>
      <c r="R159" s="302"/>
      <c r="S159" s="298">
        <f>S156-S158</f>
        <v>0</v>
      </c>
      <c r="T159" s="299"/>
      <c r="U159" s="298">
        <f>U156-U158</f>
        <v>0</v>
      </c>
      <c r="V159" s="301">
        <f>V156-V158</f>
        <v>0</v>
      </c>
      <c r="W159" s="302"/>
      <c r="X159" s="298">
        <f>X156-X158</f>
        <v>0</v>
      </c>
      <c r="Y159" s="299"/>
      <c r="Z159" s="298">
        <f>Z156-Z158</f>
        <v>0</v>
      </c>
      <c r="AA159" s="301">
        <f>AA156-AA158</f>
        <v>0</v>
      </c>
      <c r="AB159" s="265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</row>
    <row r="160" spans="1:42" s="111" customFormat="1" ht="11.25">
      <c r="A160" s="108"/>
      <c r="B160" s="108"/>
      <c r="C160" s="108" t="s">
        <v>271</v>
      </c>
      <c r="D160" s="291"/>
      <c r="E160" s="291"/>
      <c r="F160" s="291" t="str">
        <f>F161</f>
        <v>Домашнее хозяйство</v>
      </c>
      <c r="G160" s="291"/>
      <c r="H160" s="373"/>
      <c r="I160" s="374">
        <f>I161-K161-L161</f>
        <v>0</v>
      </c>
      <c r="J160" s="375">
        <f>N160+N178+N216+SUM(O:O)+S160+S178+S216+SUM(T:T)+X160+X178+X216+SUM(Y:Y)</f>
        <v>3.7104683769939584E-9</v>
      </c>
      <c r="K160" s="373"/>
      <c r="L160" s="376"/>
      <c r="M160" s="293"/>
      <c r="N160" s="292">
        <f>N161-P161-Q161</f>
        <v>0</v>
      </c>
      <c r="O160" s="294"/>
      <c r="P160" s="291"/>
      <c r="Q160" s="295"/>
      <c r="R160" s="296"/>
      <c r="S160" s="292">
        <f>S161-U161-V161</f>
        <v>0</v>
      </c>
      <c r="T160" s="294"/>
      <c r="U160" s="291"/>
      <c r="V160" s="295"/>
      <c r="W160" s="296"/>
      <c r="X160" s="292">
        <f>X161-Z161-AA161</f>
        <v>0</v>
      </c>
      <c r="Y160" s="294"/>
      <c r="Z160" s="291"/>
      <c r="AA160" s="295"/>
      <c r="AB160" s="263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</row>
    <row r="161" spans="1:42" s="93" customFormat="1" ht="15">
      <c r="A161" s="92"/>
      <c r="B161" s="92"/>
      <c r="C161" s="92"/>
      <c r="D161" s="151" t="s">
        <v>256</v>
      </c>
      <c r="E161" s="151"/>
      <c r="F161" s="286" t="str">
        <f>микс!$H$47</f>
        <v>Домашнее хозяйство</v>
      </c>
      <c r="G161" s="151" t="s">
        <v>261</v>
      </c>
      <c r="H161" s="311"/>
      <c r="I161" s="312">
        <f>SUMIFS(операции!$V:$V,операции!$T:$T,"&lt;"&amp;I$8,операции!$X:$X,"",операции!$P:$P,$F161)+SUMIFS(операции!$V:$V,операции!$T:$T,"&lt;"&amp;I$8,операции!$X:$X,"&gt;="&amp;I$8,операции!$P:$P,$F161)</f>
        <v>108865.68</v>
      </c>
      <c r="J161" s="313">
        <f>I161-I166-I172</f>
        <v>0</v>
      </c>
      <c r="K161" s="312">
        <f>SUMIFS(операции!$V:$V,операции!$T:$T,"&lt;"&amp;I$8,операции!$X:$X,"",операции!$L:$L,K$9,операции!$P:$P,$F161)+SUMIFS(операции!$V:$V,операции!$T:$T,"&lt;"&amp;I$8,операции!$X:$X,"&gt;="&amp;I$8,операции!$L:$L,K$9,операции!$P:$P,$F161)</f>
        <v>108865.68</v>
      </c>
      <c r="L161" s="314">
        <f>SUMIFS(операции!$V:$V,операции!$T:$T,"&lt;"&amp;I$8,операции!$X:$X,"",операции!$L:$L,L$9,операции!$P:$P,$F161)+SUMIFS(операции!$V:$V,операции!$T:$T,"&lt;"&amp;I$8,операции!$X:$X,"&gt;="&amp;I$8,операции!$L:$L,L$9,операции!$P:$P,$F161)</f>
        <v>0</v>
      </c>
      <c r="M161" s="273"/>
      <c r="N161" s="152">
        <f>SUMIFS(операции!$V:$V,операции!$T:$T,"&lt;"&amp;N$8,операции!$X:$X,"",операции!$P:$P,$F161)+SUMIFS(операции!$V:$V,операции!$T:$T,"&lt;"&amp;N$8,операции!$X:$X,"&gt;="&amp;N$8,операции!$P:$P,$F161)</f>
        <v>108865.68</v>
      </c>
      <c r="O161" s="170">
        <f>N161-N166-N172</f>
        <v>0</v>
      </c>
      <c r="P161" s="152">
        <f>SUMIFS(операции!$V:$V,операции!$T:$T,"&lt;"&amp;N$8,операции!$X:$X,"",операции!$L:$L,P$9,операции!$P:$P,$F161)+SUMIFS(операции!$V:$V,операции!$T:$T,"&lt;"&amp;N$8,операции!$X:$X,"&gt;="&amp;N$8,операции!$L:$L,P$9,операции!$P:$P,$F161)</f>
        <v>108865.68</v>
      </c>
      <c r="Q161" s="235">
        <f>SUMIFS(операции!$V:$V,операции!$T:$T,"&lt;"&amp;N$8,операции!$X:$X,"",операции!$L:$L,Q$9,операции!$P:$P,$F161)+SUMIFS(операции!$V:$V,операции!$T:$T,"&lt;"&amp;N$8,операции!$X:$X,"&gt;="&amp;N$8,операции!$L:$L,Q$9,операции!$P:$P,$F161)</f>
        <v>0</v>
      </c>
      <c r="R161" s="236"/>
      <c r="S161" s="152">
        <f>SUMIFS(операции!$V:$V,операции!$T:$T,"&lt;"&amp;S$8,операции!$X:$X,"",операции!$P:$P,$F161)+SUMIFS(операции!$V:$V,операции!$T:$T,"&lt;"&amp;S$8,операции!$X:$X,"&gt;="&amp;S$8,операции!$P:$P,$F161)</f>
        <v>161847.23999999996</v>
      </c>
      <c r="T161" s="170">
        <f>S161-S166-S172</f>
        <v>0</v>
      </c>
      <c r="U161" s="152">
        <f>SUMIFS(операции!$V:$V,операции!$T:$T,"&lt;"&amp;S$8,операции!$X:$X,"",операции!$L:$L,U$9,операции!$P:$P,$F161)+SUMIFS(операции!$V:$V,операции!$T:$T,"&lt;"&amp;S$8,операции!$X:$X,"&gt;="&amp;S$8,операции!$L:$L,U$9,операции!$P:$P,$F161)</f>
        <v>106347.63999999998</v>
      </c>
      <c r="V161" s="235">
        <f>SUMIFS(операции!$V:$V,операции!$T:$T,"&lt;"&amp;S$8,операции!$X:$X,"",операции!$L:$L,V$9,операции!$P:$P,$F161)+SUMIFS(операции!$V:$V,операции!$T:$T,"&lt;"&amp;S$8,операции!$X:$X,"&gt;="&amp;S$8,операции!$L:$L,V$9,операции!$P:$P,$F161)</f>
        <v>55499.6</v>
      </c>
      <c r="W161" s="236"/>
      <c r="X161" s="152">
        <f>SUMIFS(операции!$V:$V,операции!$T:$T,"&lt;"&amp;X$8,операции!$X:$X,"",операции!$P:$P,$F161)+SUMIFS(операции!$V:$V,операции!$T:$T,"&lt;"&amp;X$8,операции!$X:$X,"&gt;="&amp;X$8,операции!$P:$P,$F161)</f>
        <v>68372.479999999996</v>
      </c>
      <c r="Y161" s="170">
        <f>X161-X166-X172</f>
        <v>0</v>
      </c>
      <c r="Z161" s="152">
        <f>SUMIFS(операции!$V:$V,операции!$T:$T,"&lt;"&amp;X$8,операции!$X:$X,"",операции!$L:$L,Z$9,операции!$P:$P,$F161)+SUMIFS(операции!$V:$V,операции!$T:$T,"&lt;"&amp;X$8,операции!$X:$X,"&gt;="&amp;X$8,операции!$L:$L,Z$9,операции!$P:$P,$F161)</f>
        <v>49719.739999999991</v>
      </c>
      <c r="AA161" s="235">
        <f>SUMIFS(операции!$V:$V,операции!$T:$T,"&lt;"&amp;X$8,операции!$X:$X,"",операции!$L:$L,AA$9,операции!$P:$P,$F161)+SUMIFS(операции!$V:$V,операции!$T:$T,"&lt;"&amp;X$8,операции!$X:$X,"&gt;="&amp;X$8,операции!$L:$L,AA$9,операции!$P:$P,$F161)</f>
        <v>18652.739999999998</v>
      </c>
      <c r="AB161" s="264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</row>
    <row r="162" spans="1:42" s="192" customFormat="1" ht="11.25">
      <c r="A162" s="37"/>
      <c r="B162" s="37"/>
      <c r="C162" s="37"/>
      <c r="D162" s="191" t="s">
        <v>255</v>
      </c>
      <c r="E162" s="191"/>
      <c r="F162" s="191" t="str">
        <f>F161</f>
        <v>Домашнее хозяйство</v>
      </c>
      <c r="G162" s="191" t="s">
        <v>262</v>
      </c>
      <c r="H162" s="315"/>
      <c r="I162" s="316">
        <f>IF(I161=0,0,(SUMIFS(операции!$AF:$AF,операции!$T:$T,"&lt;"&amp;I$8,операции!$X:$X,"",операции!$P:$P,$F161)+SUMIFS(операции!$AF:$AF,операции!$T:$T,"&lt;"&amp;I$8,операции!$X:$X,"&gt;="&amp;I$8,операции!$P:$P,$F161))/I161)</f>
        <v>42235.094399171532</v>
      </c>
      <c r="J162" s="317"/>
      <c r="K162" s="316">
        <f>IF(K161=0,0,(SUMIFS(операции!$AF:$AF,операции!$T:$T,"&lt;"&amp;I$8,операции!$X:$X,"",операции!$L:$L,K$9,операции!$P:$P,$F161)+SUMIFS(операции!$AF:$AF,операции!$T:$T,"&lt;"&amp;I$8,операции!$X:$X,"&gt;="&amp;I$8,операции!$L:$L,K$9,операции!$P:$P,$F161))/K161)</f>
        <v>42235.094399171532</v>
      </c>
      <c r="L162" s="318">
        <f>IF(L161=0,0,(SUMIFS(операции!$AF:$AF,операции!$T:$T,"&lt;"&amp;I$8,операции!$X:$X,"",операции!$L:$L,L$9,операции!$P:$P,$F161)+SUMIFS(операции!$AF:$AF,операции!$T:$T,"&lt;"&amp;I$8,операции!$X:$X,"&gt;="&amp;I$8,операции!$L:$L,L$9,операции!$P:$P,$F161))/L161)</f>
        <v>0</v>
      </c>
      <c r="M162" s="274"/>
      <c r="N162" s="193">
        <f>IF(N161=0,0,(SUMIFS(операции!$AF:$AF,операции!$T:$T,"&lt;"&amp;N$8,операции!$X:$X,"",операции!$P:$P,$F161)+SUMIFS(операции!$AF:$AF,операции!$T:$T,"&lt;"&amp;N$8,операции!$X:$X,"&gt;="&amp;N$8,операции!$P:$P,$F161))/N161)</f>
        <v>42235.094399171532</v>
      </c>
      <c r="O162" s="196"/>
      <c r="P162" s="193">
        <f>IF(P161=0,0,(SUMIFS(операции!$AF:$AF,операции!$T:$T,"&lt;"&amp;N$8,операции!$X:$X,"",операции!$L:$L,P$9,операции!$P:$P,$F161)+SUMIFS(операции!$AF:$AF,операции!$T:$T,"&lt;"&amp;N$8,операции!$X:$X,"&gt;="&amp;N$8,операции!$L:$L,P$9,операции!$P:$P,$F161))/P161)</f>
        <v>42235.094399171532</v>
      </c>
      <c r="Q162" s="237">
        <f>IF(Q161=0,0,(SUMIFS(операции!$AF:$AF,операции!$T:$T,"&lt;"&amp;N$8,операции!$X:$X,"",операции!$L:$L,Q$9,операции!$P:$P,$F161)+SUMIFS(операции!$AF:$AF,операции!$T:$T,"&lt;"&amp;N$8,операции!$X:$X,"&gt;="&amp;N$8,операции!$L:$L,Q$9,операции!$P:$P,$F161))/Q161)</f>
        <v>0</v>
      </c>
      <c r="R162" s="238"/>
      <c r="S162" s="193">
        <f>IF(S161=0,0,(SUMIFS(операции!$AF:$AF,операции!$T:$T,"&lt;"&amp;S$8,операции!$X:$X,"",операции!$P:$P,$F161)+SUMIFS(операции!$AF:$AF,операции!$T:$T,"&lt;"&amp;S$8,операции!$X:$X,"&gt;="&amp;S$8,операции!$P:$P,$F161))/S161)</f>
        <v>42271.683056010123</v>
      </c>
      <c r="T162" s="196"/>
      <c r="U162" s="193">
        <f>IF(U161=0,0,(SUMIFS(операции!$AF:$AF,операции!$T:$T,"&lt;"&amp;S$8,операции!$X:$X,"",операции!$L:$L,U$9,операции!$P:$P,$F161)+SUMIFS(операции!$AF:$AF,операции!$T:$T,"&lt;"&amp;S$8,операции!$X:$X,"&gt;="&amp;S$8,операции!$L:$L,U$9,операции!$P:$P,$F161))/U161)</f>
        <v>42254.043739663626</v>
      </c>
      <c r="V162" s="237">
        <f>IF(V161=0,0,(SUMIFS(операции!$AF:$AF,операции!$T:$T,"&lt;"&amp;S$8,операции!$X:$X,"",операции!$L:$L,V$9,операции!$P:$P,$F161)+SUMIFS(операции!$AF:$AF,операции!$T:$T,"&lt;"&amp;S$8,операции!$X:$X,"&gt;="&amp;S$8,операции!$L:$L,V$9,операции!$P:$P,$F161))/V161)</f>
        <v>42305.483293573285</v>
      </c>
      <c r="W162" s="238"/>
      <c r="X162" s="193">
        <f>IF(X161=0,0,(SUMIFS(операции!$AF:$AF,операции!$T:$T,"&lt;"&amp;X$8,операции!$X:$X,"",операции!$P:$P,$F161)+SUMIFS(операции!$AF:$AF,операции!$T:$T,"&lt;"&amp;X$8,операции!$X:$X,"&gt;="&amp;X$8,операции!$P:$P,$F161))/X161)</f>
        <v>42272.498798639455</v>
      </c>
      <c r="Y162" s="196"/>
      <c r="Z162" s="193">
        <f>IF(Z161=0,0,(SUMIFS(операции!$AF:$AF,операции!$T:$T,"&lt;"&amp;X$8,операции!$X:$X,"",операции!$L:$L,Z$9,операции!$P:$P,$F161)+SUMIFS(операции!$AF:$AF,операции!$T:$T,"&lt;"&amp;X$8,операции!$X:$X,"&gt;="&amp;X$8,операции!$L:$L,Z$9,операции!$P:$P,$F161))/Z161)</f>
        <v>42249.815291069513</v>
      </c>
      <c r="AA162" s="237">
        <f>IF(AA161=0,0,(SUMIFS(операции!$AF:$AF,операции!$T:$T,"&lt;"&amp;X$8,операции!$X:$X,"",операции!$L:$L,AA$9,операции!$P:$P,$F161)+SUMIFS(операции!$AF:$AF,операции!$T:$T,"&lt;"&amp;X$8,операции!$X:$X,"&gt;="&amp;X$8,операции!$L:$L,AA$9,операции!$P:$P,$F161))/AA161)</f>
        <v>42332.962735769659</v>
      </c>
      <c r="AB162" s="265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</row>
    <row r="163" spans="1:42" s="50" customFormat="1" ht="11.25">
      <c r="A163" s="48"/>
      <c r="B163" s="48"/>
      <c r="C163" s="48"/>
      <c r="D163" s="154" t="s">
        <v>257</v>
      </c>
      <c r="E163" s="154"/>
      <c r="F163" s="154" t="str">
        <f t="shared" ref="F163:F229" si="244">F162</f>
        <v>Домашнее хозяйство</v>
      </c>
      <c r="G163" s="154" t="s">
        <v>219</v>
      </c>
      <c r="H163" s="319"/>
      <c r="I163" s="320">
        <f>IF(I161=0,0,I$8-I162)</f>
        <v>42.905600828467868</v>
      </c>
      <c r="J163" s="321">
        <f>I163-IF(I161=0,0,(I166*I168+I172*I174)/I161)</f>
        <v>-3.844036200462142E-12</v>
      </c>
      <c r="K163" s="320">
        <f>IF(K161=0,0,I$8-K162)</f>
        <v>42.905600828467868</v>
      </c>
      <c r="L163" s="322">
        <f>IF(L161=0,0,I$8-L162)</f>
        <v>0</v>
      </c>
      <c r="M163" s="275"/>
      <c r="N163" s="155">
        <f>IF(N161=0,0,N$8-N162)</f>
        <v>42.905600828467868</v>
      </c>
      <c r="O163" s="173">
        <f>N163-IF(N161=0,0,(N166*N168+N172*N174)/N161)</f>
        <v>-3.844036200462142E-12</v>
      </c>
      <c r="P163" s="155">
        <f>IF(P161=0,0,N$8-P162)</f>
        <v>42.905600828467868</v>
      </c>
      <c r="Q163" s="239">
        <f>IF(Q161=0,0,N$8-Q162)</f>
        <v>0</v>
      </c>
      <c r="R163" s="240"/>
      <c r="S163" s="155">
        <f>IF(S161=0,0,S$8-S162)</f>
        <v>37.316943989877473</v>
      </c>
      <c r="T163" s="173">
        <f>S163-IF(S161=0,0,(S166*S168+S172*S174)/S161)</f>
        <v>-1.7308821043116041E-11</v>
      </c>
      <c r="U163" s="155">
        <f>IF(U161=0,0,S$8-U162)</f>
        <v>54.956260336373816</v>
      </c>
      <c r="V163" s="239">
        <f>IF(V161=0,0,S$8-V162)</f>
        <v>3.5167064267152455</v>
      </c>
      <c r="W163" s="240"/>
      <c r="X163" s="155">
        <f>IF(X161=0,0,X$8-X162)</f>
        <v>66.501201360544655</v>
      </c>
      <c r="Y163" s="173">
        <f>X163-IF(X161=0,0,(X166*X168+X172*X174)/X161)</f>
        <v>2.0463630789890885E-12</v>
      </c>
      <c r="Z163" s="155">
        <f>IF(Z161=0,0,X$8-Z162)</f>
        <v>89.184708930486522</v>
      </c>
      <c r="AA163" s="239">
        <f>IF(AA161=0,0,X$8-AA162)</f>
        <v>6.0372642303409521</v>
      </c>
      <c r="AB163" s="230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</row>
    <row r="164" spans="1:42" s="93" customFormat="1" ht="15">
      <c r="A164" s="92"/>
      <c r="B164" s="92"/>
      <c r="C164" s="92"/>
      <c r="D164" s="198" t="s">
        <v>267</v>
      </c>
      <c r="E164" s="198"/>
      <c r="F164" s="198" t="str">
        <f t="shared" si="244"/>
        <v>Домашнее хозяйство</v>
      </c>
      <c r="G164" s="198" t="s">
        <v>219</v>
      </c>
      <c r="H164" s="323"/>
      <c r="I164" s="324">
        <f>IF(I161=0,0,(I166*I170+I172*I176)/I161)</f>
        <v>24.578523369349263</v>
      </c>
      <c r="J164" s="321"/>
      <c r="K164" s="324">
        <f t="shared" ref="K164" si="245">IF(K161=0,0,(K166*K170+K172*K176)/K161)</f>
        <v>24.578523369349263</v>
      </c>
      <c r="L164" s="325">
        <f>IF(L161=0,0,(L166*L170+L172*L176)/L161)</f>
        <v>0</v>
      </c>
      <c r="M164" s="276"/>
      <c r="N164" s="199">
        <f>IF(N161=0,0,(N166*N170+N172*N176)/N161)</f>
        <v>24.578523369349263</v>
      </c>
      <c r="O164" s="173"/>
      <c r="P164" s="199">
        <f t="shared" ref="P164" si="246">IF(P161=0,0,(P166*P170+P172*P176)/P161)</f>
        <v>24.578523369349263</v>
      </c>
      <c r="Q164" s="241">
        <f>IF(Q161=0,0,(Q166*Q170+Q172*Q176)/Q161)</f>
        <v>0</v>
      </c>
      <c r="R164" s="242"/>
      <c r="S164" s="199">
        <f>IF(S161=0,0,(S166*S170+S172*S176)/S161)</f>
        <v>18.831282387016646</v>
      </c>
      <c r="T164" s="173"/>
      <c r="U164" s="199">
        <f t="shared" ref="U164" si="247">IF(U161=0,0,(U166*U170+U172*U176)/U161)</f>
        <v>26.823493967521969</v>
      </c>
      <c r="V164" s="241">
        <f>IF(V161=0,0,(V166*V170+V172*V176)/V161)</f>
        <v>3.5167064267152455</v>
      </c>
      <c r="W164" s="242"/>
      <c r="X164" s="199">
        <f>IF(X161=0,0,(X166*X170+X172*X176)/X161)</f>
        <v>27.934326354691382</v>
      </c>
      <c r="Y164" s="173"/>
      <c r="Z164" s="199">
        <f t="shared" ref="Z164" si="248">IF(Z161=0,0,(Z166*Z170+Z172*Z176)/Z161)</f>
        <v>36.149176363345269</v>
      </c>
      <c r="AA164" s="241">
        <f>IF(AA161=0,0,(AA166*AA170+AA172*AA176)/AA161)</f>
        <v>6.0372642303409521</v>
      </c>
      <c r="AB164" s="264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</row>
    <row r="165" spans="1:42" s="50" customFormat="1" ht="11.25">
      <c r="A165" s="48"/>
      <c r="B165" s="48"/>
      <c r="C165" s="48"/>
      <c r="D165" s="154" t="s">
        <v>270</v>
      </c>
      <c r="E165" s="154"/>
      <c r="F165" s="154" t="str">
        <f t="shared" si="244"/>
        <v>Домашнее хозяйство</v>
      </c>
      <c r="G165" s="154" t="s">
        <v>219</v>
      </c>
      <c r="H165" s="319"/>
      <c r="I165" s="320">
        <f>I163-I164</f>
        <v>18.327077459118605</v>
      </c>
      <c r="J165" s="321"/>
      <c r="K165" s="320">
        <f t="shared" ref="K165" si="249">K163-K164</f>
        <v>18.327077459118605</v>
      </c>
      <c r="L165" s="322">
        <f t="shared" ref="L165" si="250">L163-L164</f>
        <v>0</v>
      </c>
      <c r="M165" s="275"/>
      <c r="N165" s="155">
        <f>N163-N164</f>
        <v>18.327077459118605</v>
      </c>
      <c r="O165" s="173"/>
      <c r="P165" s="155">
        <f t="shared" ref="P165" si="251">P163-P164</f>
        <v>18.327077459118605</v>
      </c>
      <c r="Q165" s="239">
        <f t="shared" ref="Q165" si="252">Q163-Q164</f>
        <v>0</v>
      </c>
      <c r="R165" s="240"/>
      <c r="S165" s="155">
        <f>S163-S164</f>
        <v>18.485661602860826</v>
      </c>
      <c r="T165" s="173"/>
      <c r="U165" s="155">
        <f t="shared" ref="U165" si="253">U163-U164</f>
        <v>28.132766368851847</v>
      </c>
      <c r="V165" s="239">
        <f t="shared" ref="V165" si="254">V163-V164</f>
        <v>0</v>
      </c>
      <c r="W165" s="240"/>
      <c r="X165" s="155">
        <f>X163-X164</f>
        <v>38.566875005853277</v>
      </c>
      <c r="Y165" s="173"/>
      <c r="Z165" s="155">
        <f t="shared" ref="Z165" si="255">Z163-Z164</f>
        <v>53.035532567141253</v>
      </c>
      <c r="AA165" s="239">
        <f t="shared" ref="AA165" si="256">AA163-AA164</f>
        <v>0</v>
      </c>
      <c r="AB165" s="230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</row>
    <row r="166" spans="1:42" s="5" customFormat="1">
      <c r="A166" s="1"/>
      <c r="B166" s="1"/>
      <c r="C166" s="1"/>
      <c r="D166" s="168"/>
      <c r="E166" s="168" t="s">
        <v>258</v>
      </c>
      <c r="F166" s="168" t="str">
        <f t="shared" si="244"/>
        <v>Домашнее хозяйство</v>
      </c>
      <c r="G166" s="168" t="s">
        <v>261</v>
      </c>
      <c r="H166" s="326"/>
      <c r="I166" s="327">
        <f>SUMIFS(операции!$V:$V,операции!$T:$T,"&lt;"&amp;I$8,операции!$X:$X,"",операции!$AB:$AB,"&lt;&gt;"&amp;"",операции!$AB:$AB,"&lt;"&amp;I$8,операции!$P:$P,$F161)+SUMIFS(операции!$V:$V,операции!$T:$T,"&lt;"&amp;I$8,операции!$X:$X,"&gt;="&amp;I$8,операции!$AB:$AB,"&lt;&gt;"&amp;"",операции!$AB:$AB,"&lt;"&amp;I$8,операции!$P:$P,$F161)</f>
        <v>44236.090000000004</v>
      </c>
      <c r="J166" s="313">
        <f>I166-K166-L166</f>
        <v>0</v>
      </c>
      <c r="K166" s="327">
        <f>SUMIFS(операции!$V:$V,операции!$T:$T,"&lt;"&amp;I$8,операции!$X:$X,"",операции!$AB:$AB,"&lt;&gt;"&amp;"",операции!$AB:$AB,"&lt;"&amp;I$8,операции!$L:$L,K$9,операции!$P:$P,$F161)+SUMIFS(операции!$V:$V,операции!$T:$T,"&lt;"&amp;I$8,операции!$X:$X,"&gt;="&amp;I$8,операции!$AB:$AB,"&lt;&gt;"&amp;"",операции!$AB:$AB,"&lt;"&amp;I$8,операции!$L:$L,K$9,операции!$P:$P,$F161)</f>
        <v>44236.090000000004</v>
      </c>
      <c r="L166" s="328">
        <f>SUMIFS(операции!$V:$V,операции!$T:$T,"&lt;"&amp;I$8,операции!$X:$X,"",операции!$AB:$AB,"&lt;&gt;"&amp;"",операции!$AB:$AB,"&lt;"&amp;I$8,операции!$L:$L,L$9,операции!$P:$P,$F161)+SUMIFS(операции!$V:$V,операции!$T:$T,"&lt;"&amp;I$8,операции!$X:$X,"&gt;="&amp;I$8,операции!$AB:$AB,"&lt;&gt;"&amp;"",операции!$AB:$AB,"&lt;"&amp;I$8,операции!$L:$L,L$9,операции!$P:$P,$F161)</f>
        <v>0</v>
      </c>
      <c r="M166" s="277"/>
      <c r="N166" s="169">
        <f>SUMIFS(операции!$V:$V,операции!$T:$T,"&lt;"&amp;N$8,операции!$X:$X,"",операции!$AB:$AB,"&lt;&gt;"&amp;"",операции!$AB:$AB,"&lt;"&amp;N$8,операции!$P:$P,$F161)+SUMIFS(операции!$V:$V,операции!$T:$T,"&lt;"&amp;N$8,операции!$X:$X,"&gt;="&amp;N$8,операции!$AB:$AB,"&lt;&gt;"&amp;"",операции!$AB:$AB,"&lt;"&amp;N$8,операции!$P:$P,$F161)</f>
        <v>44236.090000000004</v>
      </c>
      <c r="O166" s="170">
        <f>N166-P166-Q166</f>
        <v>0</v>
      </c>
      <c r="P166" s="169">
        <f>SUMIFS(операции!$V:$V,операции!$T:$T,"&lt;"&amp;N$8,операции!$X:$X,"",операции!$AB:$AB,"&lt;&gt;"&amp;"",операции!$AB:$AB,"&lt;"&amp;N$8,операции!$L:$L,P$9,операции!$P:$P,$F161)+SUMIFS(операции!$V:$V,операции!$T:$T,"&lt;"&amp;N$8,операции!$X:$X,"&gt;="&amp;N$8,операции!$AB:$AB,"&lt;&gt;"&amp;"",операции!$AB:$AB,"&lt;"&amp;N$8,операции!$L:$L,P$9,операции!$P:$P,$F161)</f>
        <v>44236.090000000004</v>
      </c>
      <c r="Q166" s="243">
        <f>SUMIFS(операции!$V:$V,операции!$T:$T,"&lt;"&amp;N$8,операции!$X:$X,"",операции!$AB:$AB,"&lt;&gt;"&amp;"",операции!$AB:$AB,"&lt;"&amp;N$8,операции!$L:$L,Q$9,операции!$P:$P,$F161)+SUMIFS(операции!$V:$V,операции!$T:$T,"&lt;"&amp;N$8,операции!$X:$X,"&gt;="&amp;N$8,операции!$AB:$AB,"&lt;&gt;"&amp;"",операции!$AB:$AB,"&lt;"&amp;N$8,операции!$L:$L,Q$9,операции!$P:$P,$F161)</f>
        <v>0</v>
      </c>
      <c r="R166" s="244"/>
      <c r="S166" s="169">
        <f>SUMIFS(операции!$V:$V,операции!$T:$T,"&lt;"&amp;S$8,операции!$X:$X,"",операции!$AB:$AB,"&lt;&gt;"&amp;"",операции!$AB:$AB,"&lt;"&amp;S$8,операции!$P:$P,$F161)+SUMIFS(операции!$V:$V,операции!$T:$T,"&lt;"&amp;S$8,операции!$X:$X,"&gt;="&amp;S$8,операции!$AB:$AB,"&lt;&gt;"&amp;"",операции!$AB:$AB,"&lt;"&amp;S$8,операции!$P:$P,$F161)</f>
        <v>60813.26</v>
      </c>
      <c r="T166" s="170">
        <f>S166-U166-V166</f>
        <v>0</v>
      </c>
      <c r="U166" s="169">
        <f>SUMIFS(операции!$V:$V,операции!$T:$T,"&lt;"&amp;S$8,операции!$X:$X,"",операции!$AB:$AB,"&lt;&gt;"&amp;"",операции!$AB:$AB,"&lt;"&amp;S$8,операции!$L:$L,U$9,операции!$P:$P,$F161)+SUMIFS(операции!$V:$V,операции!$T:$T,"&lt;"&amp;S$8,операции!$X:$X,"&gt;="&amp;S$8,операции!$AB:$AB,"&lt;&gt;"&amp;"",операции!$AB:$AB,"&lt;"&amp;S$8,операции!$L:$L,U$9,операции!$P:$P,$F161)</f>
        <v>60813.26</v>
      </c>
      <c r="V166" s="243">
        <f>SUMIFS(операции!$V:$V,операции!$T:$T,"&lt;"&amp;S$8,операции!$X:$X,"",операции!$AB:$AB,"&lt;&gt;"&amp;"",операции!$AB:$AB,"&lt;"&amp;S$8,операции!$L:$L,V$9,операции!$P:$P,$F161)+SUMIFS(операции!$V:$V,операции!$T:$T,"&lt;"&amp;S$8,операции!$X:$X,"&gt;="&amp;S$8,операции!$AB:$AB,"&lt;&gt;"&amp;"",операции!$AB:$AB,"&lt;"&amp;S$8,операции!$L:$L,V$9,операции!$P:$P,$F161)</f>
        <v>0</v>
      </c>
      <c r="W166" s="244"/>
      <c r="X166" s="169">
        <f>SUMIFS(операции!$V:$V,операции!$T:$T,"&lt;"&amp;X$8,операции!$X:$X,"",операции!$AB:$AB,"&lt;&gt;"&amp;"",операции!$AB:$AB,"&lt;"&amp;X$8,операции!$P:$P,$F161)+SUMIFS(операции!$V:$V,операции!$T:$T,"&lt;"&amp;X$8,операции!$X:$X,"&gt;="&amp;X$8,операции!$AB:$AB,"&lt;&gt;"&amp;"",операции!$AB:$AB,"&lt;"&amp;X$8,операции!$P:$P,$F161)</f>
        <v>45284.979999999996</v>
      </c>
      <c r="Y166" s="170">
        <f>X166-Z166-AA166</f>
        <v>0</v>
      </c>
      <c r="Z166" s="169">
        <f>SUMIFS(операции!$V:$V,операции!$T:$T,"&lt;"&amp;X$8,операции!$X:$X,"",операции!$AB:$AB,"&lt;&gt;"&amp;"",операции!$AB:$AB,"&lt;"&amp;X$8,операции!$L:$L,Z$9,операции!$P:$P,$F161)+SUMIFS(операции!$V:$V,операции!$T:$T,"&lt;"&amp;X$8,операции!$X:$X,"&gt;="&amp;X$8,операции!$AB:$AB,"&lt;&gt;"&amp;"",операции!$AB:$AB,"&lt;"&amp;X$8,операции!$L:$L,Z$9,операции!$P:$P,$F161)</f>
        <v>45284.979999999996</v>
      </c>
      <c r="AA166" s="243">
        <f>SUMIFS(операции!$V:$V,операции!$T:$T,"&lt;"&amp;X$8,операции!$X:$X,"",операции!$AB:$AB,"&lt;&gt;"&amp;"",операции!$AB:$AB,"&lt;"&amp;X$8,операции!$L:$L,AA$9,операции!$P:$P,$F161)+SUMIFS(операции!$V:$V,операции!$T:$T,"&lt;"&amp;X$8,операции!$X:$X,"&gt;="&amp;X$8,операции!$AB:$AB,"&lt;&gt;"&amp;"",операции!$AB:$AB,"&lt;"&amp;X$8,операции!$L:$L,AA$9,операции!$P:$P,$F161)</f>
        <v>0</v>
      </c>
      <c r="AB166" s="266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s="192" customFormat="1" ht="11.25">
      <c r="A167" s="37"/>
      <c r="B167" s="37"/>
      <c r="C167" s="37"/>
      <c r="D167" s="191"/>
      <c r="E167" s="191" t="s">
        <v>255</v>
      </c>
      <c r="F167" s="191" t="str">
        <f t="shared" si="244"/>
        <v>Домашнее хозяйство</v>
      </c>
      <c r="G167" s="191" t="s">
        <v>262</v>
      </c>
      <c r="H167" s="315"/>
      <c r="I167" s="316">
        <f>IF(I166=0,0,(SUMIFS(операции!$AF:$AF,операции!$T:$T,"&lt;"&amp;I$8,операции!$X:$X,"",операции!$AB:$AB,"&lt;&gt;"&amp;"",операции!$AB:$AB,"&lt;"&amp;I$8,операции!$P:$P,$F161)+SUMIFS(операции!$AF:$AF,операции!$T:$T,"&lt;"&amp;I$8,операции!$X:$X,"&gt;="&amp;I$8,операции!$AB:$AB,"&lt;&gt;"&amp;"",операции!$AB:$AB,"&lt;"&amp;I$8,операции!$P:$P,$F161))/I166)</f>
        <v>42211.122030224644</v>
      </c>
      <c r="J167" s="317"/>
      <c r="K167" s="316">
        <f>IF(K166=0,0,(SUMIFS(операции!$AF:$AF,операции!$T:$T,"&lt;"&amp;I$8,операции!$X:$X,"",операции!$AB:$AB,"&lt;&gt;"&amp;"",операции!$AB:$AB,"&lt;"&amp;I$8,операции!$L:$L,K$9,операции!$P:$P,$F161)+SUMIFS(операции!$AF:$AF,операции!$T:$T,"&lt;"&amp;I$8,операции!$X:$X,"&gt;="&amp;I$8,операции!$AB:$AB,"&lt;&gt;"&amp;"",операции!$AB:$AB,"&lt;"&amp;I$8,операции!$L:$L,K$9,операции!$P:$P,$F161))/K166)</f>
        <v>42211.122030224644</v>
      </c>
      <c r="L167" s="318">
        <f>IF(L166=0,0,(SUMIFS(операции!$AF:$AF,операции!$T:$T,"&lt;"&amp;I$8,операции!$X:$X,"",операции!$AB:$AB,"&lt;&gt;"&amp;"",операции!$AB:$AB,"&lt;"&amp;I$8,операции!$L:$L,L$9,операции!$P:$P,$F161)+SUMIFS(операции!$AF:$AF,операции!$T:$T,"&lt;"&amp;I$8,операции!$X:$X,"&gt;="&amp;I$8,операции!$AB:$AB,"&lt;&gt;"&amp;"",операции!$AB:$AB,"&lt;"&amp;I$8,операции!$L:$L,L$9,операции!$P:$P,$F161))/L166)</f>
        <v>0</v>
      </c>
      <c r="M167" s="274"/>
      <c r="N167" s="193">
        <f>IF(N166=0,0,(SUMIFS(операции!$AF:$AF,операции!$T:$T,"&lt;"&amp;N$8,операции!$X:$X,"",операции!$AB:$AB,"&lt;&gt;"&amp;"",операции!$AB:$AB,"&lt;"&amp;N$8,операции!$P:$P,$F161)+SUMIFS(операции!$AF:$AF,операции!$T:$T,"&lt;"&amp;N$8,операции!$X:$X,"&gt;="&amp;N$8,операции!$AB:$AB,"&lt;&gt;"&amp;"",операции!$AB:$AB,"&lt;"&amp;N$8,операции!$P:$P,$F161))/N166)</f>
        <v>42211.122030224644</v>
      </c>
      <c r="O167" s="196"/>
      <c r="P167" s="193">
        <f>IF(P166=0,0,(SUMIFS(операции!$AF:$AF,операции!$T:$T,"&lt;"&amp;N$8,операции!$X:$X,"",операции!$AB:$AB,"&lt;&gt;"&amp;"",операции!$AB:$AB,"&lt;"&amp;N$8,операции!$L:$L,P$9,операции!$P:$P,$F161)+SUMIFS(операции!$AF:$AF,операции!$T:$T,"&lt;"&amp;N$8,операции!$X:$X,"&gt;="&amp;N$8,операции!$AB:$AB,"&lt;&gt;"&amp;"",операции!$AB:$AB,"&lt;"&amp;N$8,операции!$L:$L,P$9,операции!$P:$P,$F161))/P166)</f>
        <v>42211.122030224644</v>
      </c>
      <c r="Q167" s="237">
        <f>IF(Q166=0,0,(SUMIFS(операции!$AF:$AF,операции!$T:$T,"&lt;"&amp;N$8,операции!$X:$X,"",операции!$AB:$AB,"&lt;&gt;"&amp;"",операции!$AB:$AB,"&lt;"&amp;N$8,операции!$L:$L,Q$9,операции!$P:$P,$F161)+SUMIFS(операции!$AF:$AF,операции!$T:$T,"&lt;"&amp;N$8,операции!$X:$X,"&gt;="&amp;N$8,операции!$AB:$AB,"&lt;&gt;"&amp;"",операции!$AB:$AB,"&lt;"&amp;N$8,операции!$L:$L,Q$9,операции!$P:$P,$F161))/Q166)</f>
        <v>0</v>
      </c>
      <c r="R167" s="238"/>
      <c r="S167" s="193">
        <f>IF(S166=0,0,(SUMIFS(операции!$AF:$AF,операции!$T:$T,"&lt;"&amp;S$8,операции!$X:$X,"",операции!$AB:$AB,"&lt;&gt;"&amp;"",операции!$AB:$AB,"&lt;"&amp;S$8,операции!$P:$P,$F161)+SUMIFS(операции!$AF:$AF,операции!$T:$T,"&lt;"&amp;S$8,операции!$X:$X,"&gt;="&amp;S$8,операции!$AB:$AB,"&lt;&gt;"&amp;"",операции!$AB:$AB,"&lt;"&amp;S$8,операции!$P:$P,$F161))/S166)</f>
        <v>42235.341315200007</v>
      </c>
      <c r="T167" s="196"/>
      <c r="U167" s="193">
        <f>IF(U166=0,0,(SUMIFS(операции!$AF:$AF,операции!$T:$T,"&lt;"&amp;S$8,операции!$X:$X,"",операции!$AB:$AB,"&lt;&gt;"&amp;"",операции!$AB:$AB,"&lt;"&amp;S$8,операции!$L:$L,U$9,операции!$P:$P,$F161)+SUMIFS(операции!$AF:$AF,операции!$T:$T,"&lt;"&amp;S$8,операции!$X:$X,"&gt;="&amp;S$8,операции!$AB:$AB,"&lt;&gt;"&amp;"",операции!$AB:$AB,"&lt;"&amp;S$8,операции!$L:$L,U$9,операции!$P:$P,$F161))/U166)</f>
        <v>42235.341315200007</v>
      </c>
      <c r="V167" s="237">
        <f>IF(V166=0,0,(SUMIFS(операции!$AF:$AF,операции!$T:$T,"&lt;"&amp;S$8,операции!$X:$X,"",операции!$AB:$AB,"&lt;&gt;"&amp;"",операции!$AB:$AB,"&lt;"&amp;S$8,операции!$L:$L,V$9,операции!$P:$P,$F161)+SUMIFS(операции!$AF:$AF,операции!$T:$T,"&lt;"&amp;S$8,операции!$X:$X,"&gt;="&amp;S$8,операции!$AB:$AB,"&lt;&gt;"&amp;"",операции!$AB:$AB,"&lt;"&amp;S$8,операции!$L:$L,V$9,операции!$P:$P,$F161))/V166)</f>
        <v>0</v>
      </c>
      <c r="W167" s="238"/>
      <c r="X167" s="193">
        <f>IF(X166=0,0,(SUMIFS(операции!$AF:$AF,операции!$T:$T,"&lt;"&amp;X$8,операции!$X:$X,"",операции!$AB:$AB,"&lt;&gt;"&amp;"",операции!$AB:$AB,"&lt;"&amp;X$8,операции!$P:$P,$F161)+SUMIFS(операции!$AF:$AF,операции!$T:$T,"&lt;"&amp;X$8,операции!$X:$X,"&gt;="&amp;X$8,операции!$AB:$AB,"&lt;&gt;"&amp;"",операции!$AB:$AB,"&lt;"&amp;X$8,операции!$P:$P,$F161))/X166)</f>
        <v>42252.404539430077</v>
      </c>
      <c r="Y167" s="196"/>
      <c r="Z167" s="193">
        <f>IF(Z166=0,0,(SUMIFS(операции!$AF:$AF,операции!$T:$T,"&lt;"&amp;X$8,операции!$X:$X,"",операции!$AB:$AB,"&lt;&gt;"&amp;"",операции!$AB:$AB,"&lt;"&amp;X$8,операции!$L:$L,Z$9,операции!$P:$P,$F161)+SUMIFS(операции!$AF:$AF,операции!$T:$T,"&lt;"&amp;X$8,операции!$X:$X,"&gt;="&amp;X$8,операции!$AB:$AB,"&lt;&gt;"&amp;"",операции!$AB:$AB,"&lt;"&amp;X$8,операции!$L:$L,Z$9,операции!$P:$P,$F161))/Z166)</f>
        <v>42252.404539430077</v>
      </c>
      <c r="AA167" s="237">
        <f>IF(AA166=0,0,(SUMIFS(операции!$AF:$AF,операции!$T:$T,"&lt;"&amp;X$8,операции!$X:$X,"",операции!$AB:$AB,"&lt;&gt;"&amp;"",операции!$AB:$AB,"&lt;"&amp;X$8,операции!$L:$L,AA$9,операции!$P:$P,$F161)+SUMIFS(операции!$AF:$AF,операции!$T:$T,"&lt;"&amp;X$8,операции!$X:$X,"&gt;="&amp;X$8,операции!$AB:$AB,"&lt;&gt;"&amp;"",операции!$AB:$AB,"&lt;"&amp;X$8,операции!$L:$L,AA$9,операции!$P:$P,$F161))/AA166)</f>
        <v>0</v>
      </c>
      <c r="AB167" s="265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</row>
    <row r="168" spans="1:42" s="192" customFormat="1" ht="11.25">
      <c r="A168" s="37"/>
      <c r="B168" s="37"/>
      <c r="C168" s="37"/>
      <c r="D168" s="191"/>
      <c r="E168" s="191" t="s">
        <v>260</v>
      </c>
      <c r="F168" s="191" t="str">
        <f t="shared" si="244"/>
        <v>Домашнее хозяйство</v>
      </c>
      <c r="G168" s="191" t="s">
        <v>219</v>
      </c>
      <c r="H168" s="315"/>
      <c r="I168" s="329">
        <f>IF(I166=0,0,I$8-I167)</f>
        <v>66.877969775356178</v>
      </c>
      <c r="J168" s="317"/>
      <c r="K168" s="329">
        <f>IF(K166=0,0,I$8-K167)</f>
        <v>66.877969775356178</v>
      </c>
      <c r="L168" s="330">
        <f>IF(L166=0,0,I$8-L167)</f>
        <v>0</v>
      </c>
      <c r="M168" s="274"/>
      <c r="N168" s="156">
        <f>IF(N166=0,0,N$8-N167)</f>
        <v>66.877969775356178</v>
      </c>
      <c r="O168" s="196"/>
      <c r="P168" s="156">
        <f>IF(P166=0,0,N$8-P167)</f>
        <v>66.877969775356178</v>
      </c>
      <c r="Q168" s="245">
        <f>IF(Q166=0,0,N$8-Q167)</f>
        <v>0</v>
      </c>
      <c r="R168" s="238"/>
      <c r="S168" s="156">
        <f>IF(S166=0,0,S$8-S167)</f>
        <v>73.658684799993352</v>
      </c>
      <c r="T168" s="196"/>
      <c r="U168" s="156">
        <f>IF(U166=0,0,S$8-U167)</f>
        <v>73.658684799993352</v>
      </c>
      <c r="V168" s="245">
        <f>IF(V166=0,0,S$8-V167)</f>
        <v>0</v>
      </c>
      <c r="W168" s="238"/>
      <c r="X168" s="156">
        <f>IF(X166=0,0,X$8-X167)</f>
        <v>86.595460569922579</v>
      </c>
      <c r="Y168" s="196"/>
      <c r="Z168" s="156">
        <f>IF(Z166=0,0,X$8-Z167)</f>
        <v>86.595460569922579</v>
      </c>
      <c r="AA168" s="245">
        <f>IF(AA166=0,0,X$8-AA167)</f>
        <v>0</v>
      </c>
      <c r="AB168" s="265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</row>
    <row r="169" spans="1:42" s="192" customFormat="1" ht="11.25">
      <c r="A169" s="37"/>
      <c r="B169" s="37"/>
      <c r="C169" s="37"/>
      <c r="D169" s="191"/>
      <c r="E169" s="191" t="s">
        <v>259</v>
      </c>
      <c r="F169" s="191" t="str">
        <f t="shared" si="244"/>
        <v>Домашнее хозяйство</v>
      </c>
      <c r="G169" s="191" t="s">
        <v>262</v>
      </c>
      <c r="H169" s="315"/>
      <c r="I169" s="316">
        <f>IF(I166=0,0,(SUMIFS(операции!$AH:$AH,операции!$T:$T,"&lt;"&amp;I$8,операции!$X:$X,"",операции!$AB:$AB,"&lt;&gt;"&amp;"",операции!$AB:$AB,"&lt;"&amp;I$8,операции!$P:$P,$F161)+SUMIFS(операции!$AH:$AH,операции!$T:$T,"&lt;"&amp;I$8,операции!$X:$X,"&gt;="&amp;I$8,операции!$AB:$AB,"&lt;&gt;"&amp;"",операции!$AB:$AB,"&lt;"&amp;I$8,операции!$P:$P,$F161))/I166)</f>
        <v>42232.896787894228</v>
      </c>
      <c r="J169" s="317"/>
      <c r="K169" s="316">
        <f>IF(K166=0,0,(SUMIFS(операции!$AH:$AH,операции!$T:$T,"&lt;"&amp;I$8,операции!$X:$X,"",операции!$AB:$AB,"&lt;&gt;"&amp;"",операции!$AB:$AB,"&lt;"&amp;I$8,операции!$L:$L,K$9,операции!$P:$P,$F161)+SUMIFS(операции!$AH:$AH,операции!$T:$T,"&lt;"&amp;I$8,операции!$X:$X,"&gt;="&amp;I$8,операции!$AB:$AB,"&lt;&gt;"&amp;"",операции!$AB:$AB,"&lt;"&amp;I$8,операции!$L:$L,K$9,операции!$P:$P,$F161))/K166)</f>
        <v>42232.896787894228</v>
      </c>
      <c r="L169" s="318">
        <f>IF(L166=0,0,(SUMIFS(операции!$AH:$AH,операции!$T:$T,"&lt;"&amp;I$8,операции!$X:$X,"",операции!$AB:$AB,"&lt;&gt;"&amp;"",операции!$AB:$AB,"&lt;"&amp;I$8,операции!$L:$L,L$9,операции!$P:$P,$F161)+SUMIFS(операции!$AH:$AH,операции!$T:$T,"&lt;"&amp;I$8,операции!$X:$X,"&gt;="&amp;I$8,операции!$AB:$AB,"&lt;&gt;"&amp;"",операции!$AB:$AB,"&lt;"&amp;I$8,операции!$L:$L,L$9,операции!$P:$P,$F161))/L166)</f>
        <v>0</v>
      </c>
      <c r="M169" s="274"/>
      <c r="N169" s="193">
        <f>IF(N166=0,0,(SUMIFS(операции!$AH:$AH,операции!$T:$T,"&lt;"&amp;N$8,операции!$X:$X,"",операции!$AB:$AB,"&lt;&gt;"&amp;"",операции!$AB:$AB,"&lt;"&amp;N$8,операции!$P:$P,$F161)+SUMIFS(операции!$AH:$AH,операции!$T:$T,"&lt;"&amp;N$8,операции!$X:$X,"&gt;="&amp;N$8,операции!$AB:$AB,"&lt;&gt;"&amp;"",операции!$AB:$AB,"&lt;"&amp;N$8,операции!$P:$P,$F161))/N166)</f>
        <v>42232.896787894228</v>
      </c>
      <c r="O169" s="196"/>
      <c r="P169" s="193">
        <f>IF(P166=0,0,(SUMIFS(операции!$AH:$AH,операции!$T:$T,"&lt;"&amp;N$8,операции!$X:$X,"",операции!$AB:$AB,"&lt;&gt;"&amp;"",операции!$AB:$AB,"&lt;"&amp;N$8,операции!$L:$L,P$9,операции!$P:$P,$F161)+SUMIFS(операции!$AH:$AH,операции!$T:$T,"&lt;"&amp;N$8,операции!$X:$X,"&gt;="&amp;N$8,операции!$AB:$AB,"&lt;&gt;"&amp;"",операции!$AB:$AB,"&lt;"&amp;N$8,операции!$L:$L,P$9,операции!$P:$P,$F161))/P166)</f>
        <v>42232.896787894228</v>
      </c>
      <c r="Q169" s="237">
        <f>IF(Q166=0,0,(SUMIFS(операции!$AH:$AH,операции!$T:$T,"&lt;"&amp;N$8,операции!$X:$X,"",операции!$AB:$AB,"&lt;&gt;"&amp;"",операции!$AB:$AB,"&lt;"&amp;N$8,операции!$L:$L,Q$9,операции!$P:$P,$F161)+SUMIFS(операции!$AH:$AH,операции!$T:$T,"&lt;"&amp;N$8,операции!$X:$X,"&gt;="&amp;N$8,операции!$AB:$AB,"&lt;&gt;"&amp;"",операции!$AB:$AB,"&lt;"&amp;N$8,операции!$L:$L,Q$9,операции!$P:$P,$F161))/Q166)</f>
        <v>0</v>
      </c>
      <c r="R169" s="238"/>
      <c r="S169" s="193">
        <f>IF(S166=0,0,(SUMIFS(операции!$AH:$AH,операции!$T:$T,"&lt;"&amp;S$8,операции!$X:$X,"",операции!$AB:$AB,"&lt;&gt;"&amp;"",операции!$AB:$AB,"&lt;"&amp;S$8,операции!$P:$P,$F161)+SUMIFS(операции!$AH:$AH,операции!$T:$T,"&lt;"&amp;S$8,операции!$X:$X,"&gt;="&amp;S$8,операции!$AB:$AB,"&lt;&gt;"&amp;"",операции!$AB:$AB,"&lt;"&amp;S$8,операции!$P:$P,$F161))/S166)</f>
        <v>42259.802615909757</v>
      </c>
      <c r="T169" s="196"/>
      <c r="U169" s="193">
        <f>IF(U166=0,0,(SUMIFS(операции!$AH:$AH,операции!$T:$T,"&lt;"&amp;S$8,операции!$X:$X,"",операции!$AB:$AB,"&lt;&gt;"&amp;"",операции!$AB:$AB,"&lt;"&amp;S$8,операции!$L:$L,U$9,операции!$P:$P,$F161)+SUMIFS(операции!$AH:$AH,операции!$T:$T,"&lt;"&amp;S$8,операции!$X:$X,"&gt;="&amp;S$8,операции!$AB:$AB,"&lt;&gt;"&amp;"",операции!$AB:$AB,"&lt;"&amp;S$8,операции!$L:$L,U$9,операции!$P:$P,$F161))/U166)</f>
        <v>42259.802615909757</v>
      </c>
      <c r="V169" s="237">
        <f>IF(V166=0,0,(SUMIFS(операции!$AH:$AH,операции!$T:$T,"&lt;"&amp;S$8,операции!$X:$X,"",операции!$AB:$AB,"&lt;&gt;"&amp;"",операции!$AB:$AB,"&lt;"&amp;S$8,операции!$L:$L,V$9,операции!$P:$P,$F161)+SUMIFS(операции!$AH:$AH,операции!$T:$T,"&lt;"&amp;S$8,операции!$X:$X,"&gt;="&amp;S$8,операции!$AB:$AB,"&lt;&gt;"&amp;"",операции!$AB:$AB,"&lt;"&amp;S$8,операции!$L:$L,V$9,операции!$P:$P,$F161))/V166)</f>
        <v>0</v>
      </c>
      <c r="W169" s="238"/>
      <c r="X169" s="193">
        <f>IF(X166=0,0,(SUMIFS(операции!$AH:$AH,операции!$T:$T,"&lt;"&amp;X$8,операции!$X:$X,"",операции!$AB:$AB,"&lt;&gt;"&amp;"",операции!$AB:$AB,"&lt;"&amp;X$8,операции!$P:$P,$F161)+SUMIFS(операции!$AH:$AH,операции!$T:$T,"&lt;"&amp;X$8,операции!$X:$X,"&gt;="&amp;X$8,операции!$AB:$AB,"&lt;&gt;"&amp;"",операции!$AB:$AB,"&lt;"&amp;X$8,операции!$P:$P,$F161))/X166)</f>
        <v>42280.770695493295</v>
      </c>
      <c r="Y169" s="196"/>
      <c r="Z169" s="193">
        <f>IF(Z166=0,0,(SUMIFS(операции!$AH:$AH,операции!$T:$T,"&lt;"&amp;X$8,операции!$X:$X,"",операции!$AB:$AB,"&lt;&gt;"&amp;"",операции!$AB:$AB,"&lt;"&amp;X$8,операции!$L:$L,Z$9,операции!$P:$P,$F161)+SUMIFS(операции!$AH:$AH,операции!$T:$T,"&lt;"&amp;X$8,операции!$X:$X,"&gt;="&amp;X$8,операции!$AB:$AB,"&lt;&gt;"&amp;"",операции!$AB:$AB,"&lt;"&amp;X$8,операции!$L:$L,Z$9,операции!$P:$P,$F161))/Z166)</f>
        <v>42280.770695493295</v>
      </c>
      <c r="AA169" s="237">
        <f>IF(AA166=0,0,(SUMIFS(операции!$AH:$AH,операции!$T:$T,"&lt;"&amp;X$8,операции!$X:$X,"",операции!$AB:$AB,"&lt;&gt;"&amp;"",операции!$AB:$AB,"&lt;"&amp;X$8,операции!$L:$L,AA$9,операции!$P:$P,$F161)+SUMIFS(операции!$AH:$AH,операции!$T:$T,"&lt;"&amp;X$8,операции!$X:$X,"&gt;="&amp;X$8,операции!$AB:$AB,"&lt;&gt;"&amp;"",операции!$AB:$AB,"&lt;"&amp;X$8,операции!$L:$L,AA$9,операции!$P:$P,$F161))/AA166)</f>
        <v>0</v>
      </c>
      <c r="AB169" s="265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</row>
    <row r="170" spans="1:42" s="192" customFormat="1" ht="11.25">
      <c r="A170" s="37"/>
      <c r="B170" s="37"/>
      <c r="C170" s="37"/>
      <c r="D170" s="191"/>
      <c r="E170" s="191" t="s">
        <v>265</v>
      </c>
      <c r="F170" s="191" t="str">
        <f t="shared" si="244"/>
        <v>Домашнее хозяйство</v>
      </c>
      <c r="G170" s="191" t="s">
        <v>219</v>
      </c>
      <c r="H170" s="315"/>
      <c r="I170" s="329">
        <f>I169-I167</f>
        <v>21.774757669583778</v>
      </c>
      <c r="J170" s="317"/>
      <c r="K170" s="329">
        <f t="shared" ref="K170" si="257">K169-K167</f>
        <v>21.774757669583778</v>
      </c>
      <c r="L170" s="330">
        <f>L169-L167</f>
        <v>0</v>
      </c>
      <c r="M170" s="274"/>
      <c r="N170" s="156">
        <f>N169-N167</f>
        <v>21.774757669583778</v>
      </c>
      <c r="O170" s="196"/>
      <c r="P170" s="156">
        <f t="shared" ref="P170" si="258">P169-P167</f>
        <v>21.774757669583778</v>
      </c>
      <c r="Q170" s="245">
        <f>Q169-Q167</f>
        <v>0</v>
      </c>
      <c r="R170" s="238"/>
      <c r="S170" s="156">
        <f>S169-S167</f>
        <v>24.461300709750503</v>
      </c>
      <c r="T170" s="196"/>
      <c r="U170" s="156">
        <f t="shared" ref="U170" si="259">U169-U167</f>
        <v>24.461300709750503</v>
      </c>
      <c r="V170" s="245">
        <f>V169-V167</f>
        <v>0</v>
      </c>
      <c r="W170" s="238"/>
      <c r="X170" s="156">
        <f>X169-X167</f>
        <v>28.366156063217204</v>
      </c>
      <c r="Y170" s="196"/>
      <c r="Z170" s="156">
        <f t="shared" ref="Z170" si="260">Z169-Z167</f>
        <v>28.366156063217204</v>
      </c>
      <c r="AA170" s="245">
        <f>AA169-AA167</f>
        <v>0</v>
      </c>
      <c r="AB170" s="265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</row>
    <row r="171" spans="1:42" s="192" customFormat="1" ht="11.25">
      <c r="A171" s="37"/>
      <c r="B171" s="37"/>
      <c r="C171" s="37"/>
      <c r="D171" s="191"/>
      <c r="E171" s="191" t="s">
        <v>268</v>
      </c>
      <c r="F171" s="191" t="str">
        <f t="shared" si="244"/>
        <v>Домашнее хозяйство</v>
      </c>
      <c r="G171" s="191" t="s">
        <v>219</v>
      </c>
      <c r="H171" s="315"/>
      <c r="I171" s="329">
        <f>I168-I170</f>
        <v>45.1032121057724</v>
      </c>
      <c r="J171" s="317"/>
      <c r="K171" s="329">
        <f t="shared" ref="K171" si="261">K168-K170</f>
        <v>45.1032121057724</v>
      </c>
      <c r="L171" s="330">
        <f t="shared" ref="L171" si="262">L168-L170</f>
        <v>0</v>
      </c>
      <c r="M171" s="274"/>
      <c r="N171" s="156">
        <f>N168-N170</f>
        <v>45.1032121057724</v>
      </c>
      <c r="O171" s="196"/>
      <c r="P171" s="156">
        <f t="shared" ref="P171" si="263">P168-P170</f>
        <v>45.1032121057724</v>
      </c>
      <c r="Q171" s="245">
        <f t="shared" ref="Q171" si="264">Q168-Q170</f>
        <v>0</v>
      </c>
      <c r="R171" s="238"/>
      <c r="S171" s="156">
        <f>S168-S170</f>
        <v>49.197384090242849</v>
      </c>
      <c r="T171" s="196"/>
      <c r="U171" s="156">
        <f t="shared" ref="U171" si="265">U168-U170</f>
        <v>49.197384090242849</v>
      </c>
      <c r="V171" s="245">
        <f t="shared" ref="V171" si="266">V168-V170</f>
        <v>0</v>
      </c>
      <c r="W171" s="238"/>
      <c r="X171" s="156">
        <f>X168-X170</f>
        <v>58.229304506705375</v>
      </c>
      <c r="Y171" s="196"/>
      <c r="Z171" s="156">
        <f t="shared" ref="Z171" si="267">Z168-Z170</f>
        <v>58.229304506705375</v>
      </c>
      <c r="AA171" s="245">
        <f t="shared" ref="AA171" si="268">AA168-AA170</f>
        <v>0</v>
      </c>
      <c r="AB171" s="265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</row>
    <row r="172" spans="1:42" s="5" customFormat="1">
      <c r="A172" s="1"/>
      <c r="B172" s="1"/>
      <c r="C172" s="1"/>
      <c r="D172" s="168"/>
      <c r="E172" s="168" t="s">
        <v>276</v>
      </c>
      <c r="F172" s="168" t="str">
        <f t="shared" si="244"/>
        <v>Домашнее хозяйство</v>
      </c>
      <c r="G172" s="168" t="s">
        <v>261</v>
      </c>
      <c r="H172" s="326"/>
      <c r="I172" s="327">
        <f>SUMIFS(операции!$V:$V,операции!$T:$T,"&lt;"&amp;I$8,операции!$X:$X,"",операции!$AB:$AB,"",операции!$P:$P,$F161)+SUMIFS(операции!$V:$V,операции!$T:$T,"&lt;"&amp;I$8,операции!$X:$X,"&gt;="&amp;I$8,операции!$AB:$AB,"",операции!$P:$P,$F161)+SUMIFS(операции!$V:$V,операции!$T:$T,"&lt;"&amp;I$8,операции!$X:$X,"",операции!$AB:$AB,"&gt;="&amp;I$8,операции!$P:$P,$F161)+SUMIFS(операции!$V:$V,операции!$T:$T,"&lt;"&amp;I$8,операции!$X:$X,"&gt;="&amp;I$8,операции!$AB:$AB,"&gt;="&amp;I$8,операции!$P:$P,$F161)</f>
        <v>64629.590000000004</v>
      </c>
      <c r="J172" s="313">
        <f>I172-K172-L172</f>
        <v>0</v>
      </c>
      <c r="K172" s="327">
        <f>SUMIFS(операции!$V:$V,операции!$T:$T,"&lt;"&amp;I$8,операции!$X:$X,"",операции!$AB:$AB,"",операции!$L:$L,K$9,операции!$P:$P,$F161)+SUMIFS(операции!$V:$V,операции!$T:$T,"&lt;"&amp;I$8,операции!$X:$X,"&gt;="&amp;I$8,операции!$AB:$AB,"",операции!$L:$L,K$9,операции!$P:$P,$F161)+SUMIFS(операции!$V:$V,операции!$T:$T,"&lt;"&amp;I$8,операции!$X:$X,"",операции!$AB:$AB,"&gt;="&amp;I$8,операции!$L:$L,K$9,операции!$P:$P,$F161)+SUMIFS(операции!$V:$V,операции!$T:$T,"&lt;"&amp;I$8,операции!$X:$X,"&gt;="&amp;I$8,операции!$AB:$AB,"&gt;="&amp;I$8,операции!$L:$L,K$9,операции!$P:$P,$F161)</f>
        <v>64629.590000000004</v>
      </c>
      <c r="L172" s="328">
        <f>SUMIFS(операции!$V:$V,операции!$T:$T,"&lt;"&amp;I$8,операции!$X:$X,"",операции!$AB:$AB,"",операции!$L:$L,L$9,операции!$P:$P,$F161)+SUMIFS(операции!$V:$V,операции!$T:$T,"&lt;"&amp;I$8,операции!$X:$X,"&gt;="&amp;I$8,операции!$AB:$AB,"",операции!$L:$L,L$9,операции!$P:$P,$F161)+SUMIFS(операции!$V:$V,операции!$T:$T,"&lt;"&amp;I$8,операции!$X:$X,"",операции!$AB:$AB,"&gt;="&amp;I$8,операции!$L:$L,L$9,операции!$P:$P,$F161)+SUMIFS(операции!$V:$V,операции!$T:$T,"&lt;"&amp;I$8,операции!$X:$X,"&gt;="&amp;I$8,операции!$AB:$AB,"&gt;="&amp;I$8,операции!$L:$L,L$9,операции!$P:$P,$F161)</f>
        <v>0</v>
      </c>
      <c r="M172" s="277"/>
      <c r="N172" s="169">
        <f>SUMIFS(операции!$V:$V,операции!$T:$T,"&lt;"&amp;N$8,операции!$X:$X,"",операции!$AB:$AB,"",операции!$P:$P,$F161)+SUMIFS(операции!$V:$V,операции!$T:$T,"&lt;"&amp;N$8,операции!$X:$X,"&gt;="&amp;N$8,операции!$AB:$AB,"",операции!$P:$P,$F161)+SUMIFS(операции!$V:$V,операции!$T:$T,"&lt;"&amp;N$8,операции!$X:$X,"",операции!$AB:$AB,"&gt;="&amp;N$8,операции!$P:$P,$F161)+SUMIFS(операции!$V:$V,операции!$T:$T,"&lt;"&amp;N$8,операции!$X:$X,"&gt;="&amp;N$8,операции!$AB:$AB,"&gt;="&amp;N$8,операции!$P:$P,$F161)</f>
        <v>64629.590000000004</v>
      </c>
      <c r="O172" s="170">
        <f>N172-P172-Q172</f>
        <v>0</v>
      </c>
      <c r="P172" s="169">
        <f>SUMIFS(операции!$V:$V,операции!$T:$T,"&lt;"&amp;N$8,операции!$X:$X,"",операции!$AB:$AB,"",операции!$L:$L,P$9,операции!$P:$P,$F161)+SUMIFS(операции!$V:$V,операции!$T:$T,"&lt;"&amp;N$8,операции!$X:$X,"&gt;="&amp;N$8,операции!$AB:$AB,"",операции!$L:$L,P$9,операции!$P:$P,$F161)+SUMIFS(операции!$V:$V,операции!$T:$T,"&lt;"&amp;N$8,операции!$X:$X,"",операции!$AB:$AB,"&gt;="&amp;N$8,операции!$L:$L,P$9,операции!$P:$P,$F161)+SUMIFS(операции!$V:$V,операции!$T:$T,"&lt;"&amp;N$8,операции!$X:$X,"&gt;="&amp;N$8,операции!$AB:$AB,"&gt;="&amp;N$8,операции!$L:$L,P$9,операции!$P:$P,$F161)</f>
        <v>64629.590000000004</v>
      </c>
      <c r="Q172" s="243">
        <f>SUMIFS(операции!$V:$V,операции!$T:$T,"&lt;"&amp;N$8,операции!$X:$X,"",операции!$AB:$AB,"",операции!$L:$L,Q$9,операции!$P:$P,$F161)+SUMIFS(операции!$V:$V,операции!$T:$T,"&lt;"&amp;N$8,операции!$X:$X,"&gt;="&amp;N$8,операции!$AB:$AB,"",операции!$L:$L,Q$9,операции!$P:$P,$F161)+SUMIFS(операции!$V:$V,операции!$T:$T,"&lt;"&amp;N$8,операции!$X:$X,"",операции!$AB:$AB,"&gt;="&amp;N$8,операции!$L:$L,Q$9,операции!$P:$P,$F161)+SUMIFS(операции!$V:$V,операции!$T:$T,"&lt;"&amp;N$8,операции!$X:$X,"&gt;="&amp;N$8,операции!$AB:$AB,"&gt;="&amp;N$8,операции!$L:$L,Q$9,операции!$P:$P,$F161)</f>
        <v>0</v>
      </c>
      <c r="R172" s="244"/>
      <c r="S172" s="169">
        <f>SUMIFS(операции!$V:$V,операции!$T:$T,"&lt;"&amp;S$8,операции!$X:$X,"",операции!$AB:$AB,"",операции!$P:$P,$F161)+SUMIFS(операции!$V:$V,операции!$T:$T,"&lt;"&amp;S$8,операции!$X:$X,"&gt;="&amp;S$8,операции!$AB:$AB,"",операции!$P:$P,$F161)+SUMIFS(операции!$V:$V,операции!$T:$T,"&lt;"&amp;S$8,операции!$X:$X,"",операции!$AB:$AB,"&gt;="&amp;S$8,операции!$P:$P,$F161)+SUMIFS(операции!$V:$V,операции!$T:$T,"&lt;"&amp;S$8,операции!$X:$X,"&gt;="&amp;S$8,операции!$AB:$AB,"&gt;="&amp;S$8,операции!$P:$P,$F161)</f>
        <v>101033.97999999998</v>
      </c>
      <c r="T172" s="170">
        <f>S172-U172-V172</f>
        <v>0</v>
      </c>
      <c r="U172" s="169">
        <f>SUMIFS(операции!$V:$V,операции!$T:$T,"&lt;"&amp;S$8,операции!$X:$X,"",операции!$AB:$AB,"",операции!$L:$L,U$9,операции!$P:$P,$F161)+SUMIFS(операции!$V:$V,операции!$T:$T,"&lt;"&amp;S$8,операции!$X:$X,"&gt;="&amp;S$8,операции!$AB:$AB,"",операции!$L:$L,U$9,операции!$P:$P,$F161)+SUMIFS(операции!$V:$V,операции!$T:$T,"&lt;"&amp;S$8,операции!$X:$X,"",операции!$AB:$AB,"&gt;="&amp;S$8,операции!$L:$L,U$9,операции!$P:$P,$F161)+SUMIFS(операции!$V:$V,операции!$T:$T,"&lt;"&amp;S$8,операции!$X:$X,"&gt;="&amp;S$8,операции!$AB:$AB,"&gt;="&amp;S$8,операции!$L:$L,U$9,операции!$P:$P,$F161)</f>
        <v>45534.380000000005</v>
      </c>
      <c r="V172" s="243">
        <f>SUMIFS(операции!$V:$V,операции!$T:$T,"&lt;"&amp;S$8,операции!$X:$X,"",операции!$AB:$AB,"",операции!$L:$L,V$9,операции!$P:$P,$F161)+SUMIFS(операции!$V:$V,операции!$T:$T,"&lt;"&amp;S$8,операции!$X:$X,"&gt;="&amp;S$8,операции!$AB:$AB,"",операции!$L:$L,V$9,операции!$P:$P,$F161)+SUMIFS(операции!$V:$V,операции!$T:$T,"&lt;"&amp;S$8,операции!$X:$X,"",операции!$AB:$AB,"&gt;="&amp;S$8,операции!$L:$L,V$9,операции!$P:$P,$F161)+SUMIFS(операции!$V:$V,операции!$T:$T,"&lt;"&amp;S$8,операции!$X:$X,"&gt;="&amp;S$8,операции!$AB:$AB,"&gt;="&amp;S$8,операции!$L:$L,V$9,операции!$P:$P,$F161)</f>
        <v>55499.6</v>
      </c>
      <c r="W172" s="244"/>
      <c r="X172" s="169">
        <f>SUMIFS(операции!$V:$V,операции!$T:$T,"&lt;"&amp;X$8,операции!$X:$X,"",операции!$AB:$AB,"",операции!$P:$P,$F161)+SUMIFS(операции!$V:$V,операции!$T:$T,"&lt;"&amp;X$8,операции!$X:$X,"&gt;="&amp;X$8,операции!$AB:$AB,"",операции!$P:$P,$F161)+SUMIFS(операции!$V:$V,операции!$T:$T,"&lt;"&amp;X$8,операции!$X:$X,"",операции!$AB:$AB,"&gt;="&amp;X$8,операции!$P:$P,$F161)+SUMIFS(операции!$V:$V,операции!$T:$T,"&lt;"&amp;X$8,операции!$X:$X,"&gt;="&amp;X$8,операции!$AB:$AB,"&gt;="&amp;X$8,операции!$P:$P,$F161)</f>
        <v>23087.5</v>
      </c>
      <c r="Y172" s="170">
        <f>X172-Z172-AA172</f>
        <v>0</v>
      </c>
      <c r="Z172" s="169">
        <f>SUMIFS(операции!$V:$V,операции!$T:$T,"&lt;"&amp;X$8,операции!$X:$X,"",операции!$AB:$AB,"",операции!$L:$L,Z$9,операции!$P:$P,$F161)+SUMIFS(операции!$V:$V,операции!$T:$T,"&lt;"&amp;X$8,операции!$X:$X,"&gt;="&amp;X$8,операции!$AB:$AB,"",операции!$L:$L,Z$9,операции!$P:$P,$F161)+SUMIFS(операции!$V:$V,операции!$T:$T,"&lt;"&amp;X$8,операции!$X:$X,"",операции!$AB:$AB,"&gt;="&amp;X$8,операции!$L:$L,Z$9,операции!$P:$P,$F161)+SUMIFS(операции!$V:$V,операции!$T:$T,"&lt;"&amp;X$8,операции!$X:$X,"&gt;="&amp;X$8,операции!$AB:$AB,"&gt;="&amp;X$8,операции!$L:$L,Z$9,операции!$P:$P,$F161)</f>
        <v>4434.76</v>
      </c>
      <c r="AA172" s="243">
        <f>SUMIFS(операции!$V:$V,операции!$T:$T,"&lt;"&amp;X$8,операции!$X:$X,"",операции!$AB:$AB,"",операции!$L:$L,AA$9,операции!$P:$P,$F161)+SUMIFS(операции!$V:$V,операции!$T:$T,"&lt;"&amp;X$8,операции!$X:$X,"&gt;="&amp;X$8,операции!$AB:$AB,"",операции!$L:$L,AA$9,операции!$P:$P,$F161)+SUMIFS(операции!$V:$V,операции!$T:$T,"&lt;"&amp;X$8,операции!$X:$X,"",операции!$AB:$AB,"&gt;="&amp;X$8,операции!$L:$L,AA$9,операции!$P:$P,$F161)+SUMIFS(операции!$V:$V,операции!$T:$T,"&lt;"&amp;X$8,операции!$X:$X,"&gt;="&amp;X$8,операции!$AB:$AB,"&gt;="&amp;X$8,операции!$L:$L,AA$9,операции!$P:$P,$F161)</f>
        <v>18652.739999999998</v>
      </c>
      <c r="AB172" s="266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s="192" customFormat="1" ht="11.25">
      <c r="A173" s="37"/>
      <c r="B173" s="37"/>
      <c r="C173" s="37"/>
      <c r="D173" s="191"/>
      <c r="E173" s="191" t="s">
        <v>255</v>
      </c>
      <c r="F173" s="191" t="str">
        <f t="shared" si="244"/>
        <v>Домашнее хозяйство</v>
      </c>
      <c r="G173" s="191" t="s">
        <v>262</v>
      </c>
      <c r="H173" s="315"/>
      <c r="I173" s="316">
        <f>IF(I172=0,0,(SUMIFS(операции!$AF:$AF,операции!$T:$T,"&lt;"&amp;I$8,операции!$X:$X,"",операции!$AB:$AB,"",операции!$P:$P,$F161)+SUMIFS(операции!$AF:$AF,операции!$T:$T,"&lt;"&amp;I$8,операции!$X:$X,"&gt;="&amp;I$8,операции!$AB:$AB,"",операции!$P:$P,$F161)+SUMIFS(операции!$AF:$AF,операции!$T:$T,"&lt;"&amp;I$8,операции!$X:$X,"",операции!$AB:$AB,"&gt;="&amp;I$8,операции!$P:$P,$F161)+SUMIFS(операции!$AF:$AF,операции!$T:$T,"&lt;"&amp;I$8,операции!$X:$X,"&gt;="&amp;I$8,операции!$AB:$AB,"&gt;="&amp;I$8,операции!$P:$P,$F161))/I172)</f>
        <v>42251.502423270824</v>
      </c>
      <c r="J173" s="317"/>
      <c r="K173" s="316">
        <f>IF(K172=0,0,(SUMIFS(операции!$AF:$AF,операции!$T:$T,"&lt;"&amp;I$8,операции!$X:$X,"",операции!$AB:$AB,"",операции!$L:$L,K$9,операции!$P:$P,$F161)+SUMIFS(операции!$AF:$AF,операции!$T:$T,"&lt;"&amp;I$8,операции!$X:$X,"&gt;="&amp;I$8,операции!$AB:$AB,"",операции!$L:$L,K$9,операции!$P:$P,$F161)+SUMIFS(операции!$AF:$AF,операции!$T:$T,"&lt;"&amp;I$8,операции!$X:$X,"",операции!$AB:$AB,"&gt;="&amp;I$8,операции!$L:$L,K$9,операции!$P:$P,$F161)+SUMIFS(операции!$AF:$AF,операции!$T:$T,"&lt;"&amp;I$8,операции!$X:$X,"&gt;="&amp;I$8,операции!$AB:$AB,"&gt;="&amp;I$8,операции!$L:$L,K$9,операции!$P:$P,$F161))/K172)</f>
        <v>42251.502423270824</v>
      </c>
      <c r="L173" s="318">
        <f>IF(L172=0,0,(SUMIFS(операции!$AF:$AF,операции!$T:$T,"&lt;"&amp;I$8,операции!$X:$X,"",операции!$AB:$AB,"",операции!$L:$L,L$9,операции!$P:$P,$F161)+SUMIFS(операции!$AF:$AF,операции!$T:$T,"&lt;"&amp;I$8,операции!$X:$X,"&gt;="&amp;I$8,операции!$AB:$AB,"",операции!$L:$L,L$9,операции!$P:$P,$F161)+SUMIFS(операции!$AF:$AF,операции!$T:$T,"&lt;"&amp;I$8,операции!$X:$X,"",операции!$AB:$AB,"&gt;="&amp;I$8,операции!$L:$L,L$9,операции!$P:$P,$F161)+SUMIFS(операции!$AF:$AF,операции!$T:$T,"&lt;"&amp;I$8,операции!$X:$X,"&gt;="&amp;I$8,операции!$AB:$AB,"&gt;="&amp;I$8,операции!$L:$L,L$9,операции!$P:$P,$F161))/L172)</f>
        <v>0</v>
      </c>
      <c r="M173" s="274"/>
      <c r="N173" s="193">
        <f>IF(N172=0,0,(SUMIFS(операции!$AF:$AF,операции!$T:$T,"&lt;"&amp;N$8,операции!$X:$X,"",операции!$AB:$AB,"",операции!$P:$P,$F161)+SUMIFS(операции!$AF:$AF,операции!$T:$T,"&lt;"&amp;N$8,операции!$X:$X,"&gt;="&amp;N$8,операции!$AB:$AB,"",операции!$P:$P,$F161)+SUMIFS(операции!$AF:$AF,операции!$T:$T,"&lt;"&amp;N$8,операции!$X:$X,"",операции!$AB:$AB,"&gt;="&amp;N$8,операции!$P:$P,$F161)+SUMIFS(операции!$AF:$AF,операции!$T:$T,"&lt;"&amp;N$8,операции!$X:$X,"&gt;="&amp;N$8,операции!$AB:$AB,"&gt;="&amp;N$8,операции!$P:$P,$F161))/N172)</f>
        <v>42251.502423270824</v>
      </c>
      <c r="O173" s="196"/>
      <c r="P173" s="193">
        <f>IF(P172=0,0,(SUMIFS(операции!$AF:$AF,операции!$T:$T,"&lt;"&amp;N$8,операции!$X:$X,"",операции!$AB:$AB,"",операции!$L:$L,P$9,операции!$P:$P,$F161)+SUMIFS(операции!$AF:$AF,операции!$T:$T,"&lt;"&amp;N$8,операции!$X:$X,"&gt;="&amp;N$8,операции!$AB:$AB,"",операции!$L:$L,P$9,операции!$P:$P,$F161)+SUMIFS(операции!$AF:$AF,операции!$T:$T,"&lt;"&amp;N$8,операции!$X:$X,"",операции!$AB:$AB,"&gt;="&amp;N$8,операции!$L:$L,P$9,операции!$P:$P,$F161)+SUMIFS(операции!$AF:$AF,операции!$T:$T,"&lt;"&amp;N$8,операции!$X:$X,"&gt;="&amp;N$8,операции!$AB:$AB,"&gt;="&amp;N$8,операции!$L:$L,P$9,операции!$P:$P,$F161))/P172)</f>
        <v>42251.502423270824</v>
      </c>
      <c r="Q173" s="237">
        <f>IF(Q172=0,0,(SUMIFS(операции!$AF:$AF,операции!$T:$T,"&lt;"&amp;N$8,операции!$X:$X,"",операции!$AB:$AB,"",операции!$L:$L,Q$9,операции!$P:$P,$F161)+SUMIFS(операции!$AF:$AF,операции!$T:$T,"&lt;"&amp;N$8,операции!$X:$X,"&gt;="&amp;N$8,операции!$AB:$AB,"",операции!$L:$L,Q$9,операции!$P:$P,$F161)+SUMIFS(операции!$AF:$AF,операции!$T:$T,"&lt;"&amp;N$8,операции!$X:$X,"",операции!$AB:$AB,"&gt;="&amp;N$8,операции!$L:$L,Q$9,операции!$P:$P,$F161)+SUMIFS(операции!$AF:$AF,операции!$T:$T,"&lt;"&amp;N$8,операции!$X:$X,"&gt;="&amp;N$8,операции!$AB:$AB,"&gt;="&amp;N$8,операции!$L:$L,Q$9,операции!$P:$P,$F161))/Q172)</f>
        <v>0</v>
      </c>
      <c r="R173" s="238"/>
      <c r="S173" s="193">
        <f>IF(S172=0,0,(SUMIFS(операции!$AF:$AF,операции!$T:$T,"&lt;"&amp;S$8,операции!$X:$X,"",операции!$AB:$AB,"",операции!$P:$P,$F161)+SUMIFS(операции!$AF:$AF,операции!$T:$T,"&lt;"&amp;S$8,операции!$X:$X,"&gt;="&amp;S$8,операции!$AB:$AB,"",операции!$P:$P,$F161)+SUMIFS(операции!$AF:$AF,операции!$T:$T,"&lt;"&amp;S$8,операции!$X:$X,"",операции!$AB:$AB,"&gt;="&amp;S$8,операции!$P:$P,$F161)+SUMIFS(операции!$AF:$AF,операции!$T:$T,"&lt;"&amp;S$8,операции!$X:$X,"&gt;="&amp;S$8,операции!$AB:$AB,"&gt;="&amp;S$8,операции!$P:$P,$F161))/S172)</f>
        <v>42293.557476207519</v>
      </c>
      <c r="T173" s="196"/>
      <c r="U173" s="193">
        <f>IF(U172=0,0,(SUMIFS(операции!$AF:$AF,операции!$T:$T,"&lt;"&amp;S$8,операции!$X:$X,"",операции!$AB:$AB,"",операции!$L:$L,U$9,операции!$P:$P,$F161)+SUMIFS(операции!$AF:$AF,операции!$T:$T,"&lt;"&amp;S$8,операции!$X:$X,"&gt;="&amp;S$8,операции!$AB:$AB,"",операции!$L:$L,U$9,операции!$P:$P,$F161)+SUMIFS(операции!$AF:$AF,операции!$T:$T,"&lt;"&amp;S$8,операции!$X:$X,"",операции!$AB:$AB,"&gt;="&amp;S$8,операции!$L:$L,U$9,операции!$P:$P,$F161)+SUMIFS(операции!$AF:$AF,операции!$T:$T,"&lt;"&amp;S$8,операции!$X:$X,"&gt;="&amp;S$8,операции!$AB:$AB,"&gt;="&amp;S$8,операции!$L:$L,U$9,операции!$P:$P,$F161))/U172)</f>
        <v>42279.021688227665</v>
      </c>
      <c r="V173" s="237">
        <f>IF(V172=0,0,(SUMIFS(операции!$AF:$AF,операции!$T:$T,"&lt;"&amp;S$8,операции!$X:$X,"",операции!$AB:$AB,"",операции!$L:$L,V$9,операции!$P:$P,$F161)+SUMIFS(операции!$AF:$AF,операции!$T:$T,"&lt;"&amp;S$8,операции!$X:$X,"&gt;="&amp;S$8,операции!$AB:$AB,"",операции!$L:$L,V$9,операции!$P:$P,$F161)+SUMIFS(операции!$AF:$AF,операции!$T:$T,"&lt;"&amp;S$8,операции!$X:$X,"",операции!$AB:$AB,"&gt;="&amp;S$8,операции!$L:$L,V$9,операции!$P:$P,$F161)+SUMIFS(операции!$AF:$AF,операции!$T:$T,"&lt;"&amp;S$8,операции!$X:$X,"&gt;="&amp;S$8,операции!$AB:$AB,"&gt;="&amp;S$8,операции!$L:$L,V$9,операции!$P:$P,$F161))/V172)</f>
        <v>42305.483293573285</v>
      </c>
      <c r="W173" s="238"/>
      <c r="X173" s="193">
        <f>IF(X172=0,0,(SUMIFS(операции!$AF:$AF,операции!$T:$T,"&lt;"&amp;X$8,операции!$X:$X,"",операции!$AB:$AB,"",операции!$P:$P,$F161)+SUMIFS(операции!$AF:$AF,операции!$T:$T,"&lt;"&amp;X$8,операции!$X:$X,"&gt;="&amp;X$8,операции!$AB:$AB,"",операции!$P:$P,$F161)+SUMIFS(операции!$AF:$AF,операции!$T:$T,"&lt;"&amp;X$8,операции!$X:$X,"",операции!$AB:$AB,"&gt;="&amp;X$8,операции!$P:$P,$F161)+SUMIFS(операции!$AF:$AF,операции!$T:$T,"&lt;"&amp;X$8,операции!$X:$X,"&gt;="&amp;X$8,операции!$AB:$AB,"&gt;="&amp;X$8,операции!$P:$P,$F161))/X172)</f>
        <v>42311.912686085547</v>
      </c>
      <c r="Y173" s="196"/>
      <c r="Z173" s="193">
        <f>IF(Z172=0,0,(SUMIFS(операции!$AF:$AF,операции!$T:$T,"&lt;"&amp;X$8,операции!$X:$X,"",операции!$AB:$AB,"",операции!$L:$L,Z$9,операции!$P:$P,$F161)+SUMIFS(операции!$AF:$AF,операции!$T:$T,"&lt;"&amp;X$8,операции!$X:$X,"&gt;="&amp;X$8,операции!$AB:$AB,"",операции!$L:$L,Z$9,операции!$P:$P,$F161)+SUMIFS(операции!$AF:$AF,операции!$T:$T,"&lt;"&amp;X$8,операции!$X:$X,"",операции!$AB:$AB,"&gt;="&amp;X$8,операции!$L:$L,Z$9,операции!$P:$P,$F161)+SUMIFS(операции!$AF:$AF,операции!$T:$T,"&lt;"&amp;X$8,операции!$X:$X,"&gt;="&amp;X$8,операции!$AB:$AB,"&gt;="&amp;X$8,операции!$L:$L,Z$9,операции!$P:$P,$F161))/Z172)</f>
        <v>42223.375515247724</v>
      </c>
      <c r="AA173" s="237">
        <f>IF(AA172=0,0,(SUMIFS(операции!$AF:$AF,операции!$T:$T,"&lt;"&amp;X$8,операции!$X:$X,"",операции!$AB:$AB,"",операции!$L:$L,AA$9,операции!$P:$P,$F161)+SUMIFS(операции!$AF:$AF,операции!$T:$T,"&lt;"&amp;X$8,операции!$X:$X,"&gt;="&amp;X$8,операции!$AB:$AB,"",операции!$L:$L,AA$9,операции!$P:$P,$F161)+SUMIFS(операции!$AF:$AF,операции!$T:$T,"&lt;"&amp;X$8,операции!$X:$X,"",операции!$AB:$AB,"&gt;="&amp;X$8,операции!$L:$L,AA$9,операции!$P:$P,$F161)+SUMIFS(операции!$AF:$AF,операции!$T:$T,"&lt;"&amp;X$8,операции!$X:$X,"&gt;="&amp;X$8,операции!$AB:$AB,"&gt;="&amp;X$8,операции!$L:$L,AA$9,операции!$P:$P,$F161))/AA172)</f>
        <v>42332.962735769659</v>
      </c>
      <c r="AB173" s="265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</row>
    <row r="174" spans="1:42" s="192" customFormat="1" ht="11.25">
      <c r="A174" s="37"/>
      <c r="B174" s="37"/>
      <c r="C174" s="37"/>
      <c r="D174" s="191"/>
      <c r="E174" s="191" t="s">
        <v>263</v>
      </c>
      <c r="F174" s="191" t="str">
        <f t="shared" si="244"/>
        <v>Домашнее хозяйство</v>
      </c>
      <c r="G174" s="191" t="s">
        <v>219</v>
      </c>
      <c r="H174" s="315"/>
      <c r="I174" s="329">
        <f>IF(I172=0,0,I$8-I173)</f>
        <v>26.497576729176217</v>
      </c>
      <c r="J174" s="317"/>
      <c r="K174" s="329">
        <f>IF(K172=0,0,I$8-K173)</f>
        <v>26.497576729176217</v>
      </c>
      <c r="L174" s="330">
        <f>IF(L172=0,0,I$8-L173)</f>
        <v>0</v>
      </c>
      <c r="M174" s="274"/>
      <c r="N174" s="156">
        <f>IF(N172=0,0,N$8-N173)</f>
        <v>26.497576729176217</v>
      </c>
      <c r="O174" s="196"/>
      <c r="P174" s="156">
        <f>IF(P172=0,0,N$8-P173)</f>
        <v>26.497576729176217</v>
      </c>
      <c r="Q174" s="245">
        <f>IF(Q172=0,0,N$8-Q173)</f>
        <v>0</v>
      </c>
      <c r="R174" s="238"/>
      <c r="S174" s="156">
        <f>IF(S172=0,0,S$8-S173)</f>
        <v>15.442523792480642</v>
      </c>
      <c r="T174" s="196"/>
      <c r="U174" s="156">
        <f>IF(U172=0,0,S$8-U173)</f>
        <v>29.978311772334564</v>
      </c>
      <c r="V174" s="245">
        <f>IF(V172=0,0,S$8-V173)</f>
        <v>3.5167064267152455</v>
      </c>
      <c r="W174" s="238"/>
      <c r="X174" s="156">
        <f>IF(X172=0,0,X$8-X173)</f>
        <v>27.087313914453262</v>
      </c>
      <c r="Y174" s="196"/>
      <c r="Z174" s="156">
        <f>IF(Z172=0,0,X$8-Z173)</f>
        <v>115.62448475227575</v>
      </c>
      <c r="AA174" s="245">
        <f>IF(AA172=0,0,X$8-AA173)</f>
        <v>6.0372642303409521</v>
      </c>
      <c r="AB174" s="265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</row>
    <row r="175" spans="1:42" s="192" customFormat="1" ht="11.25">
      <c r="A175" s="37"/>
      <c r="B175" s="37"/>
      <c r="C175" s="37"/>
      <c r="D175" s="191"/>
      <c r="E175" s="191" t="s">
        <v>311</v>
      </c>
      <c r="F175" s="191" t="str">
        <f t="shared" si="244"/>
        <v>Домашнее хозяйство</v>
      </c>
      <c r="G175" s="191" t="s">
        <v>262</v>
      </c>
      <c r="H175" s="315"/>
      <c r="I175" s="316">
        <f>I$8</f>
        <v>42278</v>
      </c>
      <c r="J175" s="317"/>
      <c r="K175" s="316">
        <f>I$8</f>
        <v>42278</v>
      </c>
      <c r="L175" s="318">
        <f>I$8</f>
        <v>42278</v>
      </c>
      <c r="M175" s="274"/>
      <c r="N175" s="193">
        <f>N$8</f>
        <v>42278</v>
      </c>
      <c r="O175" s="196"/>
      <c r="P175" s="193">
        <f>N$8</f>
        <v>42278</v>
      </c>
      <c r="Q175" s="237">
        <f>N$8</f>
        <v>42278</v>
      </c>
      <c r="R175" s="238"/>
      <c r="S175" s="193">
        <f>S$8</f>
        <v>42309</v>
      </c>
      <c r="T175" s="196"/>
      <c r="U175" s="193">
        <f>S$8</f>
        <v>42309</v>
      </c>
      <c r="V175" s="237">
        <f>S$8</f>
        <v>42309</v>
      </c>
      <c r="W175" s="238"/>
      <c r="X175" s="193">
        <f>X$8</f>
        <v>42339</v>
      </c>
      <c r="Y175" s="196"/>
      <c r="Z175" s="193">
        <f>X$8</f>
        <v>42339</v>
      </c>
      <c r="AA175" s="237">
        <f>X$8</f>
        <v>42339</v>
      </c>
      <c r="AB175" s="265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</row>
    <row r="176" spans="1:42" s="192" customFormat="1" ht="11.25">
      <c r="A176" s="37"/>
      <c r="B176" s="37"/>
      <c r="C176" s="37"/>
      <c r="D176" s="191"/>
      <c r="E176" s="191" t="s">
        <v>264</v>
      </c>
      <c r="F176" s="191" t="str">
        <f t="shared" si="244"/>
        <v>Домашнее хозяйство</v>
      </c>
      <c r="G176" s="191" t="s">
        <v>219</v>
      </c>
      <c r="H176" s="315"/>
      <c r="I176" s="329">
        <f>IF(I172=0,0,I175-I173)</f>
        <v>26.497576729176217</v>
      </c>
      <c r="J176" s="317"/>
      <c r="K176" s="329">
        <f>IF(K172=0,0,K175-K173)</f>
        <v>26.497576729176217</v>
      </c>
      <c r="L176" s="330">
        <f>IF(L172=0,0,L175-L173)</f>
        <v>0</v>
      </c>
      <c r="M176" s="274"/>
      <c r="N176" s="156">
        <f>IF(N172=0,0,N175-N173)</f>
        <v>26.497576729176217</v>
      </c>
      <c r="O176" s="196"/>
      <c r="P176" s="156">
        <f>IF(P172=0,0,P175-P173)</f>
        <v>26.497576729176217</v>
      </c>
      <c r="Q176" s="245">
        <f>IF(Q172=0,0,Q175-Q173)</f>
        <v>0</v>
      </c>
      <c r="R176" s="238"/>
      <c r="S176" s="156">
        <f>IF(S172=0,0,S175-S173)</f>
        <v>15.442523792480642</v>
      </c>
      <c r="T176" s="196"/>
      <c r="U176" s="156">
        <f>IF(U172=0,0,U175-U173)</f>
        <v>29.978311772334564</v>
      </c>
      <c r="V176" s="245">
        <f>IF(V172=0,0,V175-V173)</f>
        <v>3.5167064267152455</v>
      </c>
      <c r="W176" s="238"/>
      <c r="X176" s="156">
        <f>IF(X172=0,0,X175-X173)</f>
        <v>27.087313914453262</v>
      </c>
      <c r="Y176" s="196"/>
      <c r="Z176" s="156">
        <f>IF(Z172=0,0,Z175-Z173)</f>
        <v>115.62448475227575</v>
      </c>
      <c r="AA176" s="245">
        <f>IF(AA172=0,0,AA175-AA173)</f>
        <v>6.0372642303409521</v>
      </c>
      <c r="AB176" s="265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</row>
    <row r="177" spans="1:42" s="192" customFormat="1" ht="11.25">
      <c r="A177" s="37"/>
      <c r="B177" s="37"/>
      <c r="C177" s="37"/>
      <c r="D177" s="207"/>
      <c r="E177" s="207" t="s">
        <v>269</v>
      </c>
      <c r="F177" s="207" t="str">
        <f t="shared" si="244"/>
        <v>Домашнее хозяйство</v>
      </c>
      <c r="G177" s="207" t="s">
        <v>219</v>
      </c>
      <c r="H177" s="331"/>
      <c r="I177" s="332">
        <f>I174-I176</f>
        <v>0</v>
      </c>
      <c r="J177" s="333"/>
      <c r="K177" s="332">
        <f t="shared" ref="K177" si="269">K174-K176</f>
        <v>0</v>
      </c>
      <c r="L177" s="334">
        <f>L174-L176</f>
        <v>0</v>
      </c>
      <c r="M177" s="278"/>
      <c r="N177" s="162">
        <f>N174-N176</f>
        <v>0</v>
      </c>
      <c r="O177" s="208"/>
      <c r="P177" s="162">
        <f t="shared" ref="P177" si="270">P174-P176</f>
        <v>0</v>
      </c>
      <c r="Q177" s="246">
        <f>Q174-Q176</f>
        <v>0</v>
      </c>
      <c r="R177" s="247"/>
      <c r="S177" s="162">
        <f>S174-S176</f>
        <v>0</v>
      </c>
      <c r="T177" s="208"/>
      <c r="U177" s="162">
        <f t="shared" ref="U177" si="271">U174-U176</f>
        <v>0</v>
      </c>
      <c r="V177" s="246">
        <f>V174-V176</f>
        <v>0</v>
      </c>
      <c r="W177" s="247"/>
      <c r="X177" s="162">
        <f>X174-X176</f>
        <v>0</v>
      </c>
      <c r="Y177" s="208"/>
      <c r="Z177" s="162">
        <f t="shared" ref="Z177" si="272">Z174-Z176</f>
        <v>0</v>
      </c>
      <c r="AA177" s="246">
        <f>AA174-AA176</f>
        <v>0</v>
      </c>
      <c r="AB177" s="265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</row>
    <row r="178" spans="1:42" s="111" customFormat="1" ht="11.25">
      <c r="A178" s="108"/>
      <c r="B178" s="108"/>
      <c r="C178" s="108" t="s">
        <v>272</v>
      </c>
      <c r="D178" s="109"/>
      <c r="E178" s="109"/>
      <c r="F178" s="109" t="str">
        <f t="shared" si="244"/>
        <v>Домашнее хозяйство</v>
      </c>
      <c r="G178" s="109"/>
      <c r="H178" s="307"/>
      <c r="I178" s="308">
        <f>I179-K179-L179</f>
        <v>0</v>
      </c>
      <c r="J178" s="335"/>
      <c r="K178" s="308"/>
      <c r="L178" s="336"/>
      <c r="M178" s="272"/>
      <c r="N178" s="110">
        <f>N179-P179-Q179</f>
        <v>0</v>
      </c>
      <c r="O178" s="105"/>
      <c r="P178" s="110"/>
      <c r="Q178" s="248"/>
      <c r="R178" s="234"/>
      <c r="S178" s="110">
        <f>S179-U179-V179</f>
        <v>0</v>
      </c>
      <c r="T178" s="105"/>
      <c r="U178" s="110"/>
      <c r="V178" s="248"/>
      <c r="W178" s="234"/>
      <c r="X178" s="110">
        <f>X179-Z179-AA179</f>
        <v>0</v>
      </c>
      <c r="Y178" s="105"/>
      <c r="Z178" s="110"/>
      <c r="AA178" s="248"/>
      <c r="AB178" s="263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</row>
    <row r="179" spans="1:42" s="5" customFormat="1">
      <c r="A179" s="1"/>
      <c r="B179" s="1"/>
      <c r="C179" s="1"/>
      <c r="D179" s="168" t="s">
        <v>273</v>
      </c>
      <c r="E179" s="168"/>
      <c r="F179" s="168" t="str">
        <f t="shared" si="244"/>
        <v>Домашнее хозяйство</v>
      </c>
      <c r="G179" s="168" t="s">
        <v>261</v>
      </c>
      <c r="H179" s="326"/>
      <c r="I179" s="327">
        <f>SUMIFS(операции!$V:$V,операции!$T:$T,"&gt;="&amp;I$8,операции!$T:$T,"&lt;="&amp;I$9,операции!$P:$P,$F161)</f>
        <v>223487.89999999997</v>
      </c>
      <c r="J179" s="313"/>
      <c r="K179" s="327">
        <f>SUMIFS(операции!$V:$V,операции!$T:$T,"&gt;="&amp;I$8,операции!$T:$T,"&lt;="&amp;I$9,операции!$L:$L,K$9,операции!$P:$P,$F161)</f>
        <v>31487.959999999995</v>
      </c>
      <c r="L179" s="328">
        <f>SUMIFS(операции!$V:$V,операции!$T:$T,"&gt;="&amp;I$8,операции!$T:$T,"&lt;="&amp;I$9,операции!$L:$L,L$9,операции!$P:$P,$F161)</f>
        <v>191999.93999999994</v>
      </c>
      <c r="M179" s="277"/>
      <c r="N179" s="169">
        <f>SUMIFS(операции!$V:$V,операции!$T:$T,"&gt;="&amp;N$8,операции!$T:$T,"&lt;="&amp;N$9,операции!$P:$P,$F161)</f>
        <v>105225.16</v>
      </c>
      <c r="O179" s="170"/>
      <c r="P179" s="169">
        <f>SUMIFS(операции!$V:$V,операции!$T:$T,"&gt;="&amp;N$8,операции!$T:$T,"&lt;="&amp;N$9,операции!$L:$L,P$9,операции!$P:$P,$F161)</f>
        <v>31487.959999999995</v>
      </c>
      <c r="Q179" s="243">
        <f>SUMIFS(операции!$V:$V,операции!$T:$T,"&gt;="&amp;N$8,операции!$T:$T,"&lt;="&amp;N$9,операции!$L:$L,Q$9,операции!$P:$P,$F161)</f>
        <v>73737.2</v>
      </c>
      <c r="R179" s="244"/>
      <c r="S179" s="169">
        <f>SUMIFS(операции!$V:$V,операции!$T:$T,"&gt;="&amp;S$8,операции!$T:$T,"&lt;="&amp;S$9,операции!$P:$P,$F161)</f>
        <v>83037.14</v>
      </c>
      <c r="T179" s="170"/>
      <c r="U179" s="169">
        <f>SUMIFS(операции!$V:$V,операции!$T:$T,"&gt;="&amp;S$8,операции!$T:$T,"&lt;="&amp;S$9,операции!$L:$L,U$9,операции!$P:$P,$F161)</f>
        <v>0</v>
      </c>
      <c r="V179" s="243">
        <f>SUMIFS(операции!$V:$V,операции!$T:$T,"&gt;="&amp;S$8,операции!$T:$T,"&lt;="&amp;S$9,операции!$L:$L,V$9,операции!$P:$P,$F161)</f>
        <v>83037.14</v>
      </c>
      <c r="W179" s="244"/>
      <c r="X179" s="169">
        <f>SUMIFS(операции!$V:$V,операции!$T:$T,"&gt;="&amp;X$8,операции!$T:$T,"&lt;="&amp;X$9,операции!$P:$P,$F161)</f>
        <v>35225.599999999999</v>
      </c>
      <c r="Y179" s="170"/>
      <c r="Z179" s="169">
        <f>SUMIFS(операции!$V:$V,операции!$T:$T,"&gt;="&amp;X$8,операции!$T:$T,"&lt;="&amp;X$9,операции!$L:$L,Z$9,операции!$P:$P,$F161)</f>
        <v>0</v>
      </c>
      <c r="AA179" s="243">
        <f>SUMIFS(операции!$V:$V,операции!$T:$T,"&gt;="&amp;X$8,операции!$T:$T,"&lt;="&amp;X$9,операции!$L:$L,AA$9,операции!$P:$P,$F161)</f>
        <v>35225.599999999999</v>
      </c>
      <c r="AB179" s="266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s="192" customFormat="1" ht="11.25">
      <c r="A180" s="37"/>
      <c r="B180" s="37"/>
      <c r="C180" s="37"/>
      <c r="D180" s="207" t="s">
        <v>255</v>
      </c>
      <c r="E180" s="207"/>
      <c r="F180" s="207" t="str">
        <f t="shared" si="244"/>
        <v>Домашнее хозяйство</v>
      </c>
      <c r="G180" s="207" t="s">
        <v>262</v>
      </c>
      <c r="H180" s="331"/>
      <c r="I180" s="337">
        <f>IF(I179=0,0,SUMIFS(операции!$AF:$AF,операции!$T:$T,"&gt;="&amp;I$8,операции!$T:$T,"&lt;="&amp;I$9,операции!$P:$P,$F161)/I179)</f>
        <v>42316.478198282784</v>
      </c>
      <c r="J180" s="333"/>
      <c r="K180" s="337">
        <f>IF(K179=0,0,SUMIFS(операции!$AF:$AF,операции!$T:$T,"&gt;="&amp;I$8,операции!$T:$T,"&lt;="&amp;I$9,операции!$L:$L,K$9,операции!$P:$P,$F161)/K179)</f>
        <v>42291.887138449114</v>
      </c>
      <c r="L180" s="338">
        <f>IF(L179=0,0,SUMIFS(операции!$AF:$AF,операции!$T:$T,"&gt;="&amp;I$8,операции!$T:$T,"&lt;="&amp;I$9,операции!$L:$L,L$9,операции!$P:$P,$F161)/L179)</f>
        <v>42320.511128232647</v>
      </c>
      <c r="M180" s="278"/>
      <c r="N180" s="217">
        <f>IF(N179=0,0,SUMIFS(операции!$AF:$AF,операции!$T:$T,"&gt;="&amp;N$8,операции!$T:$T,"&lt;="&amp;N$9,операции!$P:$P,$F161)/N179)</f>
        <v>42301.330966282214</v>
      </c>
      <c r="O180" s="208"/>
      <c r="P180" s="217">
        <f>IF(P179=0,0,SUMIFS(операции!$AF:$AF,операции!$T:$T,"&gt;="&amp;N$8,операции!$T:$T,"&lt;="&amp;N$9,операции!$L:$L,P$9,операции!$P:$P,$F161)/P179)</f>
        <v>42291.887138449114</v>
      </c>
      <c r="Q180" s="249">
        <f>IF(Q179=0,0,SUMIFS(операции!$AF:$AF,операции!$T:$T,"&gt;="&amp;N$8,операции!$T:$T,"&lt;="&amp;N$9,операции!$L:$L,Q$9,операции!$P:$P,$F161)/Q179)</f>
        <v>42305.363759405023</v>
      </c>
      <c r="R180" s="247"/>
      <c r="S180" s="217">
        <f>IF(S179=0,0,SUMIFS(операции!$AF:$AF,операции!$T:$T,"&gt;="&amp;S$8,операции!$T:$T,"&lt;="&amp;S$9,операции!$P:$P,$F161)/S179)</f>
        <v>42315.924416351518</v>
      </c>
      <c r="T180" s="208"/>
      <c r="U180" s="217">
        <f>IF(U179=0,0,SUMIFS(операции!$AF:$AF,операции!$T:$T,"&gt;="&amp;S$8,операции!$T:$T,"&lt;="&amp;S$9,операции!$L:$L,U$9,операции!$P:$P,$F161)/U179)</f>
        <v>0</v>
      </c>
      <c r="V180" s="249">
        <f>IF(V179=0,0,SUMIFS(операции!$AF:$AF,операции!$T:$T,"&gt;="&amp;S$8,операции!$T:$T,"&lt;="&amp;S$9,операции!$L:$L,V$9,операции!$P:$P,$F161)/V179)</f>
        <v>42315.924416351518</v>
      </c>
      <c r="W180" s="247"/>
      <c r="X180" s="217">
        <f>IF(X179=0,0,SUMIFS(операции!$AF:$AF,операции!$T:$T,"&gt;="&amp;X$8,операции!$T:$T,"&lt;="&amp;X$9,операции!$P:$P,$F161)/X179)</f>
        <v>42363.031113735466</v>
      </c>
      <c r="Y180" s="208"/>
      <c r="Z180" s="217">
        <f>IF(Z179=0,0,SUMIFS(операции!$AF:$AF,операции!$T:$T,"&gt;="&amp;X$8,операции!$T:$T,"&lt;="&amp;X$9,операции!$L:$L,Z$9,операции!$P:$P,$F161)/Z179)</f>
        <v>0</v>
      </c>
      <c r="AA180" s="249">
        <f>IF(AA179=0,0,SUMIFS(операции!$AF:$AF,операции!$T:$T,"&gt;="&amp;X$8,операции!$T:$T,"&lt;="&amp;X$9,операции!$L:$L,AA$9,операции!$P:$P,$F161)/AA179)</f>
        <v>42363.031113735466</v>
      </c>
      <c r="AB180" s="265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</row>
    <row r="181" spans="1:42" s="93" customFormat="1" ht="15">
      <c r="A181" s="92"/>
      <c r="B181" s="92"/>
      <c r="C181" s="92"/>
      <c r="D181" s="212" t="s">
        <v>274</v>
      </c>
      <c r="E181" s="212"/>
      <c r="F181" s="212" t="str">
        <f t="shared" si="244"/>
        <v>Домашнее хозяйство</v>
      </c>
      <c r="G181" s="212" t="s">
        <v>261</v>
      </c>
      <c r="H181" s="339"/>
      <c r="I181" s="340">
        <f>SUMIFS(операции!$Z:$Z,операции!$X:$X,"&gt;="&amp;I$8,операции!$X:$X,"&lt;="&amp;I$9,операции!$P:$P,$F161)</f>
        <v>286234</v>
      </c>
      <c r="J181" s="341">
        <f>I181-I194-I204</f>
        <v>0</v>
      </c>
      <c r="K181" s="340">
        <f>SUMIFS(операции!$Z:$Z,операции!$X:$X,"&gt;="&amp;I$8,операции!$X:$X,"&lt;="&amp;I$9,операции!$L:$L,K$9,операции!$P:$P,$F161)</f>
        <v>105091</v>
      </c>
      <c r="L181" s="342">
        <f>SUMIFS(операции!$Z:$Z,операции!$X:$X,"&gt;="&amp;I$8,операции!$X:$X,"&lt;="&amp;I$9,операции!$L:$L,L$9,операции!$P:$P,$F161)</f>
        <v>181143</v>
      </c>
      <c r="M181" s="279"/>
      <c r="N181" s="213">
        <f>SUMIFS(операции!$Z:$Z,операции!$X:$X,"&gt;="&amp;N$8,операции!$X:$X,"&lt;="&amp;N$9,операции!$P:$P,$F161)</f>
        <v>60396</v>
      </c>
      <c r="O181" s="216">
        <f>N181-N194-N204</f>
        <v>0</v>
      </c>
      <c r="P181" s="213">
        <f>SUMIFS(операции!$Z:$Z,операции!$X:$X,"&gt;="&amp;N$8,операции!$X:$X,"&lt;="&amp;N$9,операции!$L:$L,P$9,операции!$P:$P,$F161)</f>
        <v>36456</v>
      </c>
      <c r="Q181" s="250">
        <f>SUMIFS(операции!$Z:$Z,операции!$X:$X,"&gt;="&amp;N$8,операции!$X:$X,"&lt;="&amp;N$9,операции!$L:$L,Q$9,операции!$P:$P,$F161)</f>
        <v>23940</v>
      </c>
      <c r="R181" s="251"/>
      <c r="S181" s="213">
        <f>SUMIFS(операции!$Z:$Z,операции!$X:$X,"&gt;="&amp;S$8,операции!$X:$X,"&lt;="&amp;S$9,операции!$P:$P,$F161)</f>
        <v>192210</v>
      </c>
      <c r="T181" s="216">
        <f>S181-S194-S204</f>
        <v>0</v>
      </c>
      <c r="U181" s="213">
        <f>SUMIFS(операции!$Z:$Z,операции!$X:$X,"&gt;="&amp;S$8,операции!$X:$X,"&lt;="&amp;S$9,операции!$L:$L,U$9,операции!$P:$P,$F161)</f>
        <v>61460</v>
      </c>
      <c r="V181" s="250">
        <f>SUMIFS(операции!$Z:$Z,операции!$X:$X,"&gt;="&amp;S$8,операции!$X:$X,"&lt;="&amp;S$9,операции!$L:$L,V$9,операции!$P:$P,$F161)</f>
        <v>130750</v>
      </c>
      <c r="W181" s="251"/>
      <c r="X181" s="213">
        <f>SUMIFS(операции!$Z:$Z,операции!$X:$X,"&gt;="&amp;X$8,операции!$X:$X,"&lt;="&amp;X$9,операции!$P:$P,$F161)</f>
        <v>33628</v>
      </c>
      <c r="Y181" s="216">
        <f>X181-X194-X204</f>
        <v>0</v>
      </c>
      <c r="Z181" s="213">
        <f>SUMIFS(операции!$Z:$Z,операции!$X:$X,"&gt;="&amp;X$8,операции!$X:$X,"&lt;="&amp;X$9,операции!$L:$L,Z$9,операции!$P:$P,$F161)</f>
        <v>7175</v>
      </c>
      <c r="AA181" s="250">
        <f>SUMIFS(операции!$Z:$Z,операции!$X:$X,"&gt;="&amp;X$8,операции!$X:$X,"&lt;="&amp;X$9,операции!$L:$L,AA$9,операции!$P:$P,$F161)</f>
        <v>26453</v>
      </c>
      <c r="AB181" s="264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</row>
    <row r="182" spans="1:42" s="407" customFormat="1" ht="11.25">
      <c r="A182" s="404"/>
      <c r="B182" s="404"/>
      <c r="C182" s="404"/>
      <c r="D182" s="405" t="s">
        <v>332</v>
      </c>
      <c r="E182" s="405"/>
      <c r="F182" s="405" t="str">
        <f>F180</f>
        <v>Домашнее хозяйство</v>
      </c>
      <c r="G182" s="405" t="s">
        <v>218</v>
      </c>
      <c r="H182" s="408"/>
      <c r="I182" s="408">
        <f>IF(I$31=0,0,I181/I$31)</f>
        <v>7.7156680079875445E-2</v>
      </c>
      <c r="J182" s="409"/>
      <c r="K182" s="408">
        <f t="shared" ref="K182" si="273">IF(K$31=0,0,K181/K$31)</f>
        <v>8.0722865653665404E-2</v>
      </c>
      <c r="L182" s="410">
        <f t="shared" ref="L182" si="274">IF(L$31=0,0,L181/L$31)</f>
        <v>7.5228559966310921E-2</v>
      </c>
      <c r="M182" s="411"/>
      <c r="N182" s="412">
        <f t="shared" ref="N182" si="275">IF(N$31=0,0,N181/N$31)</f>
        <v>7.7930020916048073E-2</v>
      </c>
      <c r="O182" s="413"/>
      <c r="P182" s="412">
        <f t="shared" ref="P182" si="276">IF(P$31=0,0,P181/P$31)</f>
        <v>7.2842653793588508E-2</v>
      </c>
      <c r="Q182" s="414">
        <f t="shared" ref="Q182" si="277">IF(Q$31=0,0,Q181/Q$31)</f>
        <v>8.7204537258630296E-2</v>
      </c>
      <c r="R182" s="415"/>
      <c r="S182" s="412">
        <f t="shared" ref="S182" si="278">IF(S$31=0,0,S181/S$31)</f>
        <v>0.10830593425912621</v>
      </c>
      <c r="T182" s="413"/>
      <c r="U182" s="412">
        <f t="shared" ref="U182" si="279">IF(U$31=0,0,U181/U$31)</f>
        <v>9.7593508586672595E-2</v>
      </c>
      <c r="V182" s="414">
        <f t="shared" ref="V182" si="280">IF(V$31=0,0,V181/V$31)</f>
        <v>0.11419812391915733</v>
      </c>
      <c r="W182" s="415"/>
      <c r="X182" s="412">
        <f t="shared" ref="X182" si="281">IF(X$31=0,0,X181/X$31)</f>
        <v>2.8987705999079374E-2</v>
      </c>
      <c r="Y182" s="413"/>
      <c r="Z182" s="412">
        <f t="shared" ref="Z182" si="282">IF(Z$31=0,0,Z181/Z$31)</f>
        <v>4.1801879482414081E-2</v>
      </c>
      <c r="AA182" s="414">
        <f t="shared" ref="AA182" si="283">IF(AA$31=0,0,AA181/AA$31)</f>
        <v>2.676250840975886E-2</v>
      </c>
      <c r="AB182" s="406"/>
      <c r="AC182" s="404"/>
      <c r="AD182" s="404"/>
      <c r="AE182" s="404"/>
      <c r="AF182" s="404"/>
      <c r="AG182" s="404"/>
      <c r="AH182" s="404"/>
      <c r="AI182" s="404"/>
      <c r="AJ182" s="404"/>
      <c r="AK182" s="404"/>
      <c r="AL182" s="404"/>
      <c r="AM182" s="404"/>
      <c r="AN182" s="404"/>
      <c r="AO182" s="404"/>
      <c r="AP182" s="404"/>
    </row>
    <row r="183" spans="1:42" s="192" customFormat="1" ht="11.25">
      <c r="A183" s="37"/>
      <c r="B183" s="37"/>
      <c r="C183" s="37"/>
      <c r="D183" s="191" t="s">
        <v>331</v>
      </c>
      <c r="E183" s="191"/>
      <c r="F183" s="191" t="str">
        <f>F181</f>
        <v>Домашнее хозяйство</v>
      </c>
      <c r="G183" s="191" t="s">
        <v>334</v>
      </c>
      <c r="H183" s="315"/>
      <c r="I183" s="329">
        <f>SUMIFS(операции!$R:$R,операции!$X:$X,"&gt;="&amp;I$8,операции!$X:$X,"&lt;="&amp;I$9,операции!$P:$P,$F161)</f>
        <v>61</v>
      </c>
      <c r="J183" s="317">
        <f>I183-K183-L183</f>
        <v>0</v>
      </c>
      <c r="K183" s="329">
        <f>SUMIFS(операции!$R:$R,операции!$X:$X,"&gt;="&amp;I$8,операции!$X:$X,"&lt;="&amp;I$9,операции!$L:$L,K$9,операции!$P:$P,$F161)</f>
        <v>38</v>
      </c>
      <c r="L183" s="330">
        <f>SUMIFS(операции!$R:$R,операции!$X:$X,"&gt;="&amp;I$8,операции!$X:$X,"&lt;="&amp;I$9,операции!$L:$L,L$9,операции!$P:$P,$F161)</f>
        <v>23</v>
      </c>
      <c r="M183" s="402"/>
      <c r="N183" s="156">
        <f>SUMIFS(операции!$R:$R,операции!$X:$X,"&gt;="&amp;N$8,операции!$X:$X,"&lt;="&amp;N$9,операции!$P:$P,$F161)</f>
        <v>18</v>
      </c>
      <c r="O183" s="196">
        <f t="shared" ref="O183" si="284">N183-P183-Q183</f>
        <v>0</v>
      </c>
      <c r="P183" s="156">
        <f>SUMIFS(операции!$R:$R,операции!$X:$X,"&gt;="&amp;N$8,операции!$X:$X,"&lt;="&amp;N$9,операции!$L:$L,P$9,операции!$P:$P,$F161)</f>
        <v>15</v>
      </c>
      <c r="Q183" s="245">
        <f>SUMIFS(операции!$R:$R,операции!$X:$X,"&gt;="&amp;N$8,операции!$X:$X,"&lt;="&amp;N$9,операции!$L:$L,Q$9,операции!$P:$P,$F161)</f>
        <v>3</v>
      </c>
      <c r="R183" s="403"/>
      <c r="S183" s="156">
        <f>SUMIFS(операции!$R:$R,операции!$X:$X,"&gt;="&amp;S$8,операции!$X:$X,"&lt;="&amp;S$9,операции!$P:$P,$F161)</f>
        <v>34</v>
      </c>
      <c r="T183" s="196">
        <f t="shared" ref="T183" si="285">S183-U183-V183</f>
        <v>0</v>
      </c>
      <c r="U183" s="156">
        <f>SUMIFS(операции!$R:$R,операции!$X:$X,"&gt;="&amp;S$8,операции!$X:$X,"&lt;="&amp;S$9,операции!$L:$L,U$9,операции!$P:$P,$F161)</f>
        <v>19</v>
      </c>
      <c r="V183" s="245">
        <f>SUMIFS(операции!$R:$R,операции!$X:$X,"&gt;="&amp;S$8,операции!$X:$X,"&lt;="&amp;S$9,операции!$L:$L,V$9,операции!$P:$P,$F161)</f>
        <v>15</v>
      </c>
      <c r="W183" s="403"/>
      <c r="X183" s="156">
        <f>SUMIFS(операции!$R:$R,операции!$X:$X,"&gt;="&amp;X$8,операции!$X:$X,"&lt;="&amp;X$9,операции!$P:$P,$F161)</f>
        <v>9</v>
      </c>
      <c r="Y183" s="196">
        <f t="shared" ref="Y183" si="286">X183-Z183-AA183</f>
        <v>0</v>
      </c>
      <c r="Z183" s="156">
        <f>SUMIFS(операции!$R:$R,операции!$X:$X,"&gt;="&amp;X$8,операции!$X:$X,"&lt;="&amp;X$9,операции!$L:$L,Z$9,операции!$P:$P,$F161)</f>
        <v>4</v>
      </c>
      <c r="AA183" s="245">
        <f>SUMIFS(операции!$R:$R,операции!$X:$X,"&gt;="&amp;X$8,операции!$X:$X,"&lt;="&amp;X$9,операции!$L:$L,AA$9,операции!$P:$P,$F161)</f>
        <v>5</v>
      </c>
      <c r="AB183" s="265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</row>
    <row r="184" spans="1:42" s="192" customFormat="1" ht="11.25">
      <c r="A184" s="37"/>
      <c r="B184" s="37"/>
      <c r="C184" s="37"/>
      <c r="D184" s="191" t="s">
        <v>333</v>
      </c>
      <c r="E184" s="191"/>
      <c r="F184" s="191" t="str">
        <f t="shared" si="244"/>
        <v>Домашнее хозяйство</v>
      </c>
      <c r="G184" s="191" t="s">
        <v>261</v>
      </c>
      <c r="H184" s="315"/>
      <c r="I184" s="329">
        <f>IF(I183=0,0,I181/I183)</f>
        <v>4692.3606557377052</v>
      </c>
      <c r="J184" s="317"/>
      <c r="K184" s="329">
        <f t="shared" ref="K184" si="287">IF(K183=0,0,K181/K183)</f>
        <v>2765.5526315789475</v>
      </c>
      <c r="L184" s="330">
        <f t="shared" ref="L184" si="288">IF(L183=0,0,L181/L183)</f>
        <v>7875.782608695652</v>
      </c>
      <c r="M184" s="402"/>
      <c r="N184" s="156">
        <f>IF(N183=0,0,N181/N183)</f>
        <v>3355.3333333333335</v>
      </c>
      <c r="O184" s="196"/>
      <c r="P184" s="156">
        <f>IF(P183=0,0,P181/P183)</f>
        <v>2430.4</v>
      </c>
      <c r="Q184" s="245">
        <f>IF(Q183=0,0,Q181/Q183)</f>
        <v>7980</v>
      </c>
      <c r="R184" s="403"/>
      <c r="S184" s="156">
        <f>IF(S183=0,0,S181/S183)</f>
        <v>5653.2352941176468</v>
      </c>
      <c r="T184" s="196"/>
      <c r="U184" s="156">
        <f>IF(U183=0,0,U181/U183)</f>
        <v>3234.7368421052633</v>
      </c>
      <c r="V184" s="245">
        <f>IF(V183=0,0,V181/V183)</f>
        <v>8716.6666666666661</v>
      </c>
      <c r="W184" s="403"/>
      <c r="X184" s="156">
        <f>IF(X183=0,0,X181/X183)</f>
        <v>3736.4444444444443</v>
      </c>
      <c r="Y184" s="196"/>
      <c r="Z184" s="156">
        <f>IF(Z183=0,0,Z181/Z183)</f>
        <v>1793.75</v>
      </c>
      <c r="AA184" s="245">
        <f>IF(AA183=0,0,AA181/AA183)</f>
        <v>5290.6</v>
      </c>
      <c r="AB184" s="265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</row>
    <row r="185" spans="1:42" s="192" customFormat="1" ht="11.25">
      <c r="A185" s="37"/>
      <c r="B185" s="37"/>
      <c r="C185" s="37"/>
      <c r="D185" s="191" t="s">
        <v>290</v>
      </c>
      <c r="E185" s="191"/>
      <c r="F185" s="191" t="str">
        <f t="shared" si="244"/>
        <v>Домашнее хозяйство</v>
      </c>
      <c r="G185" s="191" t="s">
        <v>262</v>
      </c>
      <c r="H185" s="315"/>
      <c r="I185" s="316">
        <f>IF(I181=0,0,SUMIFS(операции!$AG:$AG,операции!$X:$X,"&gt;="&amp;I$8,операции!$X:$X,"&lt;="&amp;I$9,операции!$P:$P,$F161)/I181)</f>
        <v>42318.977745480974</v>
      </c>
      <c r="J185" s="317"/>
      <c r="K185" s="316">
        <f>IF(K181=0,0,SUMIFS(операции!$AG:$AG,операции!$X:$X,"&gt;="&amp;I$8,операции!$X:$X,"&lt;="&amp;I$9,операции!$L:$L,K$9,операции!$P:$P,$F161)/K181)</f>
        <v>42318.783597073016</v>
      </c>
      <c r="L185" s="318">
        <f>IF(L181=0,0,SUMIFS(операции!$AG:$AG,операции!$X:$X,"&gt;="&amp;I$8,операции!$X:$X,"&lt;="&amp;I$9,операции!$L:$L,L$9,операции!$P:$P,$F161)/L181)</f>
        <v>42319.090381632188</v>
      </c>
      <c r="M185" s="274"/>
      <c r="N185" s="193">
        <f>IF(N181=0,0,SUMIFS(операции!$AG:$AG,операции!$X:$X,"&gt;="&amp;N$8,операции!$X:$X,"&lt;="&amp;N$9,операции!$P:$P,$F161)/N181)</f>
        <v>42305.661467646867</v>
      </c>
      <c r="O185" s="196"/>
      <c r="P185" s="193">
        <f>IF(P181=0,0,SUMIFS(операции!$AG:$AG,операции!$X:$X,"&gt;="&amp;N$8,операции!$X:$X,"&lt;="&amp;N$9,операции!$L:$L,P$9,операции!$P:$P,$F161)/P181)</f>
        <v>42304.125795479486</v>
      </c>
      <c r="Q185" s="237">
        <f>IF(Q181=0,0,SUMIFS(операции!$AG:$AG,операции!$X:$X,"&gt;="&amp;N$8,операции!$X:$X,"&lt;="&amp;N$9,операции!$L:$L,Q$9,операции!$P:$P,$F161)/Q181)</f>
        <v>42308</v>
      </c>
      <c r="R185" s="238"/>
      <c r="S185" s="193">
        <f>IF(S181=0,0,SUMIFS(операции!$AG:$AG,операции!$X:$X,"&gt;="&amp;S$8,операции!$X:$X,"&lt;="&amp;S$9,операции!$P:$P,$F161)/S181)</f>
        <v>42319.236902346391</v>
      </c>
      <c r="T185" s="196"/>
      <c r="U185" s="193">
        <f>IF(U181=0,0,SUMIFS(операции!$AG:$AG,операции!$X:$X,"&gt;="&amp;S$8,операции!$X:$X,"&lt;="&amp;S$9,операции!$L:$L,U$9,операции!$P:$P,$F161)/U181)</f>
        <v>42324.66038073544</v>
      </c>
      <c r="V185" s="237">
        <f>IF(V181=0,0,SUMIFS(операции!$AG:$AG,операции!$X:$X,"&gt;="&amp;S$8,операции!$X:$X,"&lt;="&amp;S$9,операции!$L:$L,V$9,операции!$P:$P,$F161)/V181)</f>
        <v>42316.687556405355</v>
      </c>
      <c r="W185" s="238"/>
      <c r="X185" s="193">
        <f>IF(X181=0,0,SUMIFS(операции!$AG:$AG,операции!$X:$X,"&gt;="&amp;X$8,операции!$X:$X,"&lt;="&amp;X$9,операции!$P:$P,$F161)/X181)</f>
        <v>42341.412543118829</v>
      </c>
      <c r="Y185" s="196"/>
      <c r="Z185" s="193">
        <f>IF(Z181=0,0,SUMIFS(операции!$AG:$AG,операции!$X:$X,"&gt;="&amp;X$8,операции!$X:$X,"&lt;="&amp;X$9,операции!$L:$L,Z$9,операции!$P:$P,$F161)/Z181)</f>
        <v>42342.919860627175</v>
      </c>
      <c r="AA185" s="237">
        <f>IF(AA181=0,0,SUMIFS(операции!$AG:$AG,операции!$X:$X,"&gt;="&amp;X$8,операции!$X:$X,"&lt;="&amp;X$9,операции!$L:$L,AA$9,операции!$P:$P,$F161)/AA181)</f>
        <v>42341.003704683775</v>
      </c>
      <c r="AB185" s="265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</row>
    <row r="186" spans="1:42" s="93" customFormat="1" ht="15">
      <c r="A186" s="92"/>
      <c r="B186" s="92"/>
      <c r="C186" s="92"/>
      <c r="D186" s="151" t="s">
        <v>275</v>
      </c>
      <c r="E186" s="151"/>
      <c r="F186" s="151" t="str">
        <f t="shared" si="244"/>
        <v>Домашнее хозяйство</v>
      </c>
      <c r="G186" s="151" t="s">
        <v>261</v>
      </c>
      <c r="H186" s="311"/>
      <c r="I186" s="312">
        <f>SUMIFS(операции!$V:$V,операции!$X:$X,"&gt;="&amp;I$8,операции!$X:$X,"&lt;="&amp;I$9,операции!$P:$P,$F161)</f>
        <v>254071.12000000002</v>
      </c>
      <c r="J186" s="313">
        <f>I186-I196-I206</f>
        <v>0</v>
      </c>
      <c r="K186" s="312">
        <f>SUMIFS(операции!$V:$V,операции!$X:$X,"&gt;="&amp;I$8,операции!$X:$X,"&lt;="&amp;I$9,операции!$L:$L,K$9,операции!$P:$P,$F161)</f>
        <v>97296.779999999984</v>
      </c>
      <c r="L186" s="314">
        <f>SUMIFS(операции!$V:$V,операции!$X:$X,"&gt;="&amp;I$8,операции!$X:$X,"&lt;="&amp;I$9,операции!$L:$L,L$9,операции!$P:$P,$F161)</f>
        <v>156774.33999999997</v>
      </c>
      <c r="M186" s="273"/>
      <c r="N186" s="152">
        <f>SUMIFS(операции!$V:$V,операции!$X:$X,"&gt;="&amp;N$8,операции!$X:$X,"&lt;="&amp;N$9,операции!$P:$P,$F161)</f>
        <v>52243.6</v>
      </c>
      <c r="O186" s="170">
        <f>N186-N196-N206</f>
        <v>0</v>
      </c>
      <c r="P186" s="152">
        <f>SUMIFS(операции!$V:$V,операции!$X:$X,"&gt;="&amp;N$8,операции!$X:$X,"&lt;="&amp;N$9,операции!$L:$L,P$9,операции!$P:$P,$F161)</f>
        <v>34006</v>
      </c>
      <c r="Q186" s="235">
        <f>SUMIFS(операции!$V:$V,операции!$X:$X,"&gt;="&amp;N$8,операции!$X:$X,"&lt;="&amp;N$9,операции!$L:$L,Q$9,операции!$P:$P,$F161)</f>
        <v>18237.599999999999</v>
      </c>
      <c r="R186" s="236"/>
      <c r="S186" s="152">
        <f>SUMIFS(операции!$V:$V,операции!$X:$X,"&gt;="&amp;S$8,операции!$X:$X,"&lt;="&amp;S$9,операции!$P:$P,$F161)</f>
        <v>176511.90000000002</v>
      </c>
      <c r="T186" s="170">
        <f>S186-S196-S206</f>
        <v>0</v>
      </c>
      <c r="U186" s="152">
        <f>SUMIFS(операции!$V:$V,операции!$X:$X,"&gt;="&amp;S$8,операции!$X:$X,"&lt;="&amp;S$9,операции!$L:$L,U$9,операции!$P:$P,$F161)</f>
        <v>56627.899999999994</v>
      </c>
      <c r="V186" s="235">
        <f>SUMIFS(операции!$V:$V,операции!$X:$X,"&gt;="&amp;S$8,операции!$X:$X,"&lt;="&amp;S$9,операции!$L:$L,V$9,операции!$P:$P,$F161)</f>
        <v>119883.99999999999</v>
      </c>
      <c r="W186" s="236"/>
      <c r="X186" s="152">
        <f>SUMIFS(операции!$V:$V,операции!$X:$X,"&gt;="&amp;X$8,операции!$X:$X,"&lt;="&amp;X$9,операции!$P:$P,$F161)</f>
        <v>25315.62</v>
      </c>
      <c r="Y186" s="170">
        <f>X186-X196-X206</f>
        <v>0</v>
      </c>
      <c r="Z186" s="152">
        <f>SUMIFS(операции!$V:$V,операции!$X:$X,"&gt;="&amp;X$8,операции!$X:$X,"&lt;="&amp;X$9,операции!$L:$L,Z$9,операции!$P:$P,$F161)</f>
        <v>6662.88</v>
      </c>
      <c r="AA186" s="235">
        <f>SUMIFS(операции!$V:$V,операции!$X:$X,"&gt;="&amp;X$8,операции!$X:$X,"&lt;="&amp;X$9,операции!$L:$L,AA$9,операции!$P:$P,$F161)</f>
        <v>18652.739999999998</v>
      </c>
      <c r="AB186" s="264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</row>
    <row r="187" spans="1:42" s="192" customFormat="1" ht="11.25">
      <c r="A187" s="37"/>
      <c r="B187" s="37"/>
      <c r="C187" s="37"/>
      <c r="D187" s="191" t="s">
        <v>291</v>
      </c>
      <c r="E187" s="191"/>
      <c r="F187" s="191" t="str">
        <f t="shared" si="244"/>
        <v>Домашнее хозяйство</v>
      </c>
      <c r="G187" s="191" t="s">
        <v>262</v>
      </c>
      <c r="H187" s="315"/>
      <c r="I187" s="316">
        <f>IF(I186=0,0,SUMIFS(операции!$AF:$AF,операции!$X:$X,"&gt;="&amp;I$8,операции!$X:$X,"&lt;="&amp;I$9,операции!$P:$P,$F161)/I186)</f>
        <v>42286.719291039451</v>
      </c>
      <c r="J187" s="317"/>
      <c r="K187" s="316">
        <f>IF(K186=0,0,SUMIFS(операции!$AF:$AF,операции!$X:$X,"&gt;="&amp;I$8,операции!$X:$X,"&lt;="&amp;I$9,операции!$L:$L,K$9,операции!$P:$P,$F161)/K186)</f>
        <v>42247.664545630396</v>
      </c>
      <c r="L187" s="318">
        <f>IF(L186=0,0,SUMIFS(операции!$AF:$AF,операции!$X:$X,"&gt;="&amp;I$8,операции!$X:$X,"&lt;="&amp;I$9,операции!$L:$L,L$9,операции!$P:$P,$F161)/L186)</f>
        <v>42310.957319864974</v>
      </c>
      <c r="M187" s="274"/>
      <c r="N187" s="193">
        <f>IF(N186=0,0,SUMIFS(операции!$AF:$AF,операции!$X:$X,"&gt;="&amp;N$8,операции!$X:$X,"&lt;="&amp;N$9,операции!$P:$P,$F161)/N186)</f>
        <v>42255.153894448318</v>
      </c>
      <c r="O187" s="196"/>
      <c r="P187" s="193">
        <f>IF(P186=0,0,SUMIFS(операции!$AF:$AF,операции!$X:$X,"&gt;="&amp;N$8,операции!$X:$X,"&lt;="&amp;N$9,операции!$L:$L,P$9,операции!$P:$P,$F161)/P186)</f>
        <v>42228.421160971593</v>
      </c>
      <c r="Q187" s="237">
        <f>IF(Q186=0,0,SUMIFS(операции!$AF:$AF,операции!$X:$X,"&gt;="&amp;N$8,операции!$X:$X,"&lt;="&amp;N$9,операции!$L:$L,Q$9,операции!$P:$P,$F161)/Q186)</f>
        <v>42305</v>
      </c>
      <c r="R187" s="238"/>
      <c r="S187" s="193">
        <f>IF(S186=0,0,SUMIFS(операции!$AF:$AF,операции!$X:$X,"&gt;="&amp;S$8,операции!$X:$X,"&lt;="&amp;S$9,операции!$P:$P,$F161)/S186)</f>
        <v>42292.179700632078</v>
      </c>
      <c r="T187" s="196"/>
      <c r="U187" s="193">
        <f>IF(U186=0,0,SUMIFS(операции!$AF:$AF,операции!$X:$X,"&gt;="&amp;S$8,операции!$X:$X,"&lt;="&amp;S$9,операции!$L:$L,U$9,операции!$P:$P,$F161)/U186)</f>
        <v>42257.756350668133</v>
      </c>
      <c r="V187" s="237">
        <f>IF(V186=0,0,SUMIFS(операции!$AF:$AF,операции!$X:$X,"&gt;="&amp;S$8,операции!$X:$X,"&lt;="&amp;S$9,операции!$L:$L,V$9,операции!$P:$P,$F161)/V186)</f>
        <v>42308.439768859906</v>
      </c>
      <c r="W187" s="238"/>
      <c r="X187" s="193">
        <f>IF(X186=0,0,SUMIFS(операции!$AF:$AF,операции!$X:$X,"&gt;="&amp;X$8,операции!$X:$X,"&lt;="&amp;X$9,операции!$P:$P,$F161)/X186)</f>
        <v>42313.788060493876</v>
      </c>
      <c r="Y187" s="196"/>
      <c r="Z187" s="193">
        <f>IF(Z186=0,0,SUMIFS(операции!$AF:$AF,операции!$X:$X,"&gt;="&amp;X$8,операции!$X:$X,"&lt;="&amp;X$9,операции!$L:$L,Z$9,операции!$P:$P,$F161)/Z186)</f>
        <v>42260.108535648251</v>
      </c>
      <c r="AA187" s="237">
        <f>IF(AA186=0,0,SUMIFS(операции!$AF:$AF,операции!$X:$X,"&gt;="&amp;X$8,операции!$X:$X,"&lt;="&amp;X$9,операции!$L:$L,AA$9,операции!$P:$P,$F161)/AA186)</f>
        <v>42332.962735769659</v>
      </c>
      <c r="AB187" s="265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</row>
    <row r="188" spans="1:42" s="192" customFormat="1" ht="11.25">
      <c r="A188" s="37"/>
      <c r="B188" s="37"/>
      <c r="C188" s="37"/>
      <c r="D188" s="191" t="s">
        <v>308</v>
      </c>
      <c r="E188" s="191"/>
      <c r="F188" s="191" t="str">
        <f t="shared" si="244"/>
        <v>Домашнее хозяйство</v>
      </c>
      <c r="G188" s="191" t="s">
        <v>262</v>
      </c>
      <c r="H188" s="315"/>
      <c r="I188" s="316">
        <f>IF(I186=0,0,(I196*I198+I206*I208)/I186)</f>
        <v>42327.004734343667</v>
      </c>
      <c r="J188" s="317"/>
      <c r="K188" s="316">
        <f t="shared" ref="K188:L188" si="289">IF(K186=0,0,(K196*K198+K206*K208)/K186)</f>
        <v>42295.246990804837</v>
      </c>
      <c r="L188" s="318">
        <f t="shared" si="289"/>
        <v>42346.714121647718</v>
      </c>
      <c r="M188" s="274"/>
      <c r="N188" s="193">
        <f>IF(N186=0,0,(N196*N198+N206*N208)/N186)</f>
        <v>42288.208446584853</v>
      </c>
      <c r="O188" s="196"/>
      <c r="P188" s="193">
        <f t="shared" ref="P188:Q188" si="290">IF(P186=0,0,(P196*P198+P206*P208)/P186)</f>
        <v>42277.594130447571</v>
      </c>
      <c r="Q188" s="237">
        <f t="shared" si="290"/>
        <v>42308</v>
      </c>
      <c r="R188" s="238"/>
      <c r="S188" s="193">
        <f>IF(S186=0,0,(S196*S198+S206*S208)/S186)</f>
        <v>42324.295470277066</v>
      </c>
      <c r="T188" s="196"/>
      <c r="U188" s="193">
        <f t="shared" ref="U188:V188" si="291">IF(U186=0,0,(U196*U198+U206*U208)/U186)</f>
        <v>42292.589280548993</v>
      </c>
      <c r="V188" s="237">
        <f t="shared" si="291"/>
        <v>42339.272072169762</v>
      </c>
      <c r="W188" s="238"/>
      <c r="X188" s="193">
        <f>IF(X186=0,0,(X196*X198+X206*X208)/X186)</f>
        <v>42339.026778723965</v>
      </c>
      <c r="Y188" s="196"/>
      <c r="Z188" s="193">
        <f t="shared" ref="Z188:AA188" si="292">IF(Z186=0,0,(Z196*Z198+Z206*Z208)/Z186)</f>
        <v>42291.78234637274</v>
      </c>
      <c r="AA188" s="237">
        <f t="shared" si="292"/>
        <v>42355.902797122566</v>
      </c>
      <c r="AB188" s="265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</row>
    <row r="189" spans="1:42" s="93" customFormat="1" ht="15">
      <c r="A189" s="92"/>
      <c r="B189" s="92"/>
      <c r="C189" s="92"/>
      <c r="D189" s="151" t="s">
        <v>278</v>
      </c>
      <c r="E189" s="151"/>
      <c r="F189" s="151" t="str">
        <f t="shared" si="244"/>
        <v>Домашнее хозяйство</v>
      </c>
      <c r="G189" s="151" t="s">
        <v>261</v>
      </c>
      <c r="H189" s="311"/>
      <c r="I189" s="312">
        <f>I181-I186</f>
        <v>32162.879999999976</v>
      </c>
      <c r="J189" s="313">
        <f>I189-K189-L189</f>
        <v>-7.2759576141834259E-11</v>
      </c>
      <c r="K189" s="312">
        <f t="shared" ref="K189:L189" si="293">K181-K186</f>
        <v>7794.2200000000157</v>
      </c>
      <c r="L189" s="314">
        <f t="shared" si="293"/>
        <v>24368.660000000033</v>
      </c>
      <c r="M189" s="273"/>
      <c r="N189" s="152">
        <f>N181-N186</f>
        <v>8152.4000000000015</v>
      </c>
      <c r="O189" s="170">
        <f>N189-P189-Q189</f>
        <v>0</v>
      </c>
      <c r="P189" s="152">
        <f t="shared" ref="P189:Q189" si="294">P181-P186</f>
        <v>2450</v>
      </c>
      <c r="Q189" s="235">
        <f t="shared" si="294"/>
        <v>5702.4000000000015</v>
      </c>
      <c r="R189" s="236"/>
      <c r="S189" s="152">
        <f>S181-S186</f>
        <v>15698.099999999977</v>
      </c>
      <c r="T189" s="170">
        <f>S189-U189-V189</f>
        <v>-4.3655745685100555E-11</v>
      </c>
      <c r="U189" s="152">
        <f t="shared" ref="U189:V189" si="295">U181-U186</f>
        <v>4832.1000000000058</v>
      </c>
      <c r="V189" s="235">
        <f t="shared" si="295"/>
        <v>10866.000000000015</v>
      </c>
      <c r="W189" s="236"/>
      <c r="X189" s="152">
        <f>X181-X186</f>
        <v>8312.380000000001</v>
      </c>
      <c r="Y189" s="170">
        <f>X189-Z189-AA189</f>
        <v>0</v>
      </c>
      <c r="Z189" s="152">
        <f t="shared" ref="Z189:AA189" si="296">Z181-Z186</f>
        <v>512.11999999999989</v>
      </c>
      <c r="AA189" s="235">
        <f t="shared" si="296"/>
        <v>7800.260000000002</v>
      </c>
      <c r="AB189" s="264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</row>
    <row r="190" spans="1:42" s="211" customFormat="1">
      <c r="A190" s="210"/>
      <c r="B190" s="210"/>
      <c r="C190" s="210"/>
      <c r="D190" s="218" t="s">
        <v>277</v>
      </c>
      <c r="E190" s="218"/>
      <c r="F190" s="218" t="str">
        <f t="shared" si="244"/>
        <v>Домашнее хозяйство</v>
      </c>
      <c r="G190" s="218" t="s">
        <v>218</v>
      </c>
      <c r="H190" s="343"/>
      <c r="I190" s="344">
        <f>IF(I181=0,0,(I189/I181))</f>
        <v>0.11236568681568219</v>
      </c>
      <c r="J190" s="345"/>
      <c r="K190" s="344">
        <f t="shared" ref="K190" si="297">IF(K181=0,0,(K189/K181))</f>
        <v>7.416638912942132E-2</v>
      </c>
      <c r="L190" s="346">
        <f t="shared" ref="L190" si="298">IF(L181=0,0,(L189/L181))</f>
        <v>0.13452719674511315</v>
      </c>
      <c r="M190" s="280"/>
      <c r="N190" s="219">
        <f>IF(N181=0,0,(N189/N181))</f>
        <v>0.13498244916881916</v>
      </c>
      <c r="O190" s="220"/>
      <c r="P190" s="219">
        <f t="shared" ref="P190" si="299">IF(P181=0,0,(P189/P181))</f>
        <v>6.7204301075268813E-2</v>
      </c>
      <c r="Q190" s="252">
        <f t="shared" ref="Q190" si="300">IF(Q181=0,0,(Q189/Q181))</f>
        <v>0.23819548872180457</v>
      </c>
      <c r="R190" s="253"/>
      <c r="S190" s="219">
        <f>IF(S181=0,0,(S189/S181))</f>
        <v>8.1671609177462023E-2</v>
      </c>
      <c r="T190" s="220"/>
      <c r="U190" s="219">
        <f t="shared" ref="U190" si="301">IF(U181=0,0,(U189/U181))</f>
        <v>7.8621867881549068E-2</v>
      </c>
      <c r="V190" s="252">
        <f t="shared" ref="V190" si="302">IF(V181=0,0,(V189/V181))</f>
        <v>8.3105162523900683E-2</v>
      </c>
      <c r="W190" s="253"/>
      <c r="X190" s="219">
        <f>IF(X181=0,0,(X189/X181))</f>
        <v>0.24718627334364224</v>
      </c>
      <c r="Y190" s="220"/>
      <c r="Z190" s="219">
        <f t="shared" ref="Z190" si="303">IF(Z181=0,0,(Z189/Z181))</f>
        <v>7.1375609756097552E-2</v>
      </c>
      <c r="AA190" s="252">
        <f t="shared" ref="AA190" si="304">IF(AA181=0,0,(AA189/AA181))</f>
        <v>0.29487241522700647</v>
      </c>
      <c r="AB190" s="267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</row>
    <row r="191" spans="1:42" s="93" customFormat="1" ht="15">
      <c r="A191" s="92"/>
      <c r="B191" s="92"/>
      <c r="C191" s="92"/>
      <c r="D191" s="198" t="s">
        <v>220</v>
      </c>
      <c r="E191" s="198"/>
      <c r="F191" s="198" t="str">
        <f t="shared" si="244"/>
        <v>Домашнее хозяйство</v>
      </c>
      <c r="G191" s="198" t="s">
        <v>219</v>
      </c>
      <c r="H191" s="323"/>
      <c r="I191" s="324">
        <f>I185-I187</f>
        <v>32.25845444152219</v>
      </c>
      <c r="J191" s="321">
        <f>I191-SUMIFS(ПОбТЗ!$I:$I,ПОбТЗ!$E:$E,$D191,ПОбТЗ!$F:$F,$F191)</f>
        <v>0</v>
      </c>
      <c r="K191" s="324">
        <f t="shared" ref="K191:L191" si="305">K185-K187</f>
        <v>71.119051442619821</v>
      </c>
      <c r="L191" s="325">
        <f t="shared" si="305"/>
        <v>8.1330617672138033</v>
      </c>
      <c r="M191" s="276"/>
      <c r="N191" s="199">
        <f>N185-N187</f>
        <v>50.507573198548926</v>
      </c>
      <c r="O191" s="173">
        <f>N191-SUMIFS(ПОбТЗ_2!$J:$J,ПОбТЗ_2!$D:$D,$D191,ПОбТЗ_2!$E:$E,$F191)</f>
        <v>0</v>
      </c>
      <c r="P191" s="199">
        <f t="shared" ref="P191:Q191" si="306">P185-P187</f>
        <v>75.704634507892479</v>
      </c>
      <c r="Q191" s="241">
        <f t="shared" si="306"/>
        <v>3</v>
      </c>
      <c r="R191" s="242"/>
      <c r="S191" s="199">
        <f>S185-S187</f>
        <v>27.057201714313123</v>
      </c>
      <c r="T191" s="173">
        <f>S191-SUMIFS(ПОбТЗ_2!$K:$K,ПОбТЗ_2!$D:$D,$D191,ПОбТЗ_2!$E:$E,$F191)</f>
        <v>0</v>
      </c>
      <c r="U191" s="199">
        <f t="shared" ref="U191:V191" si="307">U185-U187</f>
        <v>66.904030067307758</v>
      </c>
      <c r="V191" s="241">
        <f t="shared" si="307"/>
        <v>8.2477875454496825</v>
      </c>
      <c r="W191" s="242"/>
      <c r="X191" s="199">
        <f>X185-X187</f>
        <v>27.624482624953089</v>
      </c>
      <c r="Y191" s="173">
        <f>X191-SUMIFS(ПОбТЗ_2!$L:$L,ПОбТЗ_2!$D:$D,$D191,ПОбТЗ_2!$E:$E,$F191)</f>
        <v>0</v>
      </c>
      <c r="Z191" s="199">
        <f t="shared" ref="Z191:AA191" si="308">Z185-Z187</f>
        <v>82.811324978923949</v>
      </c>
      <c r="AA191" s="241">
        <f t="shared" si="308"/>
        <v>8.0409689141160925</v>
      </c>
      <c r="AB191" s="264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</row>
    <row r="192" spans="1:42" s="5" customFormat="1">
      <c r="A192" s="1"/>
      <c r="B192" s="1"/>
      <c r="C192" s="1"/>
      <c r="D192" s="227" t="s">
        <v>309</v>
      </c>
      <c r="E192" s="227"/>
      <c r="F192" s="227" t="str">
        <f t="shared" si="244"/>
        <v>Домашнее хозяйство</v>
      </c>
      <c r="G192" s="227" t="s">
        <v>219</v>
      </c>
      <c r="H192" s="347"/>
      <c r="I192" s="348">
        <f>I188-I187</f>
        <v>40.285443304215732</v>
      </c>
      <c r="J192" s="321"/>
      <c r="K192" s="348">
        <f t="shared" ref="K192:L192" si="309">K188-K187</f>
        <v>47.582445174441091</v>
      </c>
      <c r="L192" s="349">
        <f t="shared" si="309"/>
        <v>35.756801782743423</v>
      </c>
      <c r="M192" s="281"/>
      <c r="N192" s="228">
        <f>N188-N187</f>
        <v>33.054552136534767</v>
      </c>
      <c r="O192" s="173"/>
      <c r="P192" s="228">
        <f t="shared" ref="P192:Q192" si="310">P188-P187</f>
        <v>49.172969475977879</v>
      </c>
      <c r="Q192" s="254">
        <f t="shared" si="310"/>
        <v>3</v>
      </c>
      <c r="R192" s="255"/>
      <c r="S192" s="228">
        <f>S188-S187</f>
        <v>32.115769644988177</v>
      </c>
      <c r="T192" s="173"/>
      <c r="U192" s="228">
        <f t="shared" ref="U192:V192" si="311">U188-U187</f>
        <v>34.83292988086032</v>
      </c>
      <c r="V192" s="254">
        <f t="shared" si="311"/>
        <v>30.832303309856798</v>
      </c>
      <c r="W192" s="255"/>
      <c r="X192" s="228">
        <f>X188-X187</f>
        <v>25.238718230088125</v>
      </c>
      <c r="Y192" s="173"/>
      <c r="Z192" s="228">
        <f t="shared" ref="Z192:AA192" si="312">Z188-Z187</f>
        <v>31.673810724489158</v>
      </c>
      <c r="AA192" s="254">
        <f t="shared" si="312"/>
        <v>22.940061352906923</v>
      </c>
      <c r="AB192" s="266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s="5" customFormat="1">
      <c r="A193" s="1"/>
      <c r="B193" s="1"/>
      <c r="C193" s="1"/>
      <c r="D193" s="225" t="s">
        <v>310</v>
      </c>
      <c r="E193" s="225"/>
      <c r="F193" s="225" t="str">
        <f t="shared" si="244"/>
        <v>Домашнее хозяйство</v>
      </c>
      <c r="G193" s="225" t="s">
        <v>219</v>
      </c>
      <c r="H193" s="350"/>
      <c r="I193" s="351">
        <f>I191-I192</f>
        <v>-8.0269888626935426</v>
      </c>
      <c r="J193" s="352"/>
      <c r="K193" s="351">
        <f t="shared" ref="K193" si="313">K191-K192</f>
        <v>23.53660626817873</v>
      </c>
      <c r="L193" s="353">
        <f t="shared" ref="L193" si="314">L191-L192</f>
        <v>-27.62374001552962</v>
      </c>
      <c r="M193" s="282"/>
      <c r="N193" s="226">
        <f>N191-N192</f>
        <v>17.453021062014159</v>
      </c>
      <c r="O193" s="181"/>
      <c r="P193" s="226">
        <f t="shared" ref="P193" si="315">P191-P192</f>
        <v>26.531665031914599</v>
      </c>
      <c r="Q193" s="256">
        <f t="shared" ref="Q193" si="316">Q191-Q192</f>
        <v>0</v>
      </c>
      <c r="R193" s="257"/>
      <c r="S193" s="226">
        <f>S191-S192</f>
        <v>-5.0585679306750535</v>
      </c>
      <c r="T193" s="181"/>
      <c r="U193" s="226">
        <f t="shared" ref="U193" si="317">U191-U192</f>
        <v>32.071100186447438</v>
      </c>
      <c r="V193" s="256">
        <f t="shared" ref="V193" si="318">V191-V192</f>
        <v>-22.584515764407115</v>
      </c>
      <c r="W193" s="257"/>
      <c r="X193" s="226">
        <f>X191-X192</f>
        <v>2.3857643948649638</v>
      </c>
      <c r="Y193" s="181"/>
      <c r="Z193" s="226">
        <f t="shared" ref="Z193" si="319">Z191-Z192</f>
        <v>51.137514254434791</v>
      </c>
      <c r="AA193" s="256">
        <f t="shared" ref="AA193" si="320">AA191-AA192</f>
        <v>-14.899092438790831</v>
      </c>
      <c r="AB193" s="266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s="5" customFormat="1">
      <c r="A194" s="1"/>
      <c r="B194" s="1"/>
      <c r="C194" s="1"/>
      <c r="D194" s="223"/>
      <c r="E194" s="223" t="s">
        <v>293</v>
      </c>
      <c r="F194" s="223" t="str">
        <f t="shared" si="244"/>
        <v>Домашнее хозяйство</v>
      </c>
      <c r="G194" s="223" t="s">
        <v>261</v>
      </c>
      <c r="H194" s="354"/>
      <c r="I194" s="355">
        <f>SUMIFS(операции!$Z:$Z,операции!$X:$X,"&gt;="&amp;I$8,операции!$X:$X,"&lt;="&amp;I$9,операции!$AB:$AB,"&lt;&gt;"&amp;"",операции!$P:$P,$F161)</f>
        <v>233399</v>
      </c>
      <c r="J194" s="341">
        <f>I194-K194-L194</f>
        <v>0</v>
      </c>
      <c r="K194" s="355">
        <f>SUMIFS(операции!$Z:$Z,операции!$X:$X,"&gt;="&amp;I$8,операции!$X:$X,"&lt;="&amp;I$9,операции!$AB:$AB,"&lt;&gt;"&amp;"",операции!$L:$L,K$9,операции!$P:$P,$F161)</f>
        <v>84086</v>
      </c>
      <c r="L194" s="356">
        <f>SUMIFS(операции!$Z:$Z,операции!$X:$X,"&gt;="&amp;I$8,операции!$X:$X,"&lt;="&amp;I$9,операции!$AB:$AB,"&lt;&gt;"&amp;"",операции!$L:$L,L$9,операции!$P:$P,$F161)</f>
        <v>149313</v>
      </c>
      <c r="M194" s="283"/>
      <c r="N194" s="224">
        <f>SUMIFS(операции!$Z:$Z,операции!$X:$X,"&gt;="&amp;N$8,операции!$X:$X,"&lt;="&amp;N$9,операции!$AB:$AB,"&lt;&gt;"&amp;"",операции!$P:$P,$F161)</f>
        <v>30085</v>
      </c>
      <c r="O194" s="216">
        <f>N194-P194-Q194</f>
        <v>0</v>
      </c>
      <c r="P194" s="224">
        <f>SUMIFS(операции!$Z:$Z,операции!$X:$X,"&gt;="&amp;N$8,операции!$X:$X,"&lt;="&amp;N$9,операции!$AB:$AB,"&lt;&gt;"&amp;"",операции!$L:$L,P$9,операции!$P:$P,$F161)</f>
        <v>30085</v>
      </c>
      <c r="Q194" s="258">
        <f>SUMIFS(операции!$Z:$Z,операции!$X:$X,"&gt;="&amp;N$8,операции!$X:$X,"&lt;="&amp;N$9,операции!$AB:$AB,"&lt;&gt;"&amp;"",операции!$L:$L,Q$9,операции!$P:$P,$F161)</f>
        <v>0</v>
      </c>
      <c r="R194" s="259"/>
      <c r="S194" s="224">
        <f>SUMIFS(операции!$Z:$Z,операции!$X:$X,"&gt;="&amp;S$8,операции!$X:$X,"&lt;="&amp;S$9,операции!$AB:$AB,"&lt;&gt;"&amp;"",операции!$P:$P,$F161)</f>
        <v>169686</v>
      </c>
      <c r="T194" s="216">
        <f>S194-U194-V194</f>
        <v>0</v>
      </c>
      <c r="U194" s="224">
        <f>SUMIFS(операции!$Z:$Z,операции!$X:$X,"&gt;="&amp;S$8,операции!$X:$X,"&lt;="&amp;S$9,операции!$AB:$AB,"&lt;&gt;"&amp;"",операции!$L:$L,U$9,операции!$P:$P,$F161)</f>
        <v>46826</v>
      </c>
      <c r="V194" s="258">
        <f>SUMIFS(операции!$Z:$Z,операции!$X:$X,"&gt;="&amp;S$8,операции!$X:$X,"&lt;="&amp;S$9,операции!$AB:$AB,"&lt;&gt;"&amp;"",операции!$L:$L,V$9,операции!$P:$P,$F161)</f>
        <v>122860</v>
      </c>
      <c r="W194" s="259"/>
      <c r="X194" s="224">
        <f>SUMIFS(операции!$Z:$Z,операции!$X:$X,"&gt;="&amp;X$8,операции!$X:$X,"&lt;="&amp;X$9,операции!$AB:$AB,"&lt;&gt;"&amp;"",операции!$P:$P,$F161)</f>
        <v>33628</v>
      </c>
      <c r="Y194" s="216">
        <f>X194-Z194-AA194</f>
        <v>0</v>
      </c>
      <c r="Z194" s="224">
        <f>SUMIFS(операции!$Z:$Z,операции!$X:$X,"&gt;="&amp;X$8,операции!$X:$X,"&lt;="&amp;X$9,операции!$AB:$AB,"&lt;&gt;"&amp;"",операции!$L:$L,Z$9,операции!$P:$P,$F161)</f>
        <v>7175</v>
      </c>
      <c r="AA194" s="258">
        <f>SUMIFS(операции!$Z:$Z,операции!$X:$X,"&gt;="&amp;X$8,операции!$X:$X,"&lt;="&amp;X$9,операции!$AB:$AB,"&lt;&gt;"&amp;"",операции!$L:$L,AA$9,операции!$P:$P,$F161)</f>
        <v>26453</v>
      </c>
      <c r="AB194" s="266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s="192" customFormat="1" ht="11.25">
      <c r="A195" s="37"/>
      <c r="B195" s="37"/>
      <c r="C195" s="37"/>
      <c r="D195" s="191"/>
      <c r="E195" s="191" t="s">
        <v>295</v>
      </c>
      <c r="F195" s="191" t="str">
        <f t="shared" si="244"/>
        <v>Домашнее хозяйство</v>
      </c>
      <c r="G195" s="191" t="s">
        <v>262</v>
      </c>
      <c r="H195" s="315"/>
      <c r="I195" s="316">
        <f>IF(I194=0,0,SUMIFS(операции!$AG:$AG,операции!$X:$X,"&gt;="&amp;I$8,операции!$X:$X,"&lt;="&amp;I$9,операции!$AB:$AB,"&lt;&gt;"&amp;"",операции!$P:$P,$F161)/I194)</f>
        <v>42320.067892321735</v>
      </c>
      <c r="J195" s="317"/>
      <c r="K195" s="316">
        <f>IF(K194=0,0,SUMIFS(операции!$AG:$AG,операции!$X:$X,"&gt;="&amp;I$8,операции!$X:$X,"&lt;="&amp;I$9,операции!$AB:$AB,"&lt;&gt;"&amp;"",операции!$L:$L,K$9,операции!$P:$P,$F161)/K194)</f>
        <v>42318.996348976048</v>
      </c>
      <c r="L195" s="318">
        <f>IF(L194=0,0,SUMIFS(операции!$AG:$AG,операции!$X:$X,"&gt;="&amp;I$8,операции!$X:$X,"&lt;="&amp;I$9,операции!$AB:$AB,"&lt;&gt;"&amp;"",операции!$L:$L,L$9,операции!$P:$P,$F161)/L194)</f>
        <v>42320.671334712984</v>
      </c>
      <c r="M195" s="274"/>
      <c r="N195" s="193">
        <f>IF(N194=0,0,SUMIFS(операции!$AG:$AG,операции!$X:$X,"&gt;="&amp;N$8,операции!$X:$X,"&lt;="&amp;N$9,операции!$AB:$AB,"&lt;&gt;"&amp;"",операции!$P:$P,$F161)/N194)</f>
        <v>42304.354661791593</v>
      </c>
      <c r="O195" s="196"/>
      <c r="P195" s="193">
        <f>IF(P194=0,0,SUMIFS(операции!$AG:$AG,операции!$X:$X,"&gt;="&amp;N$8,операции!$X:$X,"&lt;="&amp;N$9,операции!$AB:$AB,"&lt;&gt;"&amp;"",операции!$L:$L,P$9,операции!$P:$P,$F161)/P194)</f>
        <v>42304.354661791593</v>
      </c>
      <c r="Q195" s="237">
        <f>IF(Q194=0,0,SUMIFS(операции!$AG:$AG,операции!$X:$X,"&gt;="&amp;N$8,операции!$X:$X,"&lt;="&amp;N$9,операции!$AB:$AB,"&lt;&gt;"&amp;"",операции!$L:$L,Q$9,операции!$P:$P,$F161)/Q194)</f>
        <v>0</v>
      </c>
      <c r="R195" s="238"/>
      <c r="S195" s="193">
        <f>IF(S194=0,0,SUMIFS(операции!$AG:$AG,операции!$X:$X,"&gt;="&amp;S$8,операции!$X:$X,"&lt;="&amp;S$9,операции!$AB:$AB,"&lt;&gt;"&amp;"",операции!$P:$P,$F161)/S194)</f>
        <v>42318.62378157302</v>
      </c>
      <c r="T195" s="196"/>
      <c r="U195" s="193">
        <f>IF(U194=0,0,SUMIFS(операции!$AG:$AG,операции!$X:$X,"&gt;="&amp;S$8,операции!$X:$X,"&lt;="&amp;S$9,операции!$AB:$AB,"&lt;&gt;"&amp;"",операции!$L:$L,U$9,операции!$P:$P,$F161)/U194)</f>
        <v>42324.737688463676</v>
      </c>
      <c r="V195" s="237">
        <f>IF(V194=0,0,SUMIFS(операции!$AG:$AG,операции!$X:$X,"&gt;="&amp;S$8,операции!$X:$X,"&lt;="&amp;S$9,операции!$AB:$AB,"&lt;&gt;"&amp;"",операции!$L:$L,V$9,операции!$P:$P,$F161)/V194)</f>
        <v>42316.293569916976</v>
      </c>
      <c r="W195" s="238"/>
      <c r="X195" s="193">
        <f>IF(X194=0,0,SUMIFS(операции!$AG:$AG,операции!$X:$X,"&gt;="&amp;X$8,операции!$X:$X,"&lt;="&amp;X$9,операции!$AB:$AB,"&lt;&gt;"&amp;"",операции!$P:$P,$F161)/X194)</f>
        <v>42341.412543118829</v>
      </c>
      <c r="Y195" s="196"/>
      <c r="Z195" s="193">
        <f>IF(Z194=0,0,SUMIFS(операции!$AG:$AG,операции!$X:$X,"&gt;="&amp;X$8,операции!$X:$X,"&lt;="&amp;X$9,операции!$AB:$AB,"&lt;&gt;"&amp;"",операции!$L:$L,Z$9,операции!$P:$P,$F161)/Z194)</f>
        <v>42342.919860627175</v>
      </c>
      <c r="AA195" s="237">
        <f>IF(AA194=0,0,SUMIFS(операции!$AG:$AG,операции!$X:$X,"&gt;="&amp;X$8,операции!$X:$X,"&lt;="&amp;X$9,операции!$AB:$AB,"&lt;&gt;"&amp;"",операции!$L:$L,AA$9,операции!$P:$P,$F161)/AA194)</f>
        <v>42341.003704683775</v>
      </c>
      <c r="AB195" s="265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</row>
    <row r="196" spans="1:42" s="93" customFormat="1" ht="15">
      <c r="A196" s="92"/>
      <c r="B196" s="92"/>
      <c r="C196" s="92"/>
      <c r="D196" s="151"/>
      <c r="E196" s="151" t="s">
        <v>292</v>
      </c>
      <c r="F196" s="151" t="str">
        <f t="shared" si="244"/>
        <v>Домашнее хозяйство</v>
      </c>
      <c r="G196" s="151" t="s">
        <v>261</v>
      </c>
      <c r="H196" s="311"/>
      <c r="I196" s="312">
        <f>SUMIFS(операции!$V:$V,операции!$X:$X,"&gt;="&amp;I$8,операции!$X:$X,"&lt;="&amp;I$9,операции!$AB:$AB,"&lt;&gt;"&amp;"",операции!$P:$P,$F161)</f>
        <v>206284.94000000003</v>
      </c>
      <c r="J196" s="313">
        <f>I196-K196-L196</f>
        <v>0</v>
      </c>
      <c r="K196" s="312">
        <f>SUMIFS(операции!$V:$V,операции!$X:$X,"&gt;="&amp;I$8,операции!$X:$X,"&lt;="&amp;I$9,операции!$AB:$AB,"&lt;&gt;"&amp;"",операции!$L:$L,K$9,операции!$P:$P,$F161)</f>
        <v>77888.449999999983</v>
      </c>
      <c r="L196" s="314">
        <f>SUMIFS(операции!$V:$V,операции!$X:$X,"&gt;="&amp;I$8,операции!$X:$X,"&lt;="&amp;I$9,операции!$AB:$AB,"&lt;&gt;"&amp;"",операции!$L:$L,L$9,операции!$P:$P,$F161)</f>
        <v>128396.48999999999</v>
      </c>
      <c r="M196" s="273"/>
      <c r="N196" s="152">
        <f>SUMIFS(операции!$V:$V,операции!$X:$X,"&gt;="&amp;N$8,операции!$X:$X,"&lt;="&amp;N$9,операции!$AB:$AB,"&lt;&gt;"&amp;"",операции!$P:$P,$F161)</f>
        <v>28265</v>
      </c>
      <c r="O196" s="170">
        <f>N196-P196-Q196</f>
        <v>0</v>
      </c>
      <c r="P196" s="152">
        <f>SUMIFS(операции!$V:$V,операции!$X:$X,"&gt;="&amp;N$8,операции!$X:$X,"&lt;="&amp;N$9,операции!$AB:$AB,"&lt;&gt;"&amp;"",операции!$L:$L,P$9,операции!$P:$P,$F161)</f>
        <v>28265</v>
      </c>
      <c r="Q196" s="235">
        <f>SUMIFS(операции!$V:$V,операции!$X:$X,"&gt;="&amp;N$8,операции!$X:$X,"&lt;="&amp;N$9,операции!$AB:$AB,"&lt;&gt;"&amp;"",операции!$L:$L,Q$9,операции!$P:$P,$F161)</f>
        <v>0</v>
      </c>
      <c r="R196" s="236"/>
      <c r="S196" s="152">
        <f>SUMIFS(операции!$V:$V,операции!$X:$X,"&gt;="&amp;S$8,операции!$X:$X,"&lt;="&amp;S$9,операции!$AB:$AB,"&lt;&gt;"&amp;"",операции!$P:$P,$F161)</f>
        <v>152704.32000000004</v>
      </c>
      <c r="T196" s="170">
        <f>S196-U196-V196</f>
        <v>0</v>
      </c>
      <c r="U196" s="152">
        <f>SUMIFS(операции!$V:$V,операции!$X:$X,"&gt;="&amp;S$8,операции!$X:$X,"&lt;="&amp;S$9,операции!$AB:$AB,"&lt;&gt;"&amp;"",операции!$L:$L,U$9,операции!$P:$P,$F161)</f>
        <v>42960.569999999992</v>
      </c>
      <c r="V196" s="235">
        <f>SUMIFS(операции!$V:$V,операции!$X:$X,"&gt;="&amp;S$8,операции!$X:$X,"&lt;="&amp;S$9,операции!$AB:$AB,"&lt;&gt;"&amp;"",операции!$L:$L,V$9,операции!$P:$P,$F161)</f>
        <v>109743.75</v>
      </c>
      <c r="W196" s="236"/>
      <c r="X196" s="152">
        <f>SUMIFS(операции!$V:$V,операции!$X:$X,"&gt;="&amp;X$8,операции!$X:$X,"&lt;="&amp;X$9,операции!$AB:$AB,"&lt;&gt;"&amp;"",операции!$P:$P,$F161)</f>
        <v>25315.62</v>
      </c>
      <c r="Y196" s="170">
        <f>X196-Z196-AA196</f>
        <v>0</v>
      </c>
      <c r="Z196" s="152">
        <f>SUMIFS(операции!$V:$V,операции!$X:$X,"&gt;="&amp;X$8,операции!$X:$X,"&lt;="&amp;X$9,операции!$AB:$AB,"&lt;&gt;"&amp;"",операции!$L:$L,Z$9,операции!$P:$P,$F161)</f>
        <v>6662.88</v>
      </c>
      <c r="AA196" s="235">
        <f>SUMIFS(операции!$V:$V,операции!$X:$X,"&gt;="&amp;X$8,операции!$X:$X,"&lt;="&amp;X$9,операции!$AB:$AB,"&lt;&gt;"&amp;"",операции!$L:$L,AA$9,операции!$P:$P,$F161)</f>
        <v>18652.739999999998</v>
      </c>
      <c r="AB196" s="264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</row>
    <row r="197" spans="1:42" s="192" customFormat="1" ht="11.25">
      <c r="A197" s="37"/>
      <c r="B197" s="37"/>
      <c r="C197" s="37"/>
      <c r="D197" s="191"/>
      <c r="E197" s="191" t="s">
        <v>294</v>
      </c>
      <c r="F197" s="191" t="str">
        <f t="shared" si="244"/>
        <v>Домашнее хозяйство</v>
      </c>
      <c r="G197" s="191" t="s">
        <v>262</v>
      </c>
      <c r="H197" s="315"/>
      <c r="I197" s="316">
        <f>IF(I196=0,0,SUMIFS(операции!$AF:$AF,операции!$X:$X,"&gt;="&amp;I$8,операции!$X:$X,"&lt;="&amp;I$9,операции!$AB:$AB,"&lt;&gt;"&amp;"",операции!$P:$P,$F161)/I196)</f>
        <v>42288.407932590715</v>
      </c>
      <c r="J197" s="317"/>
      <c r="K197" s="316">
        <f>IF(K196=0,0,SUMIFS(операции!$AF:$AF,операции!$X:$X,"&gt;="&amp;I$8,операции!$X:$X,"&lt;="&amp;I$9,операции!$AB:$AB,"&lt;&gt;"&amp;"",операции!$L:$L,K$9,операции!$P:$P,$F161)/K196)</f>
        <v>42250.394820156267</v>
      </c>
      <c r="L197" s="318">
        <f>IF(L196=0,0,SUMIFS(операции!$AF:$AF,операции!$X:$X,"&gt;="&amp;I$8,операции!$X:$X,"&lt;="&amp;I$9,операции!$AB:$AB,"&lt;&gt;"&amp;"",операции!$L:$L,L$9,операции!$P:$P,$F161)/L196)</f>
        <v>42311.467615976115</v>
      </c>
      <c r="M197" s="274"/>
      <c r="N197" s="193">
        <f>IF(N196=0,0,SUMIFS(операции!$AF:$AF,операции!$X:$X,"&gt;="&amp;N$8,операции!$X:$X,"&lt;="&amp;N$9,операции!$AB:$AB,"&lt;&gt;"&amp;"",операции!$P:$P,$F161)/N196)</f>
        <v>42244.970104369364</v>
      </c>
      <c r="O197" s="196"/>
      <c r="P197" s="193">
        <f>IF(P196=0,0,SUMIFS(операции!$AF:$AF,операции!$X:$X,"&gt;="&amp;N$8,операции!$X:$X,"&lt;="&amp;N$9,операции!$AB:$AB,"&lt;&gt;"&amp;"",операции!$L:$L,P$9,операции!$P:$P,$F161)/P196)</f>
        <v>42244.970104369364</v>
      </c>
      <c r="Q197" s="237">
        <f>IF(Q196=0,0,SUMIFS(операции!$AF:$AF,операции!$X:$X,"&gt;="&amp;N$8,операции!$X:$X,"&lt;="&amp;N$9,операции!$AB:$AB,"&lt;&gt;"&amp;"",операции!$L:$L,Q$9,операции!$P:$P,$F161)/Q196)</f>
        <v>0</v>
      </c>
      <c r="R197" s="238"/>
      <c r="S197" s="193">
        <f>IF(S196=0,0,SUMIFS(операции!$AF:$AF,операции!$X:$X,"&gt;="&amp;S$8,операции!$X:$X,"&lt;="&amp;S$9,операции!$AB:$AB,"&lt;&gt;"&amp;"",операции!$P:$P,$F161)/S196)</f>
        <v>42292.240545454108</v>
      </c>
      <c r="T197" s="196"/>
      <c r="U197" s="193">
        <f>IF(U196=0,0,SUMIFS(операции!$AF:$AF,операции!$X:$X,"&gt;="&amp;S$8,операции!$X:$X,"&lt;="&amp;S$9,операции!$AB:$AB,"&lt;&gt;"&amp;"",операции!$L:$L,U$9,операции!$P:$P,$F161)/U196)</f>
        <v>42252.457368931573</v>
      </c>
      <c r="V197" s="237">
        <f>IF(V196=0,0,SUMIFS(операции!$AF:$AF,операции!$X:$X,"&gt;="&amp;S$8,операции!$X:$X,"&lt;="&amp;S$9,операции!$AB:$AB,"&lt;&gt;"&amp;"",операции!$L:$L,V$9,операции!$P:$P,$F161)/V196)</f>
        <v>42307.814169827441</v>
      </c>
      <c r="W197" s="238"/>
      <c r="X197" s="193">
        <f>IF(X196=0,0,SUMIFS(операции!$AF:$AF,операции!$X:$X,"&gt;="&amp;X$8,операции!$X:$X,"&lt;="&amp;X$9,операции!$AB:$AB,"&lt;&gt;"&amp;"",операции!$P:$P,$F161)/X196)</f>
        <v>42313.788060493876</v>
      </c>
      <c r="Y197" s="196"/>
      <c r="Z197" s="193">
        <f>IF(Z196=0,0,SUMIFS(операции!$AF:$AF,операции!$X:$X,"&gt;="&amp;X$8,операции!$X:$X,"&lt;="&amp;X$9,операции!$AB:$AB,"&lt;&gt;"&amp;"",операции!$L:$L,Z$9,операции!$P:$P,$F161)/Z196)</f>
        <v>42260.108535648251</v>
      </c>
      <c r="AA197" s="237">
        <f>IF(AA196=0,0,SUMIFS(операции!$AF:$AF,операции!$X:$X,"&gt;="&amp;X$8,операции!$X:$X,"&lt;="&amp;X$9,операции!$AB:$AB,"&lt;&gt;"&amp;"",операции!$L:$L,AA$9,операции!$P:$P,$F161)/AA196)</f>
        <v>42332.962735769659</v>
      </c>
      <c r="AB197" s="265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</row>
    <row r="198" spans="1:42" s="192" customFormat="1" ht="11.25">
      <c r="A198" s="37"/>
      <c r="B198" s="37"/>
      <c r="C198" s="37"/>
      <c r="D198" s="191"/>
      <c r="E198" s="191" t="s">
        <v>299</v>
      </c>
      <c r="F198" s="191" t="str">
        <f t="shared" si="244"/>
        <v>Домашнее хозяйство</v>
      </c>
      <c r="G198" s="191" t="s">
        <v>262</v>
      </c>
      <c r="H198" s="315"/>
      <c r="I198" s="316">
        <f>IF(I196=0,0,SUMIFS(операции!$AH:$AH,операции!$X:$X,"&gt;="&amp;I$8,операции!$X:$X,"&lt;="&amp;I$9,операции!$AB:$AB,"&lt;&gt;"&amp;"",операции!$P:$P,$F161)/I196)</f>
        <v>42317.276475345207</v>
      </c>
      <c r="J198" s="317"/>
      <c r="K198" s="316">
        <f>IF(K196=0,0,SUMIFS(операции!$AH:$AH,операции!$X:$X,"&gt;="&amp;I$8,операции!$X:$X,"&lt;="&amp;I$9,операции!$AB:$AB,"&lt;&gt;"&amp;"",операции!$L:$L,K$9,операции!$P:$P,$F161)/K196)</f>
        <v>42276.86913451225</v>
      </c>
      <c r="L198" s="318">
        <f>IF(L196=0,0,SUMIFS(операции!$AH:$AH,операции!$X:$X,"&gt;="&amp;I$8,операции!$X:$X,"&lt;="&amp;I$9,операции!$AB:$AB,"&lt;&gt;"&amp;"",операции!$L:$L,L$9,операции!$P:$P,$F161)/L196)</f>
        <v>42341.788556213643</v>
      </c>
      <c r="M198" s="274"/>
      <c r="N198" s="193">
        <f>IF(N196=0,0,SUMIFS(операции!$AH:$AH,операции!$X:$X,"&gt;="&amp;N$8,операции!$X:$X,"&lt;="&amp;N$9,операции!$AB:$AB,"&lt;&gt;"&amp;"",операции!$P:$P,$F161)/N196)</f>
        <v>42271.418291172828</v>
      </c>
      <c r="O198" s="196"/>
      <c r="P198" s="193">
        <f>IF(P196=0,0,SUMIFS(операции!$AH:$AH,операции!$X:$X,"&gt;="&amp;N$8,операции!$X:$X,"&lt;="&amp;N$9,операции!$AB:$AB,"&lt;&gt;"&amp;"",операции!$L:$L,P$9,операции!$P:$P,$F161)/P196)</f>
        <v>42271.418291172828</v>
      </c>
      <c r="Q198" s="237">
        <f>IF(Q196=0,0,SUMIFS(операции!$AH:$AH,операции!$X:$X,"&gt;="&amp;N$8,операции!$X:$X,"&lt;="&amp;N$9,операции!$AB:$AB,"&lt;&gt;"&amp;"",операции!$L:$L,Q$9,операции!$P:$P,$F161)/Q196)</f>
        <v>0</v>
      </c>
      <c r="R198" s="238"/>
      <c r="S198" s="193">
        <f>IF(S196=0,0,SUMIFS(операции!$AH:$AH,операции!$X:$X,"&gt;="&amp;S$8,операции!$X:$X,"&lt;="&amp;S$9,операции!$AB:$AB,"&lt;&gt;"&amp;"",операции!$P:$P,$F161)/S196)</f>
        <v>42322.15884645567</v>
      </c>
      <c r="T198" s="196"/>
      <c r="U198" s="193">
        <f>IF(U196=0,0,SUMIFS(операции!$AH:$AH,операции!$X:$X,"&gt;="&amp;S$8,операции!$X:$X,"&lt;="&amp;S$9,операции!$AB:$AB,"&lt;&gt;"&amp;"",операции!$L:$L,U$9,операции!$P:$P,$F161)/U196)</f>
        <v>42278.14246831456</v>
      </c>
      <c r="V198" s="237">
        <f>IF(V196=0,0,SUMIFS(операции!$AH:$AH,операции!$X:$X,"&gt;="&amp;S$8,операции!$X:$X,"&lt;="&amp;S$9,операции!$AB:$AB,"&lt;&gt;"&amp;"",операции!$L:$L,V$9,операции!$P:$P,$F161)/V196)</f>
        <v>42339.389610797873</v>
      </c>
      <c r="W198" s="238"/>
      <c r="X198" s="193">
        <f>IF(X196=0,0,SUMIFS(операции!$AH:$AH,операции!$X:$X,"&gt;="&amp;X$8,операции!$X:$X,"&lt;="&amp;X$9,операции!$AB:$AB,"&lt;&gt;"&amp;"",операции!$P:$P,$F161)/X196)</f>
        <v>42339.026778723965</v>
      </c>
      <c r="Y198" s="196"/>
      <c r="Z198" s="193">
        <f>IF(Z196=0,0,SUMIFS(операции!$AH:$AH,операции!$X:$X,"&gt;="&amp;X$8,операции!$X:$X,"&lt;="&amp;X$9,операции!$AB:$AB,"&lt;&gt;"&amp;"",операции!$L:$L,Z$9,операции!$P:$P,$F161)/Z196)</f>
        <v>42291.78234637274</v>
      </c>
      <c r="AA198" s="237">
        <f>IF(AA196=0,0,SUMIFS(операции!$AH:$AH,операции!$X:$X,"&gt;="&amp;X$8,операции!$X:$X,"&lt;="&amp;X$9,операции!$AB:$AB,"&lt;&gt;"&amp;"",операции!$L:$L,AA$9,операции!$P:$P,$F161)/AA196)</f>
        <v>42355.902797122566</v>
      </c>
      <c r="AB198" s="265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</row>
    <row r="199" spans="1:42" s="5" customFormat="1">
      <c r="A199" s="1"/>
      <c r="B199" s="1"/>
      <c r="C199" s="1"/>
      <c r="D199" s="168"/>
      <c r="E199" s="168" t="s">
        <v>296</v>
      </c>
      <c r="F199" s="168" t="str">
        <f t="shared" si="244"/>
        <v>Домашнее хозяйство</v>
      </c>
      <c r="G199" s="168" t="s">
        <v>261</v>
      </c>
      <c r="H199" s="326"/>
      <c r="I199" s="327">
        <f>I194-I196</f>
        <v>27114.059999999969</v>
      </c>
      <c r="J199" s="313">
        <f>I199-K199-L199</f>
        <v>-5.8207660913467407E-11</v>
      </c>
      <c r="K199" s="327">
        <f t="shared" ref="K199:L199" si="321">K194-K196</f>
        <v>6197.5500000000175</v>
      </c>
      <c r="L199" s="328">
        <f t="shared" si="321"/>
        <v>20916.510000000009</v>
      </c>
      <c r="M199" s="277"/>
      <c r="N199" s="169">
        <f>N194-N196</f>
        <v>1820</v>
      </c>
      <c r="O199" s="170">
        <f>N199-P199-Q199</f>
        <v>0</v>
      </c>
      <c r="P199" s="169">
        <f t="shared" ref="P199:Q199" si="322">P194-P196</f>
        <v>1820</v>
      </c>
      <c r="Q199" s="243">
        <f t="shared" si="322"/>
        <v>0</v>
      </c>
      <c r="R199" s="244"/>
      <c r="S199" s="169">
        <f>S194-S196</f>
        <v>16981.679999999964</v>
      </c>
      <c r="T199" s="170">
        <f>S199-U199-V199</f>
        <v>-4.3655745685100555E-11</v>
      </c>
      <c r="U199" s="169">
        <f t="shared" ref="U199:V199" si="323">U194-U196</f>
        <v>3865.4300000000076</v>
      </c>
      <c r="V199" s="243">
        <f t="shared" si="323"/>
        <v>13116.25</v>
      </c>
      <c r="W199" s="244"/>
      <c r="X199" s="169">
        <f>X194-X196</f>
        <v>8312.380000000001</v>
      </c>
      <c r="Y199" s="170">
        <f>X199-Z199-AA199</f>
        <v>0</v>
      </c>
      <c r="Z199" s="169">
        <f t="shared" ref="Z199:AA199" si="324">Z194-Z196</f>
        <v>512.11999999999989</v>
      </c>
      <c r="AA199" s="243">
        <f t="shared" si="324"/>
        <v>7800.260000000002</v>
      </c>
      <c r="AB199" s="266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s="211" customFormat="1">
      <c r="A200" s="210"/>
      <c r="B200" s="210"/>
      <c r="C200" s="210"/>
      <c r="D200" s="218"/>
      <c r="E200" s="218" t="s">
        <v>297</v>
      </c>
      <c r="F200" s="218" t="str">
        <f t="shared" si="244"/>
        <v>Домашнее хозяйство</v>
      </c>
      <c r="G200" s="218" t="s">
        <v>218</v>
      </c>
      <c r="H200" s="343"/>
      <c r="I200" s="344">
        <f>IF(I194=0,0,(I199/I194))</f>
        <v>0.11617042061019957</v>
      </c>
      <c r="J200" s="345"/>
      <c r="K200" s="344">
        <f t="shared" ref="K200" si="325">IF(K194=0,0,(K199/K194))</f>
        <v>7.3704897366981631E-2</v>
      </c>
      <c r="L200" s="346">
        <f t="shared" ref="L200" si="326">IF(L194=0,0,(L199/L194))</f>
        <v>0.14008498925076859</v>
      </c>
      <c r="M200" s="280"/>
      <c r="N200" s="219">
        <f>IF(N194=0,0,(N199/N194))</f>
        <v>6.0495263420309121E-2</v>
      </c>
      <c r="O200" s="220"/>
      <c r="P200" s="219">
        <f t="shared" ref="P200" si="327">IF(P194=0,0,(P199/P194))</f>
        <v>6.0495263420309121E-2</v>
      </c>
      <c r="Q200" s="252">
        <f t="shared" ref="Q200" si="328">IF(Q194=0,0,(Q199/Q194))</f>
        <v>0</v>
      </c>
      <c r="R200" s="253"/>
      <c r="S200" s="219">
        <f>IF(S194=0,0,(S199/S194))</f>
        <v>0.10007708355432955</v>
      </c>
      <c r="T200" s="220"/>
      <c r="U200" s="219">
        <f t="shared" ref="U200" si="329">IF(U194=0,0,(U199/U194))</f>
        <v>8.2548797676504665E-2</v>
      </c>
      <c r="V200" s="252">
        <f t="shared" ref="V200" si="330">IF(V194=0,0,(V199/V194))</f>
        <v>0.1067576916815888</v>
      </c>
      <c r="W200" s="253"/>
      <c r="X200" s="219">
        <f>IF(X194=0,0,(X199/X194))</f>
        <v>0.24718627334364224</v>
      </c>
      <c r="Y200" s="220"/>
      <c r="Z200" s="219">
        <f t="shared" ref="Z200" si="331">IF(Z194=0,0,(Z199/Z194))</f>
        <v>7.1375609756097552E-2</v>
      </c>
      <c r="AA200" s="252">
        <f t="shared" ref="AA200" si="332">IF(AA194=0,0,(AA199/AA194))</f>
        <v>0.29487241522700647</v>
      </c>
      <c r="AB200" s="267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  <c r="AM200" s="210"/>
      <c r="AN200" s="210"/>
      <c r="AO200" s="210"/>
      <c r="AP200" s="210"/>
    </row>
    <row r="201" spans="1:42" s="5" customFormat="1">
      <c r="A201" s="1"/>
      <c r="B201" s="1"/>
      <c r="C201" s="1"/>
      <c r="D201" s="227"/>
      <c r="E201" s="227" t="s">
        <v>298</v>
      </c>
      <c r="F201" s="227" t="str">
        <f t="shared" si="244"/>
        <v>Домашнее хозяйство</v>
      </c>
      <c r="G201" s="227" t="s">
        <v>219</v>
      </c>
      <c r="H201" s="347"/>
      <c r="I201" s="348">
        <f>I195-I197</f>
        <v>31.659959731019626</v>
      </c>
      <c r="J201" s="321"/>
      <c r="K201" s="348">
        <f t="shared" ref="K201:L201" si="333">K195-K197</f>
        <v>68.601528819781379</v>
      </c>
      <c r="L201" s="349">
        <f t="shared" si="333"/>
        <v>9.2037187368696323</v>
      </c>
      <c r="M201" s="281"/>
      <c r="N201" s="228">
        <f>N195-N197</f>
        <v>59.384557422228681</v>
      </c>
      <c r="O201" s="173"/>
      <c r="P201" s="228">
        <f t="shared" ref="P201:Q201" si="334">P195-P197</f>
        <v>59.384557422228681</v>
      </c>
      <c r="Q201" s="254">
        <f t="shared" si="334"/>
        <v>0</v>
      </c>
      <c r="R201" s="255"/>
      <c r="S201" s="228">
        <f>S195-S197</f>
        <v>26.383236118912464</v>
      </c>
      <c r="T201" s="173"/>
      <c r="U201" s="228">
        <f t="shared" ref="U201:V201" si="335">U195-U197</f>
        <v>72.280319532103022</v>
      </c>
      <c r="V201" s="254">
        <f t="shared" si="335"/>
        <v>8.4794000895344652</v>
      </c>
      <c r="W201" s="255"/>
      <c r="X201" s="228">
        <f>X195-X197</f>
        <v>27.624482624953089</v>
      </c>
      <c r="Y201" s="173"/>
      <c r="Z201" s="228">
        <f t="shared" ref="Z201:AA201" si="336">Z195-Z197</f>
        <v>82.811324978923949</v>
      </c>
      <c r="AA201" s="254">
        <f t="shared" si="336"/>
        <v>8.0409689141160925</v>
      </c>
      <c r="AB201" s="266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s="5" customFormat="1">
      <c r="A202" s="1"/>
      <c r="B202" s="1"/>
      <c r="C202" s="1"/>
      <c r="D202" s="227"/>
      <c r="E202" s="227" t="s">
        <v>300</v>
      </c>
      <c r="F202" s="227" t="str">
        <f t="shared" si="244"/>
        <v>Домашнее хозяйство</v>
      </c>
      <c r="G202" s="227" t="s">
        <v>219</v>
      </c>
      <c r="H202" s="347"/>
      <c r="I202" s="348">
        <f>I198-I197</f>
        <v>28.8685427544915</v>
      </c>
      <c r="J202" s="321"/>
      <c r="K202" s="348">
        <f t="shared" ref="K202:L202" si="337">K198-K197</f>
        <v>26.474314355982642</v>
      </c>
      <c r="L202" s="349">
        <f t="shared" si="337"/>
        <v>30.320940237528703</v>
      </c>
      <c r="M202" s="281"/>
      <c r="N202" s="228">
        <f>N198-N197</f>
        <v>26.448186803463614</v>
      </c>
      <c r="O202" s="173"/>
      <c r="P202" s="228">
        <f t="shared" ref="P202:Q202" si="338">P198-P197</f>
        <v>26.448186803463614</v>
      </c>
      <c r="Q202" s="254">
        <f t="shared" si="338"/>
        <v>0</v>
      </c>
      <c r="R202" s="255"/>
      <c r="S202" s="228">
        <f>S198-S197</f>
        <v>29.918301001562213</v>
      </c>
      <c r="T202" s="173"/>
      <c r="U202" s="228">
        <f t="shared" ref="U202:V202" si="339">U198-U197</f>
        <v>25.685099382986664</v>
      </c>
      <c r="V202" s="254">
        <f t="shared" si="339"/>
        <v>31.575440970431373</v>
      </c>
      <c r="W202" s="255"/>
      <c r="X202" s="228">
        <f>X198-X197</f>
        <v>25.238718230088125</v>
      </c>
      <c r="Y202" s="173"/>
      <c r="Z202" s="228">
        <f t="shared" ref="Z202:AA202" si="340">Z198-Z197</f>
        <v>31.673810724489158</v>
      </c>
      <c r="AA202" s="254">
        <f t="shared" si="340"/>
        <v>22.940061352906923</v>
      </c>
      <c r="AB202" s="266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s="93" customFormat="1" ht="15">
      <c r="A203" s="92"/>
      <c r="B203" s="92"/>
      <c r="C203" s="92"/>
      <c r="D203" s="221"/>
      <c r="E203" s="221" t="s">
        <v>301</v>
      </c>
      <c r="F203" s="221" t="str">
        <f t="shared" si="244"/>
        <v>Домашнее хозяйство</v>
      </c>
      <c r="G203" s="221" t="s">
        <v>219</v>
      </c>
      <c r="H203" s="357"/>
      <c r="I203" s="358">
        <f>I201-I202</f>
        <v>2.7914169765281258</v>
      </c>
      <c r="J203" s="352"/>
      <c r="K203" s="358">
        <f t="shared" ref="K203" si="341">K201-K202</f>
        <v>42.127214463798737</v>
      </c>
      <c r="L203" s="359">
        <f t="shared" ref="L203" si="342">L201-L202</f>
        <v>-21.11722150065907</v>
      </c>
      <c r="M203" s="284"/>
      <c r="N203" s="222">
        <f>N201-N202</f>
        <v>32.936370618765068</v>
      </c>
      <c r="O203" s="181"/>
      <c r="P203" s="222">
        <f t="shared" ref="P203" si="343">P201-P202</f>
        <v>32.936370618765068</v>
      </c>
      <c r="Q203" s="260">
        <f t="shared" ref="Q203" si="344">Q201-Q202</f>
        <v>0</v>
      </c>
      <c r="R203" s="261"/>
      <c r="S203" s="222">
        <f>S201-S202</f>
        <v>-3.5350648826497491</v>
      </c>
      <c r="T203" s="181"/>
      <c r="U203" s="222">
        <f t="shared" ref="U203" si="345">U201-U202</f>
        <v>46.595220149116358</v>
      </c>
      <c r="V203" s="260">
        <f t="shared" ref="V203" si="346">V201-V202</f>
        <v>-23.096040880896908</v>
      </c>
      <c r="W203" s="261"/>
      <c r="X203" s="222">
        <f>X201-X202</f>
        <v>2.3857643948649638</v>
      </c>
      <c r="Y203" s="181"/>
      <c r="Z203" s="222">
        <f t="shared" ref="Z203" si="347">Z201-Z202</f>
        <v>51.137514254434791</v>
      </c>
      <c r="AA203" s="260">
        <f t="shared" ref="AA203" si="348">AA201-AA202</f>
        <v>-14.899092438790831</v>
      </c>
      <c r="AB203" s="264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</row>
    <row r="204" spans="1:42" s="5" customFormat="1">
      <c r="A204" s="1"/>
      <c r="B204" s="1"/>
      <c r="C204" s="1"/>
      <c r="D204" s="223"/>
      <c r="E204" s="223" t="s">
        <v>302</v>
      </c>
      <c r="F204" s="223" t="str">
        <f t="shared" si="244"/>
        <v>Домашнее хозяйство</v>
      </c>
      <c r="G204" s="223" t="s">
        <v>261</v>
      </c>
      <c r="H204" s="354"/>
      <c r="I204" s="355">
        <f>SUMIFS(операции!$Z:$Z,операции!$X:$X,"&gt;="&amp;I$8,операции!$X:$X,"&lt;="&amp;I$9,операции!$AB:$AB,"",операции!$P:$P,$F161)</f>
        <v>52835</v>
      </c>
      <c r="J204" s="341">
        <f>I204-K204-L204</f>
        <v>0</v>
      </c>
      <c r="K204" s="355">
        <f>SUMIFS(операции!$Z:$Z,операции!$X:$X,"&gt;="&amp;I$8,операции!$X:$X,"&lt;="&amp;I$9,операции!$AB:$AB,"",операции!$L:$L,K$9,операции!$P:$P,$F161)</f>
        <v>21005</v>
      </c>
      <c r="L204" s="356">
        <f>SUMIFS(операции!$Z:$Z,операции!$X:$X,"&gt;="&amp;I$8,операции!$X:$X,"&lt;="&amp;I$9,операции!$AB:$AB,"",операции!$L:$L,L$9,операции!$P:$P,$F161)</f>
        <v>31830</v>
      </c>
      <c r="M204" s="283"/>
      <c r="N204" s="224">
        <f>SUMIFS(операции!$Z:$Z,операции!$X:$X,"&gt;="&amp;N$8,операции!$X:$X,"&lt;="&amp;N$9,операции!$AB:$AB,"",операции!$P:$P,$F161)</f>
        <v>30311</v>
      </c>
      <c r="O204" s="216">
        <f>N204-P204-Q204</f>
        <v>0</v>
      </c>
      <c r="P204" s="224">
        <f>SUMIFS(операции!$Z:$Z,операции!$X:$X,"&gt;="&amp;N$8,операции!$X:$X,"&lt;="&amp;N$9,операции!$AB:$AB,"",операции!$L:$L,P$9,операции!$P:$P,$F161)</f>
        <v>6371</v>
      </c>
      <c r="Q204" s="258">
        <f>SUMIFS(операции!$Z:$Z,операции!$X:$X,"&gt;="&amp;N$8,операции!$X:$X,"&lt;="&amp;N$9,операции!$AB:$AB,"",операции!$L:$L,Q$9,операции!$P:$P,$F161)</f>
        <v>23940</v>
      </c>
      <c r="R204" s="259"/>
      <c r="S204" s="224">
        <f>SUMIFS(операции!$Z:$Z,операции!$X:$X,"&gt;="&amp;S$8,операции!$X:$X,"&lt;="&amp;S$9,операции!$AB:$AB,"",операции!$P:$P,$F161)</f>
        <v>22524</v>
      </c>
      <c r="T204" s="216">
        <f>S204-U204-V204</f>
        <v>0</v>
      </c>
      <c r="U204" s="224">
        <f>SUMIFS(операции!$Z:$Z,операции!$X:$X,"&gt;="&amp;S$8,операции!$X:$X,"&lt;="&amp;S$9,операции!$AB:$AB,"",операции!$L:$L,U$9,операции!$P:$P,$F161)</f>
        <v>14634</v>
      </c>
      <c r="V204" s="258">
        <f>SUMIFS(операции!$Z:$Z,операции!$X:$X,"&gt;="&amp;S$8,операции!$X:$X,"&lt;="&amp;S$9,операции!$AB:$AB,"",операции!$L:$L,V$9,операции!$P:$P,$F161)</f>
        <v>7890</v>
      </c>
      <c r="W204" s="259"/>
      <c r="X204" s="224">
        <f>SUMIFS(операции!$Z:$Z,операции!$X:$X,"&gt;="&amp;X$8,операции!$X:$X,"&lt;="&amp;X$9,операции!$AB:$AB,"",операции!$P:$P,$F161)</f>
        <v>0</v>
      </c>
      <c r="Y204" s="216">
        <f>X204-Z204-AA204</f>
        <v>0</v>
      </c>
      <c r="Z204" s="224">
        <f>SUMIFS(операции!$Z:$Z,операции!$X:$X,"&gt;="&amp;X$8,операции!$X:$X,"&lt;="&amp;X$9,операции!$AB:$AB,"",операции!$L:$L,Z$9,операции!$P:$P,$F161)</f>
        <v>0</v>
      </c>
      <c r="AA204" s="258">
        <f>SUMIFS(операции!$Z:$Z,операции!$X:$X,"&gt;="&amp;X$8,операции!$X:$X,"&lt;="&amp;X$9,операции!$AB:$AB,"",операции!$L:$L,AA$9,операции!$P:$P,$F161)</f>
        <v>0</v>
      </c>
      <c r="AB204" s="266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s="192" customFormat="1" ht="11.25">
      <c r="A205" s="37"/>
      <c r="B205" s="37"/>
      <c r="C205" s="37"/>
      <c r="D205" s="191"/>
      <c r="E205" s="191" t="s">
        <v>303</v>
      </c>
      <c r="F205" s="191" t="str">
        <f t="shared" si="244"/>
        <v>Домашнее хозяйство</v>
      </c>
      <c r="G205" s="191" t="s">
        <v>262</v>
      </c>
      <c r="H205" s="315"/>
      <c r="I205" s="316">
        <f>IF(I204=0,0,SUMIFS(операции!$AG:$AG,операции!$X:$X,"&gt;="&amp;I$8,операции!$X:$X,"&lt;="&amp;I$9,операции!$AB:$AB,"",операции!$P:$P,$F161)/I204)</f>
        <v>42314.162013816596</v>
      </c>
      <c r="J205" s="317"/>
      <c r="K205" s="316">
        <f>IF(K204=0,0,SUMIFS(операции!$AG:$AG,операции!$X:$X,"&gt;="&amp;I$8,операции!$X:$X,"&lt;="&amp;I$9,операции!$AB:$AB,"",операции!$L:$L,K$9,операции!$P:$P,$F161)/K204)</f>
        <v>42317.931920971198</v>
      </c>
      <c r="L205" s="318">
        <f>IF(L204=0,0,SUMIFS(операции!$AG:$AG,операции!$X:$X,"&gt;="&amp;I$8,операции!$X:$X,"&lt;="&amp;I$9,операции!$AB:$AB,"",операции!$L:$L,L$9,операции!$P:$P,$F161)/L204)</f>
        <v>42311.674206723219</v>
      </c>
      <c r="M205" s="274"/>
      <c r="N205" s="193">
        <f>IF(N204=0,0,SUMIFS(операции!$AG:$AG,операции!$X:$X,"&gt;="&amp;N$8,операции!$X:$X,"&lt;="&amp;N$9,операции!$AB:$AB,"",операции!$P:$P,$F161)/N204)</f>
        <v>42306.958529906631</v>
      </c>
      <c r="O205" s="196"/>
      <c r="P205" s="193">
        <f>IF(P204=0,0,SUMIFS(операции!$AG:$AG,операции!$X:$X,"&gt;="&amp;N$8,операции!$X:$X,"&lt;="&amp;N$9,операции!$AB:$AB,"",операции!$L:$L,P$9,операции!$P:$P,$F161)/P204)</f>
        <v>42303.045047873173</v>
      </c>
      <c r="Q205" s="237">
        <f>IF(Q204=0,0,SUMIFS(операции!$AG:$AG,операции!$X:$X,"&gt;="&amp;N$8,операции!$X:$X,"&lt;="&amp;N$9,операции!$AB:$AB,"",операции!$L:$L,Q$9,операции!$P:$P,$F161)/Q204)</f>
        <v>42308</v>
      </c>
      <c r="R205" s="238"/>
      <c r="S205" s="193">
        <f>IF(S204=0,0,SUMIFS(операции!$AG:$AG,операции!$X:$X,"&gt;="&amp;S$8,операции!$X:$X,"&lt;="&amp;S$9,операции!$AB:$AB,"",операции!$P:$P,$F161)/S204)</f>
        <v>42323.855887053811</v>
      </c>
      <c r="T205" s="196"/>
      <c r="U205" s="193">
        <f>IF(U204=0,0,SUMIFS(операции!$AG:$AG,операции!$X:$X,"&gt;="&amp;S$8,операции!$X:$X,"&lt;="&amp;S$9,операции!$AB:$AB,"",операции!$L:$L,U$9,операции!$P:$P,$F161)/U204)</f>
        <v>42324.413010796772</v>
      </c>
      <c r="V205" s="237">
        <f>IF(V204=0,0,SUMIFS(операции!$AG:$AG,операции!$X:$X,"&gt;="&amp;S$8,операции!$X:$X,"&lt;="&amp;S$9,операции!$AB:$AB,"",операции!$L:$L,V$9,операции!$P:$P,$F161)/V204)</f>
        <v>42322.822560202789</v>
      </c>
      <c r="W205" s="238"/>
      <c r="X205" s="193">
        <f>IF(X204=0,0,SUMIFS(операции!$AG:$AG,операции!$X:$X,"&gt;="&amp;X$8,операции!$X:$X,"&lt;="&amp;X$9,операции!$AB:$AB,"",операции!$P:$P,$F161)/X204)</f>
        <v>0</v>
      </c>
      <c r="Y205" s="196"/>
      <c r="Z205" s="193">
        <f>IF(Z204=0,0,SUMIFS(операции!$AG:$AG,операции!$X:$X,"&gt;="&amp;X$8,операции!$X:$X,"&lt;="&amp;X$9,операции!$AB:$AB,"",операции!$L:$L,Z$9,операции!$P:$P,$F161)/Z204)</f>
        <v>0</v>
      </c>
      <c r="AA205" s="237">
        <f>IF(AA204=0,0,SUMIFS(операции!$AG:$AG,операции!$X:$X,"&gt;="&amp;X$8,операции!$X:$X,"&lt;="&amp;X$9,операции!$AB:$AB,"",операции!$L:$L,AA$9,операции!$P:$P,$F161)/AA204)</f>
        <v>0</v>
      </c>
      <c r="AB205" s="265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</row>
    <row r="206" spans="1:42" s="5" customFormat="1">
      <c r="A206" s="1"/>
      <c r="B206" s="1"/>
      <c r="C206" s="1"/>
      <c r="D206" s="168"/>
      <c r="E206" s="168" t="s">
        <v>304</v>
      </c>
      <c r="F206" s="168" t="str">
        <f t="shared" si="244"/>
        <v>Домашнее хозяйство</v>
      </c>
      <c r="G206" s="168" t="s">
        <v>261</v>
      </c>
      <c r="H206" s="326"/>
      <c r="I206" s="327">
        <f>SUMIFS(операции!$V:$V,операции!$X:$X,"&gt;="&amp;I$8,операции!$X:$X,"&lt;="&amp;I$9,операции!$AB:$AB,"",операции!$P:$P,$F161)</f>
        <v>47786.179999999993</v>
      </c>
      <c r="J206" s="313">
        <f>I206-K206-L206</f>
        <v>0</v>
      </c>
      <c r="K206" s="327">
        <f>SUMIFS(операции!$V:$V,операции!$X:$X,"&gt;="&amp;I$8,операции!$X:$X,"&lt;="&amp;I$9,операции!$AB:$AB,"",операции!$L:$L,K$9,операции!$P:$P,$F161)</f>
        <v>19408.330000000002</v>
      </c>
      <c r="L206" s="328">
        <f>SUMIFS(операции!$V:$V,операции!$X:$X,"&gt;="&amp;I$8,операции!$X:$X,"&lt;="&amp;I$9,операции!$AB:$AB,"",операции!$L:$L,L$9,операции!$P:$P,$F161)</f>
        <v>28377.85</v>
      </c>
      <c r="M206" s="277"/>
      <c r="N206" s="169">
        <f>SUMIFS(операции!$V:$V,операции!$X:$X,"&gt;="&amp;N$8,операции!$X:$X,"&lt;="&amp;N$9,операции!$AB:$AB,"",операции!$P:$P,$F161)</f>
        <v>23978.6</v>
      </c>
      <c r="O206" s="170">
        <f>N206-P206-Q206</f>
        <v>0</v>
      </c>
      <c r="P206" s="169">
        <f>SUMIFS(операции!$V:$V,операции!$X:$X,"&gt;="&amp;N$8,операции!$X:$X,"&lt;="&amp;N$9,операции!$AB:$AB,"",операции!$L:$L,P$9,операции!$P:$P,$F161)</f>
        <v>5741</v>
      </c>
      <c r="Q206" s="243">
        <f>SUMIFS(операции!$V:$V,операции!$X:$X,"&gt;="&amp;N$8,операции!$X:$X,"&lt;="&amp;N$9,операции!$AB:$AB,"",операции!$L:$L,Q$9,операции!$P:$P,$F161)</f>
        <v>18237.599999999999</v>
      </c>
      <c r="R206" s="244"/>
      <c r="S206" s="169">
        <f>SUMIFS(операции!$V:$V,операции!$X:$X,"&gt;="&amp;S$8,операции!$X:$X,"&lt;="&amp;S$9,операции!$AB:$AB,"",операции!$P:$P,$F161)</f>
        <v>23807.58</v>
      </c>
      <c r="T206" s="170">
        <f>S206-U206-V206</f>
        <v>0</v>
      </c>
      <c r="U206" s="169">
        <f>SUMIFS(операции!$V:$V,операции!$X:$X,"&gt;="&amp;S$8,операции!$X:$X,"&lt;="&amp;S$9,операции!$AB:$AB,"",операции!$L:$L,U$9,операции!$P:$P,$F161)</f>
        <v>13667.33</v>
      </c>
      <c r="V206" s="243">
        <f>SUMIFS(операции!$V:$V,операции!$X:$X,"&gt;="&amp;S$8,операции!$X:$X,"&lt;="&amp;S$9,операции!$AB:$AB,"",операции!$L:$L,V$9,операции!$P:$P,$F161)</f>
        <v>10140.25</v>
      </c>
      <c r="W206" s="244"/>
      <c r="X206" s="169">
        <f>SUMIFS(операции!$V:$V,операции!$X:$X,"&gt;="&amp;X$8,операции!$X:$X,"&lt;="&amp;X$9,операции!$AB:$AB,"",операции!$P:$P,$F161)</f>
        <v>0</v>
      </c>
      <c r="Y206" s="170">
        <f>X206-Z206-AA206</f>
        <v>0</v>
      </c>
      <c r="Z206" s="169">
        <f>SUMIFS(операции!$V:$V,операции!$X:$X,"&gt;="&amp;X$8,операции!$X:$X,"&lt;="&amp;X$9,операции!$AB:$AB,"",операции!$L:$L,Z$9,операции!$P:$P,$F161)</f>
        <v>0</v>
      </c>
      <c r="AA206" s="243">
        <f>SUMIFS(операции!$V:$V,операции!$X:$X,"&gt;="&amp;X$8,операции!$X:$X,"&lt;="&amp;X$9,операции!$AB:$AB,"",операции!$L:$L,AA$9,операции!$P:$P,$F161)</f>
        <v>0</v>
      </c>
      <c r="AB206" s="266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s="192" customFormat="1" ht="11.25">
      <c r="A207" s="37"/>
      <c r="B207" s="37"/>
      <c r="C207" s="37"/>
      <c r="D207" s="191"/>
      <c r="E207" s="191" t="s">
        <v>305</v>
      </c>
      <c r="F207" s="191" t="str">
        <f t="shared" si="244"/>
        <v>Домашнее хозяйство</v>
      </c>
      <c r="G207" s="191" t="s">
        <v>262</v>
      </c>
      <c r="H207" s="315"/>
      <c r="I207" s="316">
        <f>IF(I206=0,0,SUMIFS(операции!$AF:$AF,операции!$X:$X,"&gt;="&amp;I$8,операции!$X:$X,"&lt;="&amp;I$9,операции!$AB:$AB,"",операции!$P:$P,$F161)/I206)</f>
        <v>42279.429708129006</v>
      </c>
      <c r="J207" s="317"/>
      <c r="K207" s="316">
        <f>IF(K206=0,0,SUMIFS(операции!$AF:$AF,операции!$X:$X,"&gt;="&amp;I$8,операции!$X:$X,"&lt;="&amp;I$9,операции!$AB:$AB,"",операции!$L:$L,K$9,операции!$P:$P,$F161)/K206)</f>
        <v>42236.707557012887</v>
      </c>
      <c r="L207" s="318">
        <f>IF(L206=0,0,SUMIFS(операции!$AF:$AF,операции!$X:$X,"&gt;="&amp;I$8,операции!$X:$X,"&lt;="&amp;I$9,операции!$AB:$AB,"",операции!$L:$L,L$9,операции!$P:$P,$F161)/L206)</f>
        <v>42308.648468788153</v>
      </c>
      <c r="M207" s="274"/>
      <c r="N207" s="193">
        <f>IF(N206=0,0,SUMIFS(операции!$AF:$AF,операции!$X:$X,"&gt;="&amp;N$8,операции!$X:$X,"&lt;="&amp;N$9,операции!$AB:$AB,"",операции!$P:$P,$F161)/N206)</f>
        <v>42267.158132668294</v>
      </c>
      <c r="O207" s="196"/>
      <c r="P207" s="193">
        <f>IF(P206=0,0,SUMIFS(операции!$AF:$AF,операции!$X:$X,"&gt;="&amp;N$8,операции!$X:$X,"&lt;="&amp;N$9,операции!$AB:$AB,"",операции!$L:$L,P$9,операции!$P:$P,$F161)/P206)</f>
        <v>42146.944783138824</v>
      </c>
      <c r="Q207" s="237">
        <f>IF(Q206=0,0,SUMIFS(операции!$AF:$AF,операции!$X:$X,"&gt;="&amp;N$8,операции!$X:$X,"&lt;="&amp;N$9,операции!$AB:$AB,"",операции!$L:$L,Q$9,операции!$P:$P,$F161)/Q206)</f>
        <v>42305</v>
      </c>
      <c r="R207" s="238"/>
      <c r="S207" s="193">
        <f>IF(S206=0,0,SUMIFS(операции!$AF:$AF,операции!$X:$X,"&gt;="&amp;S$8,операции!$X:$X,"&lt;="&amp;S$9,операции!$AB:$AB,"",операции!$P:$P,$F161)/S206)</f>
        <v>42291.789435549515</v>
      </c>
      <c r="T207" s="196"/>
      <c r="U207" s="193">
        <f>IF(U206=0,0,SUMIFS(операции!$AF:$AF,операции!$X:$X,"&gt;="&amp;S$8,операции!$X:$X,"&lt;="&amp;S$9,операции!$AB:$AB,"",операции!$L:$L,U$9,операции!$P:$P,$F161)/U206)</f>
        <v>42274.412659970891</v>
      </c>
      <c r="V207" s="237">
        <f>IF(V206=0,0,SUMIFS(операции!$AF:$AF,операции!$X:$X,"&gt;="&amp;S$8,операции!$X:$X,"&lt;="&amp;S$9,операции!$AB:$AB,"",операции!$L:$L,V$9,операции!$P:$P,$F161)/V206)</f>
        <v>42315.210369566827</v>
      </c>
      <c r="W207" s="238"/>
      <c r="X207" s="193">
        <f>IF(X206=0,0,SUMIFS(операции!$AF:$AF,операции!$X:$X,"&gt;="&amp;X$8,операции!$X:$X,"&lt;="&amp;X$9,операции!$AB:$AB,"",операции!$P:$P,$F161)/X206)</f>
        <v>0</v>
      </c>
      <c r="Y207" s="196"/>
      <c r="Z207" s="193">
        <f>IF(Z206=0,0,SUMIFS(операции!$AF:$AF,операции!$X:$X,"&gt;="&amp;X$8,операции!$X:$X,"&lt;="&amp;X$9,операции!$AB:$AB,"",операции!$L:$L,Z$9,операции!$P:$P,$F161)/Z206)</f>
        <v>0</v>
      </c>
      <c r="AA207" s="237">
        <f>IF(AA206=0,0,SUMIFS(операции!$AF:$AF,операции!$X:$X,"&gt;="&amp;X$8,операции!$X:$X,"&lt;="&amp;X$9,операции!$AB:$AB,"",операции!$L:$L,AA$9,операции!$P:$P,$F161)/AA206)</f>
        <v>0</v>
      </c>
      <c r="AB207" s="265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</row>
    <row r="208" spans="1:42" s="192" customFormat="1" ht="11.25">
      <c r="A208" s="37"/>
      <c r="B208" s="37"/>
      <c r="C208" s="37"/>
      <c r="D208" s="191"/>
      <c r="E208" s="191" t="s">
        <v>307</v>
      </c>
      <c r="F208" s="191" t="str">
        <f t="shared" si="244"/>
        <v>Домашнее хозяйство</v>
      </c>
      <c r="G208" s="191" t="s">
        <v>262</v>
      </c>
      <c r="H208" s="315"/>
      <c r="I208" s="316">
        <f>I$9</f>
        <v>42369</v>
      </c>
      <c r="J208" s="317"/>
      <c r="K208" s="316">
        <f>I$9</f>
        <v>42369</v>
      </c>
      <c r="L208" s="318">
        <f>I$9</f>
        <v>42369</v>
      </c>
      <c r="M208" s="274"/>
      <c r="N208" s="193">
        <f>N$9</f>
        <v>42308</v>
      </c>
      <c r="O208" s="196"/>
      <c r="P208" s="193">
        <f>N$9</f>
        <v>42308</v>
      </c>
      <c r="Q208" s="237">
        <f>N$9</f>
        <v>42308</v>
      </c>
      <c r="R208" s="238"/>
      <c r="S208" s="193">
        <f>S$9</f>
        <v>42338</v>
      </c>
      <c r="T208" s="196"/>
      <c r="U208" s="193">
        <f>S$9</f>
        <v>42338</v>
      </c>
      <c r="V208" s="237">
        <f>S$9</f>
        <v>42338</v>
      </c>
      <c r="W208" s="238"/>
      <c r="X208" s="193">
        <f>X$9</f>
        <v>42369</v>
      </c>
      <c r="Y208" s="196"/>
      <c r="Z208" s="193">
        <f>X$9</f>
        <v>42369</v>
      </c>
      <c r="AA208" s="237">
        <f>X$9</f>
        <v>42369</v>
      </c>
      <c r="AB208" s="265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</row>
    <row r="209" spans="1:42" s="5" customFormat="1">
      <c r="A209" s="1"/>
      <c r="B209" s="1"/>
      <c r="C209" s="1"/>
      <c r="D209" s="168"/>
      <c r="E209" s="168" t="s">
        <v>380</v>
      </c>
      <c r="F209" s="168" t="str">
        <f t="shared" si="244"/>
        <v>Домашнее хозяйство</v>
      </c>
      <c r="G209" s="168" t="s">
        <v>261</v>
      </c>
      <c r="H209" s="326"/>
      <c r="I209" s="327">
        <f>I204-I206</f>
        <v>5048.820000000007</v>
      </c>
      <c r="J209" s="313">
        <f>I209-K209-L209</f>
        <v>7.2759576141834259E-12</v>
      </c>
      <c r="K209" s="327">
        <f t="shared" ref="K209:L209" si="349">K204-K206</f>
        <v>1596.6699999999983</v>
      </c>
      <c r="L209" s="328">
        <f t="shared" si="349"/>
        <v>3452.1500000000015</v>
      </c>
      <c r="M209" s="277"/>
      <c r="N209" s="169">
        <f>N204-N206</f>
        <v>6332.4000000000015</v>
      </c>
      <c r="O209" s="170">
        <f>N209-P209-Q209</f>
        <v>0</v>
      </c>
      <c r="P209" s="169">
        <f t="shared" ref="P209:Q209" si="350">P204-P206</f>
        <v>630</v>
      </c>
      <c r="Q209" s="243">
        <f t="shared" si="350"/>
        <v>5702.4000000000015</v>
      </c>
      <c r="R209" s="244"/>
      <c r="S209" s="169">
        <f>S204-S206</f>
        <v>-1283.5800000000017</v>
      </c>
      <c r="T209" s="170">
        <f>S209-U209-V209</f>
        <v>0</v>
      </c>
      <c r="U209" s="169">
        <f t="shared" ref="U209:V209" si="351">U204-U206</f>
        <v>966.67000000000007</v>
      </c>
      <c r="V209" s="243">
        <f t="shared" si="351"/>
        <v>-2250.25</v>
      </c>
      <c r="W209" s="244"/>
      <c r="X209" s="169">
        <f>X204-X206</f>
        <v>0</v>
      </c>
      <c r="Y209" s="170">
        <f>X209-Z209-AA209</f>
        <v>0</v>
      </c>
      <c r="Z209" s="169">
        <f t="shared" ref="Z209:AA209" si="352">Z204-Z206</f>
        <v>0</v>
      </c>
      <c r="AA209" s="243">
        <f t="shared" si="352"/>
        <v>0</v>
      </c>
      <c r="AB209" s="266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s="211" customFormat="1">
      <c r="A210" s="210"/>
      <c r="B210" s="210"/>
      <c r="C210" s="210"/>
      <c r="D210" s="218"/>
      <c r="E210" s="218" t="s">
        <v>381</v>
      </c>
      <c r="F210" s="218" t="str">
        <f t="shared" si="244"/>
        <v>Домашнее хозяйство</v>
      </c>
      <c r="G210" s="218" t="s">
        <v>218</v>
      </c>
      <c r="H210" s="343"/>
      <c r="I210" s="344">
        <f>IF(I204=0,0,(I209/I204))</f>
        <v>9.5558247373900007E-2</v>
      </c>
      <c r="J210" s="345"/>
      <c r="K210" s="344">
        <f t="shared" ref="K210" si="353">IF(K204=0,0,(K209/K204))</f>
        <v>7.6013806236610248E-2</v>
      </c>
      <c r="L210" s="346">
        <f t="shared" ref="L210" si="354">IF(L204=0,0,(L209/L204))</f>
        <v>0.10845585925227777</v>
      </c>
      <c r="M210" s="280"/>
      <c r="N210" s="219">
        <f>IF(N204=0,0,(N209/N204))</f>
        <v>0.20891425555079018</v>
      </c>
      <c r="O210" s="220"/>
      <c r="P210" s="219">
        <f t="shared" ref="P210" si="355">IF(P204=0,0,(P209/P204))</f>
        <v>9.8885575262910058E-2</v>
      </c>
      <c r="Q210" s="252">
        <f t="shared" ref="Q210" si="356">IF(Q204=0,0,(Q209/Q204))</f>
        <v>0.23819548872180457</v>
      </c>
      <c r="R210" s="253"/>
      <c r="S210" s="219">
        <f>IF(S204=0,0,(S209/S204))</f>
        <v>-5.6987213638785374E-2</v>
      </c>
      <c r="T210" s="220"/>
      <c r="U210" s="219">
        <f t="shared" ref="U210" si="357">IF(U204=0,0,(U209/U204))</f>
        <v>6.6056443897772321E-2</v>
      </c>
      <c r="V210" s="252">
        <f t="shared" ref="V210" si="358">IF(V204=0,0,(V209/V204))</f>
        <v>-0.28520278833967044</v>
      </c>
      <c r="W210" s="253"/>
      <c r="X210" s="219">
        <f>IF(X204=0,0,(X209/X204))</f>
        <v>0</v>
      </c>
      <c r="Y210" s="220"/>
      <c r="Z210" s="219">
        <f t="shared" ref="Z210" si="359">IF(Z204=0,0,(Z209/Z204))</f>
        <v>0</v>
      </c>
      <c r="AA210" s="252">
        <f t="shared" ref="AA210" si="360">IF(AA204=0,0,(AA209/AA204))</f>
        <v>0</v>
      </c>
      <c r="AB210" s="267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</row>
    <row r="211" spans="1:42" s="5" customFormat="1">
      <c r="A211" s="1"/>
      <c r="B211" s="1"/>
      <c r="C211" s="1"/>
      <c r="D211" s="227"/>
      <c r="E211" s="227" t="s">
        <v>306</v>
      </c>
      <c r="F211" s="227" t="str">
        <f t="shared" si="244"/>
        <v>Домашнее хозяйство</v>
      </c>
      <c r="G211" s="227" t="s">
        <v>219</v>
      </c>
      <c r="H211" s="347"/>
      <c r="I211" s="348">
        <f>I205-I207</f>
        <v>34.732305687590269</v>
      </c>
      <c r="J211" s="321"/>
      <c r="K211" s="348">
        <f t="shared" ref="K211:L211" si="361">K205-K207</f>
        <v>81.224363958310278</v>
      </c>
      <c r="L211" s="349">
        <f t="shared" si="361"/>
        <v>3.0257379350659903</v>
      </c>
      <c r="M211" s="281"/>
      <c r="N211" s="228">
        <f>N205-N207</f>
        <v>39.800397238337609</v>
      </c>
      <c r="O211" s="173"/>
      <c r="P211" s="228">
        <f t="shared" ref="P211:Q211" si="362">P205-P207</f>
        <v>156.10026473434846</v>
      </c>
      <c r="Q211" s="254">
        <f t="shared" si="362"/>
        <v>3</v>
      </c>
      <c r="R211" s="255"/>
      <c r="S211" s="228">
        <f>S205-S207</f>
        <v>32.066451504295401</v>
      </c>
      <c r="T211" s="173"/>
      <c r="U211" s="228">
        <f t="shared" ref="U211:V211" si="363">U205-U207</f>
        <v>50.000350825881469</v>
      </c>
      <c r="V211" s="254">
        <f t="shared" si="363"/>
        <v>7.6121906359621789</v>
      </c>
      <c r="W211" s="255"/>
      <c r="X211" s="228">
        <f>X205-X207</f>
        <v>0</v>
      </c>
      <c r="Y211" s="173"/>
      <c r="Z211" s="228">
        <f t="shared" ref="Z211:AA211" si="364">Z205-Z207</f>
        <v>0</v>
      </c>
      <c r="AA211" s="254">
        <f t="shared" si="364"/>
        <v>0</v>
      </c>
      <c r="AB211" s="266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s="5" customFormat="1">
      <c r="A212" s="1"/>
      <c r="B212" s="1"/>
      <c r="C212" s="1"/>
      <c r="D212" s="227"/>
      <c r="E212" s="227" t="s">
        <v>382</v>
      </c>
      <c r="F212" s="227" t="str">
        <f t="shared" si="244"/>
        <v>Домашнее хозяйство</v>
      </c>
      <c r="G212" s="227" t="s">
        <v>219</v>
      </c>
      <c r="H212" s="347"/>
      <c r="I212" s="348">
        <f>I208-I207</f>
        <v>89.570291870993969</v>
      </c>
      <c r="J212" s="321"/>
      <c r="K212" s="348">
        <f t="shared" ref="K212:L212" si="365">K208-K207</f>
        <v>132.29244298711274</v>
      </c>
      <c r="L212" s="349">
        <f t="shared" si="365"/>
        <v>60.351531211847032</v>
      </c>
      <c r="M212" s="281"/>
      <c r="N212" s="228">
        <f>N208-N207</f>
        <v>40.841867331706453</v>
      </c>
      <c r="O212" s="173"/>
      <c r="P212" s="228">
        <f t="shared" ref="P212:Q212" si="366">P208-P207</f>
        <v>161.05521686117572</v>
      </c>
      <c r="Q212" s="254">
        <f t="shared" si="366"/>
        <v>3</v>
      </c>
      <c r="R212" s="255"/>
      <c r="S212" s="228">
        <f>S208-S207</f>
        <v>46.210564450484526</v>
      </c>
      <c r="T212" s="173"/>
      <c r="U212" s="228">
        <f t="shared" ref="U212:V212" si="367">U208-U207</f>
        <v>63.587340029109328</v>
      </c>
      <c r="V212" s="254">
        <f t="shared" si="367"/>
        <v>22.789630433173443</v>
      </c>
      <c r="W212" s="255"/>
      <c r="X212" s="228">
        <f>X208-X207</f>
        <v>42369</v>
      </c>
      <c r="Y212" s="173"/>
      <c r="Z212" s="228">
        <f t="shared" ref="Z212:AA212" si="368">Z208-Z207</f>
        <v>42369</v>
      </c>
      <c r="AA212" s="254">
        <f t="shared" si="368"/>
        <v>42369</v>
      </c>
      <c r="AB212" s="266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s="5" customFormat="1">
      <c r="A213" s="1"/>
      <c r="B213" s="1"/>
      <c r="C213" s="1"/>
      <c r="D213" s="225"/>
      <c r="E213" s="225" t="s">
        <v>383</v>
      </c>
      <c r="F213" s="225" t="str">
        <f t="shared" si="244"/>
        <v>Домашнее хозяйство</v>
      </c>
      <c r="G213" s="225" t="s">
        <v>219</v>
      </c>
      <c r="H213" s="350"/>
      <c r="I213" s="351">
        <f>I211-I212</f>
        <v>-54.8379861834037</v>
      </c>
      <c r="J213" s="352"/>
      <c r="K213" s="351">
        <f t="shared" ref="K213" si="369">K211-K212</f>
        <v>-51.068079028802458</v>
      </c>
      <c r="L213" s="353">
        <f t="shared" ref="L213" si="370">L211-L212</f>
        <v>-57.325793276781042</v>
      </c>
      <c r="M213" s="282"/>
      <c r="N213" s="226">
        <f>N211-N212</f>
        <v>-1.0414700933688437</v>
      </c>
      <c r="O213" s="181"/>
      <c r="P213" s="226">
        <f t="shared" ref="P213" si="371">P211-P212</f>
        <v>-4.9549521268272656</v>
      </c>
      <c r="Q213" s="256">
        <f t="shared" ref="Q213" si="372">Q211-Q212</f>
        <v>0</v>
      </c>
      <c r="R213" s="257"/>
      <c r="S213" s="226">
        <f>S211-S212</f>
        <v>-14.144112946189125</v>
      </c>
      <c r="T213" s="181"/>
      <c r="U213" s="226">
        <f t="shared" ref="U213" si="373">U211-U212</f>
        <v>-13.586989203227859</v>
      </c>
      <c r="V213" s="256">
        <f t="shared" ref="V213" si="374">V211-V212</f>
        <v>-15.177439797211264</v>
      </c>
      <c r="W213" s="257"/>
      <c r="X213" s="226">
        <f>X211-X212</f>
        <v>-42369</v>
      </c>
      <c r="Y213" s="181"/>
      <c r="Z213" s="226">
        <f t="shared" ref="Z213" si="375">Z211-Z212</f>
        <v>-42369</v>
      </c>
      <c r="AA213" s="256">
        <f t="shared" ref="AA213" si="376">AA211-AA212</f>
        <v>-42369</v>
      </c>
      <c r="AB213" s="266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s="5" customFormat="1">
      <c r="A214" s="1"/>
      <c r="B214" s="1"/>
      <c r="C214" s="1"/>
      <c r="D214" s="168" t="s">
        <v>312</v>
      </c>
      <c r="E214" s="168"/>
      <c r="F214" s="168" t="str">
        <f t="shared" si="244"/>
        <v>Домашнее хозяйство</v>
      </c>
      <c r="G214" s="168" t="s">
        <v>261</v>
      </c>
      <c r="H214" s="326"/>
      <c r="I214" s="327">
        <f>SUMIFS(операции!$AC:$AC,операции!$AB:$AB,"&gt;="&amp;I$8,операции!$AB:$AB,"&lt;="&amp;I$9,операции!$P:$P,$F161)</f>
        <v>207851.74999999997</v>
      </c>
      <c r="J214" s="313">
        <f>I214-K214-L214</f>
        <v>0</v>
      </c>
      <c r="K214" s="327">
        <f>SUMIFS(операции!$AC:$AC,операции!$AB:$AB,"&gt;="&amp;I$8,операции!$AB:$AB,"&lt;="&amp;I$9,операции!$L:$L,K$9,операции!$P:$P,$F161)</f>
        <v>72274.459999999977</v>
      </c>
      <c r="L214" s="328">
        <f>SUMIFS(операции!$AC:$AC,операции!$AB:$AB,"&gt;="&amp;I$8,операции!$AB:$AB,"&lt;="&amp;I$9,операции!$L:$L,L$9,операции!$P:$P,$F161)</f>
        <v>135577.28999999998</v>
      </c>
      <c r="M214" s="277"/>
      <c r="N214" s="169">
        <f>SUMIFS(операции!$AC:$AC,операции!$AB:$AB,"&gt;="&amp;N$8,операции!$AB:$AB,"&lt;="&amp;N$9,операции!$P:$P,$F161)</f>
        <v>41933.17</v>
      </c>
      <c r="O214" s="170">
        <f>N214-P214-Q214</f>
        <v>0</v>
      </c>
      <c r="P214" s="169">
        <f>SUMIFS(операции!$AC:$AC,операции!$AB:$AB,"&gt;="&amp;N$8,операции!$AB:$AB,"&lt;="&amp;N$9,операции!$L:$L,P$9,операции!$P:$P,$F161)</f>
        <v>41933.17</v>
      </c>
      <c r="Q214" s="243">
        <f>SUMIFS(операции!$AC:$AC,операции!$AB:$AB,"&gt;="&amp;N$8,операции!$AB:$AB,"&lt;="&amp;N$9,операции!$L:$L,Q$9,операции!$P:$P,$F161)</f>
        <v>0</v>
      </c>
      <c r="R214" s="244"/>
      <c r="S214" s="169">
        <f>SUMIFS(операции!$AC:$AC,операции!$AB:$AB,"&gt;="&amp;S$8,операции!$AB:$AB,"&lt;="&amp;S$9,операции!$P:$P,$F161)</f>
        <v>111293.17999999998</v>
      </c>
      <c r="T214" s="170">
        <f>S214-U214-V214</f>
        <v>0</v>
      </c>
      <c r="U214" s="169">
        <f>SUMIFS(операции!$AC:$AC,операции!$AB:$AB,"&gt;="&amp;S$8,операции!$AB:$AB,"&lt;="&amp;S$9,операции!$L:$L,U$9,операции!$P:$P,$F161)</f>
        <v>28674.829999999998</v>
      </c>
      <c r="V214" s="243">
        <f>SUMIFS(операции!$AC:$AC,операции!$AB:$AB,"&gt;="&amp;S$8,операции!$AB:$AB,"&lt;="&amp;S$9,операции!$L:$L,V$9,операции!$P:$P,$F161)</f>
        <v>82618.349999999991</v>
      </c>
      <c r="W214" s="244"/>
      <c r="X214" s="169">
        <f>SUMIFS(операции!$AC:$AC,операции!$AB:$AB,"&gt;="&amp;X$8,операции!$AB:$AB,"&lt;="&amp;X$9,операции!$P:$P,$F161)</f>
        <v>54625.4</v>
      </c>
      <c r="Y214" s="170">
        <f>X214-Z214-AA214</f>
        <v>0</v>
      </c>
      <c r="Z214" s="169">
        <f>SUMIFS(операции!$AC:$AC,операции!$AB:$AB,"&gt;="&amp;X$8,операции!$AB:$AB,"&lt;="&amp;X$9,операции!$L:$L,Z$9,операции!$P:$P,$F161)</f>
        <v>1666.46</v>
      </c>
      <c r="AA214" s="243">
        <f>SUMIFS(операции!$AC:$AC,операции!$AB:$AB,"&gt;="&amp;X$8,операции!$AB:$AB,"&lt;="&amp;X$9,операции!$L:$L,AA$9,операции!$P:$P,$F161)</f>
        <v>52958.94</v>
      </c>
      <c r="AB214" s="266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s="192" customFormat="1" ht="11.25">
      <c r="A215" s="37"/>
      <c r="B215" s="37"/>
      <c r="C215" s="37"/>
      <c r="D215" s="207" t="s">
        <v>255</v>
      </c>
      <c r="E215" s="207"/>
      <c r="F215" s="207" t="str">
        <f t="shared" si="244"/>
        <v>Домашнее хозяйство</v>
      </c>
      <c r="G215" s="207" t="s">
        <v>262</v>
      </c>
      <c r="H215" s="331"/>
      <c r="I215" s="337">
        <f>IF(I214=0,0,SUMIFS(операции!$AH:$AH,операции!$AB:$AB,"&gt;="&amp;I$8,операции!$AB:$AB,"&lt;="&amp;I$9,операции!$P:$P,$F161)/I214)</f>
        <v>42329.64336157863</v>
      </c>
      <c r="J215" s="333"/>
      <c r="K215" s="337">
        <f>IF(K214=0,0,SUMIFS(операции!$AH:$AH,операции!$AB:$AB,"&gt;="&amp;I$8,операции!$AB:$AB,"&lt;="&amp;I$9,операции!$L:$L,K$9,операции!$P:$P,$F161)/K214)</f>
        <v>42304.852489247241</v>
      </c>
      <c r="L215" s="338">
        <f>IF(L214=0,0,SUMIFS(операции!$AH:$AH,операции!$AB:$AB,"&gt;="&amp;I$8,операции!$AB:$AB,"&lt;="&amp;I$9,операции!$L:$L,L$9,операции!$P:$P,$F161)/L214)</f>
        <v>42342.859047706297</v>
      </c>
      <c r="M215" s="278"/>
      <c r="N215" s="217">
        <f>IF(N214=0,0,SUMIFS(операции!$AH:$AH,операции!$AB:$AB,"&gt;="&amp;N$8,операции!$AB:$AB,"&lt;="&amp;N$9,операции!$P:$P,$F161)/N214)</f>
        <v>42292.463931536775</v>
      </c>
      <c r="O215" s="208"/>
      <c r="P215" s="217">
        <f>IF(P214=0,0,SUMIFS(операции!$AH:$AH,операции!$AB:$AB,"&gt;="&amp;N$8,операции!$AB:$AB,"&lt;="&amp;N$9,операции!$L:$L,P$9,операции!$P:$P,$F161)/P214)</f>
        <v>42292.463931536775</v>
      </c>
      <c r="Q215" s="249">
        <f>IF(Q214=0,0,SUMIFS(операции!$AH:$AH,операции!$AB:$AB,"&gt;="&amp;N$8,операции!$AB:$AB,"&lt;="&amp;N$9,операции!$L:$L,Q$9,операции!$P:$P,$F161)/Q214)</f>
        <v>0</v>
      </c>
      <c r="R215" s="247"/>
      <c r="S215" s="217">
        <f>IF(S214=0,0,SUMIFS(операции!$AH:$AH,операции!$AB:$AB,"&gt;="&amp;S$8,операции!$AB:$AB,"&lt;="&amp;S$9,операции!$P:$P,$F161)/S214)</f>
        <v>42328.416926176433</v>
      </c>
      <c r="T215" s="208"/>
      <c r="U215" s="217">
        <f>IF(U214=0,0,SUMIFS(операции!$AH:$AH,операции!$AB:$AB,"&gt;="&amp;S$8,операции!$AB:$AB,"&lt;="&amp;S$9,операции!$L:$L,U$9,операции!$P:$P,$F161)/U214)</f>
        <v>42320.926501743859</v>
      </c>
      <c r="V215" s="249">
        <f>IF(V214=0,0,SUMIFS(операции!$AH:$AH,операции!$AB:$AB,"&gt;="&amp;S$8,операции!$AB:$AB,"&lt;="&amp;S$9,операции!$L:$L,V$9,операции!$P:$P,$F161)/V214)</f>
        <v>42331.01667123587</v>
      </c>
      <c r="W215" s="247"/>
      <c r="X215" s="217">
        <f>IF(X214=0,0,SUMIFS(операции!$AH:$AH,операции!$AB:$AB,"&gt;="&amp;X$8,операции!$AB:$AB,"&lt;="&amp;X$9,операции!$P:$P,$F161)/X214)</f>
        <v>42360.682864381764</v>
      </c>
      <c r="Y215" s="208"/>
      <c r="Z215" s="217">
        <f>IF(Z214=0,0,SUMIFS(операции!$AH:$AH,операции!$AB:$AB,"&gt;="&amp;X$8,операции!$AB:$AB,"&lt;="&amp;X$9,операции!$L:$L,Z$9,операции!$P:$P,$F161)/Z214)</f>
        <v>42340</v>
      </c>
      <c r="AA215" s="249">
        <f>IF(AA214=0,0,SUMIFS(операции!$AH:$AH,операции!$AB:$AB,"&gt;="&amp;X$8,операции!$AB:$AB,"&lt;="&amp;X$9,операции!$L:$L,AA$9,операции!$P:$P,$F161)/AA214)</f>
        <v>42361.333692479486</v>
      </c>
      <c r="AB215" s="265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</row>
    <row r="216" spans="1:42" s="111" customFormat="1" ht="11.25">
      <c r="A216" s="108"/>
      <c r="B216" s="108"/>
      <c r="C216" s="209" t="s">
        <v>279</v>
      </c>
      <c r="D216" s="109"/>
      <c r="E216" s="109"/>
      <c r="F216" s="109" t="str">
        <f t="shared" si="244"/>
        <v>Домашнее хозяйство</v>
      </c>
      <c r="G216" s="109"/>
      <c r="H216" s="307"/>
      <c r="I216" s="308">
        <f>I217-K217-L217+K216+L216</f>
        <v>0</v>
      </c>
      <c r="J216" s="309">
        <f>I161+I179-I186-I217</f>
        <v>0</v>
      </c>
      <c r="K216" s="308">
        <f>K161+K179-K186-K217</f>
        <v>0</v>
      </c>
      <c r="L216" s="336">
        <f>L161+L179-L186-L217</f>
        <v>0</v>
      </c>
      <c r="M216" s="272"/>
      <c r="N216" s="110">
        <f>N217-P217-Q217</f>
        <v>0</v>
      </c>
      <c r="O216" s="215">
        <f>N161+N179-N186-N217</f>
        <v>0</v>
      </c>
      <c r="P216" s="110">
        <f>P161+P179-P186-P217</f>
        <v>0</v>
      </c>
      <c r="Q216" s="248">
        <f>Q161+Q179-Q186-Q217</f>
        <v>0</v>
      </c>
      <c r="R216" s="234"/>
      <c r="S216" s="110">
        <f>S217-U217-V217</f>
        <v>0</v>
      </c>
      <c r="T216" s="215">
        <f>S161+S179-S186-S217</f>
        <v>0</v>
      </c>
      <c r="U216" s="110">
        <f>U161+U179-U186-U217</f>
        <v>0</v>
      </c>
      <c r="V216" s="248">
        <f>V161+V179-V186-V217</f>
        <v>0</v>
      </c>
      <c r="W216" s="234"/>
      <c r="X216" s="110">
        <f>X217-Z217-AA217</f>
        <v>0</v>
      </c>
      <c r="Y216" s="215">
        <f>X161+X179-X186-X217</f>
        <v>0</v>
      </c>
      <c r="Z216" s="110">
        <f>Z161+Z179-Z186-Z217</f>
        <v>0</v>
      </c>
      <c r="AA216" s="248">
        <f>AA161+AA179-AA186-AA217</f>
        <v>0</v>
      </c>
      <c r="AB216" s="263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</row>
    <row r="217" spans="1:42" s="93" customFormat="1" ht="15">
      <c r="A217" s="92"/>
      <c r="B217" s="92"/>
      <c r="C217" s="214"/>
      <c r="D217" s="151" t="s">
        <v>238</v>
      </c>
      <c r="E217" s="151"/>
      <c r="F217" s="151" t="str">
        <f t="shared" si="244"/>
        <v>Домашнее хозяйство</v>
      </c>
      <c r="G217" s="151" t="s">
        <v>261</v>
      </c>
      <c r="H217" s="311"/>
      <c r="I217" s="312">
        <f>SUMIFS(операции!$V:$V,операции!$T:$T,"&lt;="&amp;I$9,операции!$X:$X,"",операции!$P:$P,$F161)+SUMIFS(операции!$V:$V,операции!$T:$T,"&lt;="&amp;I$9,операции!$X:$X,"&gt;"&amp;I$9,операции!$P:$P,$F161)</f>
        <v>78282.459999999992</v>
      </c>
      <c r="J217" s="313">
        <f>I217-I222-I228</f>
        <v>0</v>
      </c>
      <c r="K217" s="312">
        <f>SUMIFS(операции!$V:$V,операции!$T:$T,"&lt;="&amp;I$9,операции!$X:$X,"",операции!$L:$L,K$9,операции!$P:$P,$F161)+SUMIFS(операции!$V:$V,операции!$T:$T,"&lt;="&amp;I$9,операции!$X:$X,"&gt;"&amp;I$9,операции!$L:$L,K$9,операции!$P:$P,$F161)</f>
        <v>43056.859999999993</v>
      </c>
      <c r="L217" s="314">
        <f>SUMIFS(операции!$V:$V,операции!$T:$T,"&lt;="&amp;I$9,операции!$X:$X,"",операции!$L:$L,L$9,операции!$P:$P,$F161)+SUMIFS(операции!$V:$V,операции!$T:$T,"&lt;="&amp;I$9,операции!$X:$X,"&gt;"&amp;I$9,операции!$L:$L,L$9,операции!$P:$P,$F161)</f>
        <v>35225.599999999999</v>
      </c>
      <c r="M217" s="273"/>
      <c r="N217" s="152">
        <f>SUMIFS(операции!$V:$V,операции!$T:$T,"&lt;="&amp;N$9,операции!$X:$X,"",операции!$P:$P,$F161)+SUMIFS(операции!$V:$V,операции!$T:$T,"&lt;="&amp;N$9,операции!$X:$X,"&gt;"&amp;N$9,операции!$P:$P,$F161)</f>
        <v>161847.23999999996</v>
      </c>
      <c r="O217" s="170">
        <f>N217-N222-N228</f>
        <v>0</v>
      </c>
      <c r="P217" s="152">
        <f>SUMIFS(операции!$V:$V,операции!$T:$T,"&lt;="&amp;N$9,операции!$X:$X,"",операции!$L:$L,P$9,операции!$P:$P,$F161)+SUMIFS(операции!$V:$V,операции!$T:$T,"&lt;="&amp;N$9,операции!$X:$X,"&gt;"&amp;N$9,операции!$L:$L,P$9,операции!$P:$P,$F161)</f>
        <v>106347.63999999998</v>
      </c>
      <c r="Q217" s="235">
        <f>SUMIFS(операции!$V:$V,операции!$T:$T,"&lt;="&amp;N$9,операции!$X:$X,"",операции!$L:$L,Q$9,операции!$P:$P,$F161)+SUMIFS(операции!$V:$V,операции!$T:$T,"&lt;="&amp;N$9,операции!$X:$X,"&gt;"&amp;N$9,операции!$L:$L,Q$9,операции!$P:$P,$F161)</f>
        <v>55499.6</v>
      </c>
      <c r="R217" s="236"/>
      <c r="S217" s="152">
        <f>SUMIFS(операции!$V:$V,операции!$T:$T,"&lt;="&amp;S$9,операции!$X:$X,"",операции!$P:$P,$F161)+SUMIFS(операции!$V:$V,операции!$T:$T,"&lt;="&amp;S$9,операции!$X:$X,"&gt;"&amp;S$9,операции!$P:$P,$F161)</f>
        <v>68372.479999999996</v>
      </c>
      <c r="T217" s="170">
        <f>S217-S222-S228</f>
        <v>0</v>
      </c>
      <c r="U217" s="152">
        <f>SUMIFS(операции!$V:$V,операции!$T:$T,"&lt;="&amp;S$9,операции!$X:$X,"",операции!$L:$L,U$9,операции!$P:$P,$F161)+SUMIFS(операции!$V:$V,операции!$T:$T,"&lt;="&amp;S$9,операции!$X:$X,"&gt;"&amp;S$9,операции!$L:$L,U$9,операции!$P:$P,$F161)</f>
        <v>49719.739999999991</v>
      </c>
      <c r="V217" s="235">
        <f>SUMIFS(операции!$V:$V,операции!$T:$T,"&lt;="&amp;S$9,операции!$X:$X,"",операции!$L:$L,V$9,операции!$P:$P,$F161)+SUMIFS(операции!$V:$V,операции!$T:$T,"&lt;="&amp;S$9,операции!$X:$X,"&gt;"&amp;S$9,операции!$L:$L,V$9,операции!$P:$P,$F161)</f>
        <v>18652.739999999998</v>
      </c>
      <c r="W217" s="236"/>
      <c r="X217" s="152">
        <f>SUMIFS(операции!$V:$V,операции!$T:$T,"&lt;="&amp;X$9,операции!$X:$X,"",операции!$P:$P,$F161)+SUMIFS(операции!$V:$V,операции!$T:$T,"&lt;="&amp;X$9,операции!$X:$X,"&gt;"&amp;X$9,операции!$P:$P,$F161)</f>
        <v>78282.459999999992</v>
      </c>
      <c r="Y217" s="170">
        <f>X217-X222-X228</f>
        <v>0</v>
      </c>
      <c r="Z217" s="152">
        <f>SUMIFS(операции!$V:$V,операции!$T:$T,"&lt;="&amp;X$9,операции!$X:$X,"",операции!$L:$L,Z$9,операции!$P:$P,$F161)+SUMIFS(операции!$V:$V,операции!$T:$T,"&lt;="&amp;X$9,операции!$X:$X,"&gt;"&amp;X$9,операции!$L:$L,Z$9,операции!$P:$P,$F161)</f>
        <v>43056.859999999993</v>
      </c>
      <c r="AA217" s="235">
        <f>SUMIFS(операции!$V:$V,операции!$T:$T,"&lt;="&amp;X$9,операции!$X:$X,"",операции!$L:$L,AA$9,операции!$P:$P,$F161)+SUMIFS(операции!$V:$V,операции!$T:$T,"&lt;="&amp;X$9,операции!$X:$X,"&gt;"&amp;X$9,операции!$L:$L,AA$9,операции!$P:$P,$F161)</f>
        <v>35225.599999999999</v>
      </c>
      <c r="AB217" s="264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</row>
    <row r="218" spans="1:42" s="192" customFormat="1" ht="11.25">
      <c r="A218" s="37"/>
      <c r="B218" s="37"/>
      <c r="C218" s="37"/>
      <c r="D218" s="191" t="s">
        <v>255</v>
      </c>
      <c r="E218" s="191"/>
      <c r="F218" s="191" t="str">
        <f t="shared" si="244"/>
        <v>Домашнее хозяйство</v>
      </c>
      <c r="G218" s="191" t="s">
        <v>262</v>
      </c>
      <c r="H218" s="315"/>
      <c r="I218" s="316">
        <f>IF(I217=0,0,(SUMIFS(операции!$AF:$AF,операции!$T:$T,"&lt;="&amp;I$9,операции!$X:$X,"",операции!$P:$P,$F161)+SUMIFS(операции!$AF:$AF,операции!$T:$T,"&lt;="&amp;I$9,операции!$X:$X,"&gt;"&amp;I$9,операции!$P:$P,$F161))/I217)</f>
        <v>42299.884139563321</v>
      </c>
      <c r="J218" s="317"/>
      <c r="K218" s="316">
        <f>IF(K217=0,0,(SUMIFS(операции!$AF:$AF,операции!$T:$T,"&lt;="&amp;I$9,операции!$X:$X,"",операции!$L:$L,K$9,операции!$P:$P,$F161)+SUMIFS(операции!$AF:$AF,операции!$T:$T,"&lt;="&amp;I$9,операции!$X:$X,"&gt;"&amp;I$9,операции!$L:$L,K$9,операции!$P:$P,$F161))/K217)</f>
        <v>42248.222451892696</v>
      </c>
      <c r="L218" s="318">
        <f>IF(L217=0,0,(SUMIFS(операции!$AF:$AF,операции!$T:$T,"&lt;="&amp;I$9,операции!$X:$X,"",операции!$L:$L,L$9,операции!$P:$P,$F161)+SUMIFS(операции!$AF:$AF,операции!$T:$T,"&lt;="&amp;I$9,операции!$X:$X,"&gt;"&amp;I$9,операции!$L:$L,L$9,операции!$P:$P,$F161))/L217)</f>
        <v>42363.031113735466</v>
      </c>
      <c r="M218" s="274"/>
      <c r="N218" s="193">
        <f>IF(N217=0,0,(SUMIFS(операции!$AF:$AF,операции!$T:$T,"&lt;="&amp;N$9,операции!$X:$X,"",операции!$P:$P,$F161)+SUMIFS(операции!$AF:$AF,операции!$T:$T,"&lt;="&amp;N$9,операции!$X:$X,"&gt;"&amp;N$9,операции!$P:$P,$F161))/N217)</f>
        <v>42271.683056010123</v>
      </c>
      <c r="O218" s="196"/>
      <c r="P218" s="193">
        <f>IF(P217=0,0,(SUMIFS(операции!$AF:$AF,операции!$T:$T,"&lt;="&amp;N$9,операции!$X:$X,"",операции!$L:$L,P$9,операции!$P:$P,$F161)+SUMIFS(операции!$AF:$AF,операции!$T:$T,"&lt;="&amp;N$9,операции!$X:$X,"&gt;"&amp;N$9,операции!$L:$L,P$9,операции!$P:$P,$F161))/P217)</f>
        <v>42254.043739663626</v>
      </c>
      <c r="Q218" s="237">
        <f>IF(Q217=0,0,(SUMIFS(операции!$AF:$AF,операции!$T:$T,"&lt;="&amp;N$9,операции!$X:$X,"",операции!$L:$L,Q$9,операции!$P:$P,$F161)+SUMIFS(операции!$AF:$AF,операции!$T:$T,"&lt;="&amp;N$9,операции!$X:$X,"&gt;"&amp;N$9,операции!$L:$L,Q$9,операции!$P:$P,$F161))/Q217)</f>
        <v>42305.483293573285</v>
      </c>
      <c r="R218" s="238"/>
      <c r="S218" s="193">
        <f>IF(S217=0,0,(SUMIFS(операции!$AF:$AF,операции!$T:$T,"&lt;="&amp;S$9,операции!$X:$X,"",операции!$P:$P,$F161)+SUMIFS(операции!$AF:$AF,операции!$T:$T,"&lt;="&amp;S$9,операции!$X:$X,"&gt;"&amp;S$9,операции!$P:$P,$F161))/S217)</f>
        <v>42272.498798639455</v>
      </c>
      <c r="T218" s="196"/>
      <c r="U218" s="193">
        <f>IF(U217=0,0,(SUMIFS(операции!$AF:$AF,операции!$T:$T,"&lt;="&amp;S$9,операции!$X:$X,"",операции!$L:$L,U$9,операции!$P:$P,$F161)+SUMIFS(операции!$AF:$AF,операции!$T:$T,"&lt;="&amp;S$9,операции!$X:$X,"&gt;"&amp;S$9,операции!$L:$L,U$9,операции!$P:$P,$F161))/U217)</f>
        <v>42249.815291069513</v>
      </c>
      <c r="V218" s="237">
        <f>IF(V217=0,0,(SUMIFS(операции!$AF:$AF,операции!$T:$T,"&lt;="&amp;S$9,операции!$X:$X,"",операции!$L:$L,V$9,операции!$P:$P,$F161)+SUMIFS(операции!$AF:$AF,операции!$T:$T,"&lt;="&amp;S$9,операции!$X:$X,"&gt;"&amp;S$9,операции!$L:$L,V$9,операции!$P:$P,$F161))/V217)</f>
        <v>42332.962735769659</v>
      </c>
      <c r="W218" s="238"/>
      <c r="X218" s="193">
        <f>IF(X217=0,0,(SUMIFS(операции!$AF:$AF,операции!$T:$T,"&lt;="&amp;X$9,операции!$X:$X,"",операции!$P:$P,$F161)+SUMIFS(операции!$AF:$AF,операции!$T:$T,"&lt;="&amp;X$9,операции!$X:$X,"&gt;"&amp;X$9,операции!$P:$P,$F161))/X217)</f>
        <v>42299.884139563321</v>
      </c>
      <c r="Y218" s="196"/>
      <c r="Z218" s="193">
        <f>IF(Z217=0,0,(SUMIFS(операции!$AF:$AF,операции!$T:$T,"&lt;="&amp;X$9,операции!$X:$X,"",операции!$L:$L,Z$9,операции!$P:$P,$F161)+SUMIFS(операции!$AF:$AF,операции!$T:$T,"&lt;="&amp;X$9,операции!$X:$X,"&gt;"&amp;X$9,операции!$L:$L,Z$9,операции!$P:$P,$F161))/Z217)</f>
        <v>42248.222451892696</v>
      </c>
      <c r="AA218" s="237">
        <f>IF(AA217=0,0,(SUMIFS(операции!$AF:$AF,операции!$T:$T,"&lt;="&amp;X$9,операции!$X:$X,"",операции!$L:$L,AA$9,операции!$P:$P,$F161)+SUMIFS(операции!$AF:$AF,операции!$T:$T,"&lt;="&amp;X$9,операции!$X:$X,"&gt;"&amp;X$9,операции!$L:$L,AA$9,операции!$P:$P,$F161))/AA217)</f>
        <v>42363.031113735466</v>
      </c>
      <c r="AB218" s="265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</row>
    <row r="219" spans="1:42" s="50" customFormat="1" ht="11.25">
      <c r="A219" s="48"/>
      <c r="B219" s="48"/>
      <c r="C219" s="48"/>
      <c r="D219" s="154" t="s">
        <v>239</v>
      </c>
      <c r="E219" s="154"/>
      <c r="F219" s="154" t="str">
        <f t="shared" si="244"/>
        <v>Домашнее хозяйство</v>
      </c>
      <c r="G219" s="154" t="s">
        <v>219</v>
      </c>
      <c r="H219" s="319"/>
      <c r="I219" s="320">
        <f>IF(I217=0,0,I$9-I218)</f>
        <v>69.115860436679213</v>
      </c>
      <c r="J219" s="321">
        <f>I219-SUMIFS(ПОбТЗ!$I:$I,ПОбТЗ!$E:$E,$D219,ПОбТЗ!$F:$F,$F219)</f>
        <v>0</v>
      </c>
      <c r="K219" s="320">
        <f>IF(K217=0,0,I$9-K218)</f>
        <v>120.77754810730403</v>
      </c>
      <c r="L219" s="322">
        <f>IF(L217=0,0,I$9-L218)</f>
        <v>5.9688862645343761</v>
      </c>
      <c r="M219" s="275"/>
      <c r="N219" s="155">
        <f>IF(N217=0,0,N$9-N218)</f>
        <v>36.316943989877473</v>
      </c>
      <c r="O219" s="173">
        <f>N219-SUMIFS(ПОбТЗ_2!$J:$J,ПОбТЗ_2!$D:$D,$D219,ПОбТЗ_2!$E:$E,$F219)</f>
        <v>0</v>
      </c>
      <c r="P219" s="155">
        <f>IF(P217=0,0,N$9-P218)</f>
        <v>53.956260336373816</v>
      </c>
      <c r="Q219" s="239">
        <f>IF(Q217=0,0,N$9-Q218)</f>
        <v>2.5167064267152455</v>
      </c>
      <c r="R219" s="240"/>
      <c r="S219" s="155">
        <f>IF(S217=0,0,S$9-S218)</f>
        <v>65.501201360544655</v>
      </c>
      <c r="T219" s="173">
        <f>S219-SUMIFS(ПОбТЗ_2!$K:$K,ПОбТЗ_2!$D:$D,$D219,ПОбТЗ_2!$E:$E,$F219)</f>
        <v>0</v>
      </c>
      <c r="U219" s="155">
        <f>IF(U217=0,0,S$9-U218)</f>
        <v>88.184708930486522</v>
      </c>
      <c r="V219" s="239">
        <f>IF(V217=0,0,S$9-V218)</f>
        <v>5.0372642303409521</v>
      </c>
      <c r="W219" s="240"/>
      <c r="X219" s="155">
        <f>IF(X217=0,0,X$9-X218)</f>
        <v>69.115860436679213</v>
      </c>
      <c r="Y219" s="173">
        <f>X219-SUMIFS(ПОбТЗ_2!$L:$L,ПОбТЗ_2!$D:$D,$D219,ПОбТЗ_2!$E:$E,$F219)</f>
        <v>0</v>
      </c>
      <c r="Z219" s="155">
        <f>IF(Z217=0,0,X$9-Z218)</f>
        <v>120.77754810730403</v>
      </c>
      <c r="AA219" s="239">
        <f>IF(AA217=0,0,X$9-AA218)</f>
        <v>5.9688862645343761</v>
      </c>
      <c r="AB219" s="230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</row>
    <row r="220" spans="1:42" s="93" customFormat="1" ht="15">
      <c r="A220" s="92"/>
      <c r="B220" s="92"/>
      <c r="C220" s="92"/>
      <c r="D220" s="198" t="s">
        <v>280</v>
      </c>
      <c r="E220" s="198"/>
      <c r="F220" s="198" t="str">
        <f t="shared" si="244"/>
        <v>Домашнее хозяйство</v>
      </c>
      <c r="G220" s="198" t="s">
        <v>219</v>
      </c>
      <c r="H220" s="323"/>
      <c r="I220" s="324">
        <f>IF(I217=0,0,(I222*I226+I228*I232)/I217)</f>
        <v>24.006956986277981</v>
      </c>
      <c r="J220" s="321"/>
      <c r="K220" s="324">
        <f>IF(K217=0,0,(K222*K226+K228*K232)/K217)</f>
        <v>39.931654328707381</v>
      </c>
      <c r="L220" s="325">
        <f>IF(L217=0,0,(L222*L226+L228*L232)/L217)</f>
        <v>4.5419240552298907</v>
      </c>
      <c r="M220" s="276"/>
      <c r="N220" s="199">
        <f>IF(N217=0,0,(N222*N226+N228*N232)/N217)</f>
        <v>18.207027194280581</v>
      </c>
      <c r="O220" s="173"/>
      <c r="P220" s="199">
        <f>IF(P217=0,0,(P222*P226+P228*P232)/P217)</f>
        <v>26.395328565826173</v>
      </c>
      <c r="Q220" s="241">
        <f>IF(Q217=0,0,(Q222*Q226+Q228*Q232)/Q217)</f>
        <v>2.516706426715245</v>
      </c>
      <c r="R220" s="242"/>
      <c r="S220" s="199">
        <f>IF(S217=0,0,(S222*S226+S228*S232)/S217)</f>
        <v>27.59665394614338</v>
      </c>
      <c r="T220" s="173"/>
      <c r="U220" s="199">
        <f>IF(U217=0,0,(U222*U226+U228*U232)/U217)</f>
        <v>36.059981206652978</v>
      </c>
      <c r="V220" s="241">
        <f>IF(V217=0,0,(V222*V226+V228*V232)/V217)</f>
        <v>5.0372642303409521</v>
      </c>
      <c r="W220" s="242"/>
      <c r="X220" s="199">
        <f>IF(X217=0,0,(X222*X226+X228*X232)/X217)</f>
        <v>24.006956986277981</v>
      </c>
      <c r="Y220" s="173"/>
      <c r="Z220" s="199">
        <f>IF(Z217=0,0,(Z222*Z226+Z228*Z232)/Z217)</f>
        <v>39.931654328707381</v>
      </c>
      <c r="AA220" s="241">
        <f>IF(AA217=0,0,(AA222*AA226+AA228*AA232)/AA217)</f>
        <v>4.5419240552298907</v>
      </c>
      <c r="AB220" s="264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</row>
    <row r="221" spans="1:42" s="50" customFormat="1" ht="11.25">
      <c r="A221" s="48"/>
      <c r="B221" s="48"/>
      <c r="C221" s="48"/>
      <c r="D221" s="154" t="s">
        <v>281</v>
      </c>
      <c r="E221" s="154"/>
      <c r="F221" s="154" t="str">
        <f t="shared" si="244"/>
        <v>Домашнее хозяйство</v>
      </c>
      <c r="G221" s="154" t="s">
        <v>219</v>
      </c>
      <c r="H221" s="319"/>
      <c r="I221" s="320">
        <f>I219-I220</f>
        <v>45.108903450401229</v>
      </c>
      <c r="J221" s="321"/>
      <c r="K221" s="320">
        <f>K219-K220</f>
        <v>80.845893778596647</v>
      </c>
      <c r="L221" s="322">
        <f>L219-L220</f>
        <v>1.4269622093044854</v>
      </c>
      <c r="M221" s="275"/>
      <c r="N221" s="155">
        <f>N219-N220</f>
        <v>18.109916795596892</v>
      </c>
      <c r="O221" s="173"/>
      <c r="P221" s="155">
        <f>P219-P220</f>
        <v>27.560931770547644</v>
      </c>
      <c r="Q221" s="239">
        <f>Q219-Q220</f>
        <v>0</v>
      </c>
      <c r="R221" s="240"/>
      <c r="S221" s="155">
        <f>S219-S220</f>
        <v>37.904547414401279</v>
      </c>
      <c r="T221" s="173"/>
      <c r="U221" s="155">
        <f>U219-U220</f>
        <v>52.124727723833544</v>
      </c>
      <c r="V221" s="239">
        <f>V219-V220</f>
        <v>0</v>
      </c>
      <c r="W221" s="240"/>
      <c r="X221" s="155">
        <f>X219-X220</f>
        <v>45.108903450401229</v>
      </c>
      <c r="Y221" s="173"/>
      <c r="Z221" s="155">
        <f>Z219-Z220</f>
        <v>80.845893778596647</v>
      </c>
      <c r="AA221" s="239">
        <f>AA219-AA220</f>
        <v>1.4269622093044854</v>
      </c>
      <c r="AB221" s="230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</row>
    <row r="222" spans="1:42" s="5" customFormat="1">
      <c r="A222" s="1"/>
      <c r="B222" s="1"/>
      <c r="C222" s="1"/>
      <c r="D222" s="168"/>
      <c r="E222" s="168" t="s">
        <v>282</v>
      </c>
      <c r="F222" s="168" t="str">
        <f t="shared" si="244"/>
        <v>Домашнее хозяйство</v>
      </c>
      <c r="G222" s="168" t="s">
        <v>261</v>
      </c>
      <c r="H222" s="326"/>
      <c r="I222" s="327">
        <f>SUMIFS(операции!$V:$V,операции!$T:$T,"&lt;="&amp;I$9,операции!$X:$X,"",операции!$AB:$AB,"&lt;&gt;"&amp;"",операции!$AB:$AB,"&lt;="&amp;I$9,операции!$P:$P,$F161)+SUMIFS(операции!$V:$V,операции!$T:$T,"&lt;="&amp;I$9,операции!$X:$X,"&gt;"&amp;I$9,операции!$AB:$AB,"&lt;&gt;"&amp;"",операции!$AB:$AB,"&lt;="&amp;I$9,операции!$P:$P,$F161)</f>
        <v>45802.9</v>
      </c>
      <c r="J222" s="313">
        <f>I222-K222-L222</f>
        <v>0</v>
      </c>
      <c r="K222" s="327">
        <f>SUMIFS(операции!$V:$V,операции!$T:$T,"&lt;="&amp;I$9,операции!$X:$X,"",операции!$AB:$AB,"&lt;&gt;"&amp;"",операции!$AB:$AB,"&lt;="&amp;I$9,операции!$L:$L,K$9,операции!$P:$P,$F161)+SUMIFS(операции!$V:$V,операции!$T:$T,"&lt;="&amp;I$9,операции!$X:$X,"&gt;"&amp;I$9,операции!$AB:$AB,"&lt;&gt;"&amp;"",операции!$AB:$AB,"&lt;="&amp;I$9,операции!$L:$L,K$9,операции!$P:$P,$F161)</f>
        <v>38622.1</v>
      </c>
      <c r="L222" s="328">
        <f>SUMIFS(операции!$V:$V,операции!$T:$T,"&lt;="&amp;I$9,операции!$X:$X,"",операции!$AB:$AB,"&lt;&gt;"&amp;"",операции!$AB:$AB,"&lt;="&amp;I$9,операции!$L:$L,L$9,операции!$P:$P,$F161)+SUMIFS(операции!$V:$V,операции!$T:$T,"&lt;="&amp;I$9,операции!$X:$X,"&gt;"&amp;I$9,операции!$AB:$AB,"&lt;&gt;"&amp;"",операции!$AB:$AB,"&lt;="&amp;I$9,операции!$L:$L,L$9,операции!$P:$P,$F161)</f>
        <v>7180.8</v>
      </c>
      <c r="M222" s="277"/>
      <c r="N222" s="169">
        <f>SUMIFS(операции!$V:$V,операции!$T:$T,"&lt;="&amp;N$9,операции!$X:$X,"",операции!$AB:$AB,"&lt;&gt;"&amp;"",операции!$AB:$AB,"&lt;="&amp;N$9,операции!$P:$P,$F161)+SUMIFS(операции!$V:$V,операции!$T:$T,"&lt;="&amp;N$9,операции!$X:$X,"&gt;"&amp;N$9,операции!$AB:$AB,"&lt;&gt;"&amp;"",операции!$AB:$AB,"&lt;="&amp;N$9,операции!$P:$P,$F161)</f>
        <v>60813.26</v>
      </c>
      <c r="O222" s="170">
        <f>N222-P222-Q222</f>
        <v>0</v>
      </c>
      <c r="P222" s="169">
        <f>SUMIFS(операции!$V:$V,операции!$T:$T,"&lt;="&amp;N$9,операции!$X:$X,"",операции!$AB:$AB,"&lt;&gt;"&amp;"",операции!$AB:$AB,"&lt;="&amp;N$9,операции!$L:$L,P$9,операции!$P:$P,$F161)+SUMIFS(операции!$V:$V,операции!$T:$T,"&lt;="&amp;N$9,операции!$X:$X,"&gt;"&amp;N$9,операции!$AB:$AB,"&lt;&gt;"&amp;"",операции!$AB:$AB,"&lt;="&amp;N$9,операции!$L:$L,P$9,операции!$P:$P,$F161)</f>
        <v>60813.26</v>
      </c>
      <c r="Q222" s="243">
        <f>SUMIFS(операции!$V:$V,операции!$T:$T,"&lt;="&amp;N$9,операции!$X:$X,"",операции!$AB:$AB,"&lt;&gt;"&amp;"",операции!$AB:$AB,"&lt;="&amp;N$9,операции!$L:$L,Q$9,операции!$P:$P,$F161)+SUMIFS(операции!$V:$V,операции!$T:$T,"&lt;="&amp;N$9,операции!$X:$X,"&gt;"&amp;N$9,операции!$AB:$AB,"&lt;&gt;"&amp;"",операции!$AB:$AB,"&lt;="&amp;N$9,операции!$L:$L,Q$9,операции!$P:$P,$F161)</f>
        <v>0</v>
      </c>
      <c r="R222" s="244"/>
      <c r="S222" s="169">
        <f>SUMIFS(операции!$V:$V,операции!$T:$T,"&lt;="&amp;S$9,операции!$X:$X,"",операции!$AB:$AB,"&lt;&gt;"&amp;"",операции!$AB:$AB,"&lt;="&amp;S$9,операции!$P:$P,$F161)+SUMIFS(операции!$V:$V,операции!$T:$T,"&lt;="&amp;S$9,операции!$X:$X,"&gt;"&amp;S$9,операции!$AB:$AB,"&lt;&gt;"&amp;"",операции!$AB:$AB,"&lt;="&amp;S$9,операции!$P:$P,$F161)</f>
        <v>45284.979999999996</v>
      </c>
      <c r="T222" s="170">
        <f>S222-U222-V222</f>
        <v>0</v>
      </c>
      <c r="U222" s="169">
        <f>SUMIFS(операции!$V:$V,операции!$T:$T,"&lt;="&amp;S$9,операции!$X:$X,"",операции!$AB:$AB,"&lt;&gt;"&amp;"",операции!$AB:$AB,"&lt;="&amp;S$9,операции!$L:$L,U$9,операции!$P:$P,$F161)+SUMIFS(операции!$V:$V,операции!$T:$T,"&lt;="&amp;S$9,операции!$X:$X,"&gt;"&amp;S$9,операции!$AB:$AB,"&lt;&gt;"&amp;"",операции!$AB:$AB,"&lt;="&amp;S$9,операции!$L:$L,U$9,операции!$P:$P,$F161)</f>
        <v>45284.979999999996</v>
      </c>
      <c r="V222" s="243">
        <f>SUMIFS(операции!$V:$V,операции!$T:$T,"&lt;="&amp;S$9,операции!$X:$X,"",операции!$AB:$AB,"&lt;&gt;"&amp;"",операции!$AB:$AB,"&lt;="&amp;S$9,операции!$L:$L,V$9,операции!$P:$P,$F161)+SUMIFS(операции!$V:$V,операции!$T:$T,"&lt;="&amp;S$9,операции!$X:$X,"&gt;"&amp;S$9,операции!$AB:$AB,"&lt;&gt;"&amp;"",операции!$AB:$AB,"&lt;="&amp;S$9,операции!$L:$L,V$9,операции!$P:$P,$F161)</f>
        <v>0</v>
      </c>
      <c r="W222" s="244"/>
      <c r="X222" s="169">
        <f>SUMIFS(операции!$V:$V,операции!$T:$T,"&lt;="&amp;X$9,операции!$X:$X,"",операции!$AB:$AB,"&lt;&gt;"&amp;"",операции!$AB:$AB,"&lt;="&amp;X$9,операции!$P:$P,$F161)+SUMIFS(операции!$V:$V,операции!$T:$T,"&lt;="&amp;X$9,операции!$X:$X,"&gt;"&amp;X$9,операции!$AB:$AB,"&lt;&gt;"&amp;"",операции!$AB:$AB,"&lt;="&amp;X$9,операции!$P:$P,$F161)</f>
        <v>45802.9</v>
      </c>
      <c r="Y222" s="170">
        <f>X222-Z222-AA222</f>
        <v>0</v>
      </c>
      <c r="Z222" s="169">
        <f>SUMIFS(операции!$V:$V,операции!$T:$T,"&lt;="&amp;X$9,операции!$X:$X,"",операции!$AB:$AB,"&lt;&gt;"&amp;"",операции!$AB:$AB,"&lt;="&amp;X$9,операции!$L:$L,Z$9,операции!$P:$P,$F161)+SUMIFS(операции!$V:$V,операции!$T:$T,"&lt;="&amp;X$9,операции!$X:$X,"&gt;"&amp;X$9,операции!$AB:$AB,"&lt;&gt;"&amp;"",операции!$AB:$AB,"&lt;="&amp;X$9,операции!$L:$L,Z$9,операции!$P:$P,$F161)</f>
        <v>38622.1</v>
      </c>
      <c r="AA222" s="243">
        <f>SUMIFS(операции!$V:$V,операции!$T:$T,"&lt;="&amp;X$9,операции!$X:$X,"",операции!$AB:$AB,"&lt;&gt;"&amp;"",операции!$AB:$AB,"&lt;="&amp;X$9,операции!$L:$L,AA$9,операции!$P:$P,$F161)+SUMIFS(операции!$V:$V,операции!$T:$T,"&lt;="&amp;X$9,операции!$X:$X,"&gt;"&amp;X$9,операции!$AB:$AB,"&lt;&gt;"&amp;"",операции!$AB:$AB,"&lt;="&amp;X$9,операции!$L:$L,AA$9,операции!$P:$P,$F161)</f>
        <v>7180.8</v>
      </c>
      <c r="AB222" s="266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s="192" customFormat="1" ht="11.25">
      <c r="A223" s="37"/>
      <c r="B223" s="37"/>
      <c r="C223" s="37"/>
      <c r="D223" s="191"/>
      <c r="E223" s="191" t="s">
        <v>255</v>
      </c>
      <c r="F223" s="191" t="str">
        <f t="shared" si="244"/>
        <v>Домашнее хозяйство</v>
      </c>
      <c r="G223" s="191" t="s">
        <v>262</v>
      </c>
      <c r="H223" s="315"/>
      <c r="I223" s="316">
        <f>IF(I222=0,0,(SUMIFS(операции!$AF:$AF,операции!$T:$T,"&lt;="&amp;I$9,операции!$X:$X,"",операции!$AB:$AB,"&lt;&gt;"&amp;"",операции!$AB:$AB,"&lt;="&amp;I$9,операции!$P:$P,$F161)+SUMIFS(операции!$AF:$AF,операции!$T:$T,"&lt;="&amp;I$9,операции!$X:$X,"&gt;"&amp;I$9,операции!$AB:$AB,"&lt;&gt;"&amp;"",операции!$AB:$AB,"&lt;="&amp;I$9,операции!$P:$P,$F161))/I222)</f>
        <v>42266.89803833382</v>
      </c>
      <c r="J223" s="317"/>
      <c r="K223" s="316">
        <f>IF(K222=0,0,(SUMIFS(операции!$AF:$AF,операции!$T:$T,"&lt;="&amp;I$9,операции!$X:$X,"",операции!$AB:$AB,"&lt;&gt;"&amp;"",операции!$AB:$AB,"&lt;="&amp;I$9,операции!$L:$L,K$9,операции!$P:$P,$F161)+SUMIFS(операции!$AF:$AF,операции!$T:$T,"&lt;="&amp;I$9,операции!$X:$X,"&gt;"&amp;I$9,операции!$AB:$AB,"&lt;&gt;"&amp;"",операции!$AB:$AB,"&lt;="&amp;I$9,операции!$L:$L,K$9,операции!$P:$P,$F161))/K222)</f>
        <v>42251.075486832677</v>
      </c>
      <c r="L223" s="318">
        <f>IF(L222=0,0,(SUMIFS(операции!$AF:$AF,операции!$T:$T,"&lt;="&amp;I$9,операции!$X:$X,"",операции!$AB:$AB,"&lt;&gt;"&amp;"",операции!$AB:$AB,"&lt;="&amp;I$9,операции!$L:$L,L$9,операции!$P:$P,$F161)+SUMIFS(операции!$AF:$AF,операции!$T:$T,"&lt;="&amp;I$9,операции!$X:$X,"&gt;"&amp;I$9,операции!$AB:$AB,"&lt;&gt;"&amp;"",операции!$AB:$AB,"&lt;="&amp;I$9,операции!$L:$L,L$9,операции!$P:$P,$F161))/L222)</f>
        <v>42352</v>
      </c>
      <c r="M223" s="274"/>
      <c r="N223" s="193">
        <f>IF(N222=0,0,(SUMIFS(операции!$AF:$AF,операции!$T:$T,"&lt;="&amp;N$9,операции!$X:$X,"",операции!$AB:$AB,"&lt;&gt;"&amp;"",операции!$AB:$AB,"&lt;="&amp;N$9,операции!$P:$P,$F161)+SUMIFS(операции!$AF:$AF,операции!$T:$T,"&lt;="&amp;N$9,операции!$X:$X,"&gt;"&amp;N$9,операции!$AB:$AB,"&lt;&gt;"&amp;"",операции!$AB:$AB,"&lt;="&amp;N$9,операции!$P:$P,$F161))/N222)</f>
        <v>42235.341315200007</v>
      </c>
      <c r="O223" s="196"/>
      <c r="P223" s="193">
        <f>IF(P222=0,0,(SUMIFS(операции!$AF:$AF,операции!$T:$T,"&lt;="&amp;N$9,операции!$X:$X,"",операции!$AB:$AB,"&lt;&gt;"&amp;"",операции!$AB:$AB,"&lt;="&amp;N$9,операции!$L:$L,P$9,операции!$P:$P,$F161)+SUMIFS(операции!$AF:$AF,операции!$T:$T,"&lt;="&amp;N$9,операции!$X:$X,"&gt;"&amp;N$9,операции!$AB:$AB,"&lt;&gt;"&amp;"",операции!$AB:$AB,"&lt;="&amp;N$9,операции!$L:$L,P$9,операции!$P:$P,$F161))/P222)</f>
        <v>42235.341315200007</v>
      </c>
      <c r="Q223" s="237">
        <f>IF(Q222=0,0,(SUMIFS(операции!$AF:$AF,операции!$T:$T,"&lt;="&amp;N$9,операции!$X:$X,"",операции!$AB:$AB,"&lt;&gt;"&amp;"",операции!$AB:$AB,"&lt;="&amp;N$9,операции!$L:$L,Q$9,операции!$P:$P,$F161)+SUMIFS(операции!$AF:$AF,операции!$T:$T,"&lt;="&amp;N$9,операции!$X:$X,"&gt;"&amp;N$9,операции!$AB:$AB,"&lt;&gt;"&amp;"",операции!$AB:$AB,"&lt;="&amp;N$9,операции!$L:$L,Q$9,операции!$P:$P,$F161))/Q222)</f>
        <v>0</v>
      </c>
      <c r="R223" s="238"/>
      <c r="S223" s="193">
        <f>IF(S222=0,0,(SUMIFS(операции!$AF:$AF,операции!$T:$T,"&lt;="&amp;S$9,операции!$X:$X,"",операции!$AB:$AB,"&lt;&gt;"&amp;"",операции!$AB:$AB,"&lt;="&amp;S$9,операции!$P:$P,$F161)+SUMIFS(операции!$AF:$AF,операции!$T:$T,"&lt;="&amp;S$9,операции!$X:$X,"&gt;"&amp;S$9,операции!$AB:$AB,"&lt;&gt;"&amp;"",операции!$AB:$AB,"&lt;="&amp;S$9,операции!$P:$P,$F161))/S222)</f>
        <v>42252.404539430077</v>
      </c>
      <c r="T223" s="196"/>
      <c r="U223" s="193">
        <f>IF(U222=0,0,(SUMIFS(операции!$AF:$AF,операции!$T:$T,"&lt;="&amp;S$9,операции!$X:$X,"",операции!$AB:$AB,"&lt;&gt;"&amp;"",операции!$AB:$AB,"&lt;="&amp;S$9,операции!$L:$L,U$9,операции!$P:$P,$F161)+SUMIFS(операции!$AF:$AF,операции!$T:$T,"&lt;="&amp;S$9,операции!$X:$X,"&gt;"&amp;S$9,операции!$AB:$AB,"&lt;&gt;"&amp;"",операции!$AB:$AB,"&lt;="&amp;S$9,операции!$L:$L,U$9,операции!$P:$P,$F161))/U222)</f>
        <v>42252.404539430077</v>
      </c>
      <c r="V223" s="237">
        <f>IF(V222=0,0,(SUMIFS(операции!$AF:$AF,операции!$T:$T,"&lt;="&amp;S$9,операции!$X:$X,"",операции!$AB:$AB,"&lt;&gt;"&amp;"",операции!$AB:$AB,"&lt;="&amp;S$9,операции!$L:$L,V$9,операции!$P:$P,$F161)+SUMIFS(операции!$AF:$AF,операции!$T:$T,"&lt;="&amp;S$9,операции!$X:$X,"&gt;"&amp;S$9,операции!$AB:$AB,"&lt;&gt;"&amp;"",операции!$AB:$AB,"&lt;="&amp;S$9,операции!$L:$L,V$9,операции!$P:$P,$F161))/V222)</f>
        <v>0</v>
      </c>
      <c r="W223" s="238"/>
      <c r="X223" s="193">
        <f>IF(X222=0,0,(SUMIFS(операции!$AF:$AF,операции!$T:$T,"&lt;="&amp;X$9,операции!$X:$X,"",операции!$AB:$AB,"&lt;&gt;"&amp;"",операции!$AB:$AB,"&lt;="&amp;X$9,операции!$P:$P,$F161)+SUMIFS(операции!$AF:$AF,операции!$T:$T,"&lt;="&amp;X$9,операции!$X:$X,"&gt;"&amp;X$9,операции!$AB:$AB,"&lt;&gt;"&amp;"",операции!$AB:$AB,"&lt;="&amp;X$9,операции!$P:$P,$F161))/X222)</f>
        <v>42266.89803833382</v>
      </c>
      <c r="Y223" s="196"/>
      <c r="Z223" s="193">
        <f>IF(Z222=0,0,(SUMIFS(операции!$AF:$AF,операции!$T:$T,"&lt;="&amp;X$9,операции!$X:$X,"",операции!$AB:$AB,"&lt;&gt;"&amp;"",операции!$AB:$AB,"&lt;="&amp;X$9,операции!$L:$L,Z$9,операции!$P:$P,$F161)+SUMIFS(операции!$AF:$AF,операции!$T:$T,"&lt;="&amp;X$9,операции!$X:$X,"&gt;"&amp;X$9,операции!$AB:$AB,"&lt;&gt;"&amp;"",операции!$AB:$AB,"&lt;="&amp;X$9,операции!$L:$L,Z$9,операции!$P:$P,$F161))/Z222)</f>
        <v>42251.075486832677</v>
      </c>
      <c r="AA223" s="237">
        <f>IF(AA222=0,0,(SUMIFS(операции!$AF:$AF,операции!$T:$T,"&lt;="&amp;X$9,операции!$X:$X,"",операции!$AB:$AB,"&lt;&gt;"&amp;"",операции!$AB:$AB,"&lt;="&amp;X$9,операции!$L:$L,AA$9,операции!$P:$P,$F161)+SUMIFS(операции!$AF:$AF,операции!$T:$T,"&lt;="&amp;X$9,операции!$X:$X,"&gt;"&amp;X$9,операции!$AB:$AB,"&lt;&gt;"&amp;"",операции!$AB:$AB,"&lt;="&amp;X$9,операции!$L:$L,AA$9,операции!$P:$P,$F161))/AA222)</f>
        <v>42352</v>
      </c>
      <c r="AB223" s="265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</row>
    <row r="224" spans="1:42" s="192" customFormat="1" ht="11.25">
      <c r="A224" s="37"/>
      <c r="B224" s="37"/>
      <c r="C224" s="37"/>
      <c r="D224" s="191"/>
      <c r="E224" s="191" t="s">
        <v>283</v>
      </c>
      <c r="F224" s="191" t="str">
        <f t="shared" si="244"/>
        <v>Домашнее хозяйство</v>
      </c>
      <c r="G224" s="191" t="s">
        <v>219</v>
      </c>
      <c r="H224" s="315"/>
      <c r="I224" s="329">
        <f>IF(I222=0,0,I$9-I223)</f>
        <v>102.1019616661797</v>
      </c>
      <c r="J224" s="317"/>
      <c r="K224" s="329">
        <f>IF(K222=0,0,I$9-K223)</f>
        <v>117.92451316732331</v>
      </c>
      <c r="L224" s="330">
        <f>IF(L222=0,0,I$9-L223)</f>
        <v>17</v>
      </c>
      <c r="M224" s="274"/>
      <c r="N224" s="156">
        <f>IF(N222=0,0,N$9-N223)</f>
        <v>72.658684799993352</v>
      </c>
      <c r="O224" s="196"/>
      <c r="P224" s="156">
        <f>IF(P222=0,0,N$9-P223)</f>
        <v>72.658684799993352</v>
      </c>
      <c r="Q224" s="245">
        <f>IF(Q222=0,0,N$9-Q223)</f>
        <v>0</v>
      </c>
      <c r="R224" s="238"/>
      <c r="S224" s="156">
        <f>IF(S222=0,0,S$9-S223)</f>
        <v>85.595460569922579</v>
      </c>
      <c r="T224" s="196"/>
      <c r="U224" s="156">
        <f>IF(U222=0,0,S$9-U223)</f>
        <v>85.595460569922579</v>
      </c>
      <c r="V224" s="245">
        <f>IF(V222=0,0,S$9-V223)</f>
        <v>0</v>
      </c>
      <c r="W224" s="238"/>
      <c r="X224" s="156">
        <f>IF(X222=0,0,X$9-X223)</f>
        <v>102.1019616661797</v>
      </c>
      <c r="Y224" s="196"/>
      <c r="Z224" s="156">
        <f>IF(Z222=0,0,X$9-Z223)</f>
        <v>117.92451316732331</v>
      </c>
      <c r="AA224" s="245">
        <f>IF(AA222=0,0,X$9-AA223)</f>
        <v>17</v>
      </c>
      <c r="AB224" s="265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</row>
    <row r="225" spans="1:42" s="192" customFormat="1" ht="11.25">
      <c r="A225" s="37"/>
      <c r="B225" s="37"/>
      <c r="C225" s="37"/>
      <c r="D225" s="191"/>
      <c r="E225" s="191" t="s">
        <v>259</v>
      </c>
      <c r="F225" s="191" t="str">
        <f t="shared" si="244"/>
        <v>Домашнее хозяйство</v>
      </c>
      <c r="G225" s="191" t="s">
        <v>262</v>
      </c>
      <c r="H225" s="315"/>
      <c r="I225" s="316">
        <f>IF(I222=0,0,(SUMIFS(операции!$AH:$AH,операции!$T:$T,"&lt;="&amp;I$9,операции!$X:$X,"",операции!$AB:$AB,"&lt;&gt;"&amp;"",операции!$AB:$AB,"&lt;="&amp;I$9,операции!$P:$P,$F161)+SUMIFS(операции!$AH:$AH,операции!$T:$T,"&lt;="&amp;I$9,операции!$X:$X,"&gt;"&amp;I$9,операции!$AB:$AB,"&lt;&gt;"&amp;"",операции!$AB:$AB,"&lt;="&amp;I$9,операции!$P:$P,$F161))/I222)</f>
        <v>42291.903660466916</v>
      </c>
      <c r="J225" s="317"/>
      <c r="K225" s="316">
        <f>IF(K222=0,0,(SUMIFS(операции!$AH:$AH,операции!$T:$T,"&lt;="&amp;I$9,операции!$X:$X,"",операции!$AB:$AB,"&lt;&gt;"&amp;"",операции!$AB:$AB,"&lt;="&amp;I$9,операции!$L:$L,K$9,операции!$P:$P,$F161)+SUMIFS(операции!$AH:$AH,операции!$T:$T,"&lt;="&amp;I$9,операции!$X:$X,"&gt;"&amp;I$9,операции!$AB:$AB,"&lt;&gt;"&amp;"",операции!$AB:$AB,"&lt;="&amp;I$9,операции!$L:$L,K$9,операции!$P:$P,$F161))/K222)</f>
        <v>42278.871023843858</v>
      </c>
      <c r="L225" s="318">
        <f>IF(L222=0,0,(SUMIFS(операции!$AH:$AH,операции!$T:$T,"&lt;="&amp;I$9,операции!$X:$X,"",операции!$AB:$AB,"&lt;&gt;"&amp;"",операции!$AB:$AB,"&lt;="&amp;I$9,операции!$L:$L,L$9,операции!$P:$P,$F161)+SUMIFS(операции!$AH:$AH,операции!$T:$T,"&lt;="&amp;I$9,операции!$X:$X,"&gt;"&amp;I$9,операции!$AB:$AB,"&lt;&gt;"&amp;"",операции!$AB:$AB,"&lt;="&amp;I$9,операции!$L:$L,L$9,операции!$P:$P,$F161))/L222)</f>
        <v>42362</v>
      </c>
      <c r="M225" s="274"/>
      <c r="N225" s="193">
        <f>IF(N222=0,0,(SUMIFS(операции!$AH:$AH,операции!$T:$T,"&lt;="&amp;N$9,операции!$X:$X,"",операции!$AB:$AB,"&lt;&gt;"&amp;"",операции!$AB:$AB,"&lt;="&amp;N$9,операции!$P:$P,$F161)+SUMIFS(операции!$AH:$AH,операции!$T:$T,"&lt;="&amp;N$9,операции!$X:$X,"&gt;"&amp;N$9,операции!$AB:$AB,"&lt;&gt;"&amp;"",операции!$AB:$AB,"&lt;="&amp;N$9,операции!$P:$P,$F161))/N222)</f>
        <v>42259.802615909757</v>
      </c>
      <c r="O225" s="196"/>
      <c r="P225" s="193">
        <f>IF(P222=0,0,(SUMIFS(операции!$AH:$AH,операции!$T:$T,"&lt;="&amp;N$9,операции!$X:$X,"",операции!$AB:$AB,"&lt;&gt;"&amp;"",операции!$AB:$AB,"&lt;="&amp;N$9,операции!$L:$L,P$9,операции!$P:$P,$F161)+SUMIFS(операции!$AH:$AH,операции!$T:$T,"&lt;="&amp;N$9,операции!$X:$X,"&gt;"&amp;N$9,операции!$AB:$AB,"&lt;&gt;"&amp;"",операции!$AB:$AB,"&lt;="&amp;N$9,операции!$L:$L,P$9,операции!$P:$P,$F161))/P222)</f>
        <v>42259.802615909757</v>
      </c>
      <c r="Q225" s="237">
        <f>IF(Q222=0,0,(SUMIFS(операции!$AH:$AH,операции!$T:$T,"&lt;="&amp;N$9,операции!$X:$X,"",операции!$AB:$AB,"&lt;&gt;"&amp;"",операции!$AB:$AB,"&lt;="&amp;N$9,операции!$L:$L,Q$9,операции!$P:$P,$F161)+SUMIFS(операции!$AH:$AH,операции!$T:$T,"&lt;="&amp;N$9,операции!$X:$X,"&gt;"&amp;N$9,операции!$AB:$AB,"&lt;&gt;"&amp;"",операции!$AB:$AB,"&lt;="&amp;N$9,операции!$L:$L,Q$9,операции!$P:$P,$F161))/Q222)</f>
        <v>0</v>
      </c>
      <c r="R225" s="238"/>
      <c r="S225" s="193">
        <f>IF(S222=0,0,(SUMIFS(операции!$AH:$AH,операции!$T:$T,"&lt;="&amp;S$9,операции!$X:$X,"",операции!$AB:$AB,"&lt;&gt;"&amp;"",операции!$AB:$AB,"&lt;="&amp;S$9,операции!$P:$P,$F161)+SUMIFS(операции!$AH:$AH,операции!$T:$T,"&lt;="&amp;S$9,операции!$X:$X,"&gt;"&amp;S$9,операции!$AB:$AB,"&lt;&gt;"&amp;"",операции!$AB:$AB,"&lt;="&amp;S$9,операции!$P:$P,$F161))/S222)</f>
        <v>42280.770695493295</v>
      </c>
      <c r="T225" s="196"/>
      <c r="U225" s="193">
        <f>IF(U222=0,0,(SUMIFS(операции!$AH:$AH,операции!$T:$T,"&lt;="&amp;S$9,операции!$X:$X,"",операции!$AB:$AB,"&lt;&gt;"&amp;"",операции!$AB:$AB,"&lt;="&amp;S$9,операции!$L:$L,U$9,операции!$P:$P,$F161)+SUMIFS(операции!$AH:$AH,операции!$T:$T,"&lt;="&amp;S$9,операции!$X:$X,"&gt;"&amp;S$9,операции!$AB:$AB,"&lt;&gt;"&amp;"",операции!$AB:$AB,"&lt;="&amp;S$9,операции!$L:$L,U$9,операции!$P:$P,$F161))/U222)</f>
        <v>42280.770695493295</v>
      </c>
      <c r="V225" s="237">
        <f>IF(V222=0,0,(SUMIFS(операции!$AH:$AH,операции!$T:$T,"&lt;="&amp;S$9,операции!$X:$X,"",операции!$AB:$AB,"&lt;&gt;"&amp;"",операции!$AB:$AB,"&lt;="&amp;S$9,операции!$L:$L,V$9,операции!$P:$P,$F161)+SUMIFS(операции!$AH:$AH,операции!$T:$T,"&lt;="&amp;S$9,операции!$X:$X,"&gt;"&amp;S$9,операции!$AB:$AB,"&lt;&gt;"&amp;"",операции!$AB:$AB,"&lt;="&amp;S$9,операции!$L:$L,V$9,операции!$P:$P,$F161))/V222)</f>
        <v>0</v>
      </c>
      <c r="W225" s="238"/>
      <c r="X225" s="193">
        <f>IF(X222=0,0,(SUMIFS(операции!$AH:$AH,операции!$T:$T,"&lt;="&amp;X$9,операции!$X:$X,"",операции!$AB:$AB,"&lt;&gt;"&amp;"",операции!$AB:$AB,"&lt;="&amp;X$9,операции!$P:$P,$F161)+SUMIFS(операции!$AH:$AH,операции!$T:$T,"&lt;="&amp;X$9,операции!$X:$X,"&gt;"&amp;X$9,операции!$AB:$AB,"&lt;&gt;"&amp;"",операции!$AB:$AB,"&lt;="&amp;X$9,операции!$P:$P,$F161))/X222)</f>
        <v>42291.903660466916</v>
      </c>
      <c r="Y225" s="196"/>
      <c r="Z225" s="193">
        <f>IF(Z222=0,0,(SUMIFS(операции!$AH:$AH,операции!$T:$T,"&lt;="&amp;X$9,операции!$X:$X,"",операции!$AB:$AB,"&lt;&gt;"&amp;"",операции!$AB:$AB,"&lt;="&amp;X$9,операции!$L:$L,Z$9,операции!$P:$P,$F161)+SUMIFS(операции!$AH:$AH,операции!$T:$T,"&lt;="&amp;X$9,операции!$X:$X,"&gt;"&amp;X$9,операции!$AB:$AB,"&lt;&gt;"&amp;"",операции!$AB:$AB,"&lt;="&amp;X$9,операции!$L:$L,Z$9,операции!$P:$P,$F161))/Z222)</f>
        <v>42278.871023843858</v>
      </c>
      <c r="AA225" s="237">
        <f>IF(AA222=0,0,(SUMIFS(операции!$AH:$AH,операции!$T:$T,"&lt;="&amp;X$9,операции!$X:$X,"",операции!$AB:$AB,"&lt;&gt;"&amp;"",операции!$AB:$AB,"&lt;="&amp;X$9,операции!$L:$L,AA$9,операции!$P:$P,$F161)+SUMIFS(операции!$AH:$AH,операции!$T:$T,"&lt;="&amp;X$9,операции!$X:$X,"&gt;"&amp;X$9,операции!$AB:$AB,"&lt;&gt;"&amp;"",операции!$AB:$AB,"&lt;="&amp;X$9,операции!$L:$L,AA$9,операции!$P:$P,$F161))/AA222)</f>
        <v>42362</v>
      </c>
      <c r="AB225" s="265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</row>
    <row r="226" spans="1:42" s="192" customFormat="1" ht="11.25">
      <c r="A226" s="37"/>
      <c r="B226" s="37"/>
      <c r="C226" s="37"/>
      <c r="D226" s="191"/>
      <c r="E226" s="191" t="s">
        <v>284</v>
      </c>
      <c r="F226" s="191" t="str">
        <f t="shared" si="244"/>
        <v>Домашнее хозяйство</v>
      </c>
      <c r="G226" s="191" t="s">
        <v>219</v>
      </c>
      <c r="H226" s="315"/>
      <c r="I226" s="329">
        <f>I225-I223</f>
        <v>25.00562213309604</v>
      </c>
      <c r="J226" s="317"/>
      <c r="K226" s="329">
        <f>K225-K223</f>
        <v>27.795537011181295</v>
      </c>
      <c r="L226" s="330">
        <f>L225-L223</f>
        <v>10</v>
      </c>
      <c r="M226" s="274"/>
      <c r="N226" s="156">
        <f>N225-N223</f>
        <v>24.461300709750503</v>
      </c>
      <c r="O226" s="196"/>
      <c r="P226" s="156">
        <f>P225-P223</f>
        <v>24.461300709750503</v>
      </c>
      <c r="Q226" s="245">
        <f>Q225-Q223</f>
        <v>0</v>
      </c>
      <c r="R226" s="238"/>
      <c r="S226" s="156">
        <f>S225-S223</f>
        <v>28.366156063217204</v>
      </c>
      <c r="T226" s="196"/>
      <c r="U226" s="156">
        <f>U225-U223</f>
        <v>28.366156063217204</v>
      </c>
      <c r="V226" s="245">
        <f>V225-V223</f>
        <v>0</v>
      </c>
      <c r="W226" s="238"/>
      <c r="X226" s="156">
        <f>X225-X223</f>
        <v>25.00562213309604</v>
      </c>
      <c r="Y226" s="196"/>
      <c r="Z226" s="156">
        <f>Z225-Z223</f>
        <v>27.795537011181295</v>
      </c>
      <c r="AA226" s="245">
        <f>AA225-AA223</f>
        <v>10</v>
      </c>
      <c r="AB226" s="265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</row>
    <row r="227" spans="1:42" s="192" customFormat="1" ht="11.25">
      <c r="A227" s="37"/>
      <c r="B227" s="37"/>
      <c r="C227" s="37"/>
      <c r="D227" s="191"/>
      <c r="E227" s="191" t="s">
        <v>285</v>
      </c>
      <c r="F227" s="191" t="str">
        <f t="shared" si="244"/>
        <v>Домашнее хозяйство</v>
      </c>
      <c r="G227" s="191" t="s">
        <v>219</v>
      </c>
      <c r="H227" s="315"/>
      <c r="I227" s="329">
        <f>I224-I226</f>
        <v>77.096339533083665</v>
      </c>
      <c r="J227" s="317"/>
      <c r="K227" s="329">
        <f>K224-K226</f>
        <v>90.128976156142016</v>
      </c>
      <c r="L227" s="330">
        <f>L224-L226</f>
        <v>7</v>
      </c>
      <c r="M227" s="274"/>
      <c r="N227" s="156">
        <f>N224-N226</f>
        <v>48.197384090242849</v>
      </c>
      <c r="O227" s="196"/>
      <c r="P227" s="156">
        <f>P224-P226</f>
        <v>48.197384090242849</v>
      </c>
      <c r="Q227" s="245">
        <f>Q224-Q226</f>
        <v>0</v>
      </c>
      <c r="R227" s="238"/>
      <c r="S227" s="156">
        <f>S224-S226</f>
        <v>57.229304506705375</v>
      </c>
      <c r="T227" s="196"/>
      <c r="U227" s="156">
        <f>U224-U226</f>
        <v>57.229304506705375</v>
      </c>
      <c r="V227" s="245">
        <f>V224-V226</f>
        <v>0</v>
      </c>
      <c r="W227" s="238"/>
      <c r="X227" s="156">
        <f>X224-X226</f>
        <v>77.096339533083665</v>
      </c>
      <c r="Y227" s="196"/>
      <c r="Z227" s="156">
        <f>Z224-Z226</f>
        <v>90.128976156142016</v>
      </c>
      <c r="AA227" s="245">
        <f>AA224-AA226</f>
        <v>7</v>
      </c>
      <c r="AB227" s="265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</row>
    <row r="228" spans="1:42" s="5" customFormat="1">
      <c r="A228" s="1"/>
      <c r="B228" s="1"/>
      <c r="C228" s="1"/>
      <c r="D228" s="168"/>
      <c r="E228" s="168" t="s">
        <v>286</v>
      </c>
      <c r="F228" s="168" t="str">
        <f t="shared" si="244"/>
        <v>Домашнее хозяйство</v>
      </c>
      <c r="G228" s="168" t="s">
        <v>261</v>
      </c>
      <c r="H228" s="326"/>
      <c r="I228" s="327">
        <f>SUMIFS(операции!$V:$V,операции!$T:$T,"&lt;="&amp;I$9,операции!$X:$X,"",операции!$AB:$AB,"",операции!$P:$P,$F161)+SUMIFS(операции!$V:$V,операции!$T:$T,"&lt;="&amp;I$9,операции!$X:$X,"&gt;"&amp;I$9,операции!$AB:$AB,"",операции!$P:$P,$F161)+SUMIFS(операции!$V:$V,операции!$T:$T,"&lt;="&amp;I$9,операции!$X:$X,"",операции!$AB:$AB,"&gt;"&amp;I$9,операции!$P:$P,$F161)+SUMIFS(операции!$V:$V,операции!$T:$T,"&lt;="&amp;I$9,операции!$X:$X,"&gt;"&amp;I$9,операции!$AB:$AB,"&gt;"&amp;I$9,операции!$P:$P,$F161)</f>
        <v>32479.56</v>
      </c>
      <c r="J228" s="313">
        <f>I228-K228-L228</f>
        <v>0</v>
      </c>
      <c r="K228" s="327">
        <f>SUMIFS(операции!$V:$V,операции!$T:$T,"&lt;="&amp;I$9,операции!$X:$X,"",операции!$AB:$AB,"",операции!$L:$L,K$9,операции!$P:$P,$F161)+SUMIFS(операции!$V:$V,операции!$T:$T,"&lt;="&amp;I$9,операции!$X:$X,"&gt;"&amp;I$9,операции!$AB:$AB,"",операции!$L:$L,K$9,операции!$P:$P,$F161)+SUMIFS(операции!$V:$V,операции!$T:$T,"&lt;="&amp;I$9,операции!$X:$X,"",операции!$AB:$AB,"&gt;"&amp;I$9,операции!$L:$L,K$9,операции!$P:$P,$F161)+SUMIFS(операции!$V:$V,операции!$T:$T,"&lt;="&amp;I$9,операции!$X:$X,"&gt;"&amp;I$9,операции!$AB:$AB,"&gt;"&amp;I$9,операции!$L:$L,K$9,операции!$P:$P,$F161)</f>
        <v>4434.76</v>
      </c>
      <c r="L228" s="328">
        <f>SUMIFS(операции!$V:$V,операции!$T:$T,"&lt;="&amp;I$9,операции!$X:$X,"",операции!$AB:$AB,"",операции!$L:$L,L$9,операции!$P:$P,$F161)+SUMIFS(операции!$V:$V,операции!$T:$T,"&lt;="&amp;I$9,операции!$X:$X,"&gt;"&amp;I$9,операции!$AB:$AB,"",операции!$L:$L,L$9,операции!$P:$P,$F161)+SUMIFS(операции!$V:$V,операции!$T:$T,"&lt;="&amp;I$9,операции!$X:$X,"",операции!$AB:$AB,"&gt;"&amp;I$9,операции!$L:$L,L$9,операции!$P:$P,$F161)+SUMIFS(операции!$V:$V,операции!$T:$T,"&lt;="&amp;I$9,операции!$X:$X,"&gt;"&amp;I$9,операции!$AB:$AB,"&gt;"&amp;I$9,операции!$L:$L,L$9,операции!$P:$P,$F161)</f>
        <v>28044.799999999999</v>
      </c>
      <c r="M228" s="277"/>
      <c r="N228" s="169">
        <f>SUMIFS(операции!$V:$V,операции!$T:$T,"&lt;="&amp;N$9,операции!$X:$X,"",операции!$AB:$AB,"",операции!$P:$P,$F161)+SUMIFS(операции!$V:$V,операции!$T:$T,"&lt;="&amp;N$9,операции!$X:$X,"&gt;"&amp;N$9,операции!$AB:$AB,"",операции!$P:$P,$F161)+SUMIFS(операции!$V:$V,операции!$T:$T,"&lt;="&amp;N$9,операции!$X:$X,"",операции!$AB:$AB,"&gt;"&amp;N$9,операции!$P:$P,$F161)+SUMIFS(операции!$V:$V,операции!$T:$T,"&lt;="&amp;N$9,операции!$X:$X,"&gt;"&amp;N$9,операции!$AB:$AB,"&gt;"&amp;N$9,операции!$P:$P,$F161)</f>
        <v>101033.97999999998</v>
      </c>
      <c r="O228" s="170">
        <f>N228-P228-Q228</f>
        <v>0</v>
      </c>
      <c r="P228" s="169">
        <f>SUMIFS(операции!$V:$V,операции!$T:$T,"&lt;="&amp;N$9,операции!$X:$X,"",операции!$AB:$AB,"",операции!$L:$L,P$9,операции!$P:$P,$F161)+SUMIFS(операции!$V:$V,операции!$T:$T,"&lt;="&amp;N$9,операции!$X:$X,"&gt;"&amp;N$9,операции!$AB:$AB,"",операции!$L:$L,P$9,операции!$P:$P,$F161)+SUMIFS(операции!$V:$V,операции!$T:$T,"&lt;="&amp;N$9,операции!$X:$X,"",операции!$AB:$AB,"&gt;"&amp;N$9,операции!$L:$L,P$9,операции!$P:$P,$F161)+SUMIFS(операции!$V:$V,операции!$T:$T,"&lt;="&amp;N$9,операции!$X:$X,"&gt;"&amp;N$9,операции!$AB:$AB,"&gt;"&amp;N$9,операции!$L:$L,P$9,операции!$P:$P,$F161)</f>
        <v>45534.380000000005</v>
      </c>
      <c r="Q228" s="243">
        <f>SUMIFS(операции!$V:$V,операции!$T:$T,"&lt;="&amp;N$9,операции!$X:$X,"",операции!$AB:$AB,"",операции!$L:$L,Q$9,операции!$P:$P,$F161)+SUMIFS(операции!$V:$V,операции!$T:$T,"&lt;="&amp;N$9,операции!$X:$X,"&gt;"&amp;N$9,операции!$AB:$AB,"",операции!$L:$L,Q$9,операции!$P:$P,$F161)+SUMIFS(операции!$V:$V,операции!$T:$T,"&lt;="&amp;N$9,операции!$X:$X,"",операции!$AB:$AB,"&gt;"&amp;N$9,операции!$L:$L,Q$9,операции!$P:$P,$F161)+SUMIFS(операции!$V:$V,операции!$T:$T,"&lt;="&amp;N$9,операции!$X:$X,"&gt;"&amp;N$9,операции!$AB:$AB,"&gt;"&amp;N$9,операции!$L:$L,Q$9,операции!$P:$P,$F161)</f>
        <v>55499.6</v>
      </c>
      <c r="R228" s="244"/>
      <c r="S228" s="169">
        <f>SUMIFS(операции!$V:$V,операции!$T:$T,"&lt;="&amp;S$9,операции!$X:$X,"",операции!$AB:$AB,"",операции!$P:$P,$F161)+SUMIFS(операции!$V:$V,операции!$T:$T,"&lt;="&amp;S$9,операции!$X:$X,"&gt;"&amp;S$9,операции!$AB:$AB,"",операции!$P:$P,$F161)+SUMIFS(операции!$V:$V,операции!$T:$T,"&lt;="&amp;S$9,операции!$X:$X,"",операции!$AB:$AB,"&gt;"&amp;S$9,операции!$P:$P,$F161)+SUMIFS(операции!$V:$V,операции!$T:$T,"&lt;="&amp;S$9,операции!$X:$X,"&gt;"&amp;S$9,операции!$AB:$AB,"&gt;"&amp;S$9,операции!$P:$P,$F161)</f>
        <v>23087.5</v>
      </c>
      <c r="T228" s="170">
        <f>S228-U228-V228</f>
        <v>0</v>
      </c>
      <c r="U228" s="169">
        <f>SUMIFS(операции!$V:$V,операции!$T:$T,"&lt;="&amp;S$9,операции!$X:$X,"",операции!$AB:$AB,"",операции!$L:$L,U$9,операции!$P:$P,$F161)+SUMIFS(операции!$V:$V,операции!$T:$T,"&lt;="&amp;S$9,операции!$X:$X,"&gt;"&amp;S$9,операции!$AB:$AB,"",операции!$L:$L,U$9,операции!$P:$P,$F161)+SUMIFS(операции!$V:$V,операции!$T:$T,"&lt;="&amp;S$9,операции!$X:$X,"",операции!$AB:$AB,"&gt;"&amp;S$9,операции!$L:$L,U$9,операции!$P:$P,$F161)+SUMIFS(операции!$V:$V,операции!$T:$T,"&lt;="&amp;S$9,операции!$X:$X,"&gt;"&amp;S$9,операции!$AB:$AB,"&gt;"&amp;S$9,операции!$L:$L,U$9,операции!$P:$P,$F161)</f>
        <v>4434.76</v>
      </c>
      <c r="V228" s="243">
        <f>SUMIFS(операции!$V:$V,операции!$T:$T,"&lt;="&amp;S$9,операции!$X:$X,"",операции!$AB:$AB,"",операции!$L:$L,V$9,операции!$P:$P,$F161)+SUMIFS(операции!$V:$V,операции!$T:$T,"&lt;="&amp;S$9,операции!$X:$X,"&gt;"&amp;S$9,операции!$AB:$AB,"",операции!$L:$L,V$9,операции!$P:$P,$F161)+SUMIFS(операции!$V:$V,операции!$T:$T,"&lt;="&amp;S$9,операции!$X:$X,"",операции!$AB:$AB,"&gt;"&amp;S$9,операции!$L:$L,V$9,операции!$P:$P,$F161)+SUMIFS(операции!$V:$V,операции!$T:$T,"&lt;="&amp;S$9,операции!$X:$X,"&gt;"&amp;S$9,операции!$AB:$AB,"&gt;"&amp;S$9,операции!$L:$L,V$9,операции!$P:$P,$F161)</f>
        <v>18652.739999999998</v>
      </c>
      <c r="W228" s="244"/>
      <c r="X228" s="169">
        <f>SUMIFS(операции!$V:$V,операции!$T:$T,"&lt;="&amp;X$9,операции!$X:$X,"",операции!$AB:$AB,"",операции!$P:$P,$F161)+SUMIFS(операции!$V:$V,операции!$T:$T,"&lt;="&amp;X$9,операции!$X:$X,"&gt;"&amp;X$9,операции!$AB:$AB,"",операции!$P:$P,$F161)+SUMIFS(операции!$V:$V,операции!$T:$T,"&lt;="&amp;X$9,операции!$X:$X,"",операции!$AB:$AB,"&gt;"&amp;X$9,операции!$P:$P,$F161)+SUMIFS(операции!$V:$V,операции!$T:$T,"&lt;="&amp;X$9,операции!$X:$X,"&gt;"&amp;X$9,операции!$AB:$AB,"&gt;"&amp;X$9,операции!$P:$P,$F161)</f>
        <v>32479.56</v>
      </c>
      <c r="Y228" s="170">
        <f>X228-Z228-AA228</f>
        <v>0</v>
      </c>
      <c r="Z228" s="169">
        <f>SUMIFS(операции!$V:$V,операции!$T:$T,"&lt;="&amp;X$9,операции!$X:$X,"",операции!$AB:$AB,"",операции!$L:$L,Z$9,операции!$P:$P,$F161)+SUMIFS(операции!$V:$V,операции!$T:$T,"&lt;="&amp;X$9,операции!$X:$X,"&gt;"&amp;X$9,операции!$AB:$AB,"",операции!$L:$L,Z$9,операции!$P:$P,$F161)+SUMIFS(операции!$V:$V,операции!$T:$T,"&lt;="&amp;X$9,операции!$X:$X,"",операции!$AB:$AB,"&gt;"&amp;X$9,операции!$L:$L,Z$9,операции!$P:$P,$F161)+SUMIFS(операции!$V:$V,операции!$T:$T,"&lt;="&amp;X$9,операции!$X:$X,"&gt;"&amp;X$9,операции!$AB:$AB,"&gt;"&amp;X$9,операции!$L:$L,Z$9,операции!$P:$P,$F161)</f>
        <v>4434.76</v>
      </c>
      <c r="AA228" s="243">
        <f>SUMIFS(операции!$V:$V,операции!$T:$T,"&lt;="&amp;X$9,операции!$X:$X,"",операции!$AB:$AB,"",операции!$L:$L,AA$9,операции!$P:$P,$F161)+SUMIFS(операции!$V:$V,операции!$T:$T,"&lt;="&amp;X$9,операции!$X:$X,"&gt;"&amp;X$9,операции!$AB:$AB,"",операции!$L:$L,AA$9,операции!$P:$P,$F161)+SUMIFS(операции!$V:$V,операции!$T:$T,"&lt;="&amp;X$9,операции!$X:$X,"",операции!$AB:$AB,"&gt;"&amp;X$9,операции!$L:$L,AA$9,операции!$P:$P,$F161)+SUMIFS(операции!$V:$V,операции!$T:$T,"&lt;="&amp;X$9,операции!$X:$X,"&gt;"&amp;X$9,операции!$AB:$AB,"&gt;"&amp;X$9,операции!$L:$L,AA$9,операции!$P:$P,$F161)</f>
        <v>28044.799999999999</v>
      </c>
      <c r="AB228" s="266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s="192" customFormat="1" ht="11.25">
      <c r="A229" s="37"/>
      <c r="B229" s="37"/>
      <c r="C229" s="37"/>
      <c r="D229" s="191"/>
      <c r="E229" s="191" t="s">
        <v>255</v>
      </c>
      <c r="F229" s="191" t="str">
        <f t="shared" si="244"/>
        <v>Домашнее хозяйство</v>
      </c>
      <c r="G229" s="191" t="s">
        <v>262</v>
      </c>
      <c r="H229" s="315"/>
      <c r="I229" s="316">
        <f>IF(I228=0,0,(SUMIFS(операции!$AF:$AF,операции!$T:$T,"&lt;="&amp;I$9,операции!$X:$X,"",операции!$AB:$AB,"",операции!$P:$P,$F161)+SUMIFS(операции!$AF:$AF,операции!$T:$T,"&lt;="&amp;I$9,операции!$X:$X,"&gt;"&amp;I$9,операции!$AB:$AB,"",операции!$P:$P,$F161)+SUMIFS(операции!$AF:$AF,операции!$T:$T,"&lt;="&amp;I$9,операции!$X:$X,"",операции!$AB:$AB,"&gt;"&amp;I$9,операции!$P:$P,$F161)+SUMIFS(операции!$AF:$AF,операции!$T:$T,"&lt;="&amp;I$9,операции!$X:$X,"&gt;"&amp;I$9,операции!$AB:$AB,"&gt;"&amp;I$9,операции!$P:$P,$F161))/I228)</f>
        <v>42346.401367506209</v>
      </c>
      <c r="J229" s="317"/>
      <c r="K229" s="316">
        <f>IF(K228=0,0,(SUMIFS(операции!$AF:$AF,операции!$T:$T,"&lt;="&amp;I$9,операции!$X:$X,"",операции!$AB:$AB,"",операции!$L:$L,K$9,операции!$P:$P,$F161)+SUMIFS(операции!$AF:$AF,операции!$T:$T,"&lt;="&amp;I$9,операции!$X:$X,"&gt;"&amp;I$9,операции!$AB:$AB,"",операции!$L:$L,K$9,операции!$P:$P,$F161)+SUMIFS(операции!$AF:$AF,операции!$T:$T,"&lt;="&amp;I$9,операции!$X:$X,"",операции!$AB:$AB,"&gt;"&amp;I$9,операции!$L:$L,K$9,операции!$P:$P,$F161)+SUMIFS(операции!$AF:$AF,операции!$T:$T,"&lt;="&amp;I$9,операции!$X:$X,"&gt;"&amp;I$9,операции!$AB:$AB,"&gt;"&amp;I$9,операции!$L:$L,K$9,операции!$P:$P,$F161))/K228)</f>
        <v>42223.375515247724</v>
      </c>
      <c r="L229" s="318">
        <f>IF(L228=0,0,(SUMIFS(операции!$AF:$AF,операции!$T:$T,"&lt;="&amp;I$9,операции!$X:$X,"",операции!$AB:$AB,"",операции!$L:$L,L$9,операции!$P:$P,$F161)+SUMIFS(операции!$AF:$AF,операции!$T:$T,"&lt;="&amp;I$9,операции!$X:$X,"&gt;"&amp;I$9,операции!$AB:$AB,"",операции!$L:$L,L$9,операции!$P:$P,$F161)+SUMIFS(операции!$AF:$AF,операции!$T:$T,"&lt;="&amp;I$9,операции!$X:$X,"",операции!$AB:$AB,"&gt;"&amp;I$9,операции!$L:$L,L$9,операции!$P:$P,$F161)+SUMIFS(операции!$AF:$AF,операции!$T:$T,"&lt;="&amp;I$9,операции!$X:$X,"&gt;"&amp;I$9,операции!$AB:$AB,"&gt;"&amp;I$9,операции!$L:$L,L$9,операции!$P:$P,$F161))/L228)</f>
        <v>42365.855602464631</v>
      </c>
      <c r="M229" s="274"/>
      <c r="N229" s="193">
        <f>IF(N228=0,0,(SUMIFS(операции!$AF:$AF,операции!$T:$T,"&lt;="&amp;N$9,операции!$X:$X,"",операции!$AB:$AB,"",операции!$P:$P,$F161)+SUMIFS(операции!$AF:$AF,операции!$T:$T,"&lt;="&amp;N$9,операции!$X:$X,"&gt;"&amp;N$9,операции!$AB:$AB,"",операции!$P:$P,$F161)+SUMIFS(операции!$AF:$AF,операции!$T:$T,"&lt;="&amp;N$9,операции!$X:$X,"",операции!$AB:$AB,"&gt;"&amp;N$9,операции!$P:$P,$F161)+SUMIFS(операции!$AF:$AF,операции!$T:$T,"&lt;="&amp;N$9,операции!$X:$X,"&gt;"&amp;N$9,операции!$AB:$AB,"&gt;"&amp;N$9,операции!$P:$P,$F161))/N228)</f>
        <v>42293.557476207519</v>
      </c>
      <c r="O229" s="196"/>
      <c r="P229" s="193">
        <f>IF(P228=0,0,(SUMIFS(операции!$AF:$AF,операции!$T:$T,"&lt;="&amp;N$9,операции!$X:$X,"",операции!$AB:$AB,"",операции!$L:$L,P$9,операции!$P:$P,$F161)+SUMIFS(операции!$AF:$AF,операции!$T:$T,"&lt;="&amp;N$9,операции!$X:$X,"&gt;"&amp;N$9,операции!$AB:$AB,"",операции!$L:$L,P$9,операции!$P:$P,$F161)+SUMIFS(операции!$AF:$AF,операции!$T:$T,"&lt;="&amp;N$9,операции!$X:$X,"",операции!$AB:$AB,"&gt;"&amp;N$9,операции!$L:$L,P$9,операции!$P:$P,$F161)+SUMIFS(операции!$AF:$AF,операции!$T:$T,"&lt;="&amp;N$9,операции!$X:$X,"&gt;"&amp;N$9,операции!$AB:$AB,"&gt;"&amp;N$9,операции!$L:$L,P$9,операции!$P:$P,$F161))/P228)</f>
        <v>42279.021688227665</v>
      </c>
      <c r="Q229" s="237">
        <f>IF(Q228=0,0,(SUMIFS(операции!$AF:$AF,операции!$T:$T,"&lt;="&amp;N$9,операции!$X:$X,"",операции!$AB:$AB,"",операции!$L:$L,Q$9,операции!$P:$P,$F161)+SUMIFS(операции!$AF:$AF,операции!$T:$T,"&lt;="&amp;N$9,операции!$X:$X,"&gt;"&amp;N$9,операции!$AB:$AB,"",операции!$L:$L,Q$9,операции!$P:$P,$F161)+SUMIFS(операции!$AF:$AF,операции!$T:$T,"&lt;="&amp;N$9,операции!$X:$X,"",операции!$AB:$AB,"&gt;"&amp;N$9,операции!$L:$L,Q$9,операции!$P:$P,$F161)+SUMIFS(операции!$AF:$AF,операции!$T:$T,"&lt;="&amp;N$9,операции!$X:$X,"&gt;"&amp;N$9,операции!$AB:$AB,"&gt;"&amp;N$9,операции!$L:$L,Q$9,операции!$P:$P,$F161))/Q228)</f>
        <v>42305.483293573285</v>
      </c>
      <c r="R229" s="238"/>
      <c r="S229" s="193">
        <f>IF(S228=0,0,(SUMIFS(операции!$AF:$AF,операции!$T:$T,"&lt;="&amp;S$9,операции!$X:$X,"",операции!$AB:$AB,"",операции!$P:$P,$F161)+SUMIFS(операции!$AF:$AF,операции!$T:$T,"&lt;="&amp;S$9,операции!$X:$X,"&gt;"&amp;S$9,операции!$AB:$AB,"",операции!$P:$P,$F161)+SUMIFS(операции!$AF:$AF,операции!$T:$T,"&lt;="&amp;S$9,операции!$X:$X,"",операции!$AB:$AB,"&gt;"&amp;S$9,операции!$P:$P,$F161)+SUMIFS(операции!$AF:$AF,операции!$T:$T,"&lt;="&amp;S$9,операции!$X:$X,"&gt;"&amp;S$9,операции!$AB:$AB,"&gt;"&amp;S$9,операции!$P:$P,$F161))/S228)</f>
        <v>42311.912686085547</v>
      </c>
      <c r="T229" s="196"/>
      <c r="U229" s="193">
        <f>IF(U228=0,0,(SUMIFS(операции!$AF:$AF,операции!$T:$T,"&lt;="&amp;S$9,операции!$X:$X,"",операции!$AB:$AB,"",операции!$L:$L,U$9,операции!$P:$P,$F161)+SUMIFS(операции!$AF:$AF,операции!$T:$T,"&lt;="&amp;S$9,операции!$X:$X,"&gt;"&amp;S$9,операции!$AB:$AB,"",операции!$L:$L,U$9,операции!$P:$P,$F161)+SUMIFS(операции!$AF:$AF,операции!$T:$T,"&lt;="&amp;S$9,операции!$X:$X,"",операции!$AB:$AB,"&gt;"&amp;S$9,операции!$L:$L,U$9,операции!$P:$P,$F161)+SUMIFS(операции!$AF:$AF,операции!$T:$T,"&lt;="&amp;S$9,операции!$X:$X,"&gt;"&amp;S$9,операции!$AB:$AB,"&gt;"&amp;S$9,операции!$L:$L,U$9,операции!$P:$P,$F161))/U228)</f>
        <v>42223.375515247724</v>
      </c>
      <c r="V229" s="237">
        <f>IF(V228=0,0,(SUMIFS(операции!$AF:$AF,операции!$T:$T,"&lt;="&amp;S$9,операции!$X:$X,"",операции!$AB:$AB,"",операции!$L:$L,V$9,операции!$P:$P,$F161)+SUMIFS(операции!$AF:$AF,операции!$T:$T,"&lt;="&amp;S$9,операции!$X:$X,"&gt;"&amp;S$9,операции!$AB:$AB,"",операции!$L:$L,V$9,операции!$P:$P,$F161)+SUMIFS(операции!$AF:$AF,операции!$T:$T,"&lt;="&amp;S$9,операции!$X:$X,"",операции!$AB:$AB,"&gt;"&amp;S$9,операции!$L:$L,V$9,операции!$P:$P,$F161)+SUMIFS(операции!$AF:$AF,операции!$T:$T,"&lt;="&amp;S$9,операции!$X:$X,"&gt;"&amp;S$9,операции!$AB:$AB,"&gt;"&amp;S$9,операции!$L:$L,V$9,операции!$P:$P,$F161))/V228)</f>
        <v>42332.962735769659</v>
      </c>
      <c r="W229" s="238"/>
      <c r="X229" s="193">
        <f>IF(X228=0,0,(SUMIFS(операции!$AF:$AF,операции!$T:$T,"&lt;="&amp;X$9,операции!$X:$X,"",операции!$AB:$AB,"",операции!$P:$P,$F161)+SUMIFS(операции!$AF:$AF,операции!$T:$T,"&lt;="&amp;X$9,операции!$X:$X,"&gt;"&amp;X$9,операции!$AB:$AB,"",операции!$P:$P,$F161)+SUMIFS(операции!$AF:$AF,операции!$T:$T,"&lt;="&amp;X$9,операции!$X:$X,"",операции!$AB:$AB,"&gt;"&amp;X$9,операции!$P:$P,$F161)+SUMIFS(операции!$AF:$AF,операции!$T:$T,"&lt;="&amp;X$9,операции!$X:$X,"&gt;"&amp;X$9,операции!$AB:$AB,"&gt;"&amp;X$9,операции!$P:$P,$F161))/X228)</f>
        <v>42346.401367506209</v>
      </c>
      <c r="Y229" s="196"/>
      <c r="Z229" s="193">
        <f>IF(Z228=0,0,(SUMIFS(операции!$AF:$AF,операции!$T:$T,"&lt;="&amp;X$9,операции!$X:$X,"",операции!$AB:$AB,"",операции!$L:$L,Z$9,операции!$P:$P,$F161)+SUMIFS(операции!$AF:$AF,операции!$T:$T,"&lt;="&amp;X$9,операции!$X:$X,"&gt;"&amp;X$9,операции!$AB:$AB,"",операции!$L:$L,Z$9,операции!$P:$P,$F161)+SUMIFS(операции!$AF:$AF,операции!$T:$T,"&lt;="&amp;X$9,операции!$X:$X,"",операции!$AB:$AB,"&gt;"&amp;X$9,операции!$L:$L,Z$9,операции!$P:$P,$F161)+SUMIFS(операции!$AF:$AF,операции!$T:$T,"&lt;="&amp;X$9,операции!$X:$X,"&gt;"&amp;X$9,операции!$AB:$AB,"&gt;"&amp;X$9,операции!$L:$L,Z$9,операции!$P:$P,$F161))/Z228)</f>
        <v>42223.375515247724</v>
      </c>
      <c r="AA229" s="237">
        <f>IF(AA228=0,0,(SUMIFS(операции!$AF:$AF,операции!$T:$T,"&lt;="&amp;X$9,операции!$X:$X,"",операции!$AB:$AB,"",операции!$L:$L,AA$9,операции!$P:$P,$F161)+SUMIFS(операции!$AF:$AF,операции!$T:$T,"&lt;="&amp;X$9,операции!$X:$X,"&gt;"&amp;X$9,операции!$AB:$AB,"",операции!$L:$L,AA$9,операции!$P:$P,$F161)+SUMIFS(операции!$AF:$AF,операции!$T:$T,"&lt;="&amp;X$9,операции!$X:$X,"",операции!$AB:$AB,"&gt;"&amp;X$9,операции!$L:$L,AA$9,операции!$P:$P,$F161)+SUMIFS(операции!$AF:$AF,операции!$T:$T,"&lt;="&amp;X$9,операции!$X:$X,"&gt;"&amp;X$9,операции!$AB:$AB,"&gt;"&amp;X$9,операции!$L:$L,AA$9,операции!$P:$P,$F161))/AA228)</f>
        <v>42365.855602464631</v>
      </c>
      <c r="AB229" s="265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</row>
    <row r="230" spans="1:42" s="192" customFormat="1" ht="11.25">
      <c r="A230" s="37"/>
      <c r="B230" s="37"/>
      <c r="C230" s="37"/>
      <c r="D230" s="191"/>
      <c r="E230" s="191" t="s">
        <v>287</v>
      </c>
      <c r="F230" s="191" t="str">
        <f t="shared" ref="F230:F233" si="377">F229</f>
        <v>Домашнее хозяйство</v>
      </c>
      <c r="G230" s="191" t="s">
        <v>219</v>
      </c>
      <c r="H230" s="315"/>
      <c r="I230" s="329">
        <f>IF(I228=0,0,I$9-I229)</f>
        <v>22.598632493791229</v>
      </c>
      <c r="J230" s="317"/>
      <c r="K230" s="329">
        <f>IF(K228=0,0,I$9-K229)</f>
        <v>145.62448475227575</v>
      </c>
      <c r="L230" s="330">
        <f>IF(L228=0,0,I$9-L229)</f>
        <v>3.1443975353686255</v>
      </c>
      <c r="M230" s="274"/>
      <c r="N230" s="156">
        <f>IF(N228=0,0,N$9-N229)</f>
        <v>14.442523792480642</v>
      </c>
      <c r="O230" s="196"/>
      <c r="P230" s="156">
        <f>IF(P228=0,0,N$9-P229)</f>
        <v>28.978311772334564</v>
      </c>
      <c r="Q230" s="245">
        <f>IF(Q228=0,0,N$9-Q229)</f>
        <v>2.5167064267152455</v>
      </c>
      <c r="R230" s="238"/>
      <c r="S230" s="156">
        <f>IF(S228=0,0,S$9-S229)</f>
        <v>26.087313914453262</v>
      </c>
      <c r="T230" s="196"/>
      <c r="U230" s="156">
        <f>IF(U228=0,0,S$9-U229)</f>
        <v>114.62448475227575</v>
      </c>
      <c r="V230" s="245">
        <f>IF(V228=0,0,S$9-V229)</f>
        <v>5.0372642303409521</v>
      </c>
      <c r="W230" s="238"/>
      <c r="X230" s="156">
        <f>IF(X228=0,0,X$9-X229)</f>
        <v>22.598632493791229</v>
      </c>
      <c r="Y230" s="196"/>
      <c r="Z230" s="156">
        <f>IF(Z228=0,0,X$9-Z229)</f>
        <v>145.62448475227575</v>
      </c>
      <c r="AA230" s="245">
        <f>IF(AA228=0,0,X$9-AA229)</f>
        <v>3.1443975353686255</v>
      </c>
      <c r="AB230" s="265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</row>
    <row r="231" spans="1:42" s="192" customFormat="1" ht="11.25">
      <c r="A231" s="37"/>
      <c r="B231" s="37"/>
      <c r="C231" s="37"/>
      <c r="D231" s="191"/>
      <c r="E231" s="191" t="s">
        <v>311</v>
      </c>
      <c r="F231" s="191" t="str">
        <f t="shared" si="377"/>
        <v>Домашнее хозяйство</v>
      </c>
      <c r="G231" s="191" t="s">
        <v>262</v>
      </c>
      <c r="H231" s="315"/>
      <c r="I231" s="316">
        <f>I$9</f>
        <v>42369</v>
      </c>
      <c r="J231" s="317"/>
      <c r="K231" s="316">
        <f>I$9</f>
        <v>42369</v>
      </c>
      <c r="L231" s="318">
        <f>I$9</f>
        <v>42369</v>
      </c>
      <c r="M231" s="274"/>
      <c r="N231" s="193">
        <f>N$9</f>
        <v>42308</v>
      </c>
      <c r="O231" s="196"/>
      <c r="P231" s="193">
        <f>N$9</f>
        <v>42308</v>
      </c>
      <c r="Q231" s="237">
        <f>N$9</f>
        <v>42308</v>
      </c>
      <c r="R231" s="238"/>
      <c r="S231" s="193">
        <f>S$9</f>
        <v>42338</v>
      </c>
      <c r="T231" s="196"/>
      <c r="U231" s="193">
        <f>S$9</f>
        <v>42338</v>
      </c>
      <c r="V231" s="237">
        <f>S$9</f>
        <v>42338</v>
      </c>
      <c r="W231" s="238"/>
      <c r="X231" s="193">
        <f>X$9</f>
        <v>42369</v>
      </c>
      <c r="Y231" s="196"/>
      <c r="Z231" s="193">
        <f>X$9</f>
        <v>42369</v>
      </c>
      <c r="AA231" s="237">
        <f>X$9</f>
        <v>42369</v>
      </c>
      <c r="AB231" s="265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</row>
    <row r="232" spans="1:42" s="192" customFormat="1" ht="11.25">
      <c r="A232" s="37"/>
      <c r="B232" s="37"/>
      <c r="C232" s="37"/>
      <c r="D232" s="191"/>
      <c r="E232" s="191" t="s">
        <v>288</v>
      </c>
      <c r="F232" s="191" t="str">
        <f t="shared" si="377"/>
        <v>Домашнее хозяйство</v>
      </c>
      <c r="G232" s="191" t="s">
        <v>219</v>
      </c>
      <c r="H232" s="315"/>
      <c r="I232" s="329">
        <f>IF(I228=0,0,I231-I229)</f>
        <v>22.598632493791229</v>
      </c>
      <c r="J232" s="317"/>
      <c r="K232" s="329">
        <f>IF(K228=0,0,K231-K229)</f>
        <v>145.62448475227575</v>
      </c>
      <c r="L232" s="330">
        <f>IF(L228=0,0,L231-L229)</f>
        <v>3.1443975353686255</v>
      </c>
      <c r="M232" s="274"/>
      <c r="N232" s="156">
        <f>IF(N228=0,0,N231-N229)</f>
        <v>14.442523792480642</v>
      </c>
      <c r="O232" s="196"/>
      <c r="P232" s="156">
        <f>IF(P228=0,0,P231-P229)</f>
        <v>28.978311772334564</v>
      </c>
      <c r="Q232" s="245">
        <f>IF(Q228=0,0,Q231-Q229)</f>
        <v>2.5167064267152455</v>
      </c>
      <c r="R232" s="238"/>
      <c r="S232" s="156">
        <f>IF(S228=0,0,S231-S229)</f>
        <v>26.087313914453262</v>
      </c>
      <c r="T232" s="196"/>
      <c r="U232" s="156">
        <f>IF(U228=0,0,U231-U229)</f>
        <v>114.62448475227575</v>
      </c>
      <c r="V232" s="245">
        <f>IF(V228=0,0,V231-V229)</f>
        <v>5.0372642303409521</v>
      </c>
      <c r="W232" s="238"/>
      <c r="X232" s="156">
        <f>IF(X228=0,0,X231-X229)</f>
        <v>22.598632493791229</v>
      </c>
      <c r="Y232" s="196"/>
      <c r="Z232" s="156">
        <f>IF(Z228=0,0,Z231-Z229)</f>
        <v>145.62448475227575</v>
      </c>
      <c r="AA232" s="245">
        <f>IF(AA228=0,0,AA231-AA229)</f>
        <v>3.1443975353686255</v>
      </c>
      <c r="AB232" s="265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</row>
    <row r="233" spans="1:42" s="192" customFormat="1" ht="12" thickBot="1">
      <c r="A233" s="37"/>
      <c r="B233" s="37"/>
      <c r="C233" s="37"/>
      <c r="D233" s="297"/>
      <c r="E233" s="297" t="s">
        <v>289</v>
      </c>
      <c r="F233" s="297" t="str">
        <f t="shared" si="377"/>
        <v>Домашнее хозяйство</v>
      </c>
      <c r="G233" s="297" t="s">
        <v>219</v>
      </c>
      <c r="H233" s="377"/>
      <c r="I233" s="378">
        <f>I230-I232</f>
        <v>0</v>
      </c>
      <c r="J233" s="379"/>
      <c r="K233" s="378">
        <f>K230-K232</f>
        <v>0</v>
      </c>
      <c r="L233" s="380">
        <f>L230-L232</f>
        <v>0</v>
      </c>
      <c r="M233" s="300"/>
      <c r="N233" s="298">
        <f>N230-N232</f>
        <v>0</v>
      </c>
      <c r="O233" s="299"/>
      <c r="P233" s="298">
        <f>P230-P232</f>
        <v>0</v>
      </c>
      <c r="Q233" s="301">
        <f>Q230-Q232</f>
        <v>0</v>
      </c>
      <c r="R233" s="302"/>
      <c r="S233" s="298">
        <f>S230-S232</f>
        <v>0</v>
      </c>
      <c r="T233" s="299"/>
      <c r="U233" s="298">
        <f>U230-U232</f>
        <v>0</v>
      </c>
      <c r="V233" s="301">
        <f>V230-V232</f>
        <v>0</v>
      </c>
      <c r="W233" s="302"/>
      <c r="X233" s="298">
        <f>X230-X232</f>
        <v>0</v>
      </c>
      <c r="Y233" s="299"/>
      <c r="Z233" s="298">
        <f>Z230-Z232</f>
        <v>0</v>
      </c>
      <c r="AA233" s="301">
        <f>AA230-AA232</f>
        <v>0</v>
      </c>
      <c r="AB233" s="265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</row>
    <row r="234" spans="1:42" s="111" customFormat="1" ht="11.25">
      <c r="A234" s="108"/>
      <c r="B234" s="108"/>
      <c r="C234" s="108" t="s">
        <v>271</v>
      </c>
      <c r="D234" s="291"/>
      <c r="E234" s="291"/>
      <c r="F234" s="291" t="str">
        <f>F235</f>
        <v>Спортивный инвентарь</v>
      </c>
      <c r="G234" s="291"/>
      <c r="H234" s="373"/>
      <c r="I234" s="374">
        <f>I235-K235-L235</f>
        <v>0</v>
      </c>
      <c r="J234" s="375">
        <f>N234+N252+N290+SUM(O:O)+S234+S252+S290+SUM(T:T)+X234+X252+X290+SUM(Y:Y)</f>
        <v>3.7104683769939584E-9</v>
      </c>
      <c r="K234" s="373"/>
      <c r="L234" s="376"/>
      <c r="M234" s="293"/>
      <c r="N234" s="292">
        <f>N235-P235-Q235</f>
        <v>0</v>
      </c>
      <c r="O234" s="294"/>
      <c r="P234" s="291"/>
      <c r="Q234" s="295"/>
      <c r="R234" s="296"/>
      <c r="S234" s="292">
        <f>S235-U235-V235</f>
        <v>0</v>
      </c>
      <c r="T234" s="294"/>
      <c r="U234" s="291"/>
      <c r="V234" s="295"/>
      <c r="W234" s="296"/>
      <c r="X234" s="292">
        <f>X235-Z235-AA235</f>
        <v>0</v>
      </c>
      <c r="Y234" s="294"/>
      <c r="Z234" s="291"/>
      <c r="AA234" s="295"/>
      <c r="AB234" s="263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</row>
    <row r="235" spans="1:42" s="93" customFormat="1" ht="15">
      <c r="A235" s="92"/>
      <c r="B235" s="92"/>
      <c r="C235" s="92"/>
      <c r="D235" s="151" t="s">
        <v>256</v>
      </c>
      <c r="E235" s="151"/>
      <c r="F235" s="286" t="str">
        <f>микс!$H$48</f>
        <v>Спортивный инвентарь</v>
      </c>
      <c r="G235" s="151" t="s">
        <v>261</v>
      </c>
      <c r="H235" s="311"/>
      <c r="I235" s="312">
        <f>SUMIFS(операции!$V:$V,операции!$T:$T,"&lt;"&amp;I$8,операции!$X:$X,"",операции!$P:$P,$F235)+SUMIFS(операции!$V:$V,операции!$T:$T,"&lt;"&amp;I$8,операции!$X:$X,"&gt;="&amp;I$8,операции!$P:$P,$F235)</f>
        <v>186062.85999999993</v>
      </c>
      <c r="J235" s="313">
        <f>I235-I240-I246</f>
        <v>-7.2759576141834259E-11</v>
      </c>
      <c r="K235" s="312">
        <f>SUMIFS(операции!$V:$V,операции!$T:$T,"&lt;"&amp;I$8,операции!$X:$X,"",операции!$L:$L,K$9,операции!$P:$P,$F235)+SUMIFS(операции!$V:$V,операции!$T:$T,"&lt;"&amp;I$8,операции!$X:$X,"&gt;="&amp;I$8,операции!$L:$L,K$9,операции!$P:$P,$F235)</f>
        <v>186062.85999999993</v>
      </c>
      <c r="L235" s="314">
        <f>SUMIFS(операции!$V:$V,операции!$T:$T,"&lt;"&amp;I$8,операции!$X:$X,"",операции!$L:$L,L$9,операции!$P:$P,$F235)+SUMIFS(операции!$V:$V,операции!$T:$T,"&lt;"&amp;I$8,операции!$X:$X,"&gt;="&amp;I$8,операции!$L:$L,L$9,операции!$P:$P,$F235)</f>
        <v>0</v>
      </c>
      <c r="M235" s="273"/>
      <c r="N235" s="152">
        <f>SUMIFS(операции!$V:$V,операции!$T:$T,"&lt;"&amp;N$8,операции!$X:$X,"",операции!$P:$P,$F235)+SUMIFS(операции!$V:$V,операции!$T:$T,"&lt;"&amp;N$8,операции!$X:$X,"&gt;="&amp;N$8,операции!$P:$P,$F235)</f>
        <v>186062.85999999993</v>
      </c>
      <c r="O235" s="170">
        <f>N235-N240-N246</f>
        <v>-7.2759576141834259E-11</v>
      </c>
      <c r="P235" s="152">
        <f>SUMIFS(операции!$V:$V,операции!$T:$T,"&lt;"&amp;N$8,операции!$X:$X,"",операции!$L:$L,P$9,операции!$P:$P,$F235)+SUMIFS(операции!$V:$V,операции!$T:$T,"&lt;"&amp;N$8,операции!$X:$X,"&gt;="&amp;N$8,операции!$L:$L,P$9,операции!$P:$P,$F235)</f>
        <v>186062.85999999993</v>
      </c>
      <c r="Q235" s="235">
        <f>SUMIFS(операции!$V:$V,операции!$T:$T,"&lt;"&amp;N$8,операции!$X:$X,"",операции!$L:$L,Q$9,операции!$P:$P,$F235)+SUMIFS(операции!$V:$V,операции!$T:$T,"&lt;"&amp;N$8,операции!$X:$X,"&gt;="&amp;N$8,операции!$L:$L,Q$9,операции!$P:$P,$F235)</f>
        <v>0</v>
      </c>
      <c r="R235" s="236"/>
      <c r="S235" s="152">
        <f>SUMIFS(операции!$V:$V,операции!$T:$T,"&lt;"&amp;S$8,операции!$X:$X,"",операции!$P:$P,$F235)+SUMIFS(операции!$V:$V,операции!$T:$T,"&lt;"&amp;S$8,операции!$X:$X,"&gt;="&amp;S$8,операции!$P:$P,$F235)</f>
        <v>150958.78999999998</v>
      </c>
      <c r="T235" s="170">
        <f>S235-S240-S246</f>
        <v>0</v>
      </c>
      <c r="U235" s="152">
        <f>SUMIFS(операции!$V:$V,операции!$T:$T,"&lt;"&amp;S$8,операции!$X:$X,"",операции!$L:$L,U$9,операции!$P:$P,$F235)+SUMIFS(операции!$V:$V,операции!$T:$T,"&lt;"&amp;S$8,операции!$X:$X,"&gt;="&amp;S$8,операции!$L:$L,U$9,операции!$P:$P,$F235)</f>
        <v>137727.54999999999</v>
      </c>
      <c r="V235" s="235">
        <f>SUMIFS(операции!$V:$V,операции!$T:$T,"&lt;"&amp;S$8,операции!$X:$X,"",операции!$L:$L,V$9,операции!$P:$P,$F235)+SUMIFS(операции!$V:$V,операции!$T:$T,"&lt;"&amp;S$8,операции!$X:$X,"&gt;="&amp;S$8,операции!$L:$L,V$9,операции!$P:$P,$F235)</f>
        <v>13231.24</v>
      </c>
      <c r="W235" s="236"/>
      <c r="X235" s="152">
        <f>SUMIFS(операции!$V:$V,операции!$T:$T,"&lt;"&amp;X$8,операции!$X:$X,"",операции!$P:$P,$F235)+SUMIFS(операции!$V:$V,операции!$T:$T,"&lt;"&amp;X$8,операции!$X:$X,"&gt;="&amp;X$8,операции!$P:$P,$F235)</f>
        <v>158230.63999999998</v>
      </c>
      <c r="Y235" s="170">
        <f>X235-X240-X246</f>
        <v>0</v>
      </c>
      <c r="Z235" s="152">
        <f>SUMIFS(операции!$V:$V,операции!$T:$T,"&lt;"&amp;X$8,операции!$X:$X,"",операции!$L:$L,Z$9,операции!$P:$P,$F235)+SUMIFS(операции!$V:$V,операции!$T:$T,"&lt;"&amp;X$8,операции!$X:$X,"&gt;="&amp;X$8,операции!$L:$L,Z$9,операции!$P:$P,$F235)</f>
        <v>75912.299999999988</v>
      </c>
      <c r="AA235" s="235">
        <f>SUMIFS(операции!$V:$V,операции!$T:$T,"&lt;"&amp;X$8,операции!$X:$X,"",операции!$L:$L,AA$9,операции!$P:$P,$F235)+SUMIFS(операции!$V:$V,операции!$T:$T,"&lt;"&amp;X$8,операции!$X:$X,"&gt;="&amp;X$8,операции!$L:$L,AA$9,операции!$P:$P,$F235)</f>
        <v>82318.34</v>
      </c>
      <c r="AB235" s="264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</row>
    <row r="236" spans="1:42" s="192" customFormat="1" ht="11.25">
      <c r="A236" s="37"/>
      <c r="B236" s="37"/>
      <c r="C236" s="37"/>
      <c r="D236" s="191" t="s">
        <v>255</v>
      </c>
      <c r="E236" s="191"/>
      <c r="F236" s="191" t="str">
        <f>F235</f>
        <v>Спортивный инвентарь</v>
      </c>
      <c r="G236" s="191" t="s">
        <v>262</v>
      </c>
      <c r="H236" s="315"/>
      <c r="I236" s="316">
        <f>IF(I235=0,0,(SUMIFS(операции!$AF:$AF,операции!$T:$T,"&lt;"&amp;I$8,операции!$X:$X,"",операции!$P:$P,$F235)+SUMIFS(операции!$AF:$AF,операции!$T:$T,"&lt;"&amp;I$8,операции!$X:$X,"&gt;="&amp;I$8,операции!$P:$P,$F235))/I235)</f>
        <v>42208.186116616736</v>
      </c>
      <c r="J236" s="317"/>
      <c r="K236" s="316">
        <f>IF(K235=0,0,(SUMIFS(операции!$AF:$AF,операции!$T:$T,"&lt;"&amp;I$8,операции!$X:$X,"",операции!$L:$L,K$9,операции!$P:$P,$F235)+SUMIFS(операции!$AF:$AF,операции!$T:$T,"&lt;"&amp;I$8,операции!$X:$X,"&gt;="&amp;I$8,операции!$L:$L,K$9,операции!$P:$P,$F235))/K235)</f>
        <v>42208.186116616736</v>
      </c>
      <c r="L236" s="318">
        <f>IF(L235=0,0,(SUMIFS(операции!$AF:$AF,операции!$T:$T,"&lt;"&amp;I$8,операции!$X:$X,"",операции!$L:$L,L$9,операции!$P:$P,$F235)+SUMIFS(операции!$AF:$AF,операции!$T:$T,"&lt;"&amp;I$8,операции!$X:$X,"&gt;="&amp;I$8,операции!$L:$L,L$9,операции!$P:$P,$F235))/L235)</f>
        <v>0</v>
      </c>
      <c r="M236" s="274"/>
      <c r="N236" s="193">
        <f>IF(N235=0,0,(SUMIFS(операции!$AF:$AF,операции!$T:$T,"&lt;"&amp;N$8,операции!$X:$X,"",операции!$P:$P,$F235)+SUMIFS(операции!$AF:$AF,операции!$T:$T,"&lt;"&amp;N$8,операции!$X:$X,"&gt;="&amp;N$8,операции!$P:$P,$F235))/N235)</f>
        <v>42208.186116616736</v>
      </c>
      <c r="O236" s="196"/>
      <c r="P236" s="193">
        <f>IF(P235=0,0,(SUMIFS(операции!$AF:$AF,операции!$T:$T,"&lt;"&amp;N$8,операции!$X:$X,"",операции!$L:$L,P$9,операции!$P:$P,$F235)+SUMIFS(операции!$AF:$AF,операции!$T:$T,"&lt;"&amp;N$8,операции!$X:$X,"&gt;="&amp;N$8,операции!$L:$L,P$9,операции!$P:$P,$F235))/P235)</f>
        <v>42208.186116616736</v>
      </c>
      <c r="Q236" s="237">
        <f>IF(Q235=0,0,(SUMIFS(операции!$AF:$AF,операции!$T:$T,"&lt;"&amp;N$8,операции!$X:$X,"",операции!$L:$L,Q$9,операции!$P:$P,$F235)+SUMIFS(операции!$AF:$AF,операции!$T:$T,"&lt;"&amp;N$8,операции!$X:$X,"&gt;="&amp;N$8,операции!$L:$L,Q$9,операции!$P:$P,$F235))/Q235)</f>
        <v>0</v>
      </c>
      <c r="R236" s="238"/>
      <c r="S236" s="193">
        <f>IF(S235=0,0,(SUMIFS(операции!$AF:$AF,операции!$T:$T,"&lt;"&amp;S$8,операции!$X:$X,"",операции!$P:$P,$F235)+SUMIFS(операции!$AF:$AF,операции!$T:$T,"&lt;"&amp;S$8,операции!$X:$X,"&gt;="&amp;S$8,операции!$P:$P,$F235))/S235)</f>
        <v>42221.975019341378</v>
      </c>
      <c r="T236" s="196"/>
      <c r="U236" s="193">
        <f>IF(U235=0,0,(SUMIFS(операции!$AF:$AF,операции!$T:$T,"&lt;"&amp;S$8,операции!$X:$X,"",операции!$L:$L,U$9,операции!$P:$P,$F235)+SUMIFS(операции!$AF:$AF,операции!$T:$T,"&lt;"&amp;S$8,операции!$X:$X,"&gt;="&amp;S$8,операции!$L:$L,U$9,операции!$P:$P,$F235))/U235)</f>
        <v>42213.816624851024</v>
      </c>
      <c r="V236" s="237">
        <f>IF(V235=0,0,(SUMIFS(операции!$AF:$AF,операции!$T:$T,"&lt;"&amp;S$8,операции!$X:$X,"",операции!$L:$L,V$9,операции!$P:$P,$F235)+SUMIFS(операции!$AF:$AF,операции!$T:$T,"&lt;"&amp;S$8,операции!$X:$X,"&gt;="&amp;S$8,операции!$L:$L,V$9,операции!$P:$P,$F235))/V235)</f>
        <v>42306.897950607803</v>
      </c>
      <c r="W236" s="238"/>
      <c r="X236" s="193">
        <f>IF(X235=0,0,(SUMIFS(операции!$AF:$AF,операции!$T:$T,"&lt;"&amp;X$8,операции!$X:$X,"",операции!$P:$P,$F235)+SUMIFS(операции!$AF:$AF,операции!$T:$T,"&lt;"&amp;X$8,операции!$X:$X,"&gt;="&amp;X$8,операции!$P:$P,$F235))/X235)</f>
        <v>42274.658531116351</v>
      </c>
      <c r="Y236" s="196"/>
      <c r="Z236" s="193">
        <f>IF(Z235=0,0,(SUMIFS(операции!$AF:$AF,операции!$T:$T,"&lt;"&amp;X$8,операции!$X:$X,"",операции!$L:$L,Z$9,операции!$P:$P,$F235)+SUMIFS(операции!$AF:$AF,операции!$T:$T,"&lt;"&amp;X$8,операции!$X:$X,"&gt;="&amp;X$8,операции!$L:$L,Z$9,операции!$P:$P,$F235))/Z235)</f>
        <v>42207.931931715953</v>
      </c>
      <c r="AA236" s="237">
        <f>IF(AA235=0,0,(SUMIFS(операции!$AF:$AF,операции!$T:$T,"&lt;"&amp;X$8,операции!$X:$X,"",операции!$L:$L,AA$9,операции!$P:$P,$F235)+SUMIFS(операции!$AF:$AF,операции!$T:$T,"&lt;"&amp;X$8,операции!$X:$X,"&gt;="&amp;X$8,операции!$L:$L,AA$9,операции!$P:$P,$F235))/AA235)</f>
        <v>42336.192444842789</v>
      </c>
      <c r="AB236" s="265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</row>
    <row r="237" spans="1:42" s="50" customFormat="1" ht="11.25">
      <c r="A237" s="48"/>
      <c r="B237" s="48"/>
      <c r="C237" s="48"/>
      <c r="D237" s="154" t="s">
        <v>257</v>
      </c>
      <c r="E237" s="154"/>
      <c r="F237" s="154" t="str">
        <f t="shared" ref="F237:F303" si="378">F236</f>
        <v>Спортивный инвентарь</v>
      </c>
      <c r="G237" s="154" t="s">
        <v>219</v>
      </c>
      <c r="H237" s="319"/>
      <c r="I237" s="320">
        <f>IF(I235=0,0,I$8-I236)</f>
        <v>69.813883383263601</v>
      </c>
      <c r="J237" s="321">
        <f>I237-IF(I235=0,0,(I240*I242+I246*I248)/I235)</f>
        <v>-1.0274447959091049E-11</v>
      </c>
      <c r="K237" s="320">
        <f>IF(K235=0,0,I$8-K236)</f>
        <v>69.813883383263601</v>
      </c>
      <c r="L237" s="322">
        <f>IF(L235=0,0,I$8-L236)</f>
        <v>0</v>
      </c>
      <c r="M237" s="275"/>
      <c r="N237" s="155">
        <f>IF(N235=0,0,N$8-N236)</f>
        <v>69.813883383263601</v>
      </c>
      <c r="O237" s="173">
        <f>N237-IF(N235=0,0,(N240*N242+N246*N248)/N235)</f>
        <v>-1.0274447959091049E-11</v>
      </c>
      <c r="P237" s="155">
        <f>IF(P235=0,0,N$8-P236)</f>
        <v>69.813883383263601</v>
      </c>
      <c r="Q237" s="239">
        <f>IF(Q235=0,0,N$8-Q236)</f>
        <v>0</v>
      </c>
      <c r="R237" s="240"/>
      <c r="S237" s="155">
        <f>IF(S235=0,0,S$8-S236)</f>
        <v>87.024980658621644</v>
      </c>
      <c r="T237" s="173">
        <f>S237-IF(S235=0,0,(S240*S242+S246*S248)/S235)</f>
        <v>-7.617018127348274E-12</v>
      </c>
      <c r="U237" s="155">
        <f>IF(U235=0,0,S$8-U236)</f>
        <v>95.183375148975756</v>
      </c>
      <c r="V237" s="239">
        <f>IF(V235=0,0,S$8-V236)</f>
        <v>2.1020493921969319</v>
      </c>
      <c r="W237" s="240"/>
      <c r="X237" s="155">
        <f>IF(X235=0,0,X$8-X236)</f>
        <v>64.341468883649213</v>
      </c>
      <c r="Y237" s="173">
        <f>X237-IF(X235=0,0,(X240*X242+X246*X248)/X235)</f>
        <v>-1.2221335055073723E-12</v>
      </c>
      <c r="Z237" s="155">
        <f>IF(Z235=0,0,X$8-Z236)</f>
        <v>131.0680682840466</v>
      </c>
      <c r="AA237" s="239">
        <f>IF(AA235=0,0,X$8-AA236)</f>
        <v>2.8075551572110271</v>
      </c>
      <c r="AB237" s="230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</row>
    <row r="238" spans="1:42" s="93" customFormat="1" ht="15">
      <c r="A238" s="92"/>
      <c r="B238" s="92"/>
      <c r="C238" s="92"/>
      <c r="D238" s="198" t="s">
        <v>267</v>
      </c>
      <c r="E238" s="198"/>
      <c r="F238" s="198" t="str">
        <f t="shared" si="378"/>
        <v>Спортивный инвентарь</v>
      </c>
      <c r="G238" s="198" t="s">
        <v>219</v>
      </c>
      <c r="H238" s="323"/>
      <c r="I238" s="324">
        <f>IF(I235=0,0,(I240*I244+I246*I250)/I235)</f>
        <v>33.761832210887498</v>
      </c>
      <c r="J238" s="321"/>
      <c r="K238" s="324">
        <f t="shared" ref="K238" si="379">IF(K235=0,0,(K240*K244+K246*K250)/K235)</f>
        <v>33.761832210887498</v>
      </c>
      <c r="L238" s="325">
        <f>IF(L235=0,0,(L240*L244+L246*L250)/L235)</f>
        <v>0</v>
      </c>
      <c r="M238" s="276"/>
      <c r="N238" s="199">
        <f>IF(N235=0,0,(N240*N244+N246*N250)/N235)</f>
        <v>33.761832210887498</v>
      </c>
      <c r="O238" s="173"/>
      <c r="P238" s="199">
        <f t="shared" ref="P238" si="380">IF(P235=0,0,(P240*P244+P246*P250)/P235)</f>
        <v>33.761832210887498</v>
      </c>
      <c r="Q238" s="241">
        <f>IF(Q235=0,0,(Q240*Q244+Q246*Q250)/Q235)</f>
        <v>0</v>
      </c>
      <c r="R238" s="242"/>
      <c r="S238" s="199">
        <f>IF(S235=0,0,(S240*S244+S246*S250)/S235)</f>
        <v>32.410405117852292</v>
      </c>
      <c r="T238" s="173"/>
      <c r="U238" s="199">
        <f t="shared" ref="U238" si="381">IF(U235=0,0,(U240*U244+U246*U250)/U235)</f>
        <v>35.322074777347176</v>
      </c>
      <c r="V238" s="241">
        <f>IF(V235=0,0,(V240*V244+V246*V250)/V235)</f>
        <v>2.1020493921969319</v>
      </c>
      <c r="W238" s="242"/>
      <c r="X238" s="199">
        <f>IF(X235=0,0,(X240*X244+X246*X250)/X235)</f>
        <v>21.678595877510229</v>
      </c>
      <c r="Y238" s="173"/>
      <c r="Z238" s="199">
        <f t="shared" ref="Z238" si="382">IF(Z235=0,0,(Z240*Z244+Z246*Z250)/Z235)</f>
        <v>42.142114255522429</v>
      </c>
      <c r="AA238" s="241">
        <f>IF(AA235=0,0,(AA240*AA244+AA246*AA250)/AA235)</f>
        <v>2.807555157218304</v>
      </c>
      <c r="AB238" s="264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</row>
    <row r="239" spans="1:42" s="50" customFormat="1" ht="11.25">
      <c r="A239" s="48"/>
      <c r="B239" s="48"/>
      <c r="C239" s="48"/>
      <c r="D239" s="154" t="s">
        <v>270</v>
      </c>
      <c r="E239" s="154"/>
      <c r="F239" s="154" t="str">
        <f t="shared" si="378"/>
        <v>Спортивный инвентарь</v>
      </c>
      <c r="G239" s="154" t="s">
        <v>219</v>
      </c>
      <c r="H239" s="319"/>
      <c r="I239" s="320">
        <f>I237-I238</f>
        <v>36.052051172376103</v>
      </c>
      <c r="J239" s="321"/>
      <c r="K239" s="320">
        <f t="shared" ref="K239" si="383">K237-K238</f>
        <v>36.052051172376103</v>
      </c>
      <c r="L239" s="322">
        <f t="shared" ref="L239" si="384">L237-L238</f>
        <v>0</v>
      </c>
      <c r="M239" s="275"/>
      <c r="N239" s="155">
        <f>N237-N238</f>
        <v>36.052051172376103</v>
      </c>
      <c r="O239" s="173"/>
      <c r="P239" s="155">
        <f t="shared" ref="P239" si="385">P237-P238</f>
        <v>36.052051172376103</v>
      </c>
      <c r="Q239" s="239">
        <f t="shared" ref="Q239" si="386">Q237-Q238</f>
        <v>0</v>
      </c>
      <c r="R239" s="240"/>
      <c r="S239" s="155">
        <f>S237-S238</f>
        <v>54.614575540769351</v>
      </c>
      <c r="T239" s="173"/>
      <c r="U239" s="155">
        <f t="shared" ref="U239" si="387">U237-U238</f>
        <v>59.86130037162858</v>
      </c>
      <c r="V239" s="239">
        <f t="shared" ref="V239" si="388">V237-V238</f>
        <v>0</v>
      </c>
      <c r="W239" s="240"/>
      <c r="X239" s="155">
        <f>X237-X238</f>
        <v>42.66287300613898</v>
      </c>
      <c r="Y239" s="173"/>
      <c r="Z239" s="155">
        <f t="shared" ref="Z239" si="389">Z237-Z238</f>
        <v>88.925954028524174</v>
      </c>
      <c r="AA239" s="239">
        <f t="shared" ref="AA239" si="390">AA237-AA238</f>
        <v>-7.276845792603126E-12</v>
      </c>
      <c r="AB239" s="230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</row>
    <row r="240" spans="1:42" s="5" customFormat="1">
      <c r="A240" s="1"/>
      <c r="B240" s="1"/>
      <c r="C240" s="1"/>
      <c r="D240" s="168"/>
      <c r="E240" s="168" t="s">
        <v>258</v>
      </c>
      <c r="F240" s="168" t="str">
        <f t="shared" si="378"/>
        <v>Спортивный инвентарь</v>
      </c>
      <c r="G240" s="168" t="s">
        <v>261</v>
      </c>
      <c r="H240" s="326"/>
      <c r="I240" s="327">
        <f>SUMIFS(операции!$V:$V,операции!$T:$T,"&lt;"&amp;I$8,операции!$X:$X,"",операции!$AB:$AB,"&lt;&gt;"&amp;"",операции!$AB:$AB,"&lt;"&amp;I$8,операции!$P:$P,$F235)+SUMIFS(операции!$V:$V,операции!$T:$T,"&lt;"&amp;I$8,операции!$X:$X,"&gt;="&amp;I$8,операции!$AB:$AB,"&lt;&gt;"&amp;"",операции!$AB:$AB,"&lt;"&amp;I$8,операции!$P:$P,$F235)</f>
        <v>124705.66</v>
      </c>
      <c r="J240" s="313">
        <f>I240-K240-L240</f>
        <v>0</v>
      </c>
      <c r="K240" s="327">
        <f>SUMIFS(операции!$V:$V,операции!$T:$T,"&lt;"&amp;I$8,операции!$X:$X,"",операции!$AB:$AB,"&lt;&gt;"&amp;"",операции!$AB:$AB,"&lt;"&amp;I$8,операции!$L:$L,K$9,операции!$P:$P,$F235)+SUMIFS(операции!$V:$V,операции!$T:$T,"&lt;"&amp;I$8,операции!$X:$X,"&gt;="&amp;I$8,операции!$AB:$AB,"&lt;&gt;"&amp;"",операции!$AB:$AB,"&lt;"&amp;I$8,операции!$L:$L,K$9,операции!$P:$P,$F235)</f>
        <v>124705.66</v>
      </c>
      <c r="L240" s="328">
        <f>SUMIFS(операции!$V:$V,операции!$T:$T,"&lt;"&amp;I$8,операции!$X:$X,"",операции!$AB:$AB,"&lt;&gt;"&amp;"",операции!$AB:$AB,"&lt;"&amp;I$8,операции!$L:$L,L$9,операции!$P:$P,$F235)+SUMIFS(операции!$V:$V,операции!$T:$T,"&lt;"&amp;I$8,операции!$X:$X,"&gt;="&amp;I$8,операции!$AB:$AB,"&lt;&gt;"&amp;"",операции!$AB:$AB,"&lt;"&amp;I$8,операции!$L:$L,L$9,операции!$P:$P,$F235)</f>
        <v>0</v>
      </c>
      <c r="M240" s="277"/>
      <c r="N240" s="169">
        <f>SUMIFS(операции!$V:$V,операции!$T:$T,"&lt;"&amp;N$8,операции!$X:$X,"",операции!$AB:$AB,"&lt;&gt;"&amp;"",операции!$AB:$AB,"&lt;"&amp;N$8,операции!$P:$P,$F235)+SUMIFS(операции!$V:$V,операции!$T:$T,"&lt;"&amp;N$8,операции!$X:$X,"&gt;="&amp;N$8,операции!$AB:$AB,"&lt;&gt;"&amp;"",операции!$AB:$AB,"&lt;"&amp;N$8,операции!$P:$P,$F235)</f>
        <v>124705.66</v>
      </c>
      <c r="O240" s="170">
        <f>N240-P240-Q240</f>
        <v>0</v>
      </c>
      <c r="P240" s="169">
        <f>SUMIFS(операции!$V:$V,операции!$T:$T,"&lt;"&amp;N$8,операции!$X:$X,"",операции!$AB:$AB,"&lt;&gt;"&amp;"",операции!$AB:$AB,"&lt;"&amp;N$8,операции!$L:$L,P$9,операции!$P:$P,$F235)+SUMIFS(операции!$V:$V,операции!$T:$T,"&lt;"&amp;N$8,операции!$X:$X,"&gt;="&amp;N$8,операции!$AB:$AB,"&lt;&gt;"&amp;"",операции!$AB:$AB,"&lt;"&amp;N$8,операции!$L:$L,P$9,операции!$P:$P,$F235)</f>
        <v>124705.66</v>
      </c>
      <c r="Q240" s="243">
        <f>SUMIFS(операции!$V:$V,операции!$T:$T,"&lt;"&amp;N$8,операции!$X:$X,"",операции!$AB:$AB,"&lt;&gt;"&amp;"",операции!$AB:$AB,"&lt;"&amp;N$8,операции!$L:$L,Q$9,операции!$P:$P,$F235)+SUMIFS(операции!$V:$V,операции!$T:$T,"&lt;"&amp;N$8,операции!$X:$X,"&gt;="&amp;N$8,операции!$AB:$AB,"&lt;&gt;"&amp;"",операции!$AB:$AB,"&lt;"&amp;N$8,операции!$L:$L,Q$9,операции!$P:$P,$F235)</f>
        <v>0</v>
      </c>
      <c r="R240" s="244"/>
      <c r="S240" s="169">
        <f>SUMIFS(операции!$V:$V,операции!$T:$T,"&lt;"&amp;S$8,операции!$X:$X,"",операции!$AB:$AB,"&lt;&gt;"&amp;"",операции!$AB:$AB,"&lt;"&amp;S$8,операции!$P:$P,$F235)+SUMIFS(операции!$V:$V,операции!$T:$T,"&lt;"&amp;S$8,операции!$X:$X,"&gt;="&amp;S$8,операции!$AB:$AB,"&lt;&gt;"&amp;"",операции!$AB:$AB,"&lt;"&amp;S$8,операции!$P:$P,$F235)</f>
        <v>109722.39</v>
      </c>
      <c r="T240" s="170">
        <f>S240-U240-V240</f>
        <v>0</v>
      </c>
      <c r="U240" s="169">
        <f>SUMIFS(операции!$V:$V,операции!$T:$T,"&lt;"&amp;S$8,операции!$X:$X,"",операции!$AB:$AB,"&lt;&gt;"&amp;"",операции!$AB:$AB,"&lt;"&amp;S$8,операции!$L:$L,U$9,операции!$P:$P,$F235)+SUMIFS(операции!$V:$V,операции!$T:$T,"&lt;"&amp;S$8,операции!$X:$X,"&gt;="&amp;S$8,операции!$AB:$AB,"&lt;&gt;"&amp;"",операции!$AB:$AB,"&lt;"&amp;S$8,операции!$L:$L,U$9,операции!$P:$P,$F235)</f>
        <v>109722.39</v>
      </c>
      <c r="V240" s="243">
        <f>SUMIFS(операции!$V:$V,операции!$T:$T,"&lt;"&amp;S$8,операции!$X:$X,"",операции!$AB:$AB,"&lt;&gt;"&amp;"",операции!$AB:$AB,"&lt;"&amp;S$8,операции!$L:$L,V$9,операции!$P:$P,$F235)+SUMIFS(операции!$V:$V,операции!$T:$T,"&lt;"&amp;S$8,операции!$X:$X,"&gt;="&amp;S$8,операции!$AB:$AB,"&lt;&gt;"&amp;"",операции!$AB:$AB,"&lt;"&amp;S$8,операции!$L:$L,V$9,операции!$P:$P,$F235)</f>
        <v>0</v>
      </c>
      <c r="W240" s="244"/>
      <c r="X240" s="169">
        <f>SUMIFS(операции!$V:$V,операции!$T:$T,"&lt;"&amp;X$8,операции!$X:$X,"",операции!$AB:$AB,"&lt;&gt;"&amp;"",операции!$AB:$AB,"&lt;"&amp;X$8,операции!$P:$P,$F235)+SUMIFS(операции!$V:$V,операции!$T:$T,"&lt;"&amp;X$8,операции!$X:$X,"&gt;="&amp;X$8,операции!$AB:$AB,"&lt;&gt;"&amp;"",операции!$AB:$AB,"&lt;"&amp;X$8,операции!$P:$P,$F235)</f>
        <v>66185.47</v>
      </c>
      <c r="Y240" s="170">
        <f>X240-Z240-AA240</f>
        <v>0</v>
      </c>
      <c r="Z240" s="169">
        <f>SUMIFS(операции!$V:$V,операции!$T:$T,"&lt;"&amp;X$8,операции!$X:$X,"",операции!$AB:$AB,"&lt;&gt;"&amp;"",операции!$AB:$AB,"&lt;"&amp;X$8,операции!$L:$L,Z$9,операции!$P:$P,$F235)+SUMIFS(операции!$V:$V,операции!$T:$T,"&lt;"&amp;X$8,операции!$X:$X,"&gt;="&amp;X$8,операции!$AB:$AB,"&lt;&gt;"&amp;"",операции!$AB:$AB,"&lt;"&amp;X$8,операции!$L:$L,Z$9,операции!$P:$P,$F235)</f>
        <v>66185.47</v>
      </c>
      <c r="AA240" s="243">
        <f>SUMIFS(операции!$V:$V,операции!$T:$T,"&lt;"&amp;X$8,операции!$X:$X,"",операции!$AB:$AB,"&lt;&gt;"&amp;"",операции!$AB:$AB,"&lt;"&amp;X$8,операции!$L:$L,AA$9,операции!$P:$P,$F235)+SUMIFS(операции!$V:$V,операции!$T:$T,"&lt;"&amp;X$8,операции!$X:$X,"&gt;="&amp;X$8,операции!$AB:$AB,"&lt;&gt;"&amp;"",операции!$AB:$AB,"&lt;"&amp;X$8,операции!$L:$L,AA$9,операции!$P:$P,$F235)</f>
        <v>0</v>
      </c>
      <c r="AB240" s="26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s="192" customFormat="1" ht="11.25">
      <c r="A241" s="37"/>
      <c r="B241" s="37"/>
      <c r="C241" s="37"/>
      <c r="D241" s="191"/>
      <c r="E241" s="191" t="s">
        <v>255</v>
      </c>
      <c r="F241" s="191" t="str">
        <f t="shared" si="378"/>
        <v>Спортивный инвентарь</v>
      </c>
      <c r="G241" s="191" t="s">
        <v>262</v>
      </c>
      <c r="H241" s="315"/>
      <c r="I241" s="316">
        <f>IF(I240=0,0,(SUMIFS(операции!$AF:$AF,операции!$T:$T,"&lt;"&amp;I$8,операции!$X:$X,"",операции!$AB:$AB,"&lt;&gt;"&amp;"",операции!$AB:$AB,"&lt;"&amp;I$8,операции!$P:$P,$F235)+SUMIFS(операции!$AF:$AF,операции!$T:$T,"&lt;"&amp;I$8,операции!$X:$X,"&gt;="&amp;I$8,операции!$AB:$AB,"&lt;&gt;"&amp;"",операции!$AB:$AB,"&lt;"&amp;I$8,операции!$P:$P,$F235))/I240)</f>
        <v>42196.387504143771</v>
      </c>
      <c r="J241" s="317"/>
      <c r="K241" s="316">
        <f>IF(K240=0,0,(SUMIFS(операции!$AF:$AF,операции!$T:$T,"&lt;"&amp;I$8,операции!$X:$X,"",операции!$AB:$AB,"&lt;&gt;"&amp;"",операции!$AB:$AB,"&lt;"&amp;I$8,операции!$L:$L,K$9,операции!$P:$P,$F235)+SUMIFS(операции!$AF:$AF,операции!$T:$T,"&lt;"&amp;I$8,операции!$X:$X,"&gt;="&amp;I$8,операции!$AB:$AB,"&lt;&gt;"&amp;"",операции!$AB:$AB,"&lt;"&amp;I$8,операции!$L:$L,K$9,операции!$P:$P,$F235))/K240)</f>
        <v>42196.387504143771</v>
      </c>
      <c r="L241" s="318">
        <f>IF(L240=0,0,(SUMIFS(операции!$AF:$AF,операции!$T:$T,"&lt;"&amp;I$8,операции!$X:$X,"",операции!$AB:$AB,"&lt;&gt;"&amp;"",операции!$AB:$AB,"&lt;"&amp;I$8,операции!$L:$L,L$9,операции!$P:$P,$F235)+SUMIFS(операции!$AF:$AF,операции!$T:$T,"&lt;"&amp;I$8,операции!$X:$X,"&gt;="&amp;I$8,операции!$AB:$AB,"&lt;&gt;"&amp;"",операции!$AB:$AB,"&lt;"&amp;I$8,операции!$L:$L,L$9,операции!$P:$P,$F235))/L240)</f>
        <v>0</v>
      </c>
      <c r="M241" s="274"/>
      <c r="N241" s="193">
        <f>IF(N240=0,0,(SUMIFS(операции!$AF:$AF,операции!$T:$T,"&lt;"&amp;N$8,операции!$X:$X,"",операции!$AB:$AB,"&lt;&gt;"&amp;"",операции!$AB:$AB,"&lt;"&amp;N$8,операции!$P:$P,$F235)+SUMIFS(операции!$AF:$AF,операции!$T:$T,"&lt;"&amp;N$8,операции!$X:$X,"&gt;="&amp;N$8,операции!$AB:$AB,"&lt;&gt;"&amp;"",операции!$AB:$AB,"&lt;"&amp;N$8,операции!$P:$P,$F235))/N240)</f>
        <v>42196.387504143771</v>
      </c>
      <c r="O241" s="196"/>
      <c r="P241" s="193">
        <f>IF(P240=0,0,(SUMIFS(операции!$AF:$AF,операции!$T:$T,"&lt;"&amp;N$8,операции!$X:$X,"",операции!$AB:$AB,"&lt;&gt;"&amp;"",операции!$AB:$AB,"&lt;"&amp;N$8,операции!$L:$L,P$9,операции!$P:$P,$F235)+SUMIFS(операции!$AF:$AF,операции!$T:$T,"&lt;"&amp;N$8,операции!$X:$X,"&gt;="&amp;N$8,операции!$AB:$AB,"&lt;&gt;"&amp;"",операции!$AB:$AB,"&lt;"&amp;N$8,операции!$L:$L,P$9,операции!$P:$P,$F235))/P240)</f>
        <v>42196.387504143771</v>
      </c>
      <c r="Q241" s="237">
        <f>IF(Q240=0,0,(SUMIFS(операции!$AF:$AF,операции!$T:$T,"&lt;"&amp;N$8,операции!$X:$X,"",операции!$AB:$AB,"&lt;&gt;"&amp;"",операции!$AB:$AB,"&lt;"&amp;N$8,операции!$L:$L,Q$9,операции!$P:$P,$F235)+SUMIFS(операции!$AF:$AF,операции!$T:$T,"&lt;"&amp;N$8,операции!$X:$X,"&gt;="&amp;N$8,операции!$AB:$AB,"&lt;&gt;"&amp;"",операции!$AB:$AB,"&lt;"&amp;N$8,операции!$L:$L,Q$9,операции!$P:$P,$F235))/Q240)</f>
        <v>0</v>
      </c>
      <c r="R241" s="238"/>
      <c r="S241" s="193">
        <f>IF(S240=0,0,(SUMIFS(операции!$AF:$AF,операции!$T:$T,"&lt;"&amp;S$8,операции!$X:$X,"",операции!$AB:$AB,"&lt;&gt;"&amp;"",операции!$AB:$AB,"&lt;"&amp;S$8,операции!$P:$P,$F235)+SUMIFS(операции!$AF:$AF,операции!$T:$T,"&lt;"&amp;S$8,операции!$X:$X,"&gt;="&amp;S$8,операции!$AB:$AB,"&lt;&gt;"&amp;"",операции!$AB:$AB,"&lt;"&amp;S$8,операции!$P:$P,$F235))/S240)</f>
        <v>42206.677258761862</v>
      </c>
      <c r="T241" s="196"/>
      <c r="U241" s="193">
        <f>IF(U240=0,0,(SUMIFS(операции!$AF:$AF,операции!$T:$T,"&lt;"&amp;S$8,операции!$X:$X,"",операции!$AB:$AB,"&lt;&gt;"&amp;"",операции!$AB:$AB,"&lt;"&amp;S$8,операции!$L:$L,U$9,операции!$P:$P,$F235)+SUMIFS(операции!$AF:$AF,операции!$T:$T,"&lt;"&amp;S$8,операции!$X:$X,"&gt;="&amp;S$8,операции!$AB:$AB,"&lt;&gt;"&amp;"",операции!$AB:$AB,"&lt;"&amp;S$8,операции!$L:$L,U$9,операции!$P:$P,$F235))/U240)</f>
        <v>42206.677258761862</v>
      </c>
      <c r="V241" s="237">
        <f>IF(V240=0,0,(SUMIFS(операции!$AF:$AF,операции!$T:$T,"&lt;"&amp;S$8,операции!$X:$X,"",операции!$AB:$AB,"&lt;&gt;"&amp;"",операции!$AB:$AB,"&lt;"&amp;S$8,операции!$L:$L,V$9,операции!$P:$P,$F235)+SUMIFS(операции!$AF:$AF,операции!$T:$T,"&lt;"&amp;S$8,операции!$X:$X,"&gt;="&amp;S$8,операции!$AB:$AB,"&lt;&gt;"&amp;"",операции!$AB:$AB,"&lt;"&amp;S$8,операции!$L:$L,V$9,операции!$P:$P,$F235))/V240)</f>
        <v>0</v>
      </c>
      <c r="W241" s="238"/>
      <c r="X241" s="193">
        <f>IF(X240=0,0,(SUMIFS(операции!$AF:$AF,операции!$T:$T,"&lt;"&amp;X$8,операции!$X:$X,"",операции!$AB:$AB,"&lt;&gt;"&amp;"",операции!$AB:$AB,"&lt;"&amp;X$8,операции!$P:$P,$F235)+SUMIFS(операции!$AF:$AF,операции!$T:$T,"&lt;"&amp;X$8,операции!$X:$X,"&gt;="&amp;X$8,операции!$AB:$AB,"&lt;&gt;"&amp;"",операции!$AB:$AB,"&lt;"&amp;X$8,операции!$P:$P,$F235))/X240)</f>
        <v>42207.658943269576</v>
      </c>
      <c r="Y241" s="196"/>
      <c r="Z241" s="193">
        <f>IF(Z240=0,0,(SUMIFS(операции!$AF:$AF,операции!$T:$T,"&lt;"&amp;X$8,операции!$X:$X,"",операции!$AB:$AB,"&lt;&gt;"&amp;"",операции!$AB:$AB,"&lt;"&amp;X$8,операции!$L:$L,Z$9,операции!$P:$P,$F235)+SUMIFS(операции!$AF:$AF,операции!$T:$T,"&lt;"&amp;X$8,операции!$X:$X,"&gt;="&amp;X$8,операции!$AB:$AB,"&lt;&gt;"&amp;"",операции!$AB:$AB,"&lt;"&amp;X$8,операции!$L:$L,Z$9,операции!$P:$P,$F235))/Z240)</f>
        <v>42207.658943269576</v>
      </c>
      <c r="AA241" s="237">
        <f>IF(AA240=0,0,(SUMIFS(операции!$AF:$AF,операции!$T:$T,"&lt;"&amp;X$8,операции!$X:$X,"",операции!$AB:$AB,"&lt;&gt;"&amp;"",операции!$AB:$AB,"&lt;"&amp;X$8,операции!$L:$L,AA$9,операции!$P:$P,$F235)+SUMIFS(операции!$AF:$AF,операции!$T:$T,"&lt;"&amp;X$8,операции!$X:$X,"&gt;="&amp;X$8,операции!$AB:$AB,"&lt;&gt;"&amp;"",операции!$AB:$AB,"&lt;"&amp;X$8,операции!$L:$L,AA$9,операции!$P:$P,$F235))/AA240)</f>
        <v>0</v>
      </c>
      <c r="AB241" s="265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</row>
    <row r="242" spans="1:42" s="192" customFormat="1" ht="11.25">
      <c r="A242" s="37"/>
      <c r="B242" s="37"/>
      <c r="C242" s="37"/>
      <c r="D242" s="191"/>
      <c r="E242" s="191" t="s">
        <v>260</v>
      </c>
      <c r="F242" s="191" t="str">
        <f t="shared" si="378"/>
        <v>Спортивный инвентарь</v>
      </c>
      <c r="G242" s="191" t="s">
        <v>219</v>
      </c>
      <c r="H242" s="315"/>
      <c r="I242" s="329">
        <f>IF(I240=0,0,I$8-I241)</f>
        <v>81.612495856228634</v>
      </c>
      <c r="J242" s="317"/>
      <c r="K242" s="329">
        <f>IF(K240=0,0,I$8-K241)</f>
        <v>81.612495856228634</v>
      </c>
      <c r="L242" s="330">
        <f>IF(L240=0,0,I$8-L241)</f>
        <v>0</v>
      </c>
      <c r="M242" s="274"/>
      <c r="N242" s="156">
        <f>IF(N240=0,0,N$8-N241)</f>
        <v>81.612495856228634</v>
      </c>
      <c r="O242" s="196"/>
      <c r="P242" s="156">
        <f>IF(P240=0,0,N$8-P241)</f>
        <v>81.612495856228634</v>
      </c>
      <c r="Q242" s="245">
        <f>IF(Q240=0,0,N$8-Q241)</f>
        <v>0</v>
      </c>
      <c r="R242" s="238"/>
      <c r="S242" s="156">
        <f>IF(S240=0,0,S$8-S241)</f>
        <v>102.32274123813841</v>
      </c>
      <c r="T242" s="196"/>
      <c r="U242" s="156">
        <f>IF(U240=0,0,S$8-U241)</f>
        <v>102.32274123813841</v>
      </c>
      <c r="V242" s="245">
        <f>IF(V240=0,0,S$8-V241)</f>
        <v>0</v>
      </c>
      <c r="W242" s="238"/>
      <c r="X242" s="156">
        <f>IF(X240=0,0,X$8-X241)</f>
        <v>131.34105673042359</v>
      </c>
      <c r="Y242" s="196"/>
      <c r="Z242" s="156">
        <f>IF(Z240=0,0,X$8-Z241)</f>
        <v>131.34105673042359</v>
      </c>
      <c r="AA242" s="245">
        <f>IF(AA240=0,0,X$8-AA241)</f>
        <v>0</v>
      </c>
      <c r="AB242" s="265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</row>
    <row r="243" spans="1:42" s="192" customFormat="1" ht="11.25">
      <c r="A243" s="37"/>
      <c r="B243" s="37"/>
      <c r="C243" s="37"/>
      <c r="D243" s="191"/>
      <c r="E243" s="191" t="s">
        <v>259</v>
      </c>
      <c r="F243" s="191" t="str">
        <f t="shared" si="378"/>
        <v>Спортивный инвентарь</v>
      </c>
      <c r="G243" s="191" t="s">
        <v>262</v>
      </c>
      <c r="H243" s="315"/>
      <c r="I243" s="316">
        <f>IF(I240=0,0,(SUMIFS(операции!$AH:$AH,операции!$T:$T,"&lt;"&amp;I$8,операции!$X:$X,"",операции!$AB:$AB,"&lt;&gt;"&amp;"",операции!$AB:$AB,"&lt;"&amp;I$8,операции!$P:$P,$F235)+SUMIFS(операции!$AH:$AH,операции!$T:$T,"&lt;"&amp;I$8,операции!$X:$X,"&gt;="&amp;I$8,операции!$AB:$AB,"&lt;&gt;"&amp;"",операции!$AB:$AB,"&lt;"&amp;I$8,операции!$P:$P,$F235))/I240)</f>
        <v>42224.209757039091</v>
      </c>
      <c r="J243" s="317"/>
      <c r="K243" s="316">
        <f>IF(K240=0,0,(SUMIFS(операции!$AH:$AH,операции!$T:$T,"&lt;"&amp;I$8,операции!$X:$X,"",операции!$AB:$AB,"&lt;&gt;"&amp;"",операции!$AB:$AB,"&lt;"&amp;I$8,операции!$L:$L,K$9,операции!$P:$P,$F235)+SUMIFS(операции!$AH:$AH,операции!$T:$T,"&lt;"&amp;I$8,операции!$X:$X,"&gt;="&amp;I$8,операции!$AB:$AB,"&lt;&gt;"&amp;"",операции!$AB:$AB,"&lt;"&amp;I$8,операции!$L:$L,K$9,операции!$P:$P,$F235))/K240)</f>
        <v>42224.209757039091</v>
      </c>
      <c r="L243" s="318">
        <f>IF(L240=0,0,(SUMIFS(операции!$AH:$AH,операции!$T:$T,"&lt;"&amp;I$8,операции!$X:$X,"",операции!$AB:$AB,"&lt;&gt;"&amp;"",операции!$AB:$AB,"&lt;"&amp;I$8,операции!$L:$L,L$9,операции!$P:$P,$F235)+SUMIFS(операции!$AH:$AH,операции!$T:$T,"&lt;"&amp;I$8,операции!$X:$X,"&gt;="&amp;I$8,операции!$AB:$AB,"&lt;&gt;"&amp;"",операции!$AB:$AB,"&lt;"&amp;I$8,операции!$L:$L,L$9,операции!$P:$P,$F235))/L240)</f>
        <v>0</v>
      </c>
      <c r="M243" s="274"/>
      <c r="N243" s="193">
        <f>IF(N240=0,0,(SUMIFS(операции!$AH:$AH,операции!$T:$T,"&lt;"&amp;N$8,операции!$X:$X,"",операции!$AB:$AB,"&lt;&gt;"&amp;"",операции!$AB:$AB,"&lt;"&amp;N$8,операции!$P:$P,$F235)+SUMIFS(операции!$AH:$AH,операции!$T:$T,"&lt;"&amp;N$8,операции!$X:$X,"&gt;="&amp;N$8,операции!$AB:$AB,"&lt;&gt;"&amp;"",операции!$AB:$AB,"&lt;"&amp;N$8,операции!$P:$P,$F235))/N240)</f>
        <v>42224.209757039091</v>
      </c>
      <c r="O243" s="196"/>
      <c r="P243" s="193">
        <f>IF(P240=0,0,(SUMIFS(операции!$AH:$AH,операции!$T:$T,"&lt;"&amp;N$8,операции!$X:$X,"",операции!$AB:$AB,"&lt;&gt;"&amp;"",операции!$AB:$AB,"&lt;"&amp;N$8,операции!$L:$L,P$9,операции!$P:$P,$F235)+SUMIFS(операции!$AH:$AH,операции!$T:$T,"&lt;"&amp;N$8,операции!$X:$X,"&gt;="&amp;N$8,операции!$AB:$AB,"&lt;&gt;"&amp;"",операции!$AB:$AB,"&lt;"&amp;N$8,операции!$L:$L,P$9,операции!$P:$P,$F235))/P240)</f>
        <v>42224.209757039091</v>
      </c>
      <c r="Q243" s="237">
        <f>IF(Q240=0,0,(SUMIFS(операции!$AH:$AH,операции!$T:$T,"&lt;"&amp;N$8,операции!$X:$X,"",операции!$AB:$AB,"&lt;&gt;"&amp;"",операции!$AB:$AB,"&lt;"&amp;N$8,операции!$L:$L,Q$9,операции!$P:$P,$F235)+SUMIFS(операции!$AH:$AH,операции!$T:$T,"&lt;"&amp;N$8,операции!$X:$X,"&gt;="&amp;N$8,операции!$AB:$AB,"&lt;&gt;"&amp;"",операции!$AB:$AB,"&lt;"&amp;N$8,операции!$L:$L,Q$9,операции!$P:$P,$F235))/Q240)</f>
        <v>0</v>
      </c>
      <c r="R243" s="238"/>
      <c r="S243" s="193">
        <f>IF(S240=0,0,(SUMIFS(операции!$AH:$AH,операции!$T:$T,"&lt;"&amp;S$8,операции!$X:$X,"",операции!$AB:$AB,"&lt;&gt;"&amp;"",операции!$AB:$AB,"&lt;"&amp;S$8,операции!$P:$P,$F235)+SUMIFS(операции!$AH:$AH,операции!$T:$T,"&lt;"&amp;S$8,операции!$X:$X,"&gt;="&amp;S$8,операции!$AB:$AB,"&lt;&gt;"&amp;"",операции!$AB:$AB,"&lt;"&amp;S$8,операции!$P:$P,$F235))/S240)</f>
        <v>42233.859910178777</v>
      </c>
      <c r="T243" s="196"/>
      <c r="U243" s="193">
        <f>IF(U240=0,0,(SUMIFS(операции!$AH:$AH,операции!$T:$T,"&lt;"&amp;S$8,операции!$X:$X,"",операции!$AB:$AB,"&lt;&gt;"&amp;"",операции!$AB:$AB,"&lt;"&amp;S$8,операции!$L:$L,U$9,операции!$P:$P,$F235)+SUMIFS(операции!$AH:$AH,операции!$T:$T,"&lt;"&amp;S$8,операции!$X:$X,"&gt;="&amp;S$8,операции!$AB:$AB,"&lt;&gt;"&amp;"",операции!$AB:$AB,"&lt;"&amp;S$8,операции!$L:$L,U$9,операции!$P:$P,$F235))/U240)</f>
        <v>42233.859910178777</v>
      </c>
      <c r="V243" s="237">
        <f>IF(V240=0,0,(SUMIFS(операции!$AH:$AH,операции!$T:$T,"&lt;"&amp;S$8,операции!$X:$X,"",операции!$AB:$AB,"&lt;&gt;"&amp;"",операции!$AB:$AB,"&lt;"&amp;S$8,операции!$L:$L,V$9,операции!$P:$P,$F235)+SUMIFS(операции!$AH:$AH,операции!$T:$T,"&lt;"&amp;S$8,операции!$X:$X,"&gt;="&amp;S$8,операции!$AB:$AB,"&lt;&gt;"&amp;"",операции!$AB:$AB,"&lt;"&amp;S$8,операции!$L:$L,V$9,операции!$P:$P,$F235))/V240)</f>
        <v>0</v>
      </c>
      <c r="W243" s="238"/>
      <c r="X243" s="193">
        <f>IF(X240=0,0,(SUMIFS(операции!$AH:$AH,операции!$T:$T,"&lt;"&amp;X$8,операции!$X:$X,"",операции!$AB:$AB,"&lt;&gt;"&amp;"",операции!$AB:$AB,"&lt;"&amp;X$8,операции!$P:$P,$F235)+SUMIFS(операции!$AH:$AH,операции!$T:$T,"&lt;"&amp;X$8,операции!$X:$X,"&gt;="&amp;X$8,операции!$AB:$AB,"&lt;&gt;"&amp;"",операции!$AB:$AB,"&lt;"&amp;X$8,операции!$P:$P,$F235))/X240)</f>
        <v>42237.005201141576</v>
      </c>
      <c r="Y243" s="196"/>
      <c r="Z243" s="193">
        <f>IF(Z240=0,0,(SUMIFS(операции!$AH:$AH,операции!$T:$T,"&lt;"&amp;X$8,операции!$X:$X,"",операции!$AB:$AB,"&lt;&gt;"&amp;"",операции!$AB:$AB,"&lt;"&amp;X$8,операции!$L:$L,Z$9,операции!$P:$P,$F235)+SUMIFS(операции!$AH:$AH,операции!$T:$T,"&lt;"&amp;X$8,операции!$X:$X,"&gt;="&amp;X$8,операции!$AB:$AB,"&lt;&gt;"&amp;"",операции!$AB:$AB,"&lt;"&amp;X$8,операции!$L:$L,Z$9,операции!$P:$P,$F235))/Z240)</f>
        <v>42237.005201141576</v>
      </c>
      <c r="AA243" s="237">
        <f>IF(AA240=0,0,(SUMIFS(операции!$AH:$AH,операции!$T:$T,"&lt;"&amp;X$8,операции!$X:$X,"",операции!$AB:$AB,"&lt;&gt;"&amp;"",операции!$AB:$AB,"&lt;"&amp;X$8,операции!$L:$L,AA$9,операции!$P:$P,$F235)+SUMIFS(операции!$AH:$AH,операции!$T:$T,"&lt;"&amp;X$8,операции!$X:$X,"&gt;="&amp;X$8,операции!$AB:$AB,"&lt;&gt;"&amp;"",операции!$AB:$AB,"&lt;"&amp;X$8,операции!$L:$L,AA$9,операции!$P:$P,$F235))/AA240)</f>
        <v>0</v>
      </c>
      <c r="AB243" s="265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</row>
    <row r="244" spans="1:42" s="192" customFormat="1" ht="11.25">
      <c r="A244" s="37"/>
      <c r="B244" s="37"/>
      <c r="C244" s="37"/>
      <c r="D244" s="191"/>
      <c r="E244" s="191" t="s">
        <v>265</v>
      </c>
      <c r="F244" s="191" t="str">
        <f t="shared" si="378"/>
        <v>Спортивный инвентарь</v>
      </c>
      <c r="G244" s="191" t="s">
        <v>219</v>
      </c>
      <c r="H244" s="315"/>
      <c r="I244" s="329">
        <f>I243-I241</f>
        <v>27.822252895319252</v>
      </c>
      <c r="J244" s="317"/>
      <c r="K244" s="329">
        <f t="shared" ref="K244" si="391">K243-K241</f>
        <v>27.822252895319252</v>
      </c>
      <c r="L244" s="330">
        <f>L243-L241</f>
        <v>0</v>
      </c>
      <c r="M244" s="274"/>
      <c r="N244" s="156">
        <f>N243-N241</f>
        <v>27.822252895319252</v>
      </c>
      <c r="O244" s="196"/>
      <c r="P244" s="156">
        <f t="shared" ref="P244" si="392">P243-P241</f>
        <v>27.822252895319252</v>
      </c>
      <c r="Q244" s="245">
        <f>Q243-Q241</f>
        <v>0</v>
      </c>
      <c r="R244" s="238"/>
      <c r="S244" s="156">
        <f>S243-S241</f>
        <v>27.182651416915178</v>
      </c>
      <c r="T244" s="196"/>
      <c r="U244" s="156">
        <f t="shared" ref="U244" si="393">U243-U241</f>
        <v>27.182651416915178</v>
      </c>
      <c r="V244" s="245">
        <f>V243-V241</f>
        <v>0</v>
      </c>
      <c r="W244" s="238"/>
      <c r="X244" s="156">
        <f>X243-X241</f>
        <v>29.346257871999114</v>
      </c>
      <c r="Y244" s="196"/>
      <c r="Z244" s="156">
        <f t="shared" ref="Z244" si="394">Z243-Z241</f>
        <v>29.346257871999114</v>
      </c>
      <c r="AA244" s="245">
        <f>AA243-AA241</f>
        <v>0</v>
      </c>
      <c r="AB244" s="265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</row>
    <row r="245" spans="1:42" s="192" customFormat="1" ht="11.25">
      <c r="A245" s="37"/>
      <c r="B245" s="37"/>
      <c r="C245" s="37"/>
      <c r="D245" s="191"/>
      <c r="E245" s="191" t="s">
        <v>268</v>
      </c>
      <c r="F245" s="191" t="str">
        <f t="shared" si="378"/>
        <v>Спортивный инвентарь</v>
      </c>
      <c r="G245" s="191" t="s">
        <v>219</v>
      </c>
      <c r="H245" s="315"/>
      <c r="I245" s="329">
        <f>I242-I244</f>
        <v>53.790242960909382</v>
      </c>
      <c r="J245" s="317"/>
      <c r="K245" s="329">
        <f t="shared" ref="K245" si="395">K242-K244</f>
        <v>53.790242960909382</v>
      </c>
      <c r="L245" s="330">
        <f t="shared" ref="L245" si="396">L242-L244</f>
        <v>0</v>
      </c>
      <c r="M245" s="274"/>
      <c r="N245" s="156">
        <f>N242-N244</f>
        <v>53.790242960909382</v>
      </c>
      <c r="O245" s="196"/>
      <c r="P245" s="156">
        <f t="shared" ref="P245" si="397">P242-P244</f>
        <v>53.790242960909382</v>
      </c>
      <c r="Q245" s="245">
        <f t="shared" ref="Q245" si="398">Q242-Q244</f>
        <v>0</v>
      </c>
      <c r="R245" s="238"/>
      <c r="S245" s="156">
        <f>S242-S244</f>
        <v>75.140089821223228</v>
      </c>
      <c r="T245" s="196"/>
      <c r="U245" s="156">
        <f t="shared" ref="U245" si="399">U242-U244</f>
        <v>75.140089821223228</v>
      </c>
      <c r="V245" s="245">
        <f t="shared" ref="V245" si="400">V242-V244</f>
        <v>0</v>
      </c>
      <c r="W245" s="238"/>
      <c r="X245" s="156">
        <f>X242-X244</f>
        <v>101.99479885842447</v>
      </c>
      <c r="Y245" s="196"/>
      <c r="Z245" s="156">
        <f t="shared" ref="Z245" si="401">Z242-Z244</f>
        <v>101.99479885842447</v>
      </c>
      <c r="AA245" s="245">
        <f t="shared" ref="AA245" si="402">AA242-AA244</f>
        <v>0</v>
      </c>
      <c r="AB245" s="265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</row>
    <row r="246" spans="1:42" s="5" customFormat="1">
      <c r="A246" s="1"/>
      <c r="B246" s="1"/>
      <c r="C246" s="1"/>
      <c r="D246" s="168"/>
      <c r="E246" s="168" t="s">
        <v>276</v>
      </c>
      <c r="F246" s="168" t="str">
        <f t="shared" si="378"/>
        <v>Спортивный инвентарь</v>
      </c>
      <c r="G246" s="168" t="s">
        <v>261</v>
      </c>
      <c r="H246" s="326"/>
      <c r="I246" s="327">
        <f>SUMIFS(операции!$V:$V,операции!$T:$T,"&lt;"&amp;I$8,операции!$X:$X,"",операции!$AB:$AB,"",операции!$P:$P,$F235)+SUMIFS(операции!$V:$V,операции!$T:$T,"&lt;"&amp;I$8,операции!$X:$X,"&gt;="&amp;I$8,операции!$AB:$AB,"",операции!$P:$P,$F235)+SUMIFS(операции!$V:$V,операции!$T:$T,"&lt;"&amp;I$8,операции!$X:$X,"",операции!$AB:$AB,"&gt;="&amp;I$8,операции!$P:$P,$F235)+SUMIFS(операции!$V:$V,операции!$T:$T,"&lt;"&amp;I$8,операции!$X:$X,"&gt;="&amp;I$8,операции!$AB:$AB,"&gt;="&amp;I$8,операции!$P:$P,$F235)</f>
        <v>61357.2</v>
      </c>
      <c r="J246" s="313">
        <f>I246-K246-L246</f>
        <v>0</v>
      </c>
      <c r="K246" s="327">
        <f>SUMIFS(операции!$V:$V,операции!$T:$T,"&lt;"&amp;I$8,операции!$X:$X,"",операции!$AB:$AB,"",операции!$L:$L,K$9,операции!$P:$P,$F235)+SUMIFS(операции!$V:$V,операции!$T:$T,"&lt;"&amp;I$8,операции!$X:$X,"&gt;="&amp;I$8,операции!$AB:$AB,"",операции!$L:$L,K$9,операции!$P:$P,$F235)+SUMIFS(операции!$V:$V,операции!$T:$T,"&lt;"&amp;I$8,операции!$X:$X,"",операции!$AB:$AB,"&gt;="&amp;I$8,операции!$L:$L,K$9,операции!$P:$P,$F235)+SUMIFS(операции!$V:$V,операции!$T:$T,"&lt;"&amp;I$8,операции!$X:$X,"&gt;="&amp;I$8,операции!$AB:$AB,"&gt;="&amp;I$8,операции!$L:$L,K$9,операции!$P:$P,$F235)</f>
        <v>61357.2</v>
      </c>
      <c r="L246" s="328">
        <f>SUMIFS(операции!$V:$V,операции!$T:$T,"&lt;"&amp;I$8,операции!$X:$X,"",операции!$AB:$AB,"",операции!$L:$L,L$9,операции!$P:$P,$F235)+SUMIFS(операции!$V:$V,операции!$T:$T,"&lt;"&amp;I$8,операции!$X:$X,"&gt;="&amp;I$8,операции!$AB:$AB,"",операции!$L:$L,L$9,операции!$P:$P,$F235)+SUMIFS(операции!$V:$V,операции!$T:$T,"&lt;"&amp;I$8,операции!$X:$X,"",операции!$AB:$AB,"&gt;="&amp;I$8,операции!$L:$L,L$9,операции!$P:$P,$F235)+SUMIFS(операции!$V:$V,операции!$T:$T,"&lt;"&amp;I$8,операции!$X:$X,"&gt;="&amp;I$8,операции!$AB:$AB,"&gt;="&amp;I$8,операции!$L:$L,L$9,операции!$P:$P,$F235)</f>
        <v>0</v>
      </c>
      <c r="M246" s="277"/>
      <c r="N246" s="169">
        <f>SUMIFS(операции!$V:$V,операции!$T:$T,"&lt;"&amp;N$8,операции!$X:$X,"",операции!$AB:$AB,"",операции!$P:$P,$F235)+SUMIFS(операции!$V:$V,операции!$T:$T,"&lt;"&amp;N$8,операции!$X:$X,"&gt;="&amp;N$8,операции!$AB:$AB,"",операции!$P:$P,$F235)+SUMIFS(операции!$V:$V,операции!$T:$T,"&lt;"&amp;N$8,операции!$X:$X,"",операции!$AB:$AB,"&gt;="&amp;N$8,операции!$P:$P,$F235)+SUMIFS(операции!$V:$V,операции!$T:$T,"&lt;"&amp;N$8,операции!$X:$X,"&gt;="&amp;N$8,операции!$AB:$AB,"&gt;="&amp;N$8,операции!$P:$P,$F235)</f>
        <v>61357.2</v>
      </c>
      <c r="O246" s="170">
        <f>N246-P246-Q246</f>
        <v>0</v>
      </c>
      <c r="P246" s="169">
        <f>SUMIFS(операции!$V:$V,операции!$T:$T,"&lt;"&amp;N$8,операции!$X:$X,"",операции!$AB:$AB,"",операции!$L:$L,P$9,операции!$P:$P,$F235)+SUMIFS(операции!$V:$V,операции!$T:$T,"&lt;"&amp;N$8,операции!$X:$X,"&gt;="&amp;N$8,операции!$AB:$AB,"",операции!$L:$L,P$9,операции!$P:$P,$F235)+SUMIFS(операции!$V:$V,операции!$T:$T,"&lt;"&amp;N$8,операции!$X:$X,"",операции!$AB:$AB,"&gt;="&amp;N$8,операции!$L:$L,P$9,операции!$P:$P,$F235)+SUMIFS(операции!$V:$V,операции!$T:$T,"&lt;"&amp;N$8,операции!$X:$X,"&gt;="&amp;N$8,операции!$AB:$AB,"&gt;="&amp;N$8,операции!$L:$L,P$9,операции!$P:$P,$F235)</f>
        <v>61357.2</v>
      </c>
      <c r="Q246" s="243">
        <f>SUMIFS(операции!$V:$V,операции!$T:$T,"&lt;"&amp;N$8,операции!$X:$X,"",операции!$AB:$AB,"",операции!$L:$L,Q$9,операции!$P:$P,$F235)+SUMIFS(операции!$V:$V,операции!$T:$T,"&lt;"&amp;N$8,операции!$X:$X,"&gt;="&amp;N$8,операции!$AB:$AB,"",операции!$L:$L,Q$9,операции!$P:$P,$F235)+SUMIFS(операции!$V:$V,операции!$T:$T,"&lt;"&amp;N$8,операции!$X:$X,"",операции!$AB:$AB,"&gt;="&amp;N$8,операции!$L:$L,Q$9,операции!$P:$P,$F235)+SUMIFS(операции!$V:$V,операции!$T:$T,"&lt;"&amp;N$8,операции!$X:$X,"&gt;="&amp;N$8,операции!$AB:$AB,"&gt;="&amp;N$8,операции!$L:$L,Q$9,операции!$P:$P,$F235)</f>
        <v>0</v>
      </c>
      <c r="R246" s="244"/>
      <c r="S246" s="169">
        <f>SUMIFS(операции!$V:$V,операции!$T:$T,"&lt;"&amp;S$8,операции!$X:$X,"",операции!$AB:$AB,"",операции!$P:$P,$F235)+SUMIFS(операции!$V:$V,операции!$T:$T,"&lt;"&amp;S$8,операции!$X:$X,"&gt;="&amp;S$8,операции!$AB:$AB,"",операции!$P:$P,$F235)+SUMIFS(операции!$V:$V,операции!$T:$T,"&lt;"&amp;S$8,операции!$X:$X,"",операции!$AB:$AB,"&gt;="&amp;S$8,операции!$P:$P,$F235)+SUMIFS(операции!$V:$V,операции!$T:$T,"&lt;"&amp;S$8,операции!$X:$X,"&gt;="&amp;S$8,операции!$AB:$AB,"&gt;="&amp;S$8,операции!$P:$P,$F235)</f>
        <v>41236.400000000001</v>
      </c>
      <c r="T246" s="170">
        <f>S246-U246-V246</f>
        <v>0</v>
      </c>
      <c r="U246" s="169">
        <f>SUMIFS(операции!$V:$V,операции!$T:$T,"&lt;"&amp;S$8,операции!$X:$X,"",операции!$AB:$AB,"",операции!$L:$L,U$9,операции!$P:$P,$F235)+SUMIFS(операции!$V:$V,операции!$T:$T,"&lt;"&amp;S$8,операции!$X:$X,"&gt;="&amp;S$8,операции!$AB:$AB,"",операции!$L:$L,U$9,операции!$P:$P,$F235)+SUMIFS(операции!$V:$V,операции!$T:$T,"&lt;"&amp;S$8,операции!$X:$X,"",операции!$AB:$AB,"&gt;="&amp;S$8,операции!$L:$L,U$9,операции!$P:$P,$F235)+SUMIFS(операции!$V:$V,операции!$T:$T,"&lt;"&amp;S$8,операции!$X:$X,"&gt;="&amp;S$8,операции!$AB:$AB,"&gt;="&amp;S$8,операции!$L:$L,U$9,операции!$P:$P,$F235)</f>
        <v>28005.160000000003</v>
      </c>
      <c r="V246" s="243">
        <f>SUMIFS(операции!$V:$V,операции!$T:$T,"&lt;"&amp;S$8,операции!$X:$X,"",операции!$AB:$AB,"",операции!$L:$L,V$9,операции!$P:$P,$F235)+SUMIFS(операции!$V:$V,операции!$T:$T,"&lt;"&amp;S$8,операции!$X:$X,"&gt;="&amp;S$8,операции!$AB:$AB,"",операции!$L:$L,V$9,операции!$P:$P,$F235)+SUMIFS(операции!$V:$V,операции!$T:$T,"&lt;"&amp;S$8,операции!$X:$X,"",операции!$AB:$AB,"&gt;="&amp;S$8,операции!$L:$L,V$9,операции!$P:$P,$F235)+SUMIFS(операции!$V:$V,операции!$T:$T,"&lt;"&amp;S$8,операции!$X:$X,"&gt;="&amp;S$8,операции!$AB:$AB,"&gt;="&amp;S$8,операции!$L:$L,V$9,операции!$P:$P,$F235)</f>
        <v>13231.239999999998</v>
      </c>
      <c r="W246" s="244"/>
      <c r="X246" s="169">
        <f>SUMIFS(операции!$V:$V,операции!$T:$T,"&lt;"&amp;X$8,операции!$X:$X,"",операции!$AB:$AB,"",операции!$P:$P,$F235)+SUMIFS(операции!$V:$V,операции!$T:$T,"&lt;"&amp;X$8,операции!$X:$X,"&gt;="&amp;X$8,операции!$AB:$AB,"",операции!$P:$P,$F235)+SUMIFS(операции!$V:$V,операции!$T:$T,"&lt;"&amp;X$8,операции!$X:$X,"",операции!$AB:$AB,"&gt;="&amp;X$8,операции!$P:$P,$F235)+SUMIFS(операции!$V:$V,операции!$T:$T,"&lt;"&amp;X$8,операции!$X:$X,"&gt;="&amp;X$8,операции!$AB:$AB,"&gt;="&amp;X$8,операции!$P:$P,$F235)</f>
        <v>92045.170000000013</v>
      </c>
      <c r="Y246" s="170">
        <f>X246-Z246-AA246</f>
        <v>0</v>
      </c>
      <c r="Z246" s="169">
        <f>SUMIFS(операции!$V:$V,операции!$T:$T,"&lt;"&amp;X$8,операции!$X:$X,"",операции!$AB:$AB,"",операции!$L:$L,Z$9,операции!$P:$P,$F235)+SUMIFS(операции!$V:$V,операции!$T:$T,"&lt;"&amp;X$8,операции!$X:$X,"&gt;="&amp;X$8,операции!$AB:$AB,"",операции!$L:$L,Z$9,операции!$P:$P,$F235)+SUMIFS(операции!$V:$V,операции!$T:$T,"&lt;"&amp;X$8,операции!$X:$X,"",операции!$AB:$AB,"&gt;="&amp;X$8,операции!$L:$L,Z$9,операции!$P:$P,$F235)+SUMIFS(операции!$V:$V,операции!$T:$T,"&lt;"&amp;X$8,операции!$X:$X,"&gt;="&amp;X$8,операции!$AB:$AB,"&gt;="&amp;X$8,операции!$L:$L,Z$9,операции!$P:$P,$F235)</f>
        <v>9726.83</v>
      </c>
      <c r="AA246" s="243">
        <f>SUMIFS(операции!$V:$V,операции!$T:$T,"&lt;"&amp;X$8,операции!$X:$X,"",операции!$AB:$AB,"",операции!$L:$L,AA$9,операции!$P:$P,$F235)+SUMIFS(операции!$V:$V,операции!$T:$T,"&lt;"&amp;X$8,операции!$X:$X,"&gt;="&amp;X$8,операции!$AB:$AB,"",операции!$L:$L,AA$9,операции!$P:$P,$F235)+SUMIFS(операции!$V:$V,операции!$T:$T,"&lt;"&amp;X$8,операции!$X:$X,"",операции!$AB:$AB,"&gt;="&amp;X$8,операции!$L:$L,AA$9,операции!$P:$P,$F235)+SUMIFS(операции!$V:$V,операции!$T:$T,"&lt;"&amp;X$8,операции!$X:$X,"&gt;="&amp;X$8,операции!$AB:$AB,"&gt;="&amp;X$8,операции!$L:$L,AA$9,операции!$P:$P,$F235)</f>
        <v>82318.340000000026</v>
      </c>
      <c r="AB246" s="266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s="192" customFormat="1" ht="11.25">
      <c r="A247" s="37"/>
      <c r="B247" s="37"/>
      <c r="C247" s="37"/>
      <c r="D247" s="191"/>
      <c r="E247" s="191" t="s">
        <v>255</v>
      </c>
      <c r="F247" s="191" t="str">
        <f t="shared" si="378"/>
        <v>Спортивный инвентарь</v>
      </c>
      <c r="G247" s="191" t="s">
        <v>262</v>
      </c>
      <c r="H247" s="315"/>
      <c r="I247" s="316">
        <f>IF(I246=0,0,(SUMIFS(операции!$AF:$AF,операции!$T:$T,"&lt;"&amp;I$8,операции!$X:$X,"",операции!$AB:$AB,"",операции!$P:$P,$F235)+SUMIFS(операции!$AF:$AF,операции!$T:$T,"&lt;"&amp;I$8,операции!$X:$X,"&gt;="&amp;I$8,операции!$AB:$AB,"",операции!$P:$P,$F235)+SUMIFS(операции!$AF:$AF,операции!$T:$T,"&lt;"&amp;I$8,операции!$X:$X,"",операции!$AB:$AB,"&gt;="&amp;I$8,операции!$P:$P,$F235)+SUMIFS(операции!$AF:$AF,операции!$T:$T,"&lt;"&amp;I$8,операции!$X:$X,"&gt;="&amp;I$8,операции!$AB:$AB,"&gt;="&amp;I$8,операции!$P:$P,$F235))/I246)</f>
        <v>42232.166248622816</v>
      </c>
      <c r="J247" s="317"/>
      <c r="K247" s="316">
        <f>IF(K246=0,0,(SUMIFS(операции!$AF:$AF,операции!$T:$T,"&lt;"&amp;I$8,операции!$X:$X,"",операции!$AB:$AB,"",операции!$L:$L,K$9,операции!$P:$P,$F235)+SUMIFS(операции!$AF:$AF,операции!$T:$T,"&lt;"&amp;I$8,операции!$X:$X,"&gt;="&amp;I$8,операции!$AB:$AB,"",операции!$L:$L,K$9,операции!$P:$P,$F235)+SUMIFS(операции!$AF:$AF,операции!$T:$T,"&lt;"&amp;I$8,операции!$X:$X,"",операции!$AB:$AB,"&gt;="&amp;I$8,операции!$L:$L,K$9,операции!$P:$P,$F235)+SUMIFS(операции!$AF:$AF,операции!$T:$T,"&lt;"&amp;I$8,операции!$X:$X,"&gt;="&amp;I$8,операции!$AB:$AB,"&gt;="&amp;I$8,операции!$L:$L,K$9,операции!$P:$P,$F235))/K246)</f>
        <v>42232.166248622816</v>
      </c>
      <c r="L247" s="318">
        <f>IF(L246=0,0,(SUMIFS(операции!$AF:$AF,операции!$T:$T,"&lt;"&amp;I$8,операции!$X:$X,"",операции!$AB:$AB,"",операции!$L:$L,L$9,операции!$P:$P,$F235)+SUMIFS(операции!$AF:$AF,операции!$T:$T,"&lt;"&amp;I$8,операции!$X:$X,"&gt;="&amp;I$8,операции!$AB:$AB,"",операции!$L:$L,L$9,операции!$P:$P,$F235)+SUMIFS(операции!$AF:$AF,операции!$T:$T,"&lt;"&amp;I$8,операции!$X:$X,"",операции!$AB:$AB,"&gt;="&amp;I$8,операции!$L:$L,L$9,операции!$P:$P,$F235)+SUMIFS(операции!$AF:$AF,операции!$T:$T,"&lt;"&amp;I$8,операции!$X:$X,"&gt;="&amp;I$8,операции!$AB:$AB,"&gt;="&amp;I$8,операции!$L:$L,L$9,операции!$P:$P,$F235))/L246)</f>
        <v>0</v>
      </c>
      <c r="M247" s="274"/>
      <c r="N247" s="193">
        <f>IF(N246=0,0,(SUMIFS(операции!$AF:$AF,операции!$T:$T,"&lt;"&amp;N$8,операции!$X:$X,"",операции!$AB:$AB,"",операции!$P:$P,$F235)+SUMIFS(операции!$AF:$AF,операции!$T:$T,"&lt;"&amp;N$8,операции!$X:$X,"&gt;="&amp;N$8,операции!$AB:$AB,"",операции!$P:$P,$F235)+SUMIFS(операции!$AF:$AF,операции!$T:$T,"&lt;"&amp;N$8,операции!$X:$X,"",операции!$AB:$AB,"&gt;="&amp;N$8,операции!$P:$P,$F235)+SUMIFS(операции!$AF:$AF,операции!$T:$T,"&lt;"&amp;N$8,операции!$X:$X,"&gt;="&amp;N$8,операции!$AB:$AB,"&gt;="&amp;N$8,операции!$P:$P,$F235))/N246)</f>
        <v>42232.166248622816</v>
      </c>
      <c r="O247" s="196"/>
      <c r="P247" s="193">
        <f>IF(P246=0,0,(SUMIFS(операции!$AF:$AF,операции!$T:$T,"&lt;"&amp;N$8,операции!$X:$X,"",операции!$AB:$AB,"",операции!$L:$L,P$9,операции!$P:$P,$F235)+SUMIFS(операции!$AF:$AF,операции!$T:$T,"&lt;"&amp;N$8,операции!$X:$X,"&gt;="&amp;N$8,операции!$AB:$AB,"",операции!$L:$L,P$9,операции!$P:$P,$F235)+SUMIFS(операции!$AF:$AF,операции!$T:$T,"&lt;"&amp;N$8,операции!$X:$X,"",операции!$AB:$AB,"&gt;="&amp;N$8,операции!$L:$L,P$9,операции!$P:$P,$F235)+SUMIFS(операции!$AF:$AF,операции!$T:$T,"&lt;"&amp;N$8,операции!$X:$X,"&gt;="&amp;N$8,операции!$AB:$AB,"&gt;="&amp;N$8,операции!$L:$L,P$9,операции!$P:$P,$F235))/P246)</f>
        <v>42232.166248622816</v>
      </c>
      <c r="Q247" s="237">
        <f>IF(Q246=0,0,(SUMIFS(операции!$AF:$AF,операции!$T:$T,"&lt;"&amp;N$8,операции!$X:$X,"",операции!$AB:$AB,"",операции!$L:$L,Q$9,операции!$P:$P,$F235)+SUMIFS(операции!$AF:$AF,операции!$T:$T,"&lt;"&amp;N$8,операции!$X:$X,"&gt;="&amp;N$8,операции!$AB:$AB,"",операции!$L:$L,Q$9,операции!$P:$P,$F235)+SUMIFS(операции!$AF:$AF,операции!$T:$T,"&lt;"&amp;N$8,операции!$X:$X,"",операции!$AB:$AB,"&gt;="&amp;N$8,операции!$L:$L,Q$9,операции!$P:$P,$F235)+SUMIFS(операции!$AF:$AF,операции!$T:$T,"&lt;"&amp;N$8,операции!$X:$X,"&gt;="&amp;N$8,операции!$AB:$AB,"&gt;="&amp;N$8,операции!$L:$L,Q$9,операции!$P:$P,$F235))/Q246)</f>
        <v>0</v>
      </c>
      <c r="R247" s="238"/>
      <c r="S247" s="193">
        <f>IF(S246=0,0,(SUMIFS(операции!$AF:$AF,операции!$T:$T,"&lt;"&amp;S$8,операции!$X:$X,"",операции!$AB:$AB,"",операции!$P:$P,$F235)+SUMIFS(операции!$AF:$AF,операции!$T:$T,"&lt;"&amp;S$8,операции!$X:$X,"&gt;="&amp;S$8,операции!$AB:$AB,"",операции!$P:$P,$F235)+SUMIFS(операции!$AF:$AF,операции!$T:$T,"&lt;"&amp;S$8,операции!$X:$X,"",операции!$AB:$AB,"&gt;="&amp;S$8,операции!$P:$P,$F235)+SUMIFS(операции!$AF:$AF,операции!$T:$T,"&lt;"&amp;S$8,операции!$X:$X,"&gt;="&amp;S$8,операции!$AB:$AB,"&gt;="&amp;S$8,операции!$P:$P,$F235))/S246)</f>
        <v>42262.679514700605</v>
      </c>
      <c r="T247" s="196"/>
      <c r="U247" s="193">
        <f>IF(U246=0,0,(SUMIFS(операции!$AF:$AF,операции!$T:$T,"&lt;"&amp;S$8,операции!$X:$X,"",операции!$AB:$AB,"",операции!$L:$L,U$9,операции!$P:$P,$F235)+SUMIFS(операции!$AF:$AF,операции!$T:$T,"&lt;"&amp;S$8,операции!$X:$X,"&gt;="&amp;S$8,операции!$AB:$AB,"",операции!$L:$L,U$9,операции!$P:$P,$F235)+SUMIFS(операции!$AF:$AF,операции!$T:$T,"&lt;"&amp;S$8,операции!$X:$X,"",операции!$AB:$AB,"&gt;="&amp;S$8,операции!$L:$L,U$9,операции!$P:$P,$F235)+SUMIFS(операции!$AF:$AF,операции!$T:$T,"&lt;"&amp;S$8,операции!$X:$X,"&gt;="&amp;S$8,операции!$AB:$AB,"&gt;="&amp;S$8,операции!$L:$L,U$9,операции!$P:$P,$F235))/U246)</f>
        <v>42241.788195461122</v>
      </c>
      <c r="V247" s="237">
        <f>IF(V246=0,0,(SUMIFS(операции!$AF:$AF,операции!$T:$T,"&lt;"&amp;S$8,операции!$X:$X,"",операции!$AB:$AB,"",операции!$L:$L,V$9,операции!$P:$P,$F235)+SUMIFS(операции!$AF:$AF,операции!$T:$T,"&lt;"&amp;S$8,операции!$X:$X,"&gt;="&amp;S$8,операции!$AB:$AB,"",операции!$L:$L,V$9,операции!$P:$P,$F235)+SUMIFS(операции!$AF:$AF,операции!$T:$T,"&lt;"&amp;S$8,операции!$X:$X,"",операции!$AB:$AB,"&gt;="&amp;S$8,операции!$L:$L,V$9,операции!$P:$P,$F235)+SUMIFS(операции!$AF:$AF,операции!$T:$T,"&lt;"&amp;S$8,операции!$X:$X,"&gt;="&amp;S$8,операции!$AB:$AB,"&gt;="&amp;S$8,операции!$L:$L,V$9,операции!$P:$P,$F235))/V246)</f>
        <v>42306.897950607803</v>
      </c>
      <c r="W247" s="238"/>
      <c r="X247" s="193">
        <f>IF(X246=0,0,(SUMIFS(операции!$AF:$AF,операции!$T:$T,"&lt;"&amp;X$8,операции!$X:$X,"",операции!$AB:$AB,"",операции!$P:$P,$F235)+SUMIFS(операции!$AF:$AF,операции!$T:$T,"&lt;"&amp;X$8,операции!$X:$X,"&gt;="&amp;X$8,операции!$AB:$AB,"",операции!$P:$P,$F235)+SUMIFS(операции!$AF:$AF,операции!$T:$T,"&lt;"&amp;X$8,операции!$X:$X,"",операции!$AB:$AB,"&gt;="&amp;X$8,операции!$P:$P,$F235)+SUMIFS(операции!$AF:$AF,операции!$T:$T,"&lt;"&amp;X$8,операции!$X:$X,"&gt;="&amp;X$8,операции!$AB:$AB,"&gt;="&amp;X$8,операции!$P:$P,$F235))/X246)</f>
        <v>42322.834869010505</v>
      </c>
      <c r="Y247" s="196"/>
      <c r="Z247" s="193">
        <f>IF(Z246=0,0,(SUMIFS(операции!$AF:$AF,операции!$T:$T,"&lt;"&amp;X$8,операции!$X:$X,"",операции!$AB:$AB,"",операции!$L:$L,Z$9,операции!$P:$P,$F235)+SUMIFS(операции!$AF:$AF,операции!$T:$T,"&lt;"&amp;X$8,операции!$X:$X,"&gt;="&amp;X$8,операции!$AB:$AB,"",операции!$L:$L,Z$9,операции!$P:$P,$F235)+SUMIFS(операции!$AF:$AF,операции!$T:$T,"&lt;"&amp;X$8,операции!$X:$X,"",операции!$AB:$AB,"&gt;="&amp;X$8,операции!$L:$L,Z$9,операции!$P:$P,$F235)+SUMIFS(операции!$AF:$AF,операции!$T:$T,"&lt;"&amp;X$8,операции!$X:$X,"&gt;="&amp;X$8,операции!$AB:$AB,"&gt;="&amp;X$8,операции!$L:$L,Z$9,операции!$P:$P,$F235))/Z246)</f>
        <v>42209.789460697881</v>
      </c>
      <c r="AA247" s="237">
        <f>IF(AA246=0,0,(SUMIFS(операции!$AF:$AF,операции!$T:$T,"&lt;"&amp;X$8,операции!$X:$X,"",операции!$AB:$AB,"",операции!$L:$L,AA$9,операции!$P:$P,$F235)+SUMIFS(операции!$AF:$AF,операции!$T:$T,"&lt;"&amp;X$8,операции!$X:$X,"&gt;="&amp;X$8,операции!$AB:$AB,"",операции!$L:$L,AA$9,операции!$P:$P,$F235)+SUMIFS(операции!$AF:$AF,операции!$T:$T,"&lt;"&amp;X$8,операции!$X:$X,"",операции!$AB:$AB,"&gt;="&amp;X$8,операции!$L:$L,AA$9,операции!$P:$P,$F235)+SUMIFS(операции!$AF:$AF,операции!$T:$T,"&lt;"&amp;X$8,операции!$X:$X,"&gt;="&amp;X$8,операции!$AB:$AB,"&gt;="&amp;X$8,операции!$L:$L,AA$9,операции!$P:$P,$F235))/AA246)</f>
        <v>42336.192444842782</v>
      </c>
      <c r="AB247" s="265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</row>
    <row r="248" spans="1:42" s="192" customFormat="1" ht="11.25">
      <c r="A248" s="37"/>
      <c r="B248" s="37"/>
      <c r="C248" s="37"/>
      <c r="D248" s="191"/>
      <c r="E248" s="191" t="s">
        <v>263</v>
      </c>
      <c r="F248" s="191" t="str">
        <f t="shared" si="378"/>
        <v>Спортивный инвентарь</v>
      </c>
      <c r="G248" s="191" t="s">
        <v>219</v>
      </c>
      <c r="H248" s="315"/>
      <c r="I248" s="329">
        <f>IF(I246=0,0,I$8-I247)</f>
        <v>45.833751377183944</v>
      </c>
      <c r="J248" s="317"/>
      <c r="K248" s="329">
        <f>IF(K246=0,0,I$8-K247)</f>
        <v>45.833751377183944</v>
      </c>
      <c r="L248" s="330">
        <f>IF(L246=0,0,I$8-L247)</f>
        <v>0</v>
      </c>
      <c r="M248" s="274"/>
      <c r="N248" s="156">
        <f>IF(N246=0,0,N$8-N247)</f>
        <v>45.833751377183944</v>
      </c>
      <c r="O248" s="196"/>
      <c r="P248" s="156">
        <f>IF(P246=0,0,N$8-P247)</f>
        <v>45.833751377183944</v>
      </c>
      <c r="Q248" s="245">
        <f>IF(Q246=0,0,N$8-Q247)</f>
        <v>0</v>
      </c>
      <c r="R248" s="238"/>
      <c r="S248" s="156">
        <f>IF(S246=0,0,S$8-S247)</f>
        <v>46.320485299394932</v>
      </c>
      <c r="T248" s="196"/>
      <c r="U248" s="156">
        <f>IF(U246=0,0,S$8-U247)</f>
        <v>67.211804538877914</v>
      </c>
      <c r="V248" s="245">
        <f>IF(V246=0,0,S$8-V247)</f>
        <v>2.1020493921969319</v>
      </c>
      <c r="W248" s="238"/>
      <c r="X248" s="156">
        <f>IF(X246=0,0,X$8-X247)</f>
        <v>16.165130989495083</v>
      </c>
      <c r="Y248" s="196"/>
      <c r="Z248" s="156">
        <f>IF(Z246=0,0,X$8-Z247)</f>
        <v>129.21053930211929</v>
      </c>
      <c r="AA248" s="245">
        <f>IF(AA246=0,0,X$8-AA247)</f>
        <v>2.8075551572183031</v>
      </c>
      <c r="AB248" s="265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</row>
    <row r="249" spans="1:42" s="192" customFormat="1" ht="11.25">
      <c r="A249" s="37"/>
      <c r="B249" s="37"/>
      <c r="C249" s="37"/>
      <c r="D249" s="191"/>
      <c r="E249" s="191" t="s">
        <v>311</v>
      </c>
      <c r="F249" s="191" t="str">
        <f t="shared" si="378"/>
        <v>Спортивный инвентарь</v>
      </c>
      <c r="G249" s="191" t="s">
        <v>262</v>
      </c>
      <c r="H249" s="315"/>
      <c r="I249" s="316">
        <f>I$8</f>
        <v>42278</v>
      </c>
      <c r="J249" s="317"/>
      <c r="K249" s="316">
        <f>I$8</f>
        <v>42278</v>
      </c>
      <c r="L249" s="318">
        <f>I$8</f>
        <v>42278</v>
      </c>
      <c r="M249" s="274"/>
      <c r="N249" s="193">
        <f>N$8</f>
        <v>42278</v>
      </c>
      <c r="O249" s="196"/>
      <c r="P249" s="193">
        <f>N$8</f>
        <v>42278</v>
      </c>
      <c r="Q249" s="237">
        <f>N$8</f>
        <v>42278</v>
      </c>
      <c r="R249" s="238"/>
      <c r="S249" s="193">
        <f>S$8</f>
        <v>42309</v>
      </c>
      <c r="T249" s="196"/>
      <c r="U249" s="193">
        <f>S$8</f>
        <v>42309</v>
      </c>
      <c r="V249" s="237">
        <f>S$8</f>
        <v>42309</v>
      </c>
      <c r="W249" s="238"/>
      <c r="X249" s="193">
        <f>X$8</f>
        <v>42339</v>
      </c>
      <c r="Y249" s="196"/>
      <c r="Z249" s="193">
        <f>X$8</f>
        <v>42339</v>
      </c>
      <c r="AA249" s="237">
        <f>X$8</f>
        <v>42339</v>
      </c>
      <c r="AB249" s="265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</row>
    <row r="250" spans="1:42" s="192" customFormat="1" ht="11.25">
      <c r="A250" s="37"/>
      <c r="B250" s="37"/>
      <c r="C250" s="37"/>
      <c r="D250" s="191"/>
      <c r="E250" s="191" t="s">
        <v>264</v>
      </c>
      <c r="F250" s="191" t="str">
        <f t="shared" si="378"/>
        <v>Спортивный инвентарь</v>
      </c>
      <c r="G250" s="191" t="s">
        <v>219</v>
      </c>
      <c r="H250" s="315"/>
      <c r="I250" s="329">
        <f>IF(I246=0,0,I249-I247)</f>
        <v>45.833751377183944</v>
      </c>
      <c r="J250" s="317"/>
      <c r="K250" s="329">
        <f>IF(K246=0,0,K249-K247)</f>
        <v>45.833751377183944</v>
      </c>
      <c r="L250" s="330">
        <f>IF(L246=0,0,L249-L247)</f>
        <v>0</v>
      </c>
      <c r="M250" s="274"/>
      <c r="N250" s="156">
        <f>IF(N246=0,0,N249-N247)</f>
        <v>45.833751377183944</v>
      </c>
      <c r="O250" s="196"/>
      <c r="P250" s="156">
        <f>IF(P246=0,0,P249-P247)</f>
        <v>45.833751377183944</v>
      </c>
      <c r="Q250" s="245">
        <f>IF(Q246=0,0,Q249-Q247)</f>
        <v>0</v>
      </c>
      <c r="R250" s="238"/>
      <c r="S250" s="156">
        <f>IF(S246=0,0,S249-S247)</f>
        <v>46.320485299394932</v>
      </c>
      <c r="T250" s="196"/>
      <c r="U250" s="156">
        <f>IF(U246=0,0,U249-U247)</f>
        <v>67.211804538877914</v>
      </c>
      <c r="V250" s="245">
        <f>IF(V246=0,0,V249-V247)</f>
        <v>2.1020493921969319</v>
      </c>
      <c r="W250" s="238"/>
      <c r="X250" s="156">
        <f>IF(X246=0,0,X249-X247)</f>
        <v>16.165130989495083</v>
      </c>
      <c r="Y250" s="196"/>
      <c r="Z250" s="156">
        <f>IF(Z246=0,0,Z249-Z247)</f>
        <v>129.21053930211929</v>
      </c>
      <c r="AA250" s="245">
        <f>IF(AA246=0,0,AA249-AA247)</f>
        <v>2.8075551572183031</v>
      </c>
      <c r="AB250" s="265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</row>
    <row r="251" spans="1:42" s="192" customFormat="1" ht="11.25">
      <c r="A251" s="37"/>
      <c r="B251" s="37"/>
      <c r="C251" s="37"/>
      <c r="D251" s="207"/>
      <c r="E251" s="207" t="s">
        <v>269</v>
      </c>
      <c r="F251" s="207" t="str">
        <f t="shared" si="378"/>
        <v>Спортивный инвентарь</v>
      </c>
      <c r="G251" s="207" t="s">
        <v>219</v>
      </c>
      <c r="H251" s="331"/>
      <c r="I251" s="332">
        <f>I248-I250</f>
        <v>0</v>
      </c>
      <c r="J251" s="333"/>
      <c r="K251" s="332">
        <f t="shared" ref="K251" si="403">K248-K250</f>
        <v>0</v>
      </c>
      <c r="L251" s="334">
        <f>L248-L250</f>
        <v>0</v>
      </c>
      <c r="M251" s="278"/>
      <c r="N251" s="162">
        <f>N248-N250</f>
        <v>0</v>
      </c>
      <c r="O251" s="208"/>
      <c r="P251" s="162">
        <f t="shared" ref="P251" si="404">P248-P250</f>
        <v>0</v>
      </c>
      <c r="Q251" s="246">
        <f>Q248-Q250</f>
        <v>0</v>
      </c>
      <c r="R251" s="247"/>
      <c r="S251" s="162">
        <f>S248-S250</f>
        <v>0</v>
      </c>
      <c r="T251" s="208"/>
      <c r="U251" s="162">
        <f t="shared" ref="U251" si="405">U248-U250</f>
        <v>0</v>
      </c>
      <c r="V251" s="246">
        <f>V248-V250</f>
        <v>0</v>
      </c>
      <c r="W251" s="247"/>
      <c r="X251" s="162">
        <f>X248-X250</f>
        <v>0</v>
      </c>
      <c r="Y251" s="208"/>
      <c r="Z251" s="162">
        <f t="shared" ref="Z251" si="406">Z248-Z250</f>
        <v>0</v>
      </c>
      <c r="AA251" s="246">
        <f>AA248-AA250</f>
        <v>0</v>
      </c>
      <c r="AB251" s="265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</row>
    <row r="252" spans="1:42" s="111" customFormat="1" ht="11.25">
      <c r="A252" s="108"/>
      <c r="B252" s="108"/>
      <c r="C252" s="108" t="s">
        <v>272</v>
      </c>
      <c r="D252" s="109"/>
      <c r="E252" s="109"/>
      <c r="F252" s="109" t="str">
        <f t="shared" si="378"/>
        <v>Спортивный инвентарь</v>
      </c>
      <c r="G252" s="109"/>
      <c r="H252" s="307"/>
      <c r="I252" s="308">
        <f>I253-K253-L253</f>
        <v>0</v>
      </c>
      <c r="J252" s="335"/>
      <c r="K252" s="308"/>
      <c r="L252" s="336"/>
      <c r="M252" s="272"/>
      <c r="N252" s="110">
        <f>N253-P253-Q253</f>
        <v>0</v>
      </c>
      <c r="O252" s="105"/>
      <c r="P252" s="110"/>
      <c r="Q252" s="248"/>
      <c r="R252" s="234"/>
      <c r="S252" s="110">
        <f>S253-U253-V253</f>
        <v>0</v>
      </c>
      <c r="T252" s="105"/>
      <c r="U252" s="110"/>
      <c r="V252" s="248"/>
      <c r="W252" s="234"/>
      <c r="X252" s="110">
        <f>X253-Z253-AA253</f>
        <v>0</v>
      </c>
      <c r="Y252" s="105"/>
      <c r="Z252" s="110"/>
      <c r="AA252" s="248"/>
      <c r="AB252" s="263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</row>
    <row r="253" spans="1:42" s="5" customFormat="1">
      <c r="A253" s="1"/>
      <c r="B253" s="1"/>
      <c r="C253" s="1"/>
      <c r="D253" s="168" t="s">
        <v>273</v>
      </c>
      <c r="E253" s="168"/>
      <c r="F253" s="168" t="str">
        <f t="shared" si="378"/>
        <v>Спортивный инвентарь</v>
      </c>
      <c r="G253" s="168" t="s">
        <v>261</v>
      </c>
      <c r="H253" s="326"/>
      <c r="I253" s="327">
        <f>SUMIFS(операции!$V:$V,операции!$T:$T,"&gt;="&amp;I$8,операции!$T:$T,"&lt;="&amp;I$9,операции!$P:$P,$F235)</f>
        <v>191754.64999999988</v>
      </c>
      <c r="J253" s="313"/>
      <c r="K253" s="327">
        <f>SUMIFS(операции!$V:$V,операции!$T:$T,"&gt;="&amp;I$8,операции!$T:$T,"&lt;="&amp;I$9,операции!$L:$L,K$9,операции!$P:$P,$F235)</f>
        <v>4343.76</v>
      </c>
      <c r="L253" s="328">
        <f>SUMIFS(операции!$V:$V,операции!$T:$T,"&gt;="&amp;I$8,операции!$T:$T,"&lt;="&amp;I$9,операции!$L:$L,L$9,операции!$P:$P,$F235)</f>
        <v>187410.8899999999</v>
      </c>
      <c r="M253" s="277"/>
      <c r="N253" s="169">
        <f>SUMIFS(операции!$V:$V,операции!$T:$T,"&gt;="&amp;N$8,операции!$T:$T,"&lt;="&amp;N$9,операции!$P:$P,$F235)</f>
        <v>46171.91</v>
      </c>
      <c r="O253" s="170"/>
      <c r="P253" s="169">
        <f>SUMIFS(операции!$V:$V,операции!$T:$T,"&gt;="&amp;N$8,операции!$T:$T,"&lt;="&amp;N$9,операции!$L:$L,P$9,операции!$P:$P,$F235)</f>
        <v>4343.76</v>
      </c>
      <c r="Q253" s="243">
        <f>SUMIFS(операции!$V:$V,операции!$T:$T,"&gt;="&amp;N$8,операции!$T:$T,"&lt;="&amp;N$9,операции!$L:$L,Q$9,операции!$P:$P,$F235)</f>
        <v>41828.150000000009</v>
      </c>
      <c r="R253" s="244"/>
      <c r="S253" s="169">
        <f>SUMIFS(операции!$V:$V,операции!$T:$T,"&gt;="&amp;S$8,операции!$T:$T,"&lt;="&amp;S$9,операции!$P:$P,$F235)</f>
        <v>129958.05</v>
      </c>
      <c r="T253" s="170"/>
      <c r="U253" s="169">
        <f>SUMIFS(операции!$V:$V,операции!$T:$T,"&gt;="&amp;S$8,операции!$T:$T,"&lt;="&amp;S$9,операции!$L:$L,U$9,операции!$P:$P,$F235)</f>
        <v>0</v>
      </c>
      <c r="V253" s="243">
        <f>SUMIFS(операции!$V:$V,операции!$T:$T,"&gt;="&amp;S$8,операции!$T:$T,"&lt;="&amp;S$9,операции!$L:$L,V$9,операции!$P:$P,$F235)</f>
        <v>129958.05</v>
      </c>
      <c r="W253" s="244"/>
      <c r="X253" s="169">
        <f>SUMIFS(операции!$V:$V,операции!$T:$T,"&gt;="&amp;X$8,операции!$T:$T,"&lt;="&amp;X$9,операции!$P:$P,$F235)</f>
        <v>15624.689999999999</v>
      </c>
      <c r="Y253" s="170"/>
      <c r="Z253" s="169">
        <f>SUMIFS(операции!$V:$V,операции!$T:$T,"&gt;="&amp;X$8,операции!$T:$T,"&lt;="&amp;X$9,операции!$L:$L,Z$9,операции!$P:$P,$F235)</f>
        <v>0</v>
      </c>
      <c r="AA253" s="243">
        <f>SUMIFS(операции!$V:$V,операции!$T:$T,"&gt;="&amp;X$8,операции!$T:$T,"&lt;="&amp;X$9,операции!$L:$L,AA$9,операции!$P:$P,$F235)</f>
        <v>15624.689999999999</v>
      </c>
      <c r="AB253" s="266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s="192" customFormat="1" ht="11.25">
      <c r="A254" s="37"/>
      <c r="B254" s="37"/>
      <c r="C254" s="37"/>
      <c r="D254" s="207" t="s">
        <v>255</v>
      </c>
      <c r="E254" s="207"/>
      <c r="F254" s="207" t="str">
        <f t="shared" si="378"/>
        <v>Спортивный инвентарь</v>
      </c>
      <c r="G254" s="207" t="s">
        <v>262</v>
      </c>
      <c r="H254" s="331"/>
      <c r="I254" s="337">
        <f>IF(I253=0,0,SUMIFS(операции!$AF:$AF,операции!$T:$T,"&gt;="&amp;I$8,операции!$T:$T,"&lt;="&amp;I$9,операции!$P:$P,$F235)/I253)</f>
        <v>42324.527503557307</v>
      </c>
      <c r="J254" s="333"/>
      <c r="K254" s="337">
        <f>IF(K253=0,0,SUMIFS(операции!$AF:$AF,операции!$T:$T,"&gt;="&amp;I$8,операции!$T:$T,"&lt;="&amp;I$9,операции!$L:$L,K$9,операции!$P:$P,$F235)/K253)</f>
        <v>42292.392839383385</v>
      </c>
      <c r="L254" s="338">
        <f>IF(L253=0,0,SUMIFS(операции!$AF:$AF,операции!$T:$T,"&gt;="&amp;I$8,операции!$T:$T,"&lt;="&amp;I$9,операции!$L:$L,L$9,операции!$P:$P,$F235)/L253)</f>
        <v>42325.272312297355</v>
      </c>
      <c r="M254" s="278"/>
      <c r="N254" s="217">
        <f>IF(N253=0,0,SUMIFS(операции!$AF:$AF,операции!$T:$T,"&gt;="&amp;N$8,операции!$T:$T,"&lt;="&amp;N$9,операции!$P:$P,$F235)/N253)</f>
        <v>42300.622900373841</v>
      </c>
      <c r="O254" s="208"/>
      <c r="P254" s="217">
        <f>IF(P253=0,0,SUMIFS(операции!$AF:$AF,операции!$T:$T,"&gt;="&amp;N$8,операции!$T:$T,"&lt;="&amp;N$9,операции!$L:$L,P$9,операции!$P:$P,$F235)/P253)</f>
        <v>42292.392839383385</v>
      </c>
      <c r="Q254" s="249">
        <f>IF(Q253=0,0,SUMIFS(операции!$AF:$AF,операции!$T:$T,"&gt;="&amp;N$8,операции!$T:$T,"&lt;="&amp;N$9,операции!$L:$L,Q$9,операции!$P:$P,$F235)/Q253)</f>
        <v>42301.47757383484</v>
      </c>
      <c r="R254" s="247"/>
      <c r="S254" s="217">
        <f>IF(S253=0,0,SUMIFS(операции!$AF:$AF,операции!$T:$T,"&gt;="&amp;S$8,операции!$T:$T,"&lt;="&amp;S$9,операции!$P:$P,$F235)/S253)</f>
        <v>42329.124033947861</v>
      </c>
      <c r="T254" s="208"/>
      <c r="U254" s="217">
        <f>IF(U253=0,0,SUMIFS(операции!$AF:$AF,операции!$T:$T,"&gt;="&amp;S$8,операции!$T:$T,"&lt;="&amp;S$9,операции!$L:$L,U$9,операции!$P:$P,$F235)/U253)</f>
        <v>0</v>
      </c>
      <c r="V254" s="249">
        <f>IF(V253=0,0,SUMIFS(операции!$AF:$AF,операции!$T:$T,"&gt;="&amp;S$8,операции!$T:$T,"&lt;="&amp;S$9,операции!$L:$L,V$9,операции!$P:$P,$F235)/V253)</f>
        <v>42329.124033947861</v>
      </c>
      <c r="W254" s="247"/>
      <c r="X254" s="217">
        <f>IF(X253=0,0,SUMIFS(операции!$AF:$AF,операции!$T:$T,"&gt;="&amp;X$8,операции!$T:$T,"&lt;="&amp;X$9,операции!$P:$P,$F235)/X253)</f>
        <v>42356.93551040053</v>
      </c>
      <c r="Y254" s="208"/>
      <c r="Z254" s="217">
        <f>IF(Z253=0,0,SUMIFS(операции!$AF:$AF,операции!$T:$T,"&gt;="&amp;X$8,операции!$T:$T,"&lt;="&amp;X$9,операции!$L:$L,Z$9,операции!$P:$P,$F235)/Z253)</f>
        <v>0</v>
      </c>
      <c r="AA254" s="249">
        <f>IF(AA253=0,0,SUMIFS(операции!$AF:$AF,операции!$T:$T,"&gt;="&amp;X$8,операции!$T:$T,"&lt;="&amp;X$9,операции!$L:$L,AA$9,операции!$P:$P,$F235)/AA253)</f>
        <v>42356.93551040053</v>
      </c>
      <c r="AB254" s="265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</row>
    <row r="255" spans="1:42" s="93" customFormat="1" ht="15">
      <c r="A255" s="92"/>
      <c r="B255" s="92"/>
      <c r="C255" s="92"/>
      <c r="D255" s="212" t="s">
        <v>274</v>
      </c>
      <c r="E255" s="212"/>
      <c r="F255" s="212" t="str">
        <f t="shared" si="378"/>
        <v>Спортивный инвентарь</v>
      </c>
      <c r="G255" s="212" t="s">
        <v>261</v>
      </c>
      <c r="H255" s="339"/>
      <c r="I255" s="340">
        <f>SUMIFS(операции!$Z:$Z,операции!$X:$X,"&gt;="&amp;I$8,операции!$X:$X,"&lt;="&amp;I$9,операции!$P:$P,$F235)</f>
        <v>339905</v>
      </c>
      <c r="J255" s="341">
        <f>I255-I268-I278</f>
        <v>0</v>
      </c>
      <c r="K255" s="340">
        <f>SUMIFS(операции!$Z:$Z,операции!$X:$X,"&gt;="&amp;I$8,операции!$X:$X,"&lt;="&amp;I$9,операции!$L:$L,K$9,операции!$P:$P,$F235)</f>
        <v>141883</v>
      </c>
      <c r="L255" s="342">
        <f>SUMIFS(операции!$Z:$Z,операции!$X:$X,"&gt;="&amp;I$8,операции!$X:$X,"&lt;="&amp;I$9,операции!$L:$L,L$9,операции!$P:$P,$F235)</f>
        <v>198022</v>
      </c>
      <c r="M255" s="279"/>
      <c r="N255" s="213">
        <f>SUMIFS(операции!$Z:$Z,операции!$X:$X,"&gt;="&amp;N$8,операции!$X:$X,"&lt;="&amp;N$9,операции!$P:$P,$F235)</f>
        <v>93096</v>
      </c>
      <c r="O255" s="216">
        <f>N255-N268-N278</f>
        <v>0</v>
      </c>
      <c r="P255" s="213">
        <f>SUMIFS(операции!$Z:$Z,операции!$X:$X,"&gt;="&amp;N$8,операции!$X:$X,"&lt;="&amp;N$9,операции!$L:$L,P$9,операции!$P:$P,$F235)</f>
        <v>60975</v>
      </c>
      <c r="Q255" s="250">
        <f>SUMIFS(операции!$Z:$Z,операции!$X:$X,"&gt;="&amp;N$8,операции!$X:$X,"&lt;="&amp;N$9,операции!$L:$L,Q$9,операции!$P:$P,$F235)</f>
        <v>32121</v>
      </c>
      <c r="R255" s="251"/>
      <c r="S255" s="213">
        <f>SUMIFS(операции!$Z:$Z,операции!$X:$X,"&gt;="&amp;S$8,операции!$X:$X,"&lt;="&amp;S$9,операции!$P:$P,$F235)</f>
        <v>145622</v>
      </c>
      <c r="T255" s="216">
        <f>S255-S268-S278</f>
        <v>0</v>
      </c>
      <c r="U255" s="213">
        <f>SUMIFS(операции!$Z:$Z,операции!$X:$X,"&gt;="&amp;S$8,операции!$X:$X,"&lt;="&amp;S$9,операции!$L:$L,U$9,операции!$P:$P,$F235)</f>
        <v>68919</v>
      </c>
      <c r="V255" s="250">
        <f>SUMIFS(операции!$Z:$Z,операции!$X:$X,"&gt;="&amp;S$8,операции!$X:$X,"&lt;="&amp;S$9,операции!$L:$L,V$9,операции!$P:$P,$F235)</f>
        <v>76703</v>
      </c>
      <c r="W255" s="251"/>
      <c r="X255" s="213">
        <f>SUMIFS(операции!$Z:$Z,операции!$X:$X,"&gt;="&amp;X$8,операции!$X:$X,"&lt;="&amp;X$9,операции!$P:$P,$F235)</f>
        <v>101187</v>
      </c>
      <c r="Y255" s="216">
        <f>X255-X268-X278</f>
        <v>0</v>
      </c>
      <c r="Z255" s="213">
        <f>SUMIFS(операции!$Z:$Z,операции!$X:$X,"&gt;="&amp;X$8,операции!$X:$X,"&lt;="&amp;X$9,операции!$L:$L,Z$9,операции!$P:$P,$F235)</f>
        <v>11989</v>
      </c>
      <c r="AA255" s="250">
        <f>SUMIFS(операции!$Z:$Z,операции!$X:$X,"&gt;="&amp;X$8,операции!$X:$X,"&lt;="&amp;X$9,операции!$L:$L,AA$9,операции!$P:$P,$F235)</f>
        <v>89198</v>
      </c>
      <c r="AB255" s="264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</row>
    <row r="256" spans="1:42" s="407" customFormat="1" ht="11.25">
      <c r="A256" s="404"/>
      <c r="B256" s="404"/>
      <c r="C256" s="404"/>
      <c r="D256" s="405" t="s">
        <v>332</v>
      </c>
      <c r="E256" s="405"/>
      <c r="F256" s="405" t="str">
        <f>F254</f>
        <v>Спортивный инвентарь</v>
      </c>
      <c r="G256" s="405" t="s">
        <v>218</v>
      </c>
      <c r="H256" s="408"/>
      <c r="I256" s="408">
        <f>IF(I$31=0,0,I255/I$31)</f>
        <v>9.1624130405717222E-2</v>
      </c>
      <c r="J256" s="409"/>
      <c r="K256" s="408">
        <f t="shared" ref="K256" si="407">IF(K$31=0,0,K255/K$31)</f>
        <v>0.10898366508586853</v>
      </c>
      <c r="L256" s="410">
        <f t="shared" ref="L256" si="408">IF(L$31=0,0,L255/L$31)</f>
        <v>8.2238396745382497E-2</v>
      </c>
      <c r="M256" s="411"/>
      <c r="N256" s="412">
        <f t="shared" ref="N256" si="409">IF(N$31=0,0,N255/N$31)</f>
        <v>0.12012340597391236</v>
      </c>
      <c r="O256" s="413"/>
      <c r="P256" s="412">
        <f t="shared" ref="P256" si="410">IF(P$31=0,0,P255/P$31)</f>
        <v>0.12183401401865424</v>
      </c>
      <c r="Q256" s="414">
        <f t="shared" ref="Q256" si="411">IF(Q$31=0,0,Q255/Q$31)</f>
        <v>0.11700488476543291</v>
      </c>
      <c r="R256" s="415"/>
      <c r="S256" s="412">
        <f t="shared" ref="S256" si="412">IF(S$31=0,0,S255/S$31)</f>
        <v>8.2054662913909157E-2</v>
      </c>
      <c r="T256" s="413"/>
      <c r="U256" s="412">
        <f t="shared" ref="U256" si="413">IF(U$31=0,0,U255/U$31)</f>
        <v>0.10943779723860866</v>
      </c>
      <c r="V256" s="414">
        <f t="shared" ref="V256" si="414">IF(V$31=0,0,V255/V$31)</f>
        <v>6.6993030202456019E-2</v>
      </c>
      <c r="W256" s="415"/>
      <c r="X256" s="412">
        <f t="shared" ref="X256" si="415">IF(X$31=0,0,X255/X$31)</f>
        <v>8.7224307331058779E-2</v>
      </c>
      <c r="Y256" s="413"/>
      <c r="Z256" s="412">
        <f t="shared" ref="Z256" si="416">IF(Z$31=0,0,Z255/Z$31)</f>
        <v>6.9848464545597552E-2</v>
      </c>
      <c r="AA256" s="414">
        <f t="shared" ref="AA256" si="417">IF(AA$31=0,0,AA255/AA$31)</f>
        <v>9.0241644620030648E-2</v>
      </c>
      <c r="AB256" s="406"/>
      <c r="AC256" s="404"/>
      <c r="AD256" s="404"/>
      <c r="AE256" s="404"/>
      <c r="AF256" s="404"/>
      <c r="AG256" s="404"/>
      <c r="AH256" s="404"/>
      <c r="AI256" s="404"/>
      <c r="AJ256" s="404"/>
      <c r="AK256" s="404"/>
      <c r="AL256" s="404"/>
      <c r="AM256" s="404"/>
      <c r="AN256" s="404"/>
      <c r="AO256" s="404"/>
      <c r="AP256" s="404"/>
    </row>
    <row r="257" spans="1:42" s="192" customFormat="1" ht="11.25">
      <c r="A257" s="37"/>
      <c r="B257" s="37"/>
      <c r="C257" s="37"/>
      <c r="D257" s="191" t="s">
        <v>331</v>
      </c>
      <c r="E257" s="191"/>
      <c r="F257" s="191" t="str">
        <f>F255</f>
        <v>Спортивный инвентарь</v>
      </c>
      <c r="G257" s="191" t="s">
        <v>334</v>
      </c>
      <c r="H257" s="315"/>
      <c r="I257" s="329">
        <f>SUMIFS(операции!$R:$R,операции!$X:$X,"&gt;="&amp;I$8,операции!$X:$X,"&lt;="&amp;I$9,операции!$P:$P,$F235)</f>
        <v>158</v>
      </c>
      <c r="J257" s="317">
        <f>I257-K257-L257</f>
        <v>0</v>
      </c>
      <c r="K257" s="329">
        <f>SUMIFS(операции!$R:$R,операции!$X:$X,"&gt;="&amp;I$8,операции!$X:$X,"&lt;="&amp;I$9,операции!$L:$L,K$9,операции!$P:$P,$F235)</f>
        <v>66</v>
      </c>
      <c r="L257" s="330">
        <f>SUMIFS(операции!$R:$R,операции!$X:$X,"&gt;="&amp;I$8,операции!$X:$X,"&lt;="&amp;I$9,операции!$L:$L,L$9,операции!$P:$P,$F235)</f>
        <v>92</v>
      </c>
      <c r="M257" s="402"/>
      <c r="N257" s="156">
        <f>SUMIFS(операции!$R:$R,операции!$X:$X,"&gt;="&amp;N$8,операции!$X:$X,"&lt;="&amp;N$9,операции!$P:$P,$F235)</f>
        <v>44</v>
      </c>
      <c r="O257" s="196">
        <f t="shared" ref="O257" si="418">N257-P257-Q257</f>
        <v>0</v>
      </c>
      <c r="P257" s="156">
        <f>SUMIFS(операции!$R:$R,операции!$X:$X,"&gt;="&amp;N$8,операции!$X:$X,"&lt;="&amp;N$9,операции!$L:$L,P$9,операции!$P:$P,$F235)</f>
        <v>28</v>
      </c>
      <c r="Q257" s="245">
        <f>SUMIFS(операции!$R:$R,операции!$X:$X,"&gt;="&amp;N$8,операции!$X:$X,"&lt;="&amp;N$9,операции!$L:$L,Q$9,операции!$P:$P,$F235)</f>
        <v>16</v>
      </c>
      <c r="R257" s="403"/>
      <c r="S257" s="156">
        <f>SUMIFS(операции!$R:$R,операции!$X:$X,"&gt;="&amp;S$8,операции!$X:$X,"&lt;="&amp;S$9,операции!$P:$P,$F235)</f>
        <v>68</v>
      </c>
      <c r="T257" s="196">
        <f t="shared" ref="T257" si="419">S257-U257-V257</f>
        <v>0</v>
      </c>
      <c r="U257" s="156">
        <f>SUMIFS(операции!$R:$R,операции!$X:$X,"&gt;="&amp;S$8,операции!$X:$X,"&lt;="&amp;S$9,операции!$L:$L,U$9,операции!$P:$P,$F235)</f>
        <v>31</v>
      </c>
      <c r="V257" s="245">
        <f>SUMIFS(операции!$R:$R,операции!$X:$X,"&gt;="&amp;S$8,операции!$X:$X,"&lt;="&amp;S$9,операции!$L:$L,V$9,операции!$P:$P,$F235)</f>
        <v>37</v>
      </c>
      <c r="W257" s="403"/>
      <c r="X257" s="156">
        <f>SUMIFS(операции!$R:$R,операции!$X:$X,"&gt;="&amp;X$8,операции!$X:$X,"&lt;="&amp;X$9,операции!$P:$P,$F235)</f>
        <v>46</v>
      </c>
      <c r="Y257" s="196">
        <f t="shared" ref="Y257" si="420">X257-Z257-AA257</f>
        <v>0</v>
      </c>
      <c r="Z257" s="156">
        <f>SUMIFS(операции!$R:$R,операции!$X:$X,"&gt;="&amp;X$8,операции!$X:$X,"&lt;="&amp;X$9,операции!$L:$L,Z$9,операции!$P:$P,$F235)</f>
        <v>7</v>
      </c>
      <c r="AA257" s="245">
        <f>SUMIFS(операции!$R:$R,операции!$X:$X,"&gt;="&amp;X$8,операции!$X:$X,"&lt;="&amp;X$9,операции!$L:$L,AA$9,операции!$P:$P,$F235)</f>
        <v>39</v>
      </c>
      <c r="AB257" s="265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</row>
    <row r="258" spans="1:42" s="192" customFormat="1" ht="11.25">
      <c r="A258" s="37"/>
      <c r="B258" s="37"/>
      <c r="C258" s="37"/>
      <c r="D258" s="191" t="s">
        <v>333</v>
      </c>
      <c r="E258" s="191"/>
      <c r="F258" s="191" t="str">
        <f t="shared" si="378"/>
        <v>Спортивный инвентарь</v>
      </c>
      <c r="G258" s="191" t="s">
        <v>261</v>
      </c>
      <c r="H258" s="315"/>
      <c r="I258" s="329">
        <f>IF(I257=0,0,I255/I257)</f>
        <v>2151.2974683544303</v>
      </c>
      <c r="J258" s="317"/>
      <c r="K258" s="329">
        <f t="shared" ref="K258" si="421">IF(K257=0,0,K255/K257)</f>
        <v>2149.742424242424</v>
      </c>
      <c r="L258" s="330">
        <f t="shared" ref="L258" si="422">IF(L257=0,0,L255/L257)</f>
        <v>2152.413043478261</v>
      </c>
      <c r="M258" s="402"/>
      <c r="N258" s="156">
        <f>IF(N257=0,0,N255/N257)</f>
        <v>2115.818181818182</v>
      </c>
      <c r="O258" s="196"/>
      <c r="P258" s="156">
        <f>IF(P257=0,0,P255/P257)</f>
        <v>2177.6785714285716</v>
      </c>
      <c r="Q258" s="245">
        <f>IF(Q257=0,0,Q255/Q257)</f>
        <v>2007.5625</v>
      </c>
      <c r="R258" s="403"/>
      <c r="S258" s="156">
        <f>IF(S257=0,0,S255/S257)</f>
        <v>2141.5</v>
      </c>
      <c r="T258" s="196"/>
      <c r="U258" s="156">
        <f>IF(U257=0,0,U255/U257)</f>
        <v>2223.1935483870966</v>
      </c>
      <c r="V258" s="245">
        <f>IF(V257=0,0,V255/V257)</f>
        <v>2073.0540540540542</v>
      </c>
      <c r="W258" s="403"/>
      <c r="X258" s="156">
        <f>IF(X257=0,0,X255/X257)</f>
        <v>2199.717391304348</v>
      </c>
      <c r="Y258" s="196"/>
      <c r="Z258" s="156">
        <f>IF(Z257=0,0,Z255/Z257)</f>
        <v>1712.7142857142858</v>
      </c>
      <c r="AA258" s="245">
        <f>IF(AA257=0,0,AA255/AA257)</f>
        <v>2287.1282051282051</v>
      </c>
      <c r="AB258" s="265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</row>
    <row r="259" spans="1:42" s="192" customFormat="1" ht="11.25">
      <c r="A259" s="37"/>
      <c r="B259" s="37"/>
      <c r="C259" s="37"/>
      <c r="D259" s="191" t="s">
        <v>290</v>
      </c>
      <c r="E259" s="191"/>
      <c r="F259" s="191" t="str">
        <f>F255</f>
        <v>Спортивный инвентарь</v>
      </c>
      <c r="G259" s="191" t="s">
        <v>262</v>
      </c>
      <c r="H259" s="315"/>
      <c r="I259" s="316">
        <f>IF(I255=0,0,SUMIFS(операции!$AG:$AG,операции!$X:$X,"&gt;="&amp;I$8,операции!$X:$X,"&lt;="&amp;I$9,операции!$P:$P,$F235)/I255)</f>
        <v>42323.344393286359</v>
      </c>
      <c r="J259" s="317"/>
      <c r="K259" s="316">
        <f>IF(K255=0,0,SUMIFS(операции!$AG:$AG,операции!$X:$X,"&gt;="&amp;I$8,операции!$X:$X,"&lt;="&amp;I$9,операции!$L:$L,K$9,операции!$P:$P,$F235)/K255)</f>
        <v>42316.445240092187</v>
      </c>
      <c r="L259" s="318">
        <f>IF(L255=0,0,SUMIFS(операции!$AG:$AG,операции!$X:$X,"&gt;="&amp;I$8,операции!$X:$X,"&lt;="&amp;I$9,операции!$L:$L,L$9,операции!$P:$P,$F235)/L255)</f>
        <v>42328.28764480714</v>
      </c>
      <c r="M259" s="274"/>
      <c r="N259" s="193">
        <f>IF(N255=0,0,SUMIFS(операции!$AG:$AG,операции!$X:$X,"&gt;="&amp;N$8,операции!$X:$X,"&lt;="&amp;N$9,операции!$P:$P,$F235)/N255)</f>
        <v>42303.341894388592</v>
      </c>
      <c r="O259" s="196"/>
      <c r="P259" s="193">
        <f>IF(P255=0,0,SUMIFS(операции!$AG:$AG,операции!$X:$X,"&gt;="&amp;N$8,операции!$X:$X,"&lt;="&amp;N$9,операции!$L:$L,P$9,операции!$P:$P,$F235)/P255)</f>
        <v>42302.879917999177</v>
      </c>
      <c r="Q259" s="237">
        <f>IF(Q255=0,0,SUMIFS(операции!$AG:$AG,операции!$X:$X,"&gt;="&amp;N$8,операции!$X:$X,"&lt;="&amp;N$9,операции!$L:$L,Q$9,операции!$P:$P,$F235)/Q255)</f>
        <v>42304.218859935871</v>
      </c>
      <c r="R259" s="238"/>
      <c r="S259" s="193">
        <f>IF(S255=0,0,SUMIFS(операции!$AG:$AG,операции!$X:$X,"&gt;="&amp;S$8,операции!$X:$X,"&lt;="&amp;S$9,операции!$P:$P,$F235)/S255)</f>
        <v>42322.617935476781</v>
      </c>
      <c r="T259" s="196"/>
      <c r="U259" s="193">
        <f>IF(U255=0,0,SUMIFS(операции!$AG:$AG,операции!$X:$X,"&gt;="&amp;S$8,операции!$X:$X,"&lt;="&amp;S$9,операции!$L:$L,U$9,операции!$P:$P,$F235)/U255)</f>
        <v>42324.077685398799</v>
      </c>
      <c r="V259" s="237">
        <f>IF(V255=0,0,SUMIFS(операции!$AG:$AG,операции!$X:$X,"&gt;="&amp;S$8,операции!$X:$X,"&lt;="&amp;S$9,операции!$L:$L,V$9,операции!$P:$P,$F235)/V255)</f>
        <v>42321.306324394092</v>
      </c>
      <c r="W259" s="238"/>
      <c r="X259" s="193">
        <f>IF(X255=0,0,SUMIFS(операции!$AG:$AG,операции!$X:$X,"&gt;="&amp;X$8,операции!$X:$X,"&lt;="&amp;X$9,операции!$P:$P,$F235)/X255)</f>
        <v>42342.792947710674</v>
      </c>
      <c r="Y259" s="196"/>
      <c r="Z259" s="193">
        <f>IF(Z255=0,0,SUMIFS(операции!$AG:$AG,операции!$X:$X,"&gt;="&amp;X$8,операции!$X:$X,"&lt;="&amp;X$9,операции!$L:$L,Z$9,операции!$P:$P,$F235)/Z255)</f>
        <v>42341.562015180585</v>
      </c>
      <c r="AA259" s="237">
        <f>IF(AA255=0,0,SUMIFS(операции!$AG:$AG,операции!$X:$X,"&gt;="&amp;X$8,операции!$X:$X,"&lt;="&amp;X$9,операции!$L:$L,AA$9,операции!$P:$P,$F235)/AA255)</f>
        <v>42342.958395928159</v>
      </c>
      <c r="AB259" s="265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</row>
    <row r="260" spans="1:42" s="93" customFormat="1" ht="15">
      <c r="A260" s="92"/>
      <c r="B260" s="92"/>
      <c r="C260" s="92"/>
      <c r="D260" s="151" t="s">
        <v>275</v>
      </c>
      <c r="E260" s="151"/>
      <c r="F260" s="151" t="str">
        <f t="shared" si="378"/>
        <v>Спортивный инвентарь</v>
      </c>
      <c r="G260" s="151" t="s">
        <v>261</v>
      </c>
      <c r="H260" s="311"/>
      <c r="I260" s="312">
        <f>SUMIFS(операции!$V:$V,операции!$X:$X,"&gt;="&amp;I$8,операции!$X:$X,"&lt;="&amp;I$9,операции!$P:$P,$F235)</f>
        <v>296689.77999999968</v>
      </c>
      <c r="J260" s="313">
        <f>I260-I270-I280</f>
        <v>-1.8917489796876907E-10</v>
      </c>
      <c r="K260" s="312">
        <f>SUMIFS(операции!$V:$V,операции!$X:$X,"&gt;="&amp;I$8,операции!$X:$X,"&lt;="&amp;I$9,операции!$L:$L,K$9,операции!$P:$P,$F235)</f>
        <v>124903.57999999996</v>
      </c>
      <c r="L260" s="314">
        <f>SUMIFS(операции!$V:$V,операции!$X:$X,"&gt;="&amp;I$8,операции!$X:$X,"&lt;="&amp;I$9,операции!$L:$L,L$9,операции!$P:$P,$F235)</f>
        <v>171786.19999999987</v>
      </c>
      <c r="M260" s="273"/>
      <c r="N260" s="152">
        <f>SUMIFS(операции!$V:$V,операции!$X:$X,"&gt;="&amp;N$8,операции!$X:$X,"&lt;="&amp;N$9,операции!$P:$P,$F235)</f>
        <v>81275.98000000001</v>
      </c>
      <c r="O260" s="170">
        <f>N260-N270-N280</f>
        <v>0</v>
      </c>
      <c r="P260" s="152">
        <f>SUMIFS(операции!$V:$V,операции!$X:$X,"&gt;="&amp;N$8,операции!$X:$X,"&lt;="&amp;N$9,операции!$L:$L,P$9,операции!$P:$P,$F235)</f>
        <v>52679.070000000007</v>
      </c>
      <c r="Q260" s="235">
        <f>SUMIFS(операции!$V:$V,операции!$X:$X,"&gt;="&amp;N$8,операции!$X:$X,"&lt;="&amp;N$9,операции!$L:$L,Q$9,операции!$P:$P,$F235)</f>
        <v>28596.91</v>
      </c>
      <c r="R260" s="236"/>
      <c r="S260" s="152">
        <f>SUMIFS(операции!$V:$V,операции!$X:$X,"&gt;="&amp;S$8,операции!$X:$X,"&lt;="&amp;S$9,операции!$P:$P,$F235)</f>
        <v>122686.20000000004</v>
      </c>
      <c r="T260" s="170">
        <f>S260-S270-S280</f>
        <v>0</v>
      </c>
      <c r="U260" s="152">
        <f>SUMIFS(операции!$V:$V,операции!$X:$X,"&gt;="&amp;S$8,операции!$X:$X,"&lt;="&amp;S$9,операции!$L:$L,U$9,операции!$P:$P,$F235)</f>
        <v>61815.249999999985</v>
      </c>
      <c r="V260" s="235">
        <f>SUMIFS(операции!$V:$V,операции!$X:$X,"&gt;="&amp;S$8,операции!$X:$X,"&lt;="&amp;S$9,операции!$L:$L,V$9,операции!$P:$P,$F235)</f>
        <v>60870.950000000004</v>
      </c>
      <c r="W260" s="236"/>
      <c r="X260" s="152">
        <f>SUMIFS(операции!$V:$V,операции!$X:$X,"&gt;="&amp;X$8,операции!$X:$X,"&lt;="&amp;X$9,операции!$P:$P,$F235)</f>
        <v>92727.599999999991</v>
      </c>
      <c r="Y260" s="170">
        <f>X260-X270-X280</f>
        <v>0</v>
      </c>
      <c r="Z260" s="152">
        <f>SUMIFS(операции!$V:$V,операции!$X:$X,"&gt;="&amp;X$8,операции!$X:$X,"&lt;="&amp;X$9,операции!$L:$L,Z$9,операции!$P:$P,$F235)</f>
        <v>10409.259999999998</v>
      </c>
      <c r="AA260" s="235">
        <f>SUMIFS(операции!$V:$V,операции!$X:$X,"&gt;="&amp;X$8,операции!$X:$X,"&lt;="&amp;X$9,операции!$L:$L,AA$9,операции!$P:$P,$F235)</f>
        <v>82318.34</v>
      </c>
      <c r="AB260" s="264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</row>
    <row r="261" spans="1:42" s="192" customFormat="1" ht="11.25">
      <c r="A261" s="37"/>
      <c r="B261" s="37"/>
      <c r="C261" s="37"/>
      <c r="D261" s="191" t="s">
        <v>291</v>
      </c>
      <c r="E261" s="191"/>
      <c r="F261" s="191" t="str">
        <f t="shared" si="378"/>
        <v>Спортивный инвентарь</v>
      </c>
      <c r="G261" s="191" t="s">
        <v>262</v>
      </c>
      <c r="H261" s="315"/>
      <c r="I261" s="316">
        <f>IF(I260=0,0,SUMIFS(операции!$AF:$AF,операции!$X:$X,"&gt;="&amp;I$8,операции!$X:$X,"&lt;="&amp;I$9,операции!$P:$P,$F235)/I260)</f>
        <v>42276.685391758416</v>
      </c>
      <c r="J261" s="317"/>
      <c r="K261" s="316">
        <f>IF(K260=0,0,SUMIFS(операции!$AF:$AF,операции!$X:$X,"&gt;="&amp;I$8,операции!$X:$X,"&lt;="&amp;I$9,операции!$L:$L,K$9,операции!$P:$P,$F235)/K260)</f>
        <v>42213.822223270159</v>
      </c>
      <c r="L261" s="318">
        <f>IF(L260=0,0,SUMIFS(операции!$AF:$AF,операции!$X:$X,"&gt;="&amp;I$8,операции!$X:$X,"&lt;="&amp;I$9,операции!$L:$L,L$9,операции!$P:$P,$F235)/L260)</f>
        <v>42322.392408936255</v>
      </c>
      <c r="M261" s="274"/>
      <c r="N261" s="193">
        <f>IF(N260=0,0,SUMIFS(операции!$AF:$AF,операции!$X:$X,"&gt;="&amp;N$8,операции!$X:$X,"&lt;="&amp;N$9,операции!$P:$P,$F235)/N260)</f>
        <v>42235.087383012797</v>
      </c>
      <c r="O261" s="196"/>
      <c r="P261" s="193">
        <f>IF(P260=0,0,SUMIFS(операции!$AF:$AF,операции!$X:$X,"&gt;="&amp;N$8,операции!$X:$X,"&lt;="&amp;N$9,операции!$L:$L,P$9,операции!$P:$P,$F235)/P260)</f>
        <v>42200.408790436115</v>
      </c>
      <c r="Q261" s="237">
        <f>IF(Q260=0,0,SUMIFS(операции!$AF:$AF,операции!$X:$X,"&gt;="&amp;N$8,операции!$X:$X,"&lt;="&amp;N$9,операции!$L:$L,Q$9,операции!$P:$P,$F235)/Q260)</f>
        <v>42298.96966979999</v>
      </c>
      <c r="R261" s="238"/>
      <c r="S261" s="193">
        <f>IF(S260=0,0,SUMIFS(операции!$AF:$AF,операции!$X:$X,"&gt;="&amp;S$8,операции!$X:$X,"&lt;="&amp;S$9,операции!$P:$P,$F235)/S260)</f>
        <v>42267.528074306632</v>
      </c>
      <c r="T261" s="196"/>
      <c r="U261" s="193">
        <f>IF(U260=0,0,SUMIFS(операции!$AF:$AF,операции!$X:$X,"&gt;="&amp;S$8,операции!$X:$X,"&lt;="&amp;S$9,операции!$L:$L,U$9,операции!$P:$P,$F235)/U260)</f>
        <v>42221.043330084416</v>
      </c>
      <c r="V261" s="237">
        <f>IF(V260=0,0,SUMIFS(операции!$AF:$AF,операции!$X:$X,"&gt;="&amp;S$8,операции!$X:$X,"&lt;="&amp;S$9,операции!$L:$L,V$9,операции!$P:$P,$F235)/V260)</f>
        <v>42314.733943202795</v>
      </c>
      <c r="W261" s="238"/>
      <c r="X261" s="193">
        <f>IF(X260=0,0,SUMIFS(операции!$AF:$AF,операции!$X:$X,"&gt;="&amp;X$8,операции!$X:$X,"&lt;="&amp;X$9,операции!$P:$P,$F235)/X260)</f>
        <v>42325.26203352616</v>
      </c>
      <c r="Y261" s="196"/>
      <c r="Z261" s="193">
        <f>IF(Z260=0,0,SUMIFS(операции!$AF:$AF,операции!$X:$X,"&gt;="&amp;X$8,операции!$X:$X,"&lt;="&amp;X$9,операции!$L:$L,Z$9,операции!$P:$P,$F235)/Z260)</f>
        <v>42238.822333191798</v>
      </c>
      <c r="AA261" s="237">
        <f>IF(AA260=0,0,SUMIFS(операции!$AF:$AF,операции!$X:$X,"&gt;="&amp;X$8,операции!$X:$X,"&lt;="&amp;X$9,операции!$L:$L,AA$9,операции!$P:$P,$F235)/AA260)</f>
        <v>42336.192444842789</v>
      </c>
      <c r="AB261" s="265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</row>
    <row r="262" spans="1:42" s="192" customFormat="1" ht="11.25">
      <c r="A262" s="37"/>
      <c r="B262" s="37"/>
      <c r="C262" s="37"/>
      <c r="D262" s="191" t="s">
        <v>308</v>
      </c>
      <c r="E262" s="191"/>
      <c r="F262" s="191" t="str">
        <f t="shared" si="378"/>
        <v>Спортивный инвентарь</v>
      </c>
      <c r="G262" s="191" t="s">
        <v>262</v>
      </c>
      <c r="H262" s="315"/>
      <c r="I262" s="316">
        <f>IF(I260=0,0,(I270*I272+I280*I282)/I260)</f>
        <v>42314.899818793936</v>
      </c>
      <c r="J262" s="317"/>
      <c r="K262" s="316">
        <f t="shared" ref="K262:L262" si="423">IF(K260=0,0,(K270*K272+K280*K282)/K260)</f>
        <v>42268.082349761331</v>
      </c>
      <c r="L262" s="318">
        <f t="shared" si="423"/>
        <v>42348.940210214831</v>
      </c>
      <c r="M262" s="274"/>
      <c r="N262" s="193">
        <f>IF(N260=0,0,(N270*N272+N280*N282)/N260)</f>
        <v>42277.719530665752</v>
      </c>
      <c r="O262" s="196"/>
      <c r="P262" s="193">
        <f t="shared" ref="P262:Q262" si="424">IF(P260=0,0,(P270*P272+P280*P282)/P260)</f>
        <v>42254.27430210897</v>
      </c>
      <c r="Q262" s="237">
        <f t="shared" si="424"/>
        <v>42320.908561799159</v>
      </c>
      <c r="R262" s="238"/>
      <c r="S262" s="193">
        <f>IF(S260=0,0,(S270*S272+S280*S282)/S260)</f>
        <v>42298.381480150165</v>
      </c>
      <c r="T262" s="196"/>
      <c r="U262" s="193">
        <f t="shared" ref="U262:V262" si="425">IF(U260=0,0,(U270*U272+U280*U282)/U260)</f>
        <v>42257.898177715062</v>
      </c>
      <c r="V262" s="237">
        <f t="shared" si="425"/>
        <v>42339.492806010094</v>
      </c>
      <c r="W262" s="238"/>
      <c r="X262" s="193">
        <f>IF(X260=0,0,(X270*X272+X280*X282)/X260)</f>
        <v>42352.563739814264</v>
      </c>
      <c r="Y262" s="196"/>
      <c r="Z262" s="193">
        <f t="shared" ref="Z262:AA262" si="426">IF(Z260=0,0,(Z270*Z272+Z280*Z282)/Z260)</f>
        <v>42295.418383247226</v>
      </c>
      <c r="AA262" s="237">
        <f t="shared" si="426"/>
        <v>42359.789843672756</v>
      </c>
      <c r="AB262" s="265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</row>
    <row r="263" spans="1:42" s="93" customFormat="1" ht="15">
      <c r="A263" s="92"/>
      <c r="B263" s="92"/>
      <c r="C263" s="92"/>
      <c r="D263" s="151" t="s">
        <v>278</v>
      </c>
      <c r="E263" s="151"/>
      <c r="F263" s="151" t="str">
        <f t="shared" si="378"/>
        <v>Спортивный инвентарь</v>
      </c>
      <c r="G263" s="151" t="s">
        <v>261</v>
      </c>
      <c r="H263" s="311"/>
      <c r="I263" s="312">
        <f>I255-I260</f>
        <v>43215.220000000321</v>
      </c>
      <c r="J263" s="313">
        <f>I263-K263-L263</f>
        <v>1.4551915228366852E-10</v>
      </c>
      <c r="K263" s="312">
        <f t="shared" ref="K263:L263" si="427">K255-K260</f>
        <v>16979.420000000042</v>
      </c>
      <c r="L263" s="314">
        <f t="shared" si="427"/>
        <v>26235.800000000134</v>
      </c>
      <c r="M263" s="273"/>
      <c r="N263" s="152">
        <f>N255-N260</f>
        <v>11820.01999999999</v>
      </c>
      <c r="O263" s="170">
        <f>N263-P263-Q263</f>
        <v>-3.637978807091713E-12</v>
      </c>
      <c r="P263" s="152">
        <f t="shared" ref="P263:Q263" si="428">P255-P260</f>
        <v>8295.929999999993</v>
      </c>
      <c r="Q263" s="235">
        <f t="shared" si="428"/>
        <v>3524.09</v>
      </c>
      <c r="R263" s="236"/>
      <c r="S263" s="152">
        <f>S255-S260</f>
        <v>22935.799999999959</v>
      </c>
      <c r="T263" s="170">
        <f>S263-U263-V263</f>
        <v>-5.0931703299283981E-11</v>
      </c>
      <c r="U263" s="152">
        <f t="shared" ref="U263:V263" si="429">U255-U260</f>
        <v>7103.7500000000146</v>
      </c>
      <c r="V263" s="235">
        <f t="shared" si="429"/>
        <v>15832.049999999996</v>
      </c>
      <c r="W263" s="236"/>
      <c r="X263" s="152">
        <f>X255-X260</f>
        <v>8459.4000000000087</v>
      </c>
      <c r="Y263" s="170">
        <f>X263-Z263-AA263</f>
        <v>0</v>
      </c>
      <c r="Z263" s="152">
        <f t="shared" ref="Z263:AA263" si="430">Z255-Z260</f>
        <v>1579.7400000000016</v>
      </c>
      <c r="AA263" s="235">
        <f t="shared" si="430"/>
        <v>6879.6600000000035</v>
      </c>
      <c r="AB263" s="264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</row>
    <row r="264" spans="1:42" s="211" customFormat="1">
      <c r="A264" s="210"/>
      <c r="B264" s="210"/>
      <c r="C264" s="210"/>
      <c r="D264" s="218" t="s">
        <v>277</v>
      </c>
      <c r="E264" s="218"/>
      <c r="F264" s="218" t="str">
        <f t="shared" si="378"/>
        <v>Спортивный инвентарь</v>
      </c>
      <c r="G264" s="218" t="s">
        <v>218</v>
      </c>
      <c r="H264" s="343"/>
      <c r="I264" s="344">
        <f>IF(I255=0,0,(I263/I255))</f>
        <v>0.12713911239905362</v>
      </c>
      <c r="J264" s="345"/>
      <c r="K264" s="344">
        <f t="shared" ref="K264" si="431">IF(K255=0,0,(K263/K255))</f>
        <v>0.11967198325380801</v>
      </c>
      <c r="L264" s="346">
        <f t="shared" ref="L264" si="432">IF(L255=0,0,(L263/L255))</f>
        <v>0.13248931936855568</v>
      </c>
      <c r="M264" s="280"/>
      <c r="N264" s="219">
        <f>IF(N255=0,0,(N263/N255))</f>
        <v>0.12696592764458181</v>
      </c>
      <c r="O264" s="220"/>
      <c r="P264" s="219">
        <f t="shared" ref="P264" si="433">IF(P255=0,0,(P263/P255))</f>
        <v>0.13605461254612536</v>
      </c>
      <c r="Q264" s="252">
        <f t="shared" ref="Q264" si="434">IF(Q255=0,0,(Q263/Q255))</f>
        <v>0.10971296036860621</v>
      </c>
      <c r="R264" s="253"/>
      <c r="S264" s="219">
        <f>IF(S255=0,0,(S263/S255))</f>
        <v>0.15750230047657607</v>
      </c>
      <c r="T264" s="220"/>
      <c r="U264" s="219">
        <f t="shared" ref="U264" si="435">IF(U255=0,0,(U263/U255))</f>
        <v>0.10307389834443353</v>
      </c>
      <c r="V264" s="252">
        <f t="shared" ref="V264" si="436">IF(V255=0,0,(V263/V255))</f>
        <v>0.20640718094468269</v>
      </c>
      <c r="W264" s="253"/>
      <c r="X264" s="219">
        <f>IF(X255=0,0,(X263/X255))</f>
        <v>8.3601648433099196E-2</v>
      </c>
      <c r="Y264" s="220"/>
      <c r="Z264" s="219">
        <f t="shared" ref="Z264" si="437">IF(Z255=0,0,(Z263/Z255))</f>
        <v>0.13176578530319472</v>
      </c>
      <c r="AA264" s="252">
        <f t="shared" ref="AA264" si="438">IF(AA255=0,0,(AA263/AA255))</f>
        <v>7.7127962510370227E-2</v>
      </c>
      <c r="AB264" s="267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</row>
    <row r="265" spans="1:42" s="93" customFormat="1" ht="15">
      <c r="A265" s="92"/>
      <c r="B265" s="92"/>
      <c r="C265" s="92"/>
      <c r="D265" s="198" t="s">
        <v>220</v>
      </c>
      <c r="E265" s="198"/>
      <c r="F265" s="198" t="str">
        <f t="shared" si="378"/>
        <v>Спортивный инвентарь</v>
      </c>
      <c r="G265" s="198" t="s">
        <v>219</v>
      </c>
      <c r="H265" s="323"/>
      <c r="I265" s="324">
        <f>I259-I261</f>
        <v>46.659001527943474</v>
      </c>
      <c r="J265" s="321">
        <f>I265-SUMIFS(ПОбТЗ!$I:$I,ПОбТЗ!$E:$E,$D265,ПОбТЗ!$F:$F,$F265)</f>
        <v>0</v>
      </c>
      <c r="K265" s="324">
        <f t="shared" ref="K265:L265" si="439">K259-K261</f>
        <v>102.62301682202815</v>
      </c>
      <c r="L265" s="325">
        <f t="shared" si="439"/>
        <v>5.8952358708847896</v>
      </c>
      <c r="M265" s="276"/>
      <c r="N265" s="199">
        <f>N259-N261</f>
        <v>68.254511375795119</v>
      </c>
      <c r="O265" s="173">
        <f>N265-SUMIFS(ПОбТЗ_2!$J:$J,ПОбТЗ_2!$D:$D,$D265,ПОбТЗ_2!$E:$E,$F265)</f>
        <v>0</v>
      </c>
      <c r="P265" s="199">
        <f t="shared" ref="P265:Q265" si="440">P259-P261</f>
        <v>102.4711275630616</v>
      </c>
      <c r="Q265" s="241">
        <f t="shared" si="440"/>
        <v>5.2491901358807809</v>
      </c>
      <c r="R265" s="242"/>
      <c r="S265" s="199">
        <f>S259-S261</f>
        <v>55.089861170148652</v>
      </c>
      <c r="T265" s="173">
        <f>S265-SUMIFS(ПОбТЗ_2!$K:$K,ПОбТЗ_2!$D:$D,$D265,ПОбТЗ_2!$E:$E,$F265)</f>
        <v>0</v>
      </c>
      <c r="U265" s="199">
        <f t="shared" ref="U265:V265" si="441">U259-U261</f>
        <v>103.03435531438299</v>
      </c>
      <c r="V265" s="241">
        <f t="shared" si="441"/>
        <v>6.5723811912976089</v>
      </c>
      <c r="W265" s="242"/>
      <c r="X265" s="199">
        <f>X259-X261</f>
        <v>17.530914184513676</v>
      </c>
      <c r="Y265" s="173">
        <f>X265-SUMIFS(ПОбТЗ_2!$L:$L,ПОбТЗ_2!$D:$D,$D265,ПОбТЗ_2!$E:$E,$F265)</f>
        <v>0</v>
      </c>
      <c r="Z265" s="199">
        <f t="shared" ref="Z265:AA265" si="442">Z259-Z261</f>
        <v>102.7396819887872</v>
      </c>
      <c r="AA265" s="241">
        <f t="shared" si="442"/>
        <v>6.765951085370034</v>
      </c>
      <c r="AB265" s="264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</row>
    <row r="266" spans="1:42" s="5" customFormat="1">
      <c r="A266" s="1"/>
      <c r="B266" s="1"/>
      <c r="C266" s="1"/>
      <c r="D266" s="227" t="s">
        <v>309</v>
      </c>
      <c r="E266" s="227"/>
      <c r="F266" s="227" t="str">
        <f t="shared" si="378"/>
        <v>Спортивный инвентарь</v>
      </c>
      <c r="G266" s="227" t="s">
        <v>219</v>
      </c>
      <c r="H266" s="347"/>
      <c r="I266" s="348">
        <f>I262-I261</f>
        <v>38.214427035520202</v>
      </c>
      <c r="J266" s="321"/>
      <c r="K266" s="348">
        <f t="shared" ref="K266:L266" si="443">K262-K261</f>
        <v>54.260126491171832</v>
      </c>
      <c r="L266" s="349">
        <f t="shared" si="443"/>
        <v>26.547801278575207</v>
      </c>
      <c r="M266" s="281"/>
      <c r="N266" s="228">
        <f>N262-N261</f>
        <v>42.632147652955609</v>
      </c>
      <c r="O266" s="173"/>
      <c r="P266" s="228">
        <f t="shared" ref="P266:Q266" si="444">P262-P261</f>
        <v>53.865511672855064</v>
      </c>
      <c r="Q266" s="254">
        <f t="shared" si="444"/>
        <v>21.938891999168845</v>
      </c>
      <c r="R266" s="255"/>
      <c r="S266" s="228">
        <f>S262-S261</f>
        <v>30.853405843532528</v>
      </c>
      <c r="T266" s="173"/>
      <c r="U266" s="228">
        <f t="shared" ref="U266:V266" si="445">U262-U261</f>
        <v>36.854847630645963</v>
      </c>
      <c r="V266" s="254">
        <f t="shared" si="445"/>
        <v>24.75886280729901</v>
      </c>
      <c r="W266" s="255"/>
      <c r="X266" s="228">
        <f>X262-X261</f>
        <v>27.301706288104469</v>
      </c>
      <c r="Y266" s="173"/>
      <c r="Z266" s="228">
        <f t="shared" ref="Z266:AA266" si="446">Z262-Z261</f>
        <v>56.59605005542835</v>
      </c>
      <c r="AA266" s="254">
        <f t="shared" si="446"/>
        <v>23.597398829966551</v>
      </c>
      <c r="AB266" s="266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s="5" customFormat="1">
      <c r="A267" s="1"/>
      <c r="B267" s="1"/>
      <c r="C267" s="1"/>
      <c r="D267" s="225" t="s">
        <v>310</v>
      </c>
      <c r="E267" s="225"/>
      <c r="F267" s="225" t="str">
        <f t="shared" si="378"/>
        <v>Спортивный инвентарь</v>
      </c>
      <c r="G267" s="225" t="s">
        <v>219</v>
      </c>
      <c r="H267" s="350"/>
      <c r="I267" s="351">
        <f>I265-I266</f>
        <v>8.4445744924232713</v>
      </c>
      <c r="J267" s="352"/>
      <c r="K267" s="351">
        <f t="shared" ref="K267" si="447">K265-K266</f>
        <v>48.362890330856317</v>
      </c>
      <c r="L267" s="353">
        <f t="shared" ref="L267" si="448">L265-L266</f>
        <v>-20.652565407690417</v>
      </c>
      <c r="M267" s="282"/>
      <c r="N267" s="226">
        <f>N265-N266</f>
        <v>25.622363722839509</v>
      </c>
      <c r="O267" s="181"/>
      <c r="P267" s="226">
        <f t="shared" ref="P267" si="449">P265-P266</f>
        <v>48.605615890206536</v>
      </c>
      <c r="Q267" s="256">
        <f t="shared" ref="Q267" si="450">Q265-Q266</f>
        <v>-16.689701863288064</v>
      </c>
      <c r="R267" s="257"/>
      <c r="S267" s="226">
        <f>S265-S266</f>
        <v>24.236455326616124</v>
      </c>
      <c r="T267" s="181"/>
      <c r="U267" s="226">
        <f t="shared" ref="U267" si="451">U265-U266</f>
        <v>66.179507683737029</v>
      </c>
      <c r="V267" s="256">
        <f t="shared" ref="V267" si="452">V265-V266</f>
        <v>-18.186481616001402</v>
      </c>
      <c r="W267" s="257"/>
      <c r="X267" s="226">
        <f>X265-X266</f>
        <v>-9.770792103590793</v>
      </c>
      <c r="Y267" s="181"/>
      <c r="Z267" s="226">
        <f t="shared" ref="Z267" si="453">Z265-Z266</f>
        <v>46.143631933358847</v>
      </c>
      <c r="AA267" s="256">
        <f t="shared" ref="AA267" si="454">AA265-AA266</f>
        <v>-16.831447744596517</v>
      </c>
      <c r="AB267" s="266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s="5" customFormat="1">
      <c r="A268" s="1"/>
      <c r="B268" s="1"/>
      <c r="C268" s="1"/>
      <c r="D268" s="223"/>
      <c r="E268" s="223" t="s">
        <v>293</v>
      </c>
      <c r="F268" s="223" t="str">
        <f t="shared" si="378"/>
        <v>Спортивный инвентарь</v>
      </c>
      <c r="G268" s="223" t="s">
        <v>261</v>
      </c>
      <c r="H268" s="354"/>
      <c r="I268" s="355">
        <f>SUMIFS(операции!$Z:$Z,операции!$X:$X,"&gt;="&amp;I$8,операции!$X:$X,"&lt;="&amp;I$9,операции!$AB:$AB,"&lt;&gt;"&amp;"",операции!$P:$P,$F235)</f>
        <v>260949</v>
      </c>
      <c r="J268" s="341">
        <f>I268-K268-L268</f>
        <v>0</v>
      </c>
      <c r="K268" s="355">
        <f>SUMIFS(операции!$Z:$Z,операции!$X:$X,"&gt;="&amp;I$8,операции!$X:$X,"&lt;="&amp;I$9,операции!$AB:$AB,"&lt;&gt;"&amp;"",операции!$L:$L,K$9,операции!$P:$P,$F235)</f>
        <v>114036</v>
      </c>
      <c r="L268" s="356">
        <f>SUMIFS(операции!$Z:$Z,операции!$X:$X,"&gt;="&amp;I$8,операции!$X:$X,"&lt;="&amp;I$9,операции!$AB:$AB,"&lt;&gt;"&amp;"",операции!$L:$L,L$9,операции!$P:$P,$F235)</f>
        <v>146913</v>
      </c>
      <c r="M268" s="283"/>
      <c r="N268" s="224">
        <f>SUMIFS(операции!$Z:$Z,операции!$X:$X,"&gt;="&amp;N$8,операции!$X:$X,"&lt;="&amp;N$9,операции!$AB:$AB,"&lt;&gt;"&amp;"",операции!$P:$P,$F235)</f>
        <v>73831</v>
      </c>
      <c r="O268" s="216">
        <f>N268-P268-Q268</f>
        <v>0</v>
      </c>
      <c r="P268" s="224">
        <f>SUMIFS(операции!$Z:$Z,операции!$X:$X,"&gt;="&amp;N$8,операции!$X:$X,"&lt;="&amp;N$9,операции!$AB:$AB,"&lt;&gt;"&amp;"",операции!$L:$L,P$9,операции!$P:$P,$F235)</f>
        <v>46089</v>
      </c>
      <c r="Q268" s="258">
        <f>SUMIFS(операции!$Z:$Z,операции!$X:$X,"&gt;="&amp;N$8,операции!$X:$X,"&lt;="&amp;N$9,операции!$AB:$AB,"&lt;&gt;"&amp;"",операции!$L:$L,Q$9,операции!$P:$P,$F235)</f>
        <v>27742</v>
      </c>
      <c r="R268" s="259"/>
      <c r="S268" s="224">
        <f>SUMIFS(операции!$Z:$Z,операции!$X:$X,"&gt;="&amp;S$8,операции!$X:$X,"&lt;="&amp;S$9,операции!$AB:$AB,"&lt;&gt;"&amp;"",операции!$P:$P,$F235)</f>
        <v>123199</v>
      </c>
      <c r="T268" s="216">
        <f>S268-U268-V268</f>
        <v>0</v>
      </c>
      <c r="U268" s="224">
        <f>SUMIFS(операции!$Z:$Z,операции!$X:$X,"&gt;="&amp;S$8,операции!$X:$X,"&lt;="&amp;S$9,операции!$AB:$AB,"&lt;&gt;"&amp;"",операции!$L:$L,U$9,операции!$P:$P,$F235)</f>
        <v>59167</v>
      </c>
      <c r="V268" s="258">
        <f>SUMIFS(операции!$Z:$Z,операции!$X:$X,"&gt;="&amp;S$8,операции!$X:$X,"&lt;="&amp;S$9,операции!$AB:$AB,"&lt;&gt;"&amp;"",операции!$L:$L,V$9,операции!$P:$P,$F235)</f>
        <v>64032</v>
      </c>
      <c r="W268" s="259"/>
      <c r="X268" s="224">
        <f>SUMIFS(операции!$Z:$Z,операции!$X:$X,"&gt;="&amp;X$8,операции!$X:$X,"&lt;="&amp;X$9,операции!$AB:$AB,"&lt;&gt;"&amp;"",операции!$P:$P,$F235)</f>
        <v>63919</v>
      </c>
      <c r="Y268" s="216">
        <f>X268-Z268-AA268</f>
        <v>0</v>
      </c>
      <c r="Z268" s="224">
        <f>SUMIFS(операции!$Z:$Z,операции!$X:$X,"&gt;="&amp;X$8,операции!$X:$X,"&lt;="&amp;X$9,операции!$AB:$AB,"&lt;&gt;"&amp;"",операции!$L:$L,Z$9,операции!$P:$P,$F235)</f>
        <v>8780</v>
      </c>
      <c r="AA268" s="258">
        <f>SUMIFS(операции!$Z:$Z,операции!$X:$X,"&gt;="&amp;X$8,операции!$X:$X,"&lt;="&amp;X$9,операции!$AB:$AB,"&lt;&gt;"&amp;"",операции!$L:$L,AA$9,операции!$P:$P,$F235)</f>
        <v>55139</v>
      </c>
      <c r="AB268" s="266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s="192" customFormat="1" ht="11.25">
      <c r="A269" s="37"/>
      <c r="B269" s="37"/>
      <c r="C269" s="37"/>
      <c r="D269" s="191"/>
      <c r="E269" s="191" t="s">
        <v>295</v>
      </c>
      <c r="F269" s="191" t="str">
        <f t="shared" si="378"/>
        <v>Спортивный инвентарь</v>
      </c>
      <c r="G269" s="191" t="s">
        <v>262</v>
      </c>
      <c r="H269" s="315"/>
      <c r="I269" s="316">
        <f>IF(I268=0,0,SUMIFS(операции!$AG:$AG,операции!$X:$X,"&gt;="&amp;I$8,операции!$X:$X,"&lt;="&amp;I$9,операции!$AB:$AB,"&lt;&gt;"&amp;"",операции!$P:$P,$F235)/I268)</f>
        <v>42322.152773147245</v>
      </c>
      <c r="J269" s="317"/>
      <c r="K269" s="316">
        <f>IF(K268=0,0,SUMIFS(операции!$AG:$AG,операции!$X:$X,"&gt;="&amp;I$8,операции!$X:$X,"&lt;="&amp;I$9,операции!$AB:$AB,"&lt;&gt;"&amp;"",операции!$L:$L,K$9,операции!$P:$P,$F235)/K268)</f>
        <v>42316.816356238378</v>
      </c>
      <c r="L269" s="318">
        <f>IF(L268=0,0,SUMIFS(операции!$AG:$AG,операции!$X:$X,"&gt;="&amp;I$8,операции!$X:$X,"&lt;="&amp;I$9,операции!$AB:$AB,"&lt;&gt;"&amp;"",операции!$L:$L,L$9,операции!$P:$P,$F235)/L268)</f>
        <v>42326.294977299491</v>
      </c>
      <c r="M269" s="274"/>
      <c r="N269" s="193">
        <f>IF(N268=0,0,SUMIFS(операции!$AG:$AG,операции!$X:$X,"&gt;="&amp;N$8,операции!$X:$X,"&lt;="&amp;N$9,операции!$AB:$AB,"&lt;&gt;"&amp;"",операции!$P:$P,$F235)/N268)</f>
        <v>42303.257276753669</v>
      </c>
      <c r="O269" s="196"/>
      <c r="P269" s="193">
        <f>IF(P268=0,0,SUMIFS(операции!$AG:$AG,операции!$X:$X,"&gt;="&amp;N$8,операции!$X:$X,"&lt;="&amp;N$9,операции!$AB:$AB,"&lt;&gt;"&amp;"",операции!$L:$L,P$9,операции!$P:$P,$F235)/P268)</f>
        <v>42302.452971424849</v>
      </c>
      <c r="Q269" s="237">
        <f>IF(Q268=0,0,SUMIFS(операции!$AG:$AG,операции!$X:$X,"&gt;="&amp;N$8,операции!$X:$X,"&lt;="&amp;N$9,операции!$AB:$AB,"&lt;&gt;"&amp;"",операции!$L:$L,Q$9,операции!$P:$P,$F235)/Q268)</f>
        <v>42304.593504433709</v>
      </c>
      <c r="R269" s="238"/>
      <c r="S269" s="193">
        <f>IF(S268=0,0,SUMIFS(операции!$AG:$AG,операции!$X:$X,"&gt;="&amp;S$8,операции!$X:$X,"&lt;="&amp;S$9,операции!$AB:$AB,"&lt;&gt;"&amp;"",операции!$P:$P,$F235)/S268)</f>
        <v>42322.675386975541</v>
      </c>
      <c r="T269" s="196"/>
      <c r="U269" s="193">
        <f>IF(U268=0,0,SUMIFS(операции!$AG:$AG,операции!$X:$X,"&gt;="&amp;S$8,операции!$X:$X,"&lt;="&amp;S$9,операции!$AB:$AB,"&lt;&gt;"&amp;"",операции!$L:$L,U$9,операции!$P:$P,$F235)/U268)</f>
        <v>42324.259756283063</v>
      </c>
      <c r="V269" s="237">
        <f>IF(V268=0,0,SUMIFS(операции!$AG:$AG,операции!$X:$X,"&gt;="&amp;S$8,операции!$X:$X,"&lt;="&amp;S$9,операции!$AB:$AB,"&lt;&gt;"&amp;"",операции!$L:$L,V$9,операции!$P:$P,$F235)/V268)</f>
        <v>42321.211394302845</v>
      </c>
      <c r="W269" s="238"/>
      <c r="X269" s="193">
        <f>IF(X268=0,0,SUMIFS(операции!$AG:$AG,операции!$X:$X,"&gt;="&amp;X$8,операции!$X:$X,"&lt;="&amp;X$9,операции!$AB:$AB,"&lt;&gt;"&amp;"",операции!$P:$P,$F235)/X268)</f>
        <v>42342.97111969837</v>
      </c>
      <c r="Y269" s="196"/>
      <c r="Z269" s="193">
        <f>IF(Z268=0,0,SUMIFS(операции!$AG:$AG,операции!$X:$X,"&gt;="&amp;X$8,операции!$X:$X,"&lt;="&amp;X$9,операции!$AB:$AB,"&lt;&gt;"&amp;"",операции!$L:$L,Z$9,операции!$P:$P,$F235)/Z268)</f>
        <v>42342.054441913438</v>
      </c>
      <c r="AA269" s="237">
        <f>IF(AA268=0,0,SUMIFS(операции!$AG:$AG,операции!$X:$X,"&gt;="&amp;X$8,операции!$X:$X,"&lt;="&amp;X$9,операции!$AB:$AB,"&lt;&gt;"&amp;"",операции!$L:$L,AA$9,операции!$P:$P,$F235)/AA268)</f>
        <v>42343.117085910155</v>
      </c>
      <c r="AB269" s="265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</row>
    <row r="270" spans="1:42" s="93" customFormat="1" ht="15">
      <c r="A270" s="92"/>
      <c r="B270" s="92"/>
      <c r="C270" s="92"/>
      <c r="D270" s="151"/>
      <c r="E270" s="151" t="s">
        <v>292</v>
      </c>
      <c r="F270" s="151" t="str">
        <f t="shared" si="378"/>
        <v>Спортивный инвентарь</v>
      </c>
      <c r="G270" s="151" t="s">
        <v>261</v>
      </c>
      <c r="H270" s="311"/>
      <c r="I270" s="312">
        <f>SUMIFS(операции!$V:$V,операции!$X:$X,"&gt;="&amp;I$8,операции!$X:$X,"&lt;="&amp;I$9,операции!$AB:$AB,"&lt;&gt;"&amp;"",операции!$P:$P,$F235)</f>
        <v>227008.38999999987</v>
      </c>
      <c r="J270" s="313">
        <f>I270-K270-L270</f>
        <v>-1.3096723705530167E-10</v>
      </c>
      <c r="K270" s="312">
        <f>SUMIFS(операции!$V:$V,операции!$X:$X,"&gt;="&amp;I$8,операции!$X:$X,"&lt;="&amp;I$9,операции!$AB:$AB,"&lt;&gt;"&amp;"",операции!$L:$L,K$9,операции!$P:$P,$F235)</f>
        <v>99938.85</v>
      </c>
      <c r="L270" s="314">
        <f>SUMIFS(операции!$V:$V,операции!$X:$X,"&gt;="&amp;I$8,операции!$X:$X,"&lt;="&amp;I$9,операции!$AB:$AB,"&lt;&gt;"&amp;"",операции!$L:$L,L$9,операции!$P:$P,$F235)</f>
        <v>127069.54</v>
      </c>
      <c r="M270" s="273"/>
      <c r="N270" s="152">
        <f>SUMIFS(операции!$V:$V,операции!$X:$X,"&gt;="&amp;N$8,операции!$X:$X,"&lt;="&amp;N$9,операции!$AB:$AB,"&lt;&gt;"&amp;"",операции!$P:$P,$F235)</f>
        <v>65065.630000000019</v>
      </c>
      <c r="O270" s="170">
        <f>N270-P270-Q270</f>
        <v>0</v>
      </c>
      <c r="P270" s="152">
        <f>SUMIFS(операции!$V:$V,операции!$X:$X,"&gt;="&amp;N$8,операции!$X:$X,"&lt;="&amp;N$9,операции!$AB:$AB,"&lt;&gt;"&amp;"",операции!$L:$L,P$9,операции!$P:$P,$F235)</f>
        <v>39532.100000000006</v>
      </c>
      <c r="Q270" s="235">
        <f>SUMIFS(операции!$V:$V,операции!$X:$X,"&gt;="&amp;N$8,операции!$X:$X,"&lt;="&amp;N$9,операции!$AB:$AB,"&lt;&gt;"&amp;"",операции!$L:$L,Q$9,операции!$P:$P,$F235)</f>
        <v>25533.53</v>
      </c>
      <c r="R270" s="236"/>
      <c r="S270" s="152">
        <f>SUMIFS(операции!$V:$V,операции!$X:$X,"&gt;="&amp;S$8,операции!$X:$X,"&lt;="&amp;S$9,операции!$AB:$AB,"&lt;&gt;"&amp;"",операции!$P:$P,$F235)</f>
        <v>104392.00000000004</v>
      </c>
      <c r="T270" s="170">
        <f>S270-U270-V270</f>
        <v>0</v>
      </c>
      <c r="U270" s="152">
        <f>SUMIFS(операции!$V:$V,операции!$X:$X,"&gt;="&amp;S$8,операции!$X:$X,"&lt;="&amp;S$9,операции!$AB:$AB,"&lt;&gt;"&amp;"",операции!$L:$L,U$9,операции!$P:$P,$F235)</f>
        <v>53092.049999999996</v>
      </c>
      <c r="V270" s="235">
        <f>SUMIFS(операции!$V:$V,операции!$X:$X,"&gt;="&amp;S$8,операции!$X:$X,"&lt;="&amp;S$9,операции!$AB:$AB,"&lt;&gt;"&amp;"",операции!$L:$L,V$9,операции!$P:$P,$F235)</f>
        <v>51299.950000000004</v>
      </c>
      <c r="W270" s="236"/>
      <c r="X270" s="152">
        <f>SUMIFS(операции!$V:$V,операции!$X:$X,"&gt;="&amp;X$8,операции!$X:$X,"&lt;="&amp;X$9,операции!$AB:$AB,"&lt;&gt;"&amp;"",операции!$P:$P,$F235)</f>
        <v>57550.760000000009</v>
      </c>
      <c r="Y270" s="170">
        <f>X270-Z270-AA270</f>
        <v>0</v>
      </c>
      <c r="Z270" s="152">
        <f>SUMIFS(операции!$V:$V,операции!$X:$X,"&gt;="&amp;X$8,операции!$X:$X,"&lt;="&amp;X$9,операции!$AB:$AB,"&lt;&gt;"&amp;"",операции!$L:$L,Z$9,операции!$P:$P,$F235)</f>
        <v>7314.7</v>
      </c>
      <c r="AA270" s="235">
        <f>SUMIFS(операции!$V:$V,операции!$X:$X,"&gt;="&amp;X$8,операции!$X:$X,"&lt;="&amp;X$9,операции!$AB:$AB,"&lt;&gt;"&amp;"",операции!$L:$L,AA$9,операции!$P:$P,$F235)</f>
        <v>50236.060000000005</v>
      </c>
      <c r="AB270" s="264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</row>
    <row r="271" spans="1:42" s="192" customFormat="1" ht="11.25">
      <c r="A271" s="37"/>
      <c r="B271" s="37"/>
      <c r="C271" s="37"/>
      <c r="D271" s="191"/>
      <c r="E271" s="191" t="s">
        <v>294</v>
      </c>
      <c r="F271" s="191" t="str">
        <f t="shared" si="378"/>
        <v>Спортивный инвентарь</v>
      </c>
      <c r="G271" s="191" t="s">
        <v>262</v>
      </c>
      <c r="H271" s="315"/>
      <c r="I271" s="316">
        <f>IF(I270=0,0,SUMIFS(операции!$AF:$AF,операции!$X:$X,"&gt;="&amp;I$8,операции!$X:$X,"&lt;="&amp;I$9,операции!$AB:$AB,"&lt;&gt;"&amp;"",операции!$P:$P,$F235)/I270)</f>
        <v>42273.294678139449</v>
      </c>
      <c r="J271" s="317"/>
      <c r="K271" s="316">
        <f>IF(K270=0,0,SUMIFS(операции!$AF:$AF,операции!$X:$X,"&gt;="&amp;I$8,операции!$X:$X,"&lt;="&amp;I$9,операции!$AB:$AB,"&lt;&gt;"&amp;"",операции!$L:$L,K$9,операции!$P:$P,$F235)/K270)</f>
        <v>42213.787878887946</v>
      </c>
      <c r="L271" s="318">
        <f>IF(L270=0,0,SUMIFS(операции!$AF:$AF,операции!$X:$X,"&gt;="&amp;I$8,операции!$X:$X,"&lt;="&amp;I$9,операции!$AB:$AB,"&lt;&gt;"&amp;"",операции!$L:$L,L$9,операции!$P:$P,$F235)/L270)</f>
        <v>42320.096146724063</v>
      </c>
      <c r="M271" s="274"/>
      <c r="N271" s="193">
        <f>IF(N270=0,0,SUMIFS(операции!$AF:$AF,операции!$X:$X,"&gt;="&amp;N$8,операции!$X:$X,"&lt;="&amp;N$9,операции!$AB:$AB,"&lt;&gt;"&amp;"",операции!$P:$P,$F235)/N270)</f>
        <v>42240.311662547487</v>
      </c>
      <c r="O271" s="196"/>
      <c r="P271" s="193">
        <f>IF(P270=0,0,SUMIFS(операции!$AF:$AF,операции!$X:$X,"&gt;="&amp;N$8,операции!$X:$X,"&lt;="&amp;N$9,операции!$AB:$AB,"&lt;&gt;"&amp;"",операции!$L:$L,P$9,операции!$P:$P,$F235)/P270)</f>
        <v>42202.289369398524</v>
      </c>
      <c r="Q271" s="237">
        <f>IF(Q270=0,0,SUMIFS(операции!$AF:$AF,операции!$X:$X,"&gt;="&amp;N$8,операции!$X:$X,"&lt;="&amp;N$9,операции!$AB:$AB,"&lt;&gt;"&amp;"",операции!$L:$L,Q$9,операции!$P:$P,$F235)/Q270)</f>
        <v>42299.179398226566</v>
      </c>
      <c r="R271" s="238"/>
      <c r="S271" s="193">
        <f>IF(S270=0,0,SUMIFS(операции!$AF:$AF,операции!$X:$X,"&gt;="&amp;S$8,операции!$X:$X,"&lt;="&amp;S$9,операции!$AB:$AB,"&lt;&gt;"&amp;"",операции!$P:$P,$F235)/S270)</f>
        <v>42265.228066710079</v>
      </c>
      <c r="T271" s="196"/>
      <c r="U271" s="193">
        <f>IF(U270=0,0,SUMIFS(операции!$AF:$AF,операции!$X:$X,"&gt;="&amp;S$8,операции!$X:$X,"&lt;="&amp;S$9,операции!$AB:$AB,"&lt;&gt;"&amp;"",операции!$L:$L,U$9,операции!$P:$P,$F235)/U270)</f>
        <v>42217.050029524195</v>
      </c>
      <c r="V271" s="237">
        <f>IF(V270=0,0,SUMIFS(операции!$AF:$AF,операции!$X:$X,"&gt;="&amp;S$8,операции!$X:$X,"&lt;="&amp;S$9,операции!$AB:$AB,"&lt;&gt;"&amp;"",операции!$L:$L,V$9,операции!$P:$P,$F235)/V270)</f>
        <v>42315.089143751604</v>
      </c>
      <c r="W271" s="238"/>
      <c r="X271" s="193">
        <f>IF(X270=0,0,SUMIFS(операции!$AF:$AF,операции!$X:$X,"&gt;="&amp;X$8,операции!$X:$X,"&lt;="&amp;X$9,операции!$AB:$AB,"&lt;&gt;"&amp;"",операции!$P:$P,$F235)/X270)</f>
        <v>42325.216675157724</v>
      </c>
      <c r="Y271" s="196"/>
      <c r="Z271" s="193">
        <f>IF(Z270=0,0,SUMIFS(операции!$AF:$AF,операции!$X:$X,"&gt;="&amp;X$8,операции!$X:$X,"&lt;="&amp;X$9,операции!$AB:$AB,"&lt;&gt;"&amp;"",операции!$L:$L,Z$9,операции!$P:$P,$F235)/Z270)</f>
        <v>42252.253702817608</v>
      </c>
      <c r="AA271" s="237">
        <f>IF(AA270=0,0,SUMIFS(операции!$AF:$AF,операции!$X:$X,"&gt;="&amp;X$8,операции!$X:$X,"&lt;="&amp;X$9,операции!$AB:$AB,"&lt;&gt;"&amp;"",операции!$L:$L,AA$9,операции!$P:$P,$F235)/AA270)</f>
        <v>42335.840562735211</v>
      </c>
      <c r="AB271" s="265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</row>
    <row r="272" spans="1:42" s="192" customFormat="1" ht="11.25">
      <c r="A272" s="37"/>
      <c r="B272" s="37"/>
      <c r="C272" s="37"/>
      <c r="D272" s="191"/>
      <c r="E272" s="191" t="s">
        <v>299</v>
      </c>
      <c r="F272" s="191" t="str">
        <f t="shared" si="378"/>
        <v>Спортивный инвентарь</v>
      </c>
      <c r="G272" s="191" t="s">
        <v>262</v>
      </c>
      <c r="H272" s="315"/>
      <c r="I272" s="316">
        <f>IF(I270=0,0,SUMIFS(операции!$AH:$AH,операции!$X:$X,"&gt;="&amp;I$8,операции!$X:$X,"&lt;="&amp;I$9,операции!$AB:$AB,"&lt;&gt;"&amp;"",операции!$P:$P,$F235)/I270)</f>
        <v>42298.293490606251</v>
      </c>
      <c r="J272" s="317"/>
      <c r="K272" s="316">
        <f>IF(K270=0,0,SUMIFS(операции!$AH:$AH,операции!$X:$X,"&gt;="&amp;I$8,операции!$X:$X,"&lt;="&amp;I$9,операции!$AB:$AB,"&lt;&gt;"&amp;"",операции!$L:$L,K$9,операции!$P:$P,$F235)/K270)</f>
        <v>42242.873115410075</v>
      </c>
      <c r="L272" s="318">
        <f>IF(L270=0,0,SUMIFS(операции!$AH:$AH,операции!$X:$X,"&gt;="&amp;I$8,операции!$X:$X,"&lt;="&amp;I$9,операции!$AB:$AB,"&lt;&gt;"&amp;"",операции!$L:$L,L$9,операции!$P:$P,$F235)/L270)</f>
        <v>42341.881029867589</v>
      </c>
      <c r="M272" s="274"/>
      <c r="N272" s="193">
        <f>IF(N270=0,0,SUMIFS(операции!$AH:$AH,операции!$X:$X,"&gt;="&amp;N$8,операции!$X:$X,"&lt;="&amp;N$9,операции!$AB:$AB,"&lt;&gt;"&amp;"",операции!$P:$P,$F235)/N270)</f>
        <v>42270.175501566628</v>
      </c>
      <c r="O272" s="196"/>
      <c r="P272" s="193">
        <f>IF(P270=0,0,SUMIFS(операции!$AH:$AH,операции!$X:$X,"&gt;="&amp;N$8,операции!$X:$X,"&lt;="&amp;N$9,операции!$AB:$AB,"&lt;&gt;"&amp;"",операции!$L:$L,P$9,операции!$P:$P,$F235)/P270)</f>
        <v>42236.407046425556</v>
      </c>
      <c r="Q272" s="237">
        <f>IF(Q270=0,0,SUMIFS(операции!$AH:$AH,операции!$X:$X,"&gt;="&amp;N$8,операции!$X:$X,"&lt;="&amp;N$9,операции!$AB:$AB,"&lt;&gt;"&amp;"",операции!$L:$L,Q$9,операции!$P:$P,$F235)/Q270)</f>
        <v>42322.457263840923</v>
      </c>
      <c r="R272" s="238"/>
      <c r="S272" s="193">
        <f>IF(S270=0,0,SUMIFS(операции!$AH:$AH,операции!$X:$X,"&gt;="&amp;S$8,операции!$X:$X,"&lt;="&amp;S$9,операции!$AB:$AB,"&lt;&gt;"&amp;"",операции!$P:$P,$F235)/S270)</f>
        <v>42291.438523545854</v>
      </c>
      <c r="T272" s="196"/>
      <c r="U272" s="193">
        <f>IF(U270=0,0,SUMIFS(операции!$AH:$AH,операции!$X:$X,"&gt;="&amp;S$8,операции!$X:$X,"&lt;="&amp;S$9,операции!$AB:$AB,"&lt;&gt;"&amp;"",операции!$L:$L,U$9,операции!$P:$P,$F235)/U270)</f>
        <v>42244.737182497207</v>
      </c>
      <c r="V272" s="237">
        <f>IF(V270=0,0,SUMIFS(операции!$AH:$AH,операции!$X:$X,"&gt;="&amp;S$8,операции!$X:$X,"&lt;="&amp;S$9,операции!$AB:$AB,"&lt;&gt;"&amp;"",операции!$L:$L,V$9,операции!$P:$P,$F235)/V270)</f>
        <v>42339.771317905768</v>
      </c>
      <c r="W272" s="238"/>
      <c r="X272" s="193">
        <f>IF(X270=0,0,SUMIFS(операции!$AH:$AH,операции!$X:$X,"&gt;="&amp;X$8,операции!$X:$X,"&lt;="&amp;X$9,операции!$AB:$AB,"&lt;&gt;"&amp;"",операции!$P:$P,$F235)/X270)</f>
        <v>42342.517379092817</v>
      </c>
      <c r="Y272" s="196"/>
      <c r="Z272" s="193">
        <f>IF(Z270=0,0,SUMIFS(операции!$AH:$AH,операции!$X:$X,"&gt;="&amp;X$8,операции!$X:$X,"&lt;="&amp;X$9,операции!$AB:$AB,"&lt;&gt;"&amp;"",операции!$L:$L,Z$9,операции!$P:$P,$F235)/Z270)</f>
        <v>42264.28891410448</v>
      </c>
      <c r="AA272" s="237">
        <f>IF(AA270=0,0,SUMIFS(операции!$AH:$AH,операции!$X:$X,"&gt;="&amp;X$8,операции!$X:$X,"&lt;="&amp;X$9,операции!$AB:$AB,"&lt;&gt;"&amp;"",операции!$L:$L,AA$9,операции!$P:$P,$F235)/AA270)</f>
        <v>42353.907956953626</v>
      </c>
      <c r="AB272" s="265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</row>
    <row r="273" spans="1:42" s="5" customFormat="1">
      <c r="A273" s="1"/>
      <c r="B273" s="1"/>
      <c r="C273" s="1"/>
      <c r="D273" s="168"/>
      <c r="E273" s="168" t="s">
        <v>296</v>
      </c>
      <c r="F273" s="168" t="str">
        <f t="shared" si="378"/>
        <v>Спортивный инвентарь</v>
      </c>
      <c r="G273" s="168" t="s">
        <v>261</v>
      </c>
      <c r="H273" s="326"/>
      <c r="I273" s="327">
        <f>I268-I270</f>
        <v>33940.610000000132</v>
      </c>
      <c r="J273" s="313">
        <f>I273-K273-L273</f>
        <v>1.3096723705530167E-10</v>
      </c>
      <c r="K273" s="327">
        <f t="shared" ref="K273:L273" si="455">K268-K270</f>
        <v>14097.149999999994</v>
      </c>
      <c r="L273" s="328">
        <f t="shared" si="455"/>
        <v>19843.460000000006</v>
      </c>
      <c r="M273" s="277"/>
      <c r="N273" s="169">
        <f>N268-N270</f>
        <v>8765.3699999999808</v>
      </c>
      <c r="O273" s="170">
        <f>N273-P273-Q273</f>
        <v>-1.4551915228366852E-11</v>
      </c>
      <c r="P273" s="169">
        <f t="shared" ref="P273:Q273" si="456">P268-P270</f>
        <v>6556.8999999999942</v>
      </c>
      <c r="Q273" s="243">
        <f t="shared" si="456"/>
        <v>2208.4700000000012</v>
      </c>
      <c r="R273" s="244"/>
      <c r="S273" s="169">
        <f>S268-S270</f>
        <v>18806.999999999956</v>
      </c>
      <c r="T273" s="170">
        <f>S273-U273-V273</f>
        <v>-4.3655745685100555E-11</v>
      </c>
      <c r="U273" s="169">
        <f t="shared" ref="U273:V273" si="457">U268-U270</f>
        <v>6074.9500000000044</v>
      </c>
      <c r="V273" s="243">
        <f t="shared" si="457"/>
        <v>12732.049999999996</v>
      </c>
      <c r="W273" s="244"/>
      <c r="X273" s="169">
        <f>X268-X270</f>
        <v>6368.2399999999907</v>
      </c>
      <c r="Y273" s="170">
        <f>X273-Z273-AA273</f>
        <v>0</v>
      </c>
      <c r="Z273" s="169">
        <f t="shared" ref="Z273:AA273" si="458">Z268-Z270</f>
        <v>1465.3000000000002</v>
      </c>
      <c r="AA273" s="243">
        <f t="shared" si="458"/>
        <v>4902.9399999999951</v>
      </c>
      <c r="AB273" s="266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s="211" customFormat="1">
      <c r="A274" s="210"/>
      <c r="B274" s="210"/>
      <c r="C274" s="210"/>
      <c r="D274" s="218"/>
      <c r="E274" s="218" t="s">
        <v>297</v>
      </c>
      <c r="F274" s="218" t="str">
        <f t="shared" si="378"/>
        <v>Спортивный инвентарь</v>
      </c>
      <c r="G274" s="218" t="s">
        <v>218</v>
      </c>
      <c r="H274" s="343"/>
      <c r="I274" s="344">
        <f>IF(I268=0,0,(I273/I268))</f>
        <v>0.13006606654940286</v>
      </c>
      <c r="J274" s="345"/>
      <c r="K274" s="344">
        <f t="shared" ref="K274" si="459">IF(K268=0,0,(K273/K268))</f>
        <v>0.12362017257708087</v>
      </c>
      <c r="L274" s="346">
        <f t="shared" ref="L274" si="460">IF(L268=0,0,(L273/L268))</f>
        <v>0.13506946287939126</v>
      </c>
      <c r="M274" s="280"/>
      <c r="N274" s="219">
        <f>IF(N268=0,0,(N273/N268))</f>
        <v>0.11872208151047636</v>
      </c>
      <c r="O274" s="220"/>
      <c r="P274" s="219">
        <f t="shared" ref="P274" si="461">IF(P268=0,0,(P273/P268))</f>
        <v>0.14226605046757348</v>
      </c>
      <c r="Q274" s="252">
        <f t="shared" ref="Q274" si="462">IF(Q268=0,0,(Q273/Q268))</f>
        <v>7.9607454401268873E-2</v>
      </c>
      <c r="R274" s="253"/>
      <c r="S274" s="219">
        <f>IF(S268=0,0,(S273/S268))</f>
        <v>0.1526554598657453</v>
      </c>
      <c r="T274" s="220"/>
      <c r="U274" s="219">
        <f t="shared" ref="U274" si="463">IF(U268=0,0,(U273/U268))</f>
        <v>0.1026746328189701</v>
      </c>
      <c r="V274" s="252">
        <f t="shared" ref="V274" si="464">IF(V268=0,0,(V273/V268))</f>
        <v>0.19883886181909038</v>
      </c>
      <c r="W274" s="253"/>
      <c r="X274" s="219">
        <f>IF(X268=0,0,(X273/X268))</f>
        <v>9.9629844021339356E-2</v>
      </c>
      <c r="Y274" s="220"/>
      <c r="Z274" s="219">
        <f t="shared" ref="Z274" si="465">IF(Z268=0,0,(Z273/Z268))</f>
        <v>0.16689066059225516</v>
      </c>
      <c r="AA274" s="252">
        <f t="shared" ref="AA274" si="466">IF(AA268=0,0,(AA273/AA268))</f>
        <v>8.8919639456645841E-2</v>
      </c>
      <c r="AB274" s="267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</row>
    <row r="275" spans="1:42" s="5" customFormat="1">
      <c r="A275" s="1"/>
      <c r="B275" s="1"/>
      <c r="C275" s="1"/>
      <c r="D275" s="227"/>
      <c r="E275" s="227" t="s">
        <v>298</v>
      </c>
      <c r="F275" s="227" t="str">
        <f t="shared" si="378"/>
        <v>Спортивный инвентарь</v>
      </c>
      <c r="G275" s="227" t="s">
        <v>219</v>
      </c>
      <c r="H275" s="347"/>
      <c r="I275" s="348">
        <f>I269-I271</f>
        <v>48.858095007795782</v>
      </c>
      <c r="J275" s="321"/>
      <c r="K275" s="348">
        <f t="shared" ref="K275:L275" si="467">K269-K271</f>
        <v>103.02847735043179</v>
      </c>
      <c r="L275" s="349">
        <f t="shared" si="467"/>
        <v>6.1988305754275643</v>
      </c>
      <c r="M275" s="281"/>
      <c r="N275" s="228">
        <f>N269-N271</f>
        <v>62.945614206182654</v>
      </c>
      <c r="O275" s="173"/>
      <c r="P275" s="228">
        <f t="shared" ref="P275:Q275" si="468">P269-P271</f>
        <v>100.16360202632495</v>
      </c>
      <c r="Q275" s="254">
        <f t="shared" si="468"/>
        <v>5.4141062071430497</v>
      </c>
      <c r="R275" s="255"/>
      <c r="S275" s="228">
        <f>S269-S271</f>
        <v>57.447320265462622</v>
      </c>
      <c r="T275" s="173"/>
      <c r="U275" s="228">
        <f t="shared" ref="U275:V275" si="469">U269-U271</f>
        <v>107.20972675886878</v>
      </c>
      <c r="V275" s="254">
        <f t="shared" si="469"/>
        <v>6.12225055124145</v>
      </c>
      <c r="W275" s="255"/>
      <c r="X275" s="228">
        <f>X269-X271</f>
        <v>17.754444540645636</v>
      </c>
      <c r="Y275" s="173"/>
      <c r="Z275" s="228">
        <f t="shared" ref="Z275:AA275" si="470">Z269-Z271</f>
        <v>89.800739095830068</v>
      </c>
      <c r="AA275" s="254">
        <f t="shared" si="470"/>
        <v>7.276523174943577</v>
      </c>
      <c r="AB275" s="266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s="5" customFormat="1">
      <c r="A276" s="1"/>
      <c r="B276" s="1"/>
      <c r="C276" s="1"/>
      <c r="D276" s="227"/>
      <c r="E276" s="227" t="s">
        <v>300</v>
      </c>
      <c r="F276" s="227" t="str">
        <f t="shared" si="378"/>
        <v>Спортивный инвентарь</v>
      </c>
      <c r="G276" s="227" t="s">
        <v>219</v>
      </c>
      <c r="H276" s="347"/>
      <c r="I276" s="348">
        <f>I272-I271</f>
        <v>24.99881246680161</v>
      </c>
      <c r="J276" s="321"/>
      <c r="K276" s="348">
        <f t="shared" ref="K276:L276" si="471">K272-K271</f>
        <v>29.08523652212898</v>
      </c>
      <c r="L276" s="349">
        <f t="shared" si="471"/>
        <v>21.784883143525803</v>
      </c>
      <c r="M276" s="281"/>
      <c r="N276" s="228">
        <f>N272-N271</f>
        <v>29.863839019140869</v>
      </c>
      <c r="O276" s="173"/>
      <c r="P276" s="228">
        <f t="shared" ref="P276:Q276" si="472">P272-P271</f>
        <v>34.117677027032187</v>
      </c>
      <c r="Q276" s="254">
        <f t="shared" si="472"/>
        <v>23.277865614356415</v>
      </c>
      <c r="R276" s="255"/>
      <c r="S276" s="228">
        <f>S272-S271</f>
        <v>26.210456835775403</v>
      </c>
      <c r="T276" s="173"/>
      <c r="U276" s="228">
        <f t="shared" ref="U276:V276" si="473">U272-U271</f>
        <v>27.687152973012417</v>
      </c>
      <c r="V276" s="254">
        <f t="shared" si="473"/>
        <v>24.682174154164386</v>
      </c>
      <c r="W276" s="255"/>
      <c r="X276" s="228">
        <f>X272-X271</f>
        <v>17.300703935092315</v>
      </c>
      <c r="Y276" s="173"/>
      <c r="Z276" s="228">
        <f t="shared" ref="Z276:AA276" si="474">Z272-Z271</f>
        <v>12.035211286871345</v>
      </c>
      <c r="AA276" s="254">
        <f t="shared" si="474"/>
        <v>18.067394218414847</v>
      </c>
      <c r="AB276" s="266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s="93" customFormat="1" ht="15">
      <c r="A277" s="92"/>
      <c r="B277" s="92"/>
      <c r="C277" s="92"/>
      <c r="D277" s="221"/>
      <c r="E277" s="221" t="s">
        <v>301</v>
      </c>
      <c r="F277" s="221" t="str">
        <f t="shared" si="378"/>
        <v>Спортивный инвентарь</v>
      </c>
      <c r="G277" s="221" t="s">
        <v>219</v>
      </c>
      <c r="H277" s="357"/>
      <c r="I277" s="358">
        <f>I275-I276</f>
        <v>23.859282540994172</v>
      </c>
      <c r="J277" s="352"/>
      <c r="K277" s="358">
        <f t="shared" ref="K277" si="475">K275-K276</f>
        <v>73.943240828302805</v>
      </c>
      <c r="L277" s="359">
        <f t="shared" ref="L277" si="476">L275-L276</f>
        <v>-15.586052568098239</v>
      </c>
      <c r="M277" s="284"/>
      <c r="N277" s="222">
        <f>N275-N276</f>
        <v>33.081775187041785</v>
      </c>
      <c r="O277" s="181"/>
      <c r="P277" s="222">
        <f t="shared" ref="P277" si="477">P275-P276</f>
        <v>66.045924999292765</v>
      </c>
      <c r="Q277" s="260">
        <f t="shared" ref="Q277" si="478">Q275-Q276</f>
        <v>-17.863759407213365</v>
      </c>
      <c r="R277" s="261"/>
      <c r="S277" s="222">
        <f>S275-S276</f>
        <v>31.236863429687219</v>
      </c>
      <c r="T277" s="181"/>
      <c r="U277" s="222">
        <f t="shared" ref="U277" si="479">U275-U276</f>
        <v>79.522573785856366</v>
      </c>
      <c r="V277" s="260">
        <f t="shared" ref="V277" si="480">V275-V276</f>
        <v>-18.559923602922936</v>
      </c>
      <c r="W277" s="261"/>
      <c r="X277" s="222">
        <f>X275-X276</f>
        <v>0.45374060555332107</v>
      </c>
      <c r="Y277" s="181"/>
      <c r="Z277" s="222">
        <f t="shared" ref="Z277" si="481">Z275-Z276</f>
        <v>77.765527808958723</v>
      </c>
      <c r="AA277" s="260">
        <f t="shared" ref="AA277" si="482">AA275-AA276</f>
        <v>-10.79087104347127</v>
      </c>
      <c r="AB277" s="264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</row>
    <row r="278" spans="1:42" s="5" customFormat="1">
      <c r="A278" s="1"/>
      <c r="B278" s="1"/>
      <c r="C278" s="1"/>
      <c r="D278" s="223"/>
      <c r="E278" s="223" t="s">
        <v>302</v>
      </c>
      <c r="F278" s="223" t="str">
        <f t="shared" si="378"/>
        <v>Спортивный инвентарь</v>
      </c>
      <c r="G278" s="223" t="s">
        <v>261</v>
      </c>
      <c r="H278" s="354"/>
      <c r="I278" s="355">
        <f>SUMIFS(операции!$Z:$Z,операции!$X:$X,"&gt;="&amp;I$8,операции!$X:$X,"&lt;="&amp;I$9,операции!$AB:$AB,"",операции!$P:$P,$F235)</f>
        <v>78956</v>
      </c>
      <c r="J278" s="341">
        <f>I278-K278-L278</f>
        <v>0</v>
      </c>
      <c r="K278" s="355">
        <f>SUMIFS(операции!$Z:$Z,операции!$X:$X,"&gt;="&amp;I$8,операции!$X:$X,"&lt;="&amp;I$9,операции!$AB:$AB,"",операции!$L:$L,K$9,операции!$P:$P,$F235)</f>
        <v>27847</v>
      </c>
      <c r="L278" s="356">
        <f>SUMIFS(операции!$Z:$Z,операции!$X:$X,"&gt;="&amp;I$8,операции!$X:$X,"&lt;="&amp;I$9,операции!$AB:$AB,"",операции!$L:$L,L$9,операции!$P:$P,$F235)</f>
        <v>51109</v>
      </c>
      <c r="M278" s="283"/>
      <c r="N278" s="224">
        <f>SUMIFS(операции!$Z:$Z,операции!$X:$X,"&gt;="&amp;N$8,операции!$X:$X,"&lt;="&amp;N$9,операции!$AB:$AB,"",операции!$P:$P,$F235)</f>
        <v>19265</v>
      </c>
      <c r="O278" s="216">
        <f>N278-P278-Q278</f>
        <v>0</v>
      </c>
      <c r="P278" s="224">
        <f>SUMIFS(операции!$Z:$Z,операции!$X:$X,"&gt;="&amp;N$8,операции!$X:$X,"&lt;="&amp;N$9,операции!$AB:$AB,"",операции!$L:$L,P$9,операции!$P:$P,$F235)</f>
        <v>14886</v>
      </c>
      <c r="Q278" s="258">
        <f>SUMIFS(операции!$Z:$Z,операции!$X:$X,"&gt;="&amp;N$8,операции!$X:$X,"&lt;="&amp;N$9,операции!$AB:$AB,"",операции!$L:$L,Q$9,операции!$P:$P,$F235)</f>
        <v>4379</v>
      </c>
      <c r="R278" s="259"/>
      <c r="S278" s="224">
        <f>SUMIFS(операции!$Z:$Z,операции!$X:$X,"&gt;="&amp;S$8,операции!$X:$X,"&lt;="&amp;S$9,операции!$AB:$AB,"",операции!$P:$P,$F235)</f>
        <v>22423</v>
      </c>
      <c r="T278" s="216">
        <f>S278-U278-V278</f>
        <v>0</v>
      </c>
      <c r="U278" s="224">
        <f>SUMIFS(операции!$Z:$Z,операции!$X:$X,"&gt;="&amp;S$8,операции!$X:$X,"&lt;="&amp;S$9,операции!$AB:$AB,"",операции!$L:$L,U$9,операции!$P:$P,$F235)</f>
        <v>9752</v>
      </c>
      <c r="V278" s="258">
        <f>SUMIFS(операции!$Z:$Z,операции!$X:$X,"&gt;="&amp;S$8,операции!$X:$X,"&lt;="&amp;S$9,операции!$AB:$AB,"",операции!$L:$L,V$9,операции!$P:$P,$F235)</f>
        <v>12671</v>
      </c>
      <c r="W278" s="259"/>
      <c r="X278" s="224">
        <f>SUMIFS(операции!$Z:$Z,операции!$X:$X,"&gt;="&amp;X$8,операции!$X:$X,"&lt;="&amp;X$9,операции!$AB:$AB,"",операции!$P:$P,$F235)</f>
        <v>37268</v>
      </c>
      <c r="Y278" s="216">
        <f>X278-Z278-AA278</f>
        <v>0</v>
      </c>
      <c r="Z278" s="224">
        <f>SUMIFS(операции!$Z:$Z,операции!$X:$X,"&gt;="&amp;X$8,операции!$X:$X,"&lt;="&amp;X$9,операции!$AB:$AB,"",операции!$L:$L,Z$9,операции!$P:$P,$F235)</f>
        <v>3209</v>
      </c>
      <c r="AA278" s="258">
        <f>SUMIFS(операции!$Z:$Z,операции!$X:$X,"&gt;="&amp;X$8,операции!$X:$X,"&lt;="&amp;X$9,операции!$AB:$AB,"",операции!$L:$L,AA$9,операции!$P:$P,$F235)</f>
        <v>34059</v>
      </c>
      <c r="AB278" s="266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s="192" customFormat="1" ht="11.25">
      <c r="A279" s="37"/>
      <c r="B279" s="37"/>
      <c r="C279" s="37"/>
      <c r="D279" s="191"/>
      <c r="E279" s="191" t="s">
        <v>303</v>
      </c>
      <c r="F279" s="191" t="str">
        <f t="shared" si="378"/>
        <v>Спортивный инвентарь</v>
      </c>
      <c r="G279" s="191" t="s">
        <v>262</v>
      </c>
      <c r="H279" s="315"/>
      <c r="I279" s="316">
        <f>IF(I278=0,0,SUMIFS(операции!$AG:$AG,операции!$X:$X,"&gt;="&amp;I$8,операции!$X:$X,"&lt;="&amp;I$9,операции!$AB:$AB,"",операции!$P:$P,$F235)/I278)</f>
        <v>42327.282689092659</v>
      </c>
      <c r="J279" s="317"/>
      <c r="K279" s="316">
        <f>IF(K278=0,0,SUMIFS(операции!$AG:$AG,операции!$X:$X,"&gt;="&amp;I$8,операции!$X:$X,"&lt;="&amp;I$9,операции!$AB:$AB,"",операции!$L:$L,K$9,операции!$P:$P,$F235)/K278)</f>
        <v>42314.925485689659</v>
      </c>
      <c r="L279" s="318">
        <f>IF(L278=0,0,SUMIFS(операции!$AG:$AG,операции!$X:$X,"&gt;="&amp;I$8,операции!$X:$X,"&lt;="&amp;I$9,операции!$AB:$AB,"",операции!$L:$L,L$9,операции!$P:$P,$F235)/L278)</f>
        <v>42334.015574556339</v>
      </c>
      <c r="M279" s="274"/>
      <c r="N279" s="193">
        <f>IF(N278=0,0,SUMIFS(операции!$AG:$AG,операции!$X:$X,"&gt;="&amp;N$8,операции!$X:$X,"&lt;="&amp;N$9,операции!$AB:$AB,"",операции!$P:$P,$F235)/N278)</f>
        <v>42303.666182195695</v>
      </c>
      <c r="O279" s="196"/>
      <c r="P279" s="193">
        <f>IF(P278=0,0,SUMIFS(операции!$AG:$AG,операции!$X:$X,"&gt;="&amp;N$8,операции!$X:$X,"&lt;="&amp;N$9,операции!$AB:$AB,"",операции!$L:$L,P$9,операции!$P:$P,$F235)/P278)</f>
        <v>42304.201800349321</v>
      </c>
      <c r="Q279" s="237">
        <f>IF(Q278=0,0,SUMIFS(операции!$AG:$AG,операции!$X:$X,"&gt;="&amp;N$8,операции!$X:$X,"&lt;="&amp;N$9,операции!$AB:$AB,"",операции!$L:$L,Q$9,операции!$P:$P,$F235)/Q278)</f>
        <v>42301.845398492806</v>
      </c>
      <c r="R279" s="238"/>
      <c r="S279" s="193">
        <f>IF(S278=0,0,SUMIFS(операции!$AG:$AG,операции!$X:$X,"&gt;="&amp;S$8,операции!$X:$X,"&lt;="&amp;S$9,операции!$AB:$AB,"",операции!$P:$P,$F235)/S278)</f>
        <v>42322.302278910051</v>
      </c>
      <c r="T279" s="196"/>
      <c r="U279" s="193">
        <f>IF(U278=0,0,SUMIFS(операции!$AG:$AG,операции!$X:$X,"&gt;="&amp;S$8,операции!$X:$X,"&lt;="&amp;S$9,операции!$AB:$AB,"",операции!$L:$L,U$9,операции!$P:$P,$F235)/U278)</f>
        <v>42322.973031173089</v>
      </c>
      <c r="V279" s="237">
        <f>IF(V278=0,0,SUMIFS(операции!$AG:$AG,операции!$X:$X,"&gt;="&amp;S$8,операции!$X:$X,"&lt;="&amp;S$9,операции!$AB:$AB,"",операции!$L:$L,V$9,операции!$P:$P,$F235)/V278)</f>
        <v>42321.786046878697</v>
      </c>
      <c r="W279" s="238"/>
      <c r="X279" s="193">
        <f>IF(X278=0,0,SUMIFS(операции!$AG:$AG,операции!$X:$X,"&gt;="&amp;X$8,операции!$X:$X,"&lt;="&amp;X$9,операции!$AB:$AB,"",операции!$P:$P,$F235)/X278)</f>
        <v>42342.487361811742</v>
      </c>
      <c r="Y279" s="196"/>
      <c r="Z279" s="193">
        <f>IF(Z278=0,0,SUMIFS(операции!$AG:$AG,операции!$X:$X,"&gt;="&amp;X$8,операции!$X:$X,"&lt;="&amp;X$9,операции!$AB:$AB,"",операции!$L:$L,Z$9,операции!$P:$P,$F235)/Z278)</f>
        <v>42340.214708631975</v>
      </c>
      <c r="AA279" s="237">
        <f>IF(AA278=0,0,SUMIFS(операции!$AG:$AG,операции!$X:$X,"&gt;="&amp;X$8,операции!$X:$X,"&lt;="&amp;X$9,операции!$AB:$AB,"",операции!$L:$L,AA$9,операции!$P:$P,$F235)/AA278)</f>
        <v>42342.701488593324</v>
      </c>
      <c r="AB279" s="265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</row>
    <row r="280" spans="1:42" s="5" customFormat="1">
      <c r="A280" s="1"/>
      <c r="B280" s="1"/>
      <c r="C280" s="1"/>
      <c r="D280" s="168"/>
      <c r="E280" s="168" t="s">
        <v>304</v>
      </c>
      <c r="F280" s="168" t="str">
        <f t="shared" si="378"/>
        <v>Спортивный инвентарь</v>
      </c>
      <c r="G280" s="168" t="s">
        <v>261</v>
      </c>
      <c r="H280" s="326"/>
      <c r="I280" s="327">
        <f>SUMIFS(операции!$V:$V,операции!$X:$X,"&gt;="&amp;I$8,операции!$X:$X,"&lt;="&amp;I$9,операции!$AB:$AB,"",операции!$P:$P,$F235)</f>
        <v>69681.39</v>
      </c>
      <c r="J280" s="313">
        <f>I280-K280-L280</f>
        <v>0</v>
      </c>
      <c r="K280" s="327">
        <f>SUMIFS(операции!$V:$V,операции!$X:$X,"&gt;="&amp;I$8,операции!$X:$X,"&lt;="&amp;I$9,операции!$AB:$AB,"",операции!$L:$L,K$9,операции!$P:$P,$F235)</f>
        <v>24964.73</v>
      </c>
      <c r="L280" s="328">
        <f>SUMIFS(операции!$V:$V,операции!$X:$X,"&gt;="&amp;I$8,операции!$X:$X,"&lt;="&amp;I$9,операции!$AB:$AB,"",операции!$L:$L,L$9,операции!$P:$P,$F235)</f>
        <v>44716.660000000011</v>
      </c>
      <c r="M280" s="277"/>
      <c r="N280" s="169">
        <f>SUMIFS(операции!$V:$V,операции!$X:$X,"&gt;="&amp;N$8,операции!$X:$X,"&lt;="&amp;N$9,операции!$AB:$AB,"",операции!$P:$P,$F235)</f>
        <v>16210.349999999999</v>
      </c>
      <c r="O280" s="170">
        <f>N280-P280-Q280</f>
        <v>0</v>
      </c>
      <c r="P280" s="169">
        <f>SUMIFS(операции!$V:$V,операции!$X:$X,"&gt;="&amp;N$8,операции!$X:$X,"&lt;="&amp;N$9,операции!$AB:$AB,"",операции!$L:$L,P$9,операции!$P:$P,$F235)</f>
        <v>13146.969999999998</v>
      </c>
      <c r="Q280" s="243">
        <f>SUMIFS(операции!$V:$V,операции!$X:$X,"&gt;="&amp;N$8,операции!$X:$X,"&lt;="&amp;N$9,операции!$AB:$AB,"",операции!$L:$L,Q$9,операции!$P:$P,$F235)</f>
        <v>3063.38</v>
      </c>
      <c r="R280" s="244"/>
      <c r="S280" s="169">
        <f>SUMIFS(операции!$V:$V,операции!$X:$X,"&gt;="&amp;S$8,операции!$X:$X,"&lt;="&amp;S$9,операции!$AB:$AB,"",операции!$P:$P,$F235)</f>
        <v>18294.2</v>
      </c>
      <c r="T280" s="170">
        <f>S280-U280-V280</f>
        <v>0</v>
      </c>
      <c r="U280" s="169">
        <f>SUMIFS(операции!$V:$V,операции!$X:$X,"&gt;="&amp;S$8,операции!$X:$X,"&lt;="&amp;S$9,операции!$AB:$AB,"",операции!$L:$L,U$9,операции!$P:$P,$F235)</f>
        <v>8723.2000000000007</v>
      </c>
      <c r="V280" s="243">
        <f>SUMIFS(операции!$V:$V,операции!$X:$X,"&gt;="&amp;S$8,операции!$X:$X,"&lt;="&amp;S$9,операции!$AB:$AB,"",операции!$L:$L,V$9,операции!$P:$P,$F235)</f>
        <v>9571</v>
      </c>
      <c r="W280" s="244"/>
      <c r="X280" s="169">
        <f>SUMIFS(операции!$V:$V,операции!$X:$X,"&gt;="&amp;X$8,операции!$X:$X,"&lt;="&amp;X$9,операции!$AB:$AB,"",операции!$P:$P,$F235)</f>
        <v>35176.840000000011</v>
      </c>
      <c r="Y280" s="170">
        <f>X280-Z280-AA280</f>
        <v>0</v>
      </c>
      <c r="Z280" s="169">
        <f>SUMIFS(операции!$V:$V,операции!$X:$X,"&gt;="&amp;X$8,операции!$X:$X,"&lt;="&amp;X$9,операции!$AB:$AB,"",операции!$L:$L,Z$9,операции!$P:$P,$F235)</f>
        <v>3094.56</v>
      </c>
      <c r="AA280" s="243">
        <f>SUMIFS(операции!$V:$V,операции!$X:$X,"&gt;="&amp;X$8,операции!$X:$X,"&lt;="&amp;X$9,операции!$AB:$AB,"",операции!$L:$L,AA$9,операции!$P:$P,$F235)</f>
        <v>32082.280000000013</v>
      </c>
      <c r="AB280" s="266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s="192" customFormat="1" ht="11.25">
      <c r="A281" s="37"/>
      <c r="B281" s="37"/>
      <c r="C281" s="37"/>
      <c r="D281" s="191"/>
      <c r="E281" s="191" t="s">
        <v>305</v>
      </c>
      <c r="F281" s="191" t="str">
        <f t="shared" si="378"/>
        <v>Спортивный инвентарь</v>
      </c>
      <c r="G281" s="191" t="s">
        <v>262</v>
      </c>
      <c r="H281" s="315"/>
      <c r="I281" s="316">
        <f>IF(I280=0,0,SUMIFS(операции!$AF:$AF,операции!$X:$X,"&gt;="&amp;I$8,операции!$X:$X,"&lt;="&amp;I$9,операции!$AB:$AB,"",операции!$P:$P,$F235)/I280)</f>
        <v>42287.731675989817</v>
      </c>
      <c r="J281" s="317"/>
      <c r="K281" s="316">
        <f>IF(K280=0,0,SUMIFS(операции!$AF:$AF,операции!$X:$X,"&gt;="&amp;I$8,операции!$X:$X,"&lt;="&amp;I$9,операции!$AB:$AB,"",операции!$L:$L,K$9,операции!$P:$P,$F235)/K280)</f>
        <v>42213.959710759933</v>
      </c>
      <c r="L281" s="318">
        <f>IF(L280=0,0,SUMIFS(операции!$AF:$AF,операции!$X:$X,"&gt;="&amp;I$8,операции!$X:$X,"&lt;="&amp;I$9,операции!$AB:$AB,"",операции!$L:$L,L$9,операции!$P:$P,$F235)/L280)</f>
        <v>42328.917605205752</v>
      </c>
      <c r="M281" s="274"/>
      <c r="N281" s="193">
        <f>IF(N280=0,0,SUMIFS(операции!$AF:$AF,операции!$X:$X,"&gt;="&amp;N$8,операции!$X:$X,"&lt;="&amp;N$9,операции!$AB:$AB,"",операции!$P:$P,$F235)/N280)</f>
        <v>42214.117999919807</v>
      </c>
      <c r="O281" s="196"/>
      <c r="P281" s="193">
        <f>IF(P280=0,0,SUMIFS(операции!$AF:$AF,операции!$X:$X,"&gt;="&amp;N$8,операции!$X:$X,"&lt;="&amp;N$9,операции!$AB:$AB,"",операции!$L:$L,P$9,операции!$P:$P,$F235)/P280)</f>
        <v>42194.754009479002</v>
      </c>
      <c r="Q281" s="237">
        <f>IF(Q280=0,0,SUMIFS(операции!$AF:$AF,операции!$X:$X,"&gt;="&amp;N$8,операции!$X:$X,"&lt;="&amp;N$9,операции!$AB:$AB,"",операции!$L:$L,Q$9,операции!$P:$P,$F235)/Q280)</f>
        <v>42297.22156572152</v>
      </c>
      <c r="R281" s="238"/>
      <c r="S281" s="193">
        <f>IF(S280=0,0,SUMIFS(операции!$AF:$AF,операции!$X:$X,"&gt;="&amp;S$8,операции!$X:$X,"&lt;="&amp;S$9,операции!$AB:$AB,"",операции!$P:$P,$F235)/S280)</f>
        <v>42280.652583332419</v>
      </c>
      <c r="T281" s="196"/>
      <c r="U281" s="193">
        <f>IF(U280=0,0,SUMIFS(операции!$AF:$AF,операции!$X:$X,"&gt;="&amp;S$8,операции!$X:$X,"&lt;="&amp;S$9,операции!$AB:$AB,"",операции!$L:$L,U$9,операции!$P:$P,$F235)/U280)</f>
        <v>42245.347772606379</v>
      </c>
      <c r="V281" s="237">
        <f>IF(V280=0,0,SUMIFS(операции!$AF:$AF,операции!$X:$X,"&gt;="&amp;S$8,операции!$X:$X,"&lt;="&amp;S$9,операции!$AB:$AB,"",операции!$L:$L,V$9,операции!$P:$P,$F235)/V280)</f>
        <v>42312.830090899595</v>
      </c>
      <c r="W281" s="238"/>
      <c r="X281" s="193">
        <f>IF(X280=0,0,SUMIFS(операции!$AF:$AF,операции!$X:$X,"&gt;="&amp;X$8,операции!$X:$X,"&lt;="&amp;X$9,операции!$AB:$AB,"",операции!$P:$P,$F235)/X280)</f>
        <v>42325.33624168628</v>
      </c>
      <c r="Y281" s="196"/>
      <c r="Z281" s="193">
        <f>IF(Z280=0,0,SUMIFS(операции!$AF:$AF,операции!$X:$X,"&gt;="&amp;X$8,операции!$X:$X,"&lt;="&amp;X$9,операции!$AB:$AB,"",операции!$L:$L,Z$9,операции!$P:$P,$F235)/Z280)</f>
        <v>42207.074220567702</v>
      </c>
      <c r="AA281" s="237">
        <f>IF(AA280=0,0,SUMIFS(операции!$AF:$AF,операции!$X:$X,"&gt;="&amp;X$8,операции!$X:$X,"&lt;="&amp;X$9,операции!$AB:$AB,"",операции!$L:$L,AA$9,операции!$P:$P,$F235)/AA280)</f>
        <v>42336.743439680708</v>
      </c>
      <c r="AB281" s="265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</row>
    <row r="282" spans="1:42" s="192" customFormat="1" ht="11.25">
      <c r="A282" s="37"/>
      <c r="B282" s="37"/>
      <c r="C282" s="37"/>
      <c r="D282" s="191"/>
      <c r="E282" s="191" t="s">
        <v>307</v>
      </c>
      <c r="F282" s="191" t="str">
        <f t="shared" si="378"/>
        <v>Спортивный инвентарь</v>
      </c>
      <c r="G282" s="191" t="s">
        <v>262</v>
      </c>
      <c r="H282" s="315"/>
      <c r="I282" s="316">
        <f>I$9</f>
        <v>42369</v>
      </c>
      <c r="J282" s="317"/>
      <c r="K282" s="316">
        <f>I$9</f>
        <v>42369</v>
      </c>
      <c r="L282" s="318">
        <f>I$9</f>
        <v>42369</v>
      </c>
      <c r="M282" s="274"/>
      <c r="N282" s="193">
        <f>N$9</f>
        <v>42308</v>
      </c>
      <c r="O282" s="196"/>
      <c r="P282" s="193">
        <f>N$9</f>
        <v>42308</v>
      </c>
      <c r="Q282" s="237">
        <f>N$9</f>
        <v>42308</v>
      </c>
      <c r="R282" s="238"/>
      <c r="S282" s="193">
        <f>S$9</f>
        <v>42338</v>
      </c>
      <c r="T282" s="196"/>
      <c r="U282" s="193">
        <f>S$9</f>
        <v>42338</v>
      </c>
      <c r="V282" s="237">
        <f>S$9</f>
        <v>42338</v>
      </c>
      <c r="W282" s="238"/>
      <c r="X282" s="193">
        <f>X$9</f>
        <v>42369</v>
      </c>
      <c r="Y282" s="196"/>
      <c r="Z282" s="193">
        <f>X$9</f>
        <v>42369</v>
      </c>
      <c r="AA282" s="237">
        <f>X$9</f>
        <v>42369</v>
      </c>
      <c r="AB282" s="265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</row>
    <row r="283" spans="1:42" s="5" customFormat="1">
      <c r="A283" s="1"/>
      <c r="B283" s="1"/>
      <c r="C283" s="1"/>
      <c r="D283" s="168"/>
      <c r="E283" s="168" t="s">
        <v>380</v>
      </c>
      <c r="F283" s="168" t="str">
        <f t="shared" si="378"/>
        <v>Спортивный инвентарь</v>
      </c>
      <c r="G283" s="168" t="s">
        <v>261</v>
      </c>
      <c r="H283" s="326"/>
      <c r="I283" s="327">
        <f>I278-I280</f>
        <v>9274.61</v>
      </c>
      <c r="J283" s="313">
        <f>I283-K283-L283</f>
        <v>1.0913936421275139E-11</v>
      </c>
      <c r="K283" s="327">
        <f t="shared" ref="K283:L283" si="483">K278-K280</f>
        <v>2882.2700000000004</v>
      </c>
      <c r="L283" s="328">
        <f t="shared" si="483"/>
        <v>6392.3399999999892</v>
      </c>
      <c r="M283" s="277"/>
      <c r="N283" s="169">
        <f>N278-N280</f>
        <v>3054.6500000000015</v>
      </c>
      <c r="O283" s="170">
        <f>N283-P283-Q283</f>
        <v>0</v>
      </c>
      <c r="P283" s="169">
        <f t="shared" ref="P283:Q283" si="484">P278-P280</f>
        <v>1739.0300000000025</v>
      </c>
      <c r="Q283" s="243">
        <f t="shared" si="484"/>
        <v>1315.62</v>
      </c>
      <c r="R283" s="244"/>
      <c r="S283" s="169">
        <f>S278-S280</f>
        <v>4128.7999999999993</v>
      </c>
      <c r="T283" s="170">
        <f>S283-U283-V283</f>
        <v>0</v>
      </c>
      <c r="U283" s="169">
        <f t="shared" ref="U283:V283" si="485">U278-U280</f>
        <v>1028.7999999999993</v>
      </c>
      <c r="V283" s="243">
        <f t="shared" si="485"/>
        <v>3100</v>
      </c>
      <c r="W283" s="244"/>
      <c r="X283" s="169">
        <f>X278-X280</f>
        <v>2091.1599999999889</v>
      </c>
      <c r="Y283" s="170">
        <f>X283-Z283-AA283</f>
        <v>2.2737367544323206E-12</v>
      </c>
      <c r="Z283" s="169">
        <f t="shared" ref="Z283:AA283" si="486">Z278-Z280</f>
        <v>114.44000000000005</v>
      </c>
      <c r="AA283" s="243">
        <f t="shared" si="486"/>
        <v>1976.7199999999866</v>
      </c>
      <c r="AB283" s="266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s="211" customFormat="1">
      <c r="A284" s="210"/>
      <c r="B284" s="210"/>
      <c r="C284" s="210"/>
      <c r="D284" s="218"/>
      <c r="E284" s="218" t="s">
        <v>381</v>
      </c>
      <c r="F284" s="218" t="str">
        <f t="shared" si="378"/>
        <v>Спортивный инвентарь</v>
      </c>
      <c r="G284" s="218" t="s">
        <v>218</v>
      </c>
      <c r="H284" s="343"/>
      <c r="I284" s="344">
        <f>IF(I278=0,0,(I283/I278))</f>
        <v>0.11746555043315265</v>
      </c>
      <c r="J284" s="345"/>
      <c r="K284" s="344">
        <f t="shared" ref="K284" si="487">IF(K278=0,0,(K283/K278))</f>
        <v>0.10350378855891121</v>
      </c>
      <c r="L284" s="346">
        <f t="shared" ref="L284" si="488">IF(L278=0,0,(L283/L278))</f>
        <v>0.12507268778493003</v>
      </c>
      <c r="M284" s="280"/>
      <c r="N284" s="219">
        <f>IF(N278=0,0,(N283/N278))</f>
        <v>0.15855956397612259</v>
      </c>
      <c r="O284" s="220"/>
      <c r="P284" s="219">
        <f t="shared" ref="P284" si="489">IF(P278=0,0,(P283/P278))</f>
        <v>0.11682318957409664</v>
      </c>
      <c r="Q284" s="252">
        <f t="shared" ref="Q284" si="490">IF(Q278=0,0,(Q283/Q278))</f>
        <v>0.30043845626855442</v>
      </c>
      <c r="R284" s="253"/>
      <c r="S284" s="219">
        <f>IF(S278=0,0,(S283/S278))</f>
        <v>0.18413236409044281</v>
      </c>
      <c r="T284" s="220"/>
      <c r="U284" s="219">
        <f t="shared" ref="U284" si="491">IF(U278=0,0,(U283/U278))</f>
        <v>0.10549630844954874</v>
      </c>
      <c r="V284" s="252">
        <f t="shared" ref="V284" si="492">IF(V278=0,0,(V283/V278))</f>
        <v>0.2446531449767185</v>
      </c>
      <c r="W284" s="253"/>
      <c r="X284" s="219">
        <f>IF(X278=0,0,(X283/X278))</f>
        <v>5.6111409251904824E-2</v>
      </c>
      <c r="Y284" s="220"/>
      <c r="Z284" s="219">
        <f t="shared" ref="Z284" si="493">IF(Z278=0,0,(Z283/Z278))</f>
        <v>3.5662200062324727E-2</v>
      </c>
      <c r="AA284" s="252">
        <f t="shared" ref="AA284" si="494">IF(AA278=0,0,(AA283/AA278))</f>
        <v>5.8038110337942588E-2</v>
      </c>
      <c r="AB284" s="267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</row>
    <row r="285" spans="1:42" s="5" customFormat="1">
      <c r="A285" s="1"/>
      <c r="B285" s="1"/>
      <c r="C285" s="1"/>
      <c r="D285" s="227"/>
      <c r="E285" s="227" t="s">
        <v>306</v>
      </c>
      <c r="F285" s="227" t="str">
        <f t="shared" si="378"/>
        <v>Спортивный инвентарь</v>
      </c>
      <c r="G285" s="227" t="s">
        <v>219</v>
      </c>
      <c r="H285" s="347"/>
      <c r="I285" s="348">
        <f>I279-I281</f>
        <v>39.551013102842262</v>
      </c>
      <c r="J285" s="321"/>
      <c r="K285" s="348">
        <f t="shared" ref="K285:L285" si="495">K279-K281</f>
        <v>100.96577492972574</v>
      </c>
      <c r="L285" s="349">
        <f t="shared" si="495"/>
        <v>5.0979693505869363</v>
      </c>
      <c r="M285" s="281"/>
      <c r="N285" s="228">
        <f>N279-N281</f>
        <v>89.548182275888394</v>
      </c>
      <c r="O285" s="173"/>
      <c r="P285" s="228">
        <f t="shared" ref="P285:Q285" si="496">P279-P281</f>
        <v>109.4477908703193</v>
      </c>
      <c r="Q285" s="254">
        <f t="shared" si="496"/>
        <v>4.6238327712853788</v>
      </c>
      <c r="R285" s="255"/>
      <c r="S285" s="228">
        <f>S279-S281</f>
        <v>41.649695577631064</v>
      </c>
      <c r="T285" s="173"/>
      <c r="U285" s="228">
        <f t="shared" ref="U285:V285" si="497">U279-U281</f>
        <v>77.625258566709817</v>
      </c>
      <c r="V285" s="254">
        <f t="shared" si="497"/>
        <v>8.9559559791014181</v>
      </c>
      <c r="W285" s="255"/>
      <c r="X285" s="228">
        <f>X279-X281</f>
        <v>17.151120125461603</v>
      </c>
      <c r="Y285" s="173"/>
      <c r="Z285" s="228">
        <f t="shared" ref="Z285:AA285" si="498">Z279-Z281</f>
        <v>133.14048806427309</v>
      </c>
      <c r="AA285" s="254">
        <f t="shared" si="498"/>
        <v>5.9580489126165048</v>
      </c>
      <c r="AB285" s="266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s="5" customFormat="1">
      <c r="A286" s="1"/>
      <c r="B286" s="1"/>
      <c r="C286" s="1"/>
      <c r="D286" s="227"/>
      <c r="E286" s="227" t="s">
        <v>382</v>
      </c>
      <c r="F286" s="227" t="str">
        <f t="shared" si="378"/>
        <v>Спортивный инвентарь</v>
      </c>
      <c r="G286" s="227" t="s">
        <v>219</v>
      </c>
      <c r="H286" s="347"/>
      <c r="I286" s="348">
        <f>I282-I281</f>
        <v>81.268324010183278</v>
      </c>
      <c r="J286" s="321"/>
      <c r="K286" s="348">
        <f t="shared" ref="K286:L286" si="499">K282-K281</f>
        <v>155.04028924006707</v>
      </c>
      <c r="L286" s="349">
        <f t="shared" si="499"/>
        <v>40.082394794248103</v>
      </c>
      <c r="M286" s="281"/>
      <c r="N286" s="228">
        <f>N282-N281</f>
        <v>93.882000080193393</v>
      </c>
      <c r="O286" s="173"/>
      <c r="P286" s="228">
        <f t="shared" ref="P286:Q286" si="500">P282-P281</f>
        <v>113.24599052099802</v>
      </c>
      <c r="Q286" s="254">
        <f t="shared" si="500"/>
        <v>10.778434278479835</v>
      </c>
      <c r="R286" s="255"/>
      <c r="S286" s="228">
        <f>S282-S281</f>
        <v>57.347416667580546</v>
      </c>
      <c r="T286" s="173"/>
      <c r="U286" s="228">
        <f t="shared" ref="U286:V286" si="501">U282-U281</f>
        <v>92.652227393620706</v>
      </c>
      <c r="V286" s="254">
        <f t="shared" si="501"/>
        <v>25.169909100404766</v>
      </c>
      <c r="W286" s="255"/>
      <c r="X286" s="228">
        <f>X282-X281</f>
        <v>43.663758313719882</v>
      </c>
      <c r="Y286" s="173"/>
      <c r="Z286" s="228">
        <f t="shared" ref="Z286:AA286" si="502">Z282-Z281</f>
        <v>161.92577943229844</v>
      </c>
      <c r="AA286" s="254">
        <f t="shared" si="502"/>
        <v>32.256560319292475</v>
      </c>
      <c r="AB286" s="266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s="5" customFormat="1">
      <c r="A287" s="1"/>
      <c r="B287" s="1"/>
      <c r="C287" s="1"/>
      <c r="D287" s="225"/>
      <c r="E287" s="225" t="s">
        <v>383</v>
      </c>
      <c r="F287" s="225" t="str">
        <f t="shared" si="378"/>
        <v>Спортивный инвентарь</v>
      </c>
      <c r="G287" s="225" t="s">
        <v>219</v>
      </c>
      <c r="H287" s="350"/>
      <c r="I287" s="351">
        <f>I285-I286</f>
        <v>-41.717310907341016</v>
      </c>
      <c r="J287" s="352"/>
      <c r="K287" s="351">
        <f t="shared" ref="K287" si="503">K285-K286</f>
        <v>-54.074514310341328</v>
      </c>
      <c r="L287" s="353">
        <f t="shared" ref="L287" si="504">L285-L286</f>
        <v>-34.984425443661166</v>
      </c>
      <c r="M287" s="282"/>
      <c r="N287" s="226">
        <f>N285-N286</f>
        <v>-4.3338178043049993</v>
      </c>
      <c r="O287" s="181"/>
      <c r="P287" s="226">
        <f t="shared" ref="P287" si="505">P285-P286</f>
        <v>-3.7981996506787254</v>
      </c>
      <c r="Q287" s="256">
        <f t="shared" ref="Q287" si="506">Q285-Q286</f>
        <v>-6.1546015071944566</v>
      </c>
      <c r="R287" s="257"/>
      <c r="S287" s="226">
        <f>S285-S286</f>
        <v>-15.697721089949482</v>
      </c>
      <c r="T287" s="181"/>
      <c r="U287" s="226">
        <f t="shared" ref="U287" si="507">U285-U286</f>
        <v>-15.026968826910888</v>
      </c>
      <c r="V287" s="256">
        <f t="shared" ref="V287" si="508">V285-V286</f>
        <v>-16.213953121303348</v>
      </c>
      <c r="W287" s="257"/>
      <c r="X287" s="226">
        <f>X285-X286</f>
        <v>-26.512638188258279</v>
      </c>
      <c r="Y287" s="181"/>
      <c r="Z287" s="226">
        <f t="shared" ref="Z287" si="509">Z285-Z286</f>
        <v>-28.785291368025355</v>
      </c>
      <c r="AA287" s="256">
        <f t="shared" ref="AA287" si="510">AA285-AA286</f>
        <v>-26.298511406675971</v>
      </c>
      <c r="AB287" s="266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s="5" customFormat="1">
      <c r="A288" s="1"/>
      <c r="B288" s="1"/>
      <c r="C288" s="1"/>
      <c r="D288" s="168" t="s">
        <v>312</v>
      </c>
      <c r="E288" s="168"/>
      <c r="F288" s="168" t="str">
        <f t="shared" si="378"/>
        <v>Спортивный инвентарь</v>
      </c>
      <c r="G288" s="168" t="s">
        <v>261</v>
      </c>
      <c r="H288" s="326"/>
      <c r="I288" s="327">
        <f>SUMIFS(операции!$AC:$AC,операции!$AB:$AB,"&gt;="&amp;I$8,операции!$AB:$AB,"&lt;="&amp;I$9,операции!$P:$P,$F235)</f>
        <v>165971.97999999992</v>
      </c>
      <c r="J288" s="313">
        <f>I288-K288-L288</f>
        <v>0</v>
      </c>
      <c r="K288" s="327">
        <f>SUMIFS(операции!$AC:$AC,операции!$AB:$AB,"&gt;="&amp;I$8,операции!$AB:$AB,"&lt;="&amp;I$9,операции!$L:$L,K$9,операции!$P:$P,$F235)</f>
        <v>34103.96</v>
      </c>
      <c r="L288" s="328">
        <f>SUMIFS(операции!$AC:$AC,операции!$AB:$AB,"&gt;="&amp;I$8,операции!$AB:$AB,"&lt;="&amp;I$9,операции!$L:$L,L$9,операции!$P:$P,$F235)</f>
        <v>131868.01999999999</v>
      </c>
      <c r="M288" s="277"/>
      <c r="N288" s="169">
        <f>SUMIFS(операции!$AC:$AC,операции!$AB:$AB,"&gt;="&amp;N$8,операции!$AB:$AB,"&lt;="&amp;N$9,операции!$P:$P,$F235)</f>
        <v>26055.720000000005</v>
      </c>
      <c r="O288" s="170">
        <f>N288-P288-Q288</f>
        <v>0</v>
      </c>
      <c r="P288" s="169">
        <f>SUMIFS(операции!$AC:$AC,операции!$AB:$AB,"&gt;="&amp;N$8,операции!$AB:$AB,"&lt;="&amp;N$9,операции!$L:$L,P$9,операции!$P:$P,$F235)</f>
        <v>24548.830000000005</v>
      </c>
      <c r="Q288" s="243">
        <f>SUMIFS(операции!$AC:$AC,операции!$AB:$AB,"&gt;="&amp;N$8,операции!$AB:$AB,"&lt;="&amp;N$9,операции!$L:$L,Q$9,операции!$P:$P,$F235)</f>
        <v>1506.89</v>
      </c>
      <c r="R288" s="244"/>
      <c r="S288" s="169">
        <f>SUMIFS(операции!$AC:$AC,операции!$AB:$AB,"&gt;="&amp;S$8,операции!$AB:$AB,"&lt;="&amp;S$9,операции!$P:$P,$F235)</f>
        <v>55410.700000000019</v>
      </c>
      <c r="T288" s="170">
        <f>S288-U288-V288</f>
        <v>0</v>
      </c>
      <c r="U288" s="169">
        <f>SUMIFS(операции!$AC:$AC,операции!$AB:$AB,"&gt;="&amp;S$8,операции!$AB:$AB,"&lt;="&amp;S$9,операции!$L:$L,U$9,операции!$P:$P,$F235)</f>
        <v>9555.1299999999992</v>
      </c>
      <c r="V288" s="243">
        <f>SUMIFS(операции!$AC:$AC,операции!$AB:$AB,"&gt;="&amp;S$8,операции!$AB:$AB,"&lt;="&amp;S$9,операции!$L:$L,V$9,операции!$P:$P,$F235)</f>
        <v>45855.570000000007</v>
      </c>
      <c r="W288" s="244"/>
      <c r="X288" s="169">
        <f>SUMIFS(операции!$AC:$AC,операции!$AB:$AB,"&gt;="&amp;X$8,операции!$AB:$AB,"&lt;="&amp;X$9,операции!$P:$P,$F235)</f>
        <v>84505.56</v>
      </c>
      <c r="Y288" s="170">
        <f>X288-Z288-AA288</f>
        <v>0</v>
      </c>
      <c r="Z288" s="169">
        <f>SUMIFS(операции!$AC:$AC,операции!$AB:$AB,"&gt;="&amp;X$8,операции!$AB:$AB,"&lt;="&amp;X$9,операции!$L:$L,Z$9,операции!$P:$P,$F235)</f>
        <v>0</v>
      </c>
      <c r="AA288" s="243">
        <f>SUMIFS(операции!$AC:$AC,операции!$AB:$AB,"&gt;="&amp;X$8,операции!$AB:$AB,"&lt;="&amp;X$9,операции!$L:$L,AA$9,операции!$P:$P,$F235)</f>
        <v>84505.56</v>
      </c>
      <c r="AB288" s="266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s="192" customFormat="1" ht="11.25">
      <c r="A289" s="37"/>
      <c r="B289" s="37"/>
      <c r="C289" s="37"/>
      <c r="D289" s="207" t="s">
        <v>255</v>
      </c>
      <c r="E289" s="207"/>
      <c r="F289" s="207" t="str">
        <f t="shared" si="378"/>
        <v>Спортивный инвентарь</v>
      </c>
      <c r="G289" s="207" t="s">
        <v>262</v>
      </c>
      <c r="H289" s="331"/>
      <c r="I289" s="337">
        <f>IF(I288=0,0,SUMIFS(операции!$AH:$AH,операции!$AB:$AB,"&gt;="&amp;I$8,операции!$AB:$AB,"&lt;="&amp;I$9,операции!$P:$P,$F235)/I288)</f>
        <v>42332.906398236628</v>
      </c>
      <c r="J289" s="333"/>
      <c r="K289" s="337">
        <f>IF(K288=0,0,SUMIFS(операции!$AH:$AH,операции!$AB:$AB,"&gt;="&amp;I$8,операции!$AB:$AB,"&lt;="&amp;I$9,операции!$L:$L,K$9,операции!$P:$P,$F235)/K288)</f>
        <v>42295.137005497309</v>
      </c>
      <c r="L289" s="338">
        <f>IF(L288=0,0,SUMIFS(операции!$AH:$AH,операции!$AB:$AB,"&gt;="&amp;I$8,операции!$AB:$AB,"&lt;="&amp;I$9,операции!$L:$L,L$9,операции!$P:$P,$F235)/L288)</f>
        <v>42342.67439095545</v>
      </c>
      <c r="M289" s="278"/>
      <c r="N289" s="217">
        <f>IF(N288=0,0,SUMIFS(операции!$AH:$AH,операции!$AB:$AB,"&gt;="&amp;N$8,операции!$AB:$AB,"&lt;="&amp;N$9,операции!$P:$P,$F235)/N288)</f>
        <v>42287.736302815647</v>
      </c>
      <c r="O289" s="208"/>
      <c r="P289" s="217">
        <f>IF(P288=0,0,SUMIFS(операции!$AH:$AH,операции!$AB:$AB,"&gt;="&amp;N$8,операции!$AB:$AB,"&lt;="&amp;N$9,операции!$L:$L,P$9,операции!$P:$P,$F235)/P288)</f>
        <v>42286.983515711327</v>
      </c>
      <c r="Q289" s="249">
        <f>IF(Q288=0,0,SUMIFS(операции!$AH:$AH,операции!$AB:$AB,"&gt;="&amp;N$8,операции!$AB:$AB,"&lt;="&amp;N$9,операции!$L:$L,Q$9,операции!$P:$P,$F235)/Q288)</f>
        <v>42300</v>
      </c>
      <c r="R289" s="247"/>
      <c r="S289" s="217">
        <f>IF(S288=0,0,SUMIFS(операции!$AH:$AH,операции!$AB:$AB,"&gt;="&amp;S$8,операции!$AB:$AB,"&lt;="&amp;S$9,операции!$P:$P,$F235)/S288)</f>
        <v>42321.702304789484</v>
      </c>
      <c r="T289" s="208"/>
      <c r="U289" s="217">
        <f>IF(U288=0,0,SUMIFS(операции!$AH:$AH,операции!$AB:$AB,"&gt;="&amp;S$8,операции!$AB:$AB,"&lt;="&amp;S$9,операции!$L:$L,U$9,операции!$P:$P,$F235)/U288)</f>
        <v>42316.084772263705</v>
      </c>
      <c r="V289" s="249">
        <f>IF(V288=0,0,SUMIFS(операции!$AH:$AH,операции!$AB:$AB,"&gt;="&amp;S$8,операции!$AB:$AB,"&lt;="&amp;S$9,операции!$L:$L,V$9,операции!$P:$P,$F235)/V288)</f>
        <v>42322.872855140595</v>
      </c>
      <c r="W289" s="247"/>
      <c r="X289" s="217">
        <f>IF(X288=0,0,SUMIFS(операции!$AH:$AH,операции!$AB:$AB,"&gt;="&amp;X$8,операции!$AB:$AB,"&lt;="&amp;X$9,операции!$P:$P,$F235)/X288)</f>
        <v>42354.180335944766</v>
      </c>
      <c r="Y289" s="208"/>
      <c r="Z289" s="217">
        <f>IF(Z288=0,0,SUMIFS(операции!$AH:$AH,операции!$AB:$AB,"&gt;="&amp;X$8,операции!$AB:$AB,"&lt;="&amp;X$9,операции!$L:$L,Z$9,операции!$P:$P,$F235)/Z288)</f>
        <v>0</v>
      </c>
      <c r="AA289" s="249">
        <f>IF(AA288=0,0,SUMIFS(операции!$AH:$AH,операции!$AB:$AB,"&gt;="&amp;X$8,операции!$AB:$AB,"&lt;="&amp;X$9,операции!$L:$L,AA$9,операции!$P:$P,$F235)/AA288)</f>
        <v>42354.180335944766</v>
      </c>
      <c r="AB289" s="265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</row>
    <row r="290" spans="1:42" s="111" customFormat="1" ht="11.25">
      <c r="A290" s="108"/>
      <c r="B290" s="108"/>
      <c r="C290" s="209" t="s">
        <v>279</v>
      </c>
      <c r="D290" s="109"/>
      <c r="E290" s="109"/>
      <c r="F290" s="109" t="str">
        <f t="shared" si="378"/>
        <v>Спортивный инвентарь</v>
      </c>
      <c r="G290" s="109"/>
      <c r="H290" s="307"/>
      <c r="I290" s="308">
        <f>I291-K291-L291+K290+L290</f>
        <v>3.637978807091713E-11</v>
      </c>
      <c r="J290" s="309">
        <f>I235+I253-I260-I291</f>
        <v>0</v>
      </c>
      <c r="K290" s="308">
        <f>K235+K253-K260-K291</f>
        <v>0</v>
      </c>
      <c r="L290" s="336">
        <f>L235+L253-L260-L291</f>
        <v>3.2741809263825417E-11</v>
      </c>
      <c r="M290" s="272"/>
      <c r="N290" s="110">
        <f>N291-P291-Q291</f>
        <v>0</v>
      </c>
      <c r="O290" s="215">
        <f>N235+N253-N260-N291</f>
        <v>0</v>
      </c>
      <c r="P290" s="110">
        <f>P235+P253-P260-P291</f>
        <v>0</v>
      </c>
      <c r="Q290" s="248">
        <f>Q235+Q253-Q260-Q291</f>
        <v>0</v>
      </c>
      <c r="R290" s="234"/>
      <c r="S290" s="110">
        <f>S291-U291-V291</f>
        <v>0</v>
      </c>
      <c r="T290" s="215">
        <f>S235+S253-S260-S291</f>
        <v>0</v>
      </c>
      <c r="U290" s="110">
        <f>U235+U253-U260-U291</f>
        <v>0</v>
      </c>
      <c r="V290" s="248">
        <f>V235+V253-V260-V291</f>
        <v>0</v>
      </c>
      <c r="W290" s="234"/>
      <c r="X290" s="110">
        <f>X291-Z291-AA291</f>
        <v>0</v>
      </c>
      <c r="Y290" s="215">
        <f>X235+X253-X260-X291</f>
        <v>0</v>
      </c>
      <c r="Z290" s="110">
        <f>Z235+Z253-Z260-Z291</f>
        <v>0</v>
      </c>
      <c r="AA290" s="248">
        <f>AA235+AA253-AA260-AA291</f>
        <v>0</v>
      </c>
      <c r="AB290" s="263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</row>
    <row r="291" spans="1:42" s="93" customFormat="1" ht="15">
      <c r="A291" s="92"/>
      <c r="B291" s="92"/>
      <c r="C291" s="214"/>
      <c r="D291" s="151" t="s">
        <v>238</v>
      </c>
      <c r="E291" s="151"/>
      <c r="F291" s="151" t="str">
        <f t="shared" si="378"/>
        <v>Спортивный инвентарь</v>
      </c>
      <c r="G291" s="151" t="s">
        <v>261</v>
      </c>
      <c r="H291" s="311"/>
      <c r="I291" s="312">
        <f>SUMIFS(операции!$V:$V,операции!$T:$T,"&lt;="&amp;I$9,операции!$X:$X,"",операции!$P:$P,$F235)+SUMIFS(операции!$V:$V,операции!$T:$T,"&lt;="&amp;I$9,операции!$X:$X,"&gt;"&amp;I$9,операции!$P:$P,$F235)</f>
        <v>81127.73</v>
      </c>
      <c r="J291" s="313">
        <f>I291-I296-I302</f>
        <v>0</v>
      </c>
      <c r="K291" s="312">
        <f>SUMIFS(операции!$V:$V,операции!$T:$T,"&lt;="&amp;I$9,операции!$X:$X,"",операции!$L:$L,K$9,операции!$P:$P,$F235)+SUMIFS(операции!$V:$V,операции!$T:$T,"&lt;="&amp;I$9,операции!$X:$X,"&gt;"&amp;I$9,операции!$L:$L,K$9,операции!$P:$P,$F235)</f>
        <v>65503.039999999994</v>
      </c>
      <c r="L291" s="314">
        <f>SUMIFS(операции!$V:$V,операции!$T:$T,"&lt;="&amp;I$9,операции!$X:$X,"",операции!$L:$L,L$9,операции!$P:$P,$F235)+SUMIFS(операции!$V:$V,операции!$T:$T,"&lt;="&amp;I$9,операции!$X:$X,"&gt;"&amp;I$9,операции!$L:$L,L$9,операции!$P:$P,$F235)</f>
        <v>15624.689999999999</v>
      </c>
      <c r="M291" s="273"/>
      <c r="N291" s="152">
        <f>SUMIFS(операции!$V:$V,операции!$T:$T,"&lt;="&amp;N$9,операции!$X:$X,"",операции!$P:$P,$F235)+SUMIFS(операции!$V:$V,операции!$T:$T,"&lt;="&amp;N$9,операции!$X:$X,"&gt;"&amp;N$9,операции!$P:$P,$F235)</f>
        <v>150958.78999999998</v>
      </c>
      <c r="O291" s="170">
        <f>N291-N296-N302</f>
        <v>0</v>
      </c>
      <c r="P291" s="152">
        <f>SUMIFS(операции!$V:$V,операции!$T:$T,"&lt;="&amp;N$9,операции!$X:$X,"",операции!$L:$L,P$9,операции!$P:$P,$F235)+SUMIFS(операции!$V:$V,операции!$T:$T,"&lt;="&amp;N$9,операции!$X:$X,"&gt;"&amp;N$9,операции!$L:$L,P$9,операции!$P:$P,$F235)</f>
        <v>137727.54999999999</v>
      </c>
      <c r="Q291" s="235">
        <f>SUMIFS(операции!$V:$V,операции!$T:$T,"&lt;="&amp;N$9,операции!$X:$X,"",операции!$L:$L,Q$9,операции!$P:$P,$F235)+SUMIFS(операции!$V:$V,операции!$T:$T,"&lt;="&amp;N$9,операции!$X:$X,"&gt;"&amp;N$9,операции!$L:$L,Q$9,операции!$P:$P,$F235)</f>
        <v>13231.24</v>
      </c>
      <c r="R291" s="236"/>
      <c r="S291" s="152">
        <f>SUMIFS(операции!$V:$V,операции!$T:$T,"&lt;="&amp;S$9,операции!$X:$X,"",операции!$P:$P,$F235)+SUMIFS(операции!$V:$V,операции!$T:$T,"&lt;="&amp;S$9,операции!$X:$X,"&gt;"&amp;S$9,операции!$P:$P,$F235)</f>
        <v>158230.63999999998</v>
      </c>
      <c r="T291" s="170">
        <f>S291-S296-S302</f>
        <v>0</v>
      </c>
      <c r="U291" s="152">
        <f>SUMIFS(операции!$V:$V,операции!$T:$T,"&lt;="&amp;S$9,операции!$X:$X,"",операции!$L:$L,U$9,операции!$P:$P,$F235)+SUMIFS(операции!$V:$V,операции!$T:$T,"&lt;="&amp;S$9,операции!$X:$X,"&gt;"&amp;S$9,операции!$L:$L,U$9,операции!$P:$P,$F235)</f>
        <v>75912.299999999988</v>
      </c>
      <c r="V291" s="235">
        <f>SUMIFS(операции!$V:$V,операции!$T:$T,"&lt;="&amp;S$9,операции!$X:$X,"",операции!$L:$L,V$9,операции!$P:$P,$F235)+SUMIFS(операции!$V:$V,операции!$T:$T,"&lt;="&amp;S$9,операции!$X:$X,"&gt;"&amp;S$9,операции!$L:$L,V$9,операции!$P:$P,$F235)</f>
        <v>82318.34</v>
      </c>
      <c r="W291" s="236"/>
      <c r="X291" s="152">
        <f>SUMIFS(операции!$V:$V,операции!$T:$T,"&lt;="&amp;X$9,операции!$X:$X,"",операции!$P:$P,$F235)+SUMIFS(операции!$V:$V,операции!$T:$T,"&lt;="&amp;X$9,операции!$X:$X,"&gt;"&amp;X$9,операции!$P:$P,$F235)</f>
        <v>81127.73</v>
      </c>
      <c r="Y291" s="170">
        <f>X291-X296-X302</f>
        <v>0</v>
      </c>
      <c r="Z291" s="152">
        <f>SUMIFS(операции!$V:$V,операции!$T:$T,"&lt;="&amp;X$9,операции!$X:$X,"",операции!$L:$L,Z$9,операции!$P:$P,$F235)+SUMIFS(операции!$V:$V,операции!$T:$T,"&lt;="&amp;X$9,операции!$X:$X,"&gt;"&amp;X$9,операции!$L:$L,Z$9,операции!$P:$P,$F235)</f>
        <v>65503.039999999994</v>
      </c>
      <c r="AA291" s="235">
        <f>SUMIFS(операции!$V:$V,операции!$T:$T,"&lt;="&amp;X$9,операции!$X:$X,"",операции!$L:$L,AA$9,операции!$P:$P,$F235)+SUMIFS(операции!$V:$V,операции!$T:$T,"&lt;="&amp;X$9,операции!$X:$X,"&gt;"&amp;X$9,операции!$L:$L,AA$9,операции!$P:$P,$F235)</f>
        <v>15624.689999999999</v>
      </c>
      <c r="AB291" s="264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</row>
    <row r="292" spans="1:42" s="192" customFormat="1" ht="11.25">
      <c r="A292" s="37"/>
      <c r="B292" s="37"/>
      <c r="C292" s="37"/>
      <c r="D292" s="191" t="s">
        <v>255</v>
      </c>
      <c r="E292" s="191"/>
      <c r="F292" s="191" t="str">
        <f t="shared" si="378"/>
        <v>Спортивный инвентарь</v>
      </c>
      <c r="G292" s="191" t="s">
        <v>262</v>
      </c>
      <c r="H292" s="315"/>
      <c r="I292" s="316">
        <f>IF(I291=0,0,(SUMIFS(операции!$AF:$AF,операции!$T:$T,"&lt;="&amp;I$9,операции!$X:$X,"",операции!$P:$P,$F235)+SUMIFS(операции!$AF:$AF,операции!$T:$T,"&lt;="&amp;I$9,операции!$X:$X,"&gt;"&amp;I$9,операции!$P:$P,$F235))/I291)</f>
        <v>42232.665626414055</v>
      </c>
      <c r="J292" s="317"/>
      <c r="K292" s="316">
        <f>IF(K291=0,0,(SUMIFS(операции!$AF:$AF,операции!$T:$T,"&lt;="&amp;I$9,операции!$X:$X,"",операции!$L:$L,K$9,операции!$P:$P,$F235)+SUMIFS(операции!$AF:$AF,операции!$T:$T,"&lt;="&amp;I$9,операции!$X:$X,"&gt;"&amp;I$9,операции!$L:$L,K$9,операции!$P:$P,$F235))/K291)</f>
        <v>42203.023056945145</v>
      </c>
      <c r="L292" s="318">
        <f>IF(L291=0,0,(SUMIFS(операции!$AF:$AF,операции!$T:$T,"&lt;="&amp;I$9,операции!$X:$X,"",операции!$L:$L,L$9,операции!$P:$P,$F235)+SUMIFS(операции!$AF:$AF,операции!$T:$T,"&lt;="&amp;I$9,операции!$X:$X,"&gt;"&amp;I$9,операции!$L:$L,L$9,операции!$P:$P,$F235))/L291)</f>
        <v>42356.93551040053</v>
      </c>
      <c r="M292" s="274"/>
      <c r="N292" s="193">
        <f>IF(N291=0,0,(SUMIFS(операции!$AF:$AF,операции!$T:$T,"&lt;="&amp;N$9,операции!$X:$X,"",операции!$P:$P,$F235)+SUMIFS(операции!$AF:$AF,операции!$T:$T,"&lt;="&amp;N$9,операции!$X:$X,"&gt;"&amp;N$9,операции!$P:$P,$F235))/N291)</f>
        <v>42221.975019341378</v>
      </c>
      <c r="O292" s="196"/>
      <c r="P292" s="193">
        <f>IF(P291=0,0,(SUMIFS(операции!$AF:$AF,операции!$T:$T,"&lt;="&amp;N$9,операции!$X:$X,"",операции!$L:$L,P$9,операции!$P:$P,$F235)+SUMIFS(операции!$AF:$AF,операции!$T:$T,"&lt;="&amp;N$9,операции!$X:$X,"&gt;"&amp;N$9,операции!$L:$L,P$9,операции!$P:$P,$F235))/P291)</f>
        <v>42213.816624851024</v>
      </c>
      <c r="Q292" s="237">
        <f>IF(Q291=0,0,(SUMIFS(операции!$AF:$AF,операции!$T:$T,"&lt;="&amp;N$9,операции!$X:$X,"",операции!$L:$L,Q$9,операции!$P:$P,$F235)+SUMIFS(операции!$AF:$AF,операции!$T:$T,"&lt;="&amp;N$9,операции!$X:$X,"&gt;"&amp;N$9,операции!$L:$L,Q$9,операции!$P:$P,$F235))/Q291)</f>
        <v>42306.897950607803</v>
      </c>
      <c r="R292" s="238"/>
      <c r="S292" s="193">
        <f>IF(S291=0,0,(SUMIFS(операции!$AF:$AF,операции!$T:$T,"&lt;="&amp;S$9,операции!$X:$X,"",операции!$P:$P,$F235)+SUMIFS(операции!$AF:$AF,операции!$T:$T,"&lt;="&amp;S$9,операции!$X:$X,"&gt;"&amp;S$9,операции!$P:$P,$F235))/S291)</f>
        <v>42274.658531116351</v>
      </c>
      <c r="T292" s="196"/>
      <c r="U292" s="193">
        <f>IF(U291=0,0,(SUMIFS(операции!$AF:$AF,операции!$T:$T,"&lt;="&amp;S$9,операции!$X:$X,"",операции!$L:$L,U$9,операции!$P:$P,$F235)+SUMIFS(операции!$AF:$AF,операции!$T:$T,"&lt;="&amp;S$9,операции!$X:$X,"&gt;"&amp;S$9,операции!$L:$L,U$9,операции!$P:$P,$F235))/U291)</f>
        <v>42207.931931715953</v>
      </c>
      <c r="V292" s="237">
        <f>IF(V291=0,0,(SUMIFS(операции!$AF:$AF,операции!$T:$T,"&lt;="&amp;S$9,операции!$X:$X,"",операции!$L:$L,V$9,операции!$P:$P,$F235)+SUMIFS(операции!$AF:$AF,операции!$T:$T,"&lt;="&amp;S$9,операции!$X:$X,"&gt;"&amp;S$9,операции!$L:$L,V$9,операции!$P:$P,$F235))/V291)</f>
        <v>42336.192444842789</v>
      </c>
      <c r="W292" s="238"/>
      <c r="X292" s="193">
        <f>IF(X291=0,0,(SUMIFS(операции!$AF:$AF,операции!$T:$T,"&lt;="&amp;X$9,операции!$X:$X,"",операции!$P:$P,$F235)+SUMIFS(операции!$AF:$AF,операции!$T:$T,"&lt;="&amp;X$9,операции!$X:$X,"&gt;"&amp;X$9,операции!$P:$P,$F235))/X291)</f>
        <v>42232.665626414055</v>
      </c>
      <c r="Y292" s="196"/>
      <c r="Z292" s="193">
        <f>IF(Z291=0,0,(SUMIFS(операции!$AF:$AF,операции!$T:$T,"&lt;="&amp;X$9,операции!$X:$X,"",операции!$L:$L,Z$9,операции!$P:$P,$F235)+SUMIFS(операции!$AF:$AF,операции!$T:$T,"&lt;="&amp;X$9,операции!$X:$X,"&gt;"&amp;X$9,операции!$L:$L,Z$9,операции!$P:$P,$F235))/Z291)</f>
        <v>42203.023056945145</v>
      </c>
      <c r="AA292" s="237">
        <f>IF(AA291=0,0,(SUMIFS(операции!$AF:$AF,операции!$T:$T,"&lt;="&amp;X$9,операции!$X:$X,"",операции!$L:$L,AA$9,операции!$P:$P,$F235)+SUMIFS(операции!$AF:$AF,операции!$T:$T,"&lt;="&amp;X$9,операции!$X:$X,"&gt;"&amp;X$9,операции!$L:$L,AA$9,операции!$P:$P,$F235))/AA291)</f>
        <v>42356.93551040053</v>
      </c>
      <c r="AB292" s="265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</row>
    <row r="293" spans="1:42" s="50" customFormat="1" ht="11.25">
      <c r="A293" s="48"/>
      <c r="B293" s="48"/>
      <c r="C293" s="48"/>
      <c r="D293" s="154" t="s">
        <v>239</v>
      </c>
      <c r="E293" s="154"/>
      <c r="F293" s="154" t="str">
        <f t="shared" si="378"/>
        <v>Спортивный инвентарь</v>
      </c>
      <c r="G293" s="154" t="s">
        <v>219</v>
      </c>
      <c r="H293" s="319"/>
      <c r="I293" s="320">
        <f>IF(I291=0,0,I$9-I292)</f>
        <v>136.33437358594529</v>
      </c>
      <c r="J293" s="321">
        <f>I293-SUMIFS(ПОбТЗ!$I:$I,ПОбТЗ!$E:$E,$D293,ПОбТЗ!$F:$F,$F293)</f>
        <v>0</v>
      </c>
      <c r="K293" s="320">
        <f>IF(K291=0,0,I$9-K292)</f>
        <v>165.97694305485493</v>
      </c>
      <c r="L293" s="322">
        <f>IF(L291=0,0,I$9-L292)</f>
        <v>12.064489599470107</v>
      </c>
      <c r="M293" s="275"/>
      <c r="N293" s="155">
        <f>IF(N291=0,0,N$9-N292)</f>
        <v>86.024980658621644</v>
      </c>
      <c r="O293" s="173">
        <f>N293-SUMIFS(ПОбТЗ_2!$J:$J,ПОбТЗ_2!$D:$D,$D293,ПОбТЗ_2!$E:$E,$F293)</f>
        <v>0</v>
      </c>
      <c r="P293" s="155">
        <f>IF(P291=0,0,N$9-P292)</f>
        <v>94.183375148975756</v>
      </c>
      <c r="Q293" s="239">
        <f>IF(Q291=0,0,N$9-Q292)</f>
        <v>1.1020493921969319</v>
      </c>
      <c r="R293" s="240"/>
      <c r="S293" s="155">
        <f>IF(S291=0,0,S$9-S292)</f>
        <v>63.341468883649213</v>
      </c>
      <c r="T293" s="173">
        <f>S293-SUMIFS(ПОбТЗ_2!$K:$K,ПОбТЗ_2!$D:$D,$D293,ПОбТЗ_2!$E:$E,$F293)</f>
        <v>0</v>
      </c>
      <c r="U293" s="155">
        <f>IF(U291=0,0,S$9-U292)</f>
        <v>130.0680682840466</v>
      </c>
      <c r="V293" s="239">
        <f>IF(V291=0,0,S$9-V292)</f>
        <v>1.8075551572110271</v>
      </c>
      <c r="W293" s="240"/>
      <c r="X293" s="155">
        <f>IF(X291=0,0,X$9-X292)</f>
        <v>136.33437358594529</v>
      </c>
      <c r="Y293" s="173">
        <f>X293-SUMIFS(ПОбТЗ_2!$L:$L,ПОбТЗ_2!$D:$D,$D293,ПОбТЗ_2!$E:$E,$F293)</f>
        <v>0</v>
      </c>
      <c r="Z293" s="155">
        <f>IF(Z291=0,0,X$9-Z292)</f>
        <v>165.97694305485493</v>
      </c>
      <c r="AA293" s="239">
        <f>IF(AA291=0,0,X$9-AA292)</f>
        <v>12.064489599470107</v>
      </c>
      <c r="AB293" s="230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</row>
    <row r="294" spans="1:42" s="93" customFormat="1" ht="15">
      <c r="A294" s="92"/>
      <c r="B294" s="92"/>
      <c r="C294" s="92"/>
      <c r="D294" s="198" t="s">
        <v>280</v>
      </c>
      <c r="E294" s="198"/>
      <c r="F294" s="198" t="str">
        <f t="shared" si="378"/>
        <v>Спортивный инвентарь</v>
      </c>
      <c r="G294" s="198" t="s">
        <v>219</v>
      </c>
      <c r="H294" s="323"/>
      <c r="I294" s="324">
        <f>IF(I291=0,0,(I296*I300+I302*I306)/I291)</f>
        <v>37.777215632669503</v>
      </c>
      <c r="J294" s="321"/>
      <c r="K294" s="324">
        <f>IF(K291=0,0,(K296*K300+K302*K306)/K291)</f>
        <v>44.300031265711461</v>
      </c>
      <c r="L294" s="325">
        <f>IF(L291=0,0,(L296*L300+L302*L306)/L291)</f>
        <v>10.431760886135153</v>
      </c>
      <c r="M294" s="276"/>
      <c r="N294" s="199">
        <f>IF(N291=0,0,(N296*N300+N302*N306)/N291)</f>
        <v>32.13724182606915</v>
      </c>
      <c r="O294" s="173"/>
      <c r="P294" s="199">
        <f>IF(P291=0,0,(P296*P300+P302*P306)/P291)</f>
        <v>35.118737391326732</v>
      </c>
      <c r="Q294" s="241">
        <f>IF(Q291=0,0,(Q296*Q300+Q302*Q306)/Q291)</f>
        <v>1.1020493921969317</v>
      </c>
      <c r="R294" s="242"/>
      <c r="S294" s="199">
        <f>IF(S291=0,0,(S296*S300+S302*S306)/S291)</f>
        <v>21.096880667358768</v>
      </c>
      <c r="T294" s="173"/>
      <c r="U294" s="199">
        <f>IF(U291=0,0,(U296*U300+U302*U306)/U291)</f>
        <v>42.013981792140335</v>
      </c>
      <c r="V294" s="241">
        <f>IF(V291=0,0,(V296*V300+V302*V306)/V291)</f>
        <v>1.8075551572183037</v>
      </c>
      <c r="W294" s="242"/>
      <c r="X294" s="199">
        <f>IF(X291=0,0,(X296*X300+X302*X306)/X291)</f>
        <v>37.777215632669503</v>
      </c>
      <c r="Y294" s="173"/>
      <c r="Z294" s="199">
        <f>IF(Z291=0,0,(Z296*Z300+Z302*Z306)/Z291)</f>
        <v>44.300031265711461</v>
      </c>
      <c r="AA294" s="241">
        <f>IF(AA291=0,0,(AA296*AA300+AA302*AA306)/AA291)</f>
        <v>10.431760886135153</v>
      </c>
      <c r="AB294" s="264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</row>
    <row r="295" spans="1:42" s="50" customFormat="1" ht="11.25">
      <c r="A295" s="48"/>
      <c r="B295" s="48"/>
      <c r="C295" s="48"/>
      <c r="D295" s="154" t="s">
        <v>281</v>
      </c>
      <c r="E295" s="154"/>
      <c r="F295" s="154" t="str">
        <f t="shared" si="378"/>
        <v>Спортивный инвентарь</v>
      </c>
      <c r="G295" s="154" t="s">
        <v>219</v>
      </c>
      <c r="H295" s="319"/>
      <c r="I295" s="320">
        <f>I293-I294</f>
        <v>98.557157953275777</v>
      </c>
      <c r="J295" s="321"/>
      <c r="K295" s="320">
        <f>K293-K294</f>
        <v>121.67691178914347</v>
      </c>
      <c r="L295" s="322">
        <f>L293-L294</f>
        <v>1.632728713334954</v>
      </c>
      <c r="M295" s="275"/>
      <c r="N295" s="155">
        <f>N293-N294</f>
        <v>53.887738832552493</v>
      </c>
      <c r="O295" s="173"/>
      <c r="P295" s="155">
        <f>P293-P294</f>
        <v>59.064637757649024</v>
      </c>
      <c r="Q295" s="239">
        <f>Q293-Q294</f>
        <v>0</v>
      </c>
      <c r="R295" s="240"/>
      <c r="S295" s="155">
        <f>S293-S294</f>
        <v>42.244588216290445</v>
      </c>
      <c r="T295" s="173"/>
      <c r="U295" s="155">
        <f>U293-U294</f>
        <v>88.054086491906276</v>
      </c>
      <c r="V295" s="239">
        <f>V293-V294</f>
        <v>-7.276623747998201E-12</v>
      </c>
      <c r="W295" s="240"/>
      <c r="X295" s="155">
        <f>X293-X294</f>
        <v>98.557157953275777</v>
      </c>
      <c r="Y295" s="173"/>
      <c r="Z295" s="155">
        <f>Z293-Z294</f>
        <v>121.67691178914347</v>
      </c>
      <c r="AA295" s="239">
        <f>AA293-AA294</f>
        <v>1.632728713334954</v>
      </c>
      <c r="AB295" s="230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</row>
    <row r="296" spans="1:42" s="5" customFormat="1">
      <c r="A296" s="1"/>
      <c r="B296" s="1"/>
      <c r="C296" s="1"/>
      <c r="D296" s="168"/>
      <c r="E296" s="168" t="s">
        <v>282</v>
      </c>
      <c r="F296" s="168" t="str">
        <f t="shared" si="378"/>
        <v>Спортивный инвентарь</v>
      </c>
      <c r="G296" s="168" t="s">
        <v>261</v>
      </c>
      <c r="H296" s="326"/>
      <c r="I296" s="327">
        <f>SUMIFS(операции!$V:$V,операции!$T:$T,"&lt;="&amp;I$9,операции!$X:$X,"",операции!$AB:$AB,"&lt;&gt;"&amp;"",операции!$AB:$AB,"&lt;="&amp;I$9,операции!$P:$P,$F235)+SUMIFS(операции!$V:$V,операции!$T:$T,"&lt;="&amp;I$9,операции!$X:$X,"&gt;"&amp;I$9,операции!$AB:$AB,"&lt;&gt;"&amp;"",операции!$AB:$AB,"&lt;="&amp;I$9,операции!$P:$P,$F235)</f>
        <v>63669.25</v>
      </c>
      <c r="J296" s="313">
        <f>I296-K296-L296</f>
        <v>0</v>
      </c>
      <c r="K296" s="327">
        <f>SUMIFS(операции!$V:$V,операции!$T:$T,"&lt;="&amp;I$9,операции!$X:$X,"",операции!$AB:$AB,"&lt;&gt;"&amp;"",операции!$AB:$AB,"&lt;="&amp;I$9,операции!$L:$L,K$9,операции!$P:$P,$F235)+SUMIFS(операции!$V:$V,операции!$T:$T,"&lt;="&amp;I$9,операции!$X:$X,"&gt;"&amp;I$9,операции!$AB:$AB,"&lt;&gt;"&amp;"",операции!$AB:$AB,"&lt;="&amp;I$9,операции!$L:$L,K$9,операции!$P:$P,$F235)</f>
        <v>58870.77</v>
      </c>
      <c r="L296" s="328">
        <f>SUMIFS(операции!$V:$V,операции!$T:$T,"&lt;="&amp;I$9,операции!$X:$X,"",операции!$AB:$AB,"&lt;&gt;"&amp;"",операции!$AB:$AB,"&lt;="&amp;I$9,операции!$L:$L,L$9,операции!$P:$P,$F235)+SUMIFS(операции!$V:$V,операции!$T:$T,"&lt;="&amp;I$9,операции!$X:$X,"&gt;"&amp;I$9,операции!$AB:$AB,"&lt;&gt;"&amp;"",операции!$AB:$AB,"&lt;="&amp;I$9,операции!$L:$L,L$9,операции!$P:$P,$F235)</f>
        <v>4798.4799999999996</v>
      </c>
      <c r="M296" s="277"/>
      <c r="N296" s="169">
        <f>SUMIFS(операции!$V:$V,операции!$T:$T,"&lt;="&amp;N$9,операции!$X:$X,"",операции!$AB:$AB,"&lt;&gt;"&amp;"",операции!$AB:$AB,"&lt;="&amp;N$9,операции!$P:$P,$F235)+SUMIFS(операции!$V:$V,операции!$T:$T,"&lt;="&amp;N$9,операции!$X:$X,"&gt;"&amp;N$9,операции!$AB:$AB,"&lt;&gt;"&amp;"",операции!$AB:$AB,"&lt;="&amp;N$9,операции!$P:$P,$F235)</f>
        <v>109722.39</v>
      </c>
      <c r="O296" s="170">
        <f>N296-P296-Q296</f>
        <v>0</v>
      </c>
      <c r="P296" s="169">
        <f>SUMIFS(операции!$V:$V,операции!$T:$T,"&lt;="&amp;N$9,операции!$X:$X,"",операции!$AB:$AB,"&lt;&gt;"&amp;"",операции!$AB:$AB,"&lt;="&amp;N$9,операции!$L:$L,P$9,операции!$P:$P,$F235)+SUMIFS(операции!$V:$V,операции!$T:$T,"&lt;="&amp;N$9,операции!$X:$X,"&gt;"&amp;N$9,операции!$AB:$AB,"&lt;&gt;"&amp;"",операции!$AB:$AB,"&lt;="&amp;N$9,операции!$L:$L,P$9,операции!$P:$P,$F235)</f>
        <v>109722.39</v>
      </c>
      <c r="Q296" s="243">
        <f>SUMIFS(операции!$V:$V,операции!$T:$T,"&lt;="&amp;N$9,операции!$X:$X,"",операции!$AB:$AB,"&lt;&gt;"&amp;"",операции!$AB:$AB,"&lt;="&amp;N$9,операции!$L:$L,Q$9,операции!$P:$P,$F235)+SUMIFS(операции!$V:$V,операции!$T:$T,"&lt;="&amp;N$9,операции!$X:$X,"&gt;"&amp;N$9,операции!$AB:$AB,"&lt;&gt;"&amp;"",операции!$AB:$AB,"&lt;="&amp;N$9,операции!$L:$L,Q$9,операции!$P:$P,$F235)</f>
        <v>0</v>
      </c>
      <c r="R296" s="244"/>
      <c r="S296" s="169">
        <f>SUMIFS(операции!$V:$V,операции!$T:$T,"&lt;="&amp;S$9,операции!$X:$X,"",операции!$AB:$AB,"&lt;&gt;"&amp;"",операции!$AB:$AB,"&lt;="&amp;S$9,операции!$P:$P,$F235)+SUMIFS(операции!$V:$V,операции!$T:$T,"&lt;="&amp;S$9,операции!$X:$X,"&gt;"&amp;S$9,операции!$AB:$AB,"&lt;&gt;"&amp;"",операции!$AB:$AB,"&lt;="&amp;S$9,операции!$P:$P,$F235)</f>
        <v>66185.47</v>
      </c>
      <c r="T296" s="170">
        <f>S296-U296-V296</f>
        <v>0</v>
      </c>
      <c r="U296" s="169">
        <f>SUMIFS(операции!$V:$V,операции!$T:$T,"&lt;="&amp;S$9,операции!$X:$X,"",операции!$AB:$AB,"&lt;&gt;"&amp;"",операции!$AB:$AB,"&lt;="&amp;S$9,операции!$L:$L,U$9,операции!$P:$P,$F235)+SUMIFS(операции!$V:$V,операции!$T:$T,"&lt;="&amp;S$9,операции!$X:$X,"&gt;"&amp;S$9,операции!$AB:$AB,"&lt;&gt;"&amp;"",операции!$AB:$AB,"&lt;="&amp;S$9,операции!$L:$L,U$9,операции!$P:$P,$F235)</f>
        <v>66185.47</v>
      </c>
      <c r="V296" s="243">
        <f>SUMIFS(операции!$V:$V,операции!$T:$T,"&lt;="&amp;S$9,операции!$X:$X,"",операции!$AB:$AB,"&lt;&gt;"&amp;"",операции!$AB:$AB,"&lt;="&amp;S$9,операции!$L:$L,V$9,операции!$P:$P,$F235)+SUMIFS(операции!$V:$V,операции!$T:$T,"&lt;="&amp;S$9,операции!$X:$X,"&gt;"&amp;S$9,операции!$AB:$AB,"&lt;&gt;"&amp;"",операции!$AB:$AB,"&lt;="&amp;S$9,операции!$L:$L,V$9,операции!$P:$P,$F235)</f>
        <v>0</v>
      </c>
      <c r="W296" s="244"/>
      <c r="X296" s="169">
        <f>SUMIFS(операции!$V:$V,операции!$T:$T,"&lt;="&amp;X$9,операции!$X:$X,"",операции!$AB:$AB,"&lt;&gt;"&amp;"",операции!$AB:$AB,"&lt;="&amp;X$9,операции!$P:$P,$F235)+SUMIFS(операции!$V:$V,операции!$T:$T,"&lt;="&amp;X$9,операции!$X:$X,"&gt;"&amp;X$9,операции!$AB:$AB,"&lt;&gt;"&amp;"",операции!$AB:$AB,"&lt;="&amp;X$9,операции!$P:$P,$F235)</f>
        <v>63669.25</v>
      </c>
      <c r="Y296" s="170">
        <f>X296-Z296-AA296</f>
        <v>0</v>
      </c>
      <c r="Z296" s="169">
        <f>SUMIFS(операции!$V:$V,операции!$T:$T,"&lt;="&amp;X$9,операции!$X:$X,"",операции!$AB:$AB,"&lt;&gt;"&amp;"",операции!$AB:$AB,"&lt;="&amp;X$9,операции!$L:$L,Z$9,операции!$P:$P,$F235)+SUMIFS(операции!$V:$V,операции!$T:$T,"&lt;="&amp;X$9,операции!$X:$X,"&gt;"&amp;X$9,операции!$AB:$AB,"&lt;&gt;"&amp;"",операции!$AB:$AB,"&lt;="&amp;X$9,операции!$L:$L,Z$9,операции!$P:$P,$F235)</f>
        <v>58870.77</v>
      </c>
      <c r="AA296" s="243">
        <f>SUMIFS(операции!$V:$V,операции!$T:$T,"&lt;="&amp;X$9,операции!$X:$X,"",операции!$AB:$AB,"&lt;&gt;"&amp;"",операции!$AB:$AB,"&lt;="&amp;X$9,операции!$L:$L,AA$9,операции!$P:$P,$F235)+SUMIFS(операции!$V:$V,операции!$T:$T,"&lt;="&amp;X$9,операции!$X:$X,"&gt;"&amp;X$9,операции!$AB:$AB,"&lt;&gt;"&amp;"",операции!$AB:$AB,"&lt;="&amp;X$9,операции!$L:$L,AA$9,операции!$P:$P,$F235)</f>
        <v>4798.4799999999996</v>
      </c>
      <c r="AB296" s="266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s="192" customFormat="1" ht="11.25">
      <c r="A297" s="37"/>
      <c r="B297" s="37"/>
      <c r="C297" s="37"/>
      <c r="D297" s="191"/>
      <c r="E297" s="191" t="s">
        <v>255</v>
      </c>
      <c r="F297" s="191" t="str">
        <f t="shared" si="378"/>
        <v>Спортивный инвентарь</v>
      </c>
      <c r="G297" s="191" t="s">
        <v>262</v>
      </c>
      <c r="H297" s="315"/>
      <c r="I297" s="316">
        <f>IF(I296=0,0,(SUMIFS(операции!$AF:$AF,операции!$T:$T,"&lt;="&amp;I$9,операции!$X:$X,"",операции!$AB:$AB,"&lt;&gt;"&amp;"",операции!$AB:$AB,"&lt;="&amp;I$9,операции!$P:$P,$F235)+SUMIFS(операции!$AF:$AF,операции!$T:$T,"&lt;="&amp;I$9,операции!$X:$X,"&gt;"&amp;I$9,операции!$AB:$AB,"&lt;&gt;"&amp;"",операции!$AB:$AB,"&lt;="&amp;I$9,операции!$P:$P,$F235))/I296)</f>
        <v>42213.557100798273</v>
      </c>
      <c r="J297" s="317"/>
      <c r="K297" s="316">
        <f>IF(K296=0,0,(SUMIFS(операции!$AF:$AF,операции!$T:$T,"&lt;="&amp;I$9,операции!$X:$X,"",операции!$AB:$AB,"&lt;&gt;"&amp;"",операции!$AB:$AB,"&lt;="&amp;I$9,операции!$L:$L,K$9,операции!$P:$P,$F235)+SUMIFS(операции!$AF:$AF,операции!$T:$T,"&lt;="&amp;I$9,операции!$X:$X,"&gt;"&amp;I$9,операции!$AB:$AB,"&lt;&gt;"&amp;"",операции!$AB:$AB,"&lt;="&amp;I$9,операции!$L:$L,K$9,операции!$P:$P,$F235))/K296)</f>
        <v>42202.118039223889</v>
      </c>
      <c r="L297" s="318">
        <f>IF(L296=0,0,(SUMIFS(операции!$AF:$AF,операции!$T:$T,"&lt;="&amp;I$9,операции!$X:$X,"",операции!$AB:$AB,"&lt;&gt;"&amp;"",операции!$AB:$AB,"&lt;="&amp;I$9,операции!$L:$L,L$9,операции!$P:$P,$F235)+SUMIFS(операции!$AF:$AF,операции!$T:$T,"&lt;="&amp;I$9,операции!$X:$X,"&gt;"&amp;I$9,операции!$AB:$AB,"&lt;&gt;"&amp;"",операции!$AB:$AB,"&lt;="&amp;I$9,операции!$L:$L,L$9,операции!$P:$P,$F235))/L296)</f>
        <v>42353.898701255399</v>
      </c>
      <c r="M297" s="274"/>
      <c r="N297" s="193">
        <f>IF(N296=0,0,(SUMIFS(операции!$AF:$AF,операции!$T:$T,"&lt;="&amp;N$9,операции!$X:$X,"",операции!$AB:$AB,"&lt;&gt;"&amp;"",операции!$AB:$AB,"&lt;="&amp;N$9,операции!$P:$P,$F235)+SUMIFS(операции!$AF:$AF,операции!$T:$T,"&lt;="&amp;N$9,операции!$X:$X,"&gt;"&amp;N$9,операции!$AB:$AB,"&lt;&gt;"&amp;"",операции!$AB:$AB,"&lt;="&amp;N$9,операции!$P:$P,$F235))/N296)</f>
        <v>42206.677258761862</v>
      </c>
      <c r="O297" s="196"/>
      <c r="P297" s="193">
        <f>IF(P296=0,0,(SUMIFS(операции!$AF:$AF,операции!$T:$T,"&lt;="&amp;N$9,операции!$X:$X,"",операции!$AB:$AB,"&lt;&gt;"&amp;"",операции!$AB:$AB,"&lt;="&amp;N$9,операции!$L:$L,P$9,операции!$P:$P,$F235)+SUMIFS(операции!$AF:$AF,операции!$T:$T,"&lt;="&amp;N$9,операции!$X:$X,"&gt;"&amp;N$9,операции!$AB:$AB,"&lt;&gt;"&amp;"",операции!$AB:$AB,"&lt;="&amp;N$9,операции!$L:$L,P$9,операции!$P:$P,$F235))/P296)</f>
        <v>42206.677258761862</v>
      </c>
      <c r="Q297" s="237">
        <f>IF(Q296=0,0,(SUMIFS(операции!$AF:$AF,операции!$T:$T,"&lt;="&amp;N$9,операции!$X:$X,"",операции!$AB:$AB,"&lt;&gt;"&amp;"",операции!$AB:$AB,"&lt;="&amp;N$9,операции!$L:$L,Q$9,операции!$P:$P,$F235)+SUMIFS(операции!$AF:$AF,операции!$T:$T,"&lt;="&amp;N$9,операции!$X:$X,"&gt;"&amp;N$9,операции!$AB:$AB,"&lt;&gt;"&amp;"",операции!$AB:$AB,"&lt;="&amp;N$9,операции!$L:$L,Q$9,операции!$P:$P,$F235))/Q296)</f>
        <v>0</v>
      </c>
      <c r="R297" s="238"/>
      <c r="S297" s="193">
        <f>IF(S296=0,0,(SUMIFS(операции!$AF:$AF,операции!$T:$T,"&lt;="&amp;S$9,операции!$X:$X,"",операции!$AB:$AB,"&lt;&gt;"&amp;"",операции!$AB:$AB,"&lt;="&amp;S$9,операции!$P:$P,$F235)+SUMIFS(операции!$AF:$AF,операции!$T:$T,"&lt;="&amp;S$9,операции!$X:$X,"&gt;"&amp;S$9,операции!$AB:$AB,"&lt;&gt;"&amp;"",операции!$AB:$AB,"&lt;="&amp;S$9,операции!$P:$P,$F235))/S296)</f>
        <v>42207.658943269576</v>
      </c>
      <c r="T297" s="196"/>
      <c r="U297" s="193">
        <f>IF(U296=0,0,(SUMIFS(операции!$AF:$AF,операции!$T:$T,"&lt;="&amp;S$9,операции!$X:$X,"",операции!$AB:$AB,"&lt;&gt;"&amp;"",операции!$AB:$AB,"&lt;="&amp;S$9,операции!$L:$L,U$9,операции!$P:$P,$F235)+SUMIFS(операции!$AF:$AF,операции!$T:$T,"&lt;="&amp;S$9,операции!$X:$X,"&gt;"&amp;S$9,операции!$AB:$AB,"&lt;&gt;"&amp;"",операции!$AB:$AB,"&lt;="&amp;S$9,операции!$L:$L,U$9,операции!$P:$P,$F235))/U296)</f>
        <v>42207.658943269576</v>
      </c>
      <c r="V297" s="237">
        <f>IF(V296=0,0,(SUMIFS(операции!$AF:$AF,операции!$T:$T,"&lt;="&amp;S$9,операции!$X:$X,"",операции!$AB:$AB,"&lt;&gt;"&amp;"",операции!$AB:$AB,"&lt;="&amp;S$9,операции!$L:$L,V$9,операции!$P:$P,$F235)+SUMIFS(операции!$AF:$AF,операции!$T:$T,"&lt;="&amp;S$9,операции!$X:$X,"&gt;"&amp;S$9,операции!$AB:$AB,"&lt;&gt;"&amp;"",операции!$AB:$AB,"&lt;="&amp;S$9,операции!$L:$L,V$9,операции!$P:$P,$F235))/V296)</f>
        <v>0</v>
      </c>
      <c r="W297" s="238"/>
      <c r="X297" s="193">
        <f>IF(X296=0,0,(SUMIFS(операции!$AF:$AF,операции!$T:$T,"&lt;="&amp;X$9,операции!$X:$X,"",операции!$AB:$AB,"&lt;&gt;"&amp;"",операции!$AB:$AB,"&lt;="&amp;X$9,операции!$P:$P,$F235)+SUMIFS(операции!$AF:$AF,операции!$T:$T,"&lt;="&amp;X$9,операции!$X:$X,"&gt;"&amp;X$9,операции!$AB:$AB,"&lt;&gt;"&amp;"",операции!$AB:$AB,"&lt;="&amp;X$9,операции!$P:$P,$F235))/X296)</f>
        <v>42213.557100798273</v>
      </c>
      <c r="Y297" s="196"/>
      <c r="Z297" s="193">
        <f>IF(Z296=0,0,(SUMIFS(операции!$AF:$AF,операции!$T:$T,"&lt;="&amp;X$9,операции!$X:$X,"",операции!$AB:$AB,"&lt;&gt;"&amp;"",операции!$AB:$AB,"&lt;="&amp;X$9,операции!$L:$L,Z$9,операции!$P:$P,$F235)+SUMIFS(операции!$AF:$AF,операции!$T:$T,"&lt;="&amp;X$9,операции!$X:$X,"&gt;"&amp;X$9,операции!$AB:$AB,"&lt;&gt;"&amp;"",операции!$AB:$AB,"&lt;="&amp;X$9,операции!$L:$L,Z$9,операции!$P:$P,$F235))/Z296)</f>
        <v>42202.118039223889</v>
      </c>
      <c r="AA297" s="237">
        <f>IF(AA296=0,0,(SUMIFS(операции!$AF:$AF,операции!$T:$T,"&lt;="&amp;X$9,операции!$X:$X,"",операции!$AB:$AB,"&lt;&gt;"&amp;"",операции!$AB:$AB,"&lt;="&amp;X$9,операции!$L:$L,AA$9,операции!$P:$P,$F235)+SUMIFS(операции!$AF:$AF,операции!$T:$T,"&lt;="&amp;X$9,операции!$X:$X,"&gt;"&amp;X$9,операции!$AB:$AB,"&lt;&gt;"&amp;"",операции!$AB:$AB,"&lt;="&amp;X$9,операции!$L:$L,AA$9,операции!$P:$P,$F235))/AA296)</f>
        <v>42353.898701255399</v>
      </c>
      <c r="AB297" s="265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</row>
    <row r="298" spans="1:42" s="192" customFormat="1" ht="11.25">
      <c r="A298" s="37"/>
      <c r="B298" s="37"/>
      <c r="C298" s="37"/>
      <c r="D298" s="191"/>
      <c r="E298" s="191" t="s">
        <v>283</v>
      </c>
      <c r="F298" s="191" t="str">
        <f t="shared" si="378"/>
        <v>Спортивный инвентарь</v>
      </c>
      <c r="G298" s="191" t="s">
        <v>219</v>
      </c>
      <c r="H298" s="315"/>
      <c r="I298" s="329">
        <f>IF(I296=0,0,I$9-I297)</f>
        <v>155.44289920172741</v>
      </c>
      <c r="J298" s="317"/>
      <c r="K298" s="329">
        <f>IF(K296=0,0,I$9-K297)</f>
        <v>166.88196077611065</v>
      </c>
      <c r="L298" s="330">
        <f>IF(L296=0,0,I$9-L297)</f>
        <v>15.101298744601081</v>
      </c>
      <c r="M298" s="274"/>
      <c r="N298" s="156">
        <f>IF(N296=0,0,N$9-N297)</f>
        <v>101.32274123813841</v>
      </c>
      <c r="O298" s="196"/>
      <c r="P298" s="156">
        <f>IF(P296=0,0,N$9-P297)</f>
        <v>101.32274123813841</v>
      </c>
      <c r="Q298" s="245">
        <f>IF(Q296=0,0,N$9-Q297)</f>
        <v>0</v>
      </c>
      <c r="R298" s="238"/>
      <c r="S298" s="156">
        <f>IF(S296=0,0,S$9-S297)</f>
        <v>130.34105673042359</v>
      </c>
      <c r="T298" s="196"/>
      <c r="U298" s="156">
        <f>IF(U296=0,0,S$9-U297)</f>
        <v>130.34105673042359</v>
      </c>
      <c r="V298" s="245">
        <f>IF(V296=0,0,S$9-V297)</f>
        <v>0</v>
      </c>
      <c r="W298" s="238"/>
      <c r="X298" s="156">
        <f>IF(X296=0,0,X$9-X297)</f>
        <v>155.44289920172741</v>
      </c>
      <c r="Y298" s="196"/>
      <c r="Z298" s="156">
        <f>IF(Z296=0,0,X$9-Z297)</f>
        <v>166.88196077611065</v>
      </c>
      <c r="AA298" s="245">
        <f>IF(AA296=0,0,X$9-AA297)</f>
        <v>15.101298744601081</v>
      </c>
      <c r="AB298" s="265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</row>
    <row r="299" spans="1:42" s="192" customFormat="1" ht="11.25">
      <c r="A299" s="37"/>
      <c r="B299" s="37"/>
      <c r="C299" s="37"/>
      <c r="D299" s="191"/>
      <c r="E299" s="191" t="s">
        <v>259</v>
      </c>
      <c r="F299" s="191" t="str">
        <f t="shared" si="378"/>
        <v>Спортивный инвентарь</v>
      </c>
      <c r="G299" s="191" t="s">
        <v>262</v>
      </c>
      <c r="H299" s="315"/>
      <c r="I299" s="316">
        <f>IF(I296=0,0,(SUMIFS(операции!$AH:$AH,операции!$T:$T,"&lt;="&amp;I$9,операции!$X:$X,"",операции!$AB:$AB,"&lt;&gt;"&amp;"",операции!$AB:$AB,"&lt;="&amp;I$9,операции!$P:$P,$F235)+SUMIFS(операции!$AH:$AH,операции!$T:$T,"&lt;="&amp;I$9,операции!$X:$X,"&gt;"&amp;I$9,операции!$AB:$AB,"&lt;&gt;"&amp;"",операции!$AB:$AB,"&lt;="&amp;I$9,операции!$P:$P,$F235))/I296)</f>
        <v>42243.417894038321</v>
      </c>
      <c r="J299" s="317"/>
      <c r="K299" s="316">
        <f>IF(K296=0,0,(SUMIFS(операции!$AH:$AH,операции!$T:$T,"&lt;="&amp;I$9,операции!$X:$X,"",операции!$AB:$AB,"&lt;&gt;"&amp;"",операции!$AB:$AB,"&lt;="&amp;I$9,операции!$L:$L,K$9,операции!$P:$P,$F235)+SUMIFS(операции!$AH:$AH,операции!$T:$T,"&lt;="&amp;I$9,операции!$X:$X,"&gt;"&amp;I$9,операции!$AB:$AB,"&lt;&gt;"&amp;"",операции!$AB:$AB,"&lt;="&amp;I$9,операции!$L:$L,K$9,операции!$P:$P,$F235))/K296)</f>
        <v>42233.615196641724</v>
      </c>
      <c r="L299" s="318">
        <f>IF(L296=0,0,(SUMIFS(операции!$AH:$AH,операции!$T:$T,"&lt;="&amp;I$9,операции!$X:$X,"",операции!$AB:$AB,"&lt;&gt;"&amp;"",операции!$AB:$AB,"&lt;="&amp;I$9,операции!$L:$L,L$9,операции!$P:$P,$F235)+SUMIFS(операции!$AH:$AH,операции!$T:$T,"&lt;="&amp;I$9,операции!$X:$X,"&gt;"&amp;I$9,операции!$AB:$AB,"&lt;&gt;"&amp;"",операции!$AB:$AB,"&lt;="&amp;I$9,операции!$L:$L,L$9,операции!$P:$P,$F235))/L296)</f>
        <v>42363.683549790774</v>
      </c>
      <c r="M299" s="274"/>
      <c r="N299" s="193">
        <f>IF(N296=0,0,(SUMIFS(операции!$AH:$AH,операции!$T:$T,"&lt;="&amp;N$9,операции!$X:$X,"",операции!$AB:$AB,"&lt;&gt;"&amp;"",операции!$AB:$AB,"&lt;="&amp;N$9,операции!$P:$P,$F235)+SUMIFS(операции!$AH:$AH,операции!$T:$T,"&lt;="&amp;N$9,операции!$X:$X,"&gt;"&amp;N$9,операции!$AB:$AB,"&lt;&gt;"&amp;"",операции!$AB:$AB,"&lt;="&amp;N$9,операции!$P:$P,$F235))/N296)</f>
        <v>42233.859910178777</v>
      </c>
      <c r="O299" s="196"/>
      <c r="P299" s="193">
        <f>IF(P296=0,0,(SUMIFS(операции!$AH:$AH,операции!$T:$T,"&lt;="&amp;N$9,операции!$X:$X,"",операции!$AB:$AB,"&lt;&gt;"&amp;"",операции!$AB:$AB,"&lt;="&amp;N$9,операции!$L:$L,P$9,операции!$P:$P,$F235)+SUMIFS(операции!$AH:$AH,операции!$T:$T,"&lt;="&amp;N$9,операции!$X:$X,"&gt;"&amp;N$9,операции!$AB:$AB,"&lt;&gt;"&amp;"",операции!$AB:$AB,"&lt;="&amp;N$9,операции!$L:$L,P$9,операции!$P:$P,$F235))/P296)</f>
        <v>42233.859910178777</v>
      </c>
      <c r="Q299" s="237">
        <f>IF(Q296=0,0,(SUMIFS(операции!$AH:$AH,операции!$T:$T,"&lt;="&amp;N$9,операции!$X:$X,"",операции!$AB:$AB,"&lt;&gt;"&amp;"",операции!$AB:$AB,"&lt;="&amp;N$9,операции!$L:$L,Q$9,операции!$P:$P,$F235)+SUMIFS(операции!$AH:$AH,операции!$T:$T,"&lt;="&amp;N$9,операции!$X:$X,"&gt;"&amp;N$9,операции!$AB:$AB,"&lt;&gt;"&amp;"",операции!$AB:$AB,"&lt;="&amp;N$9,операции!$L:$L,Q$9,операции!$P:$P,$F235))/Q296)</f>
        <v>0</v>
      </c>
      <c r="R299" s="238"/>
      <c r="S299" s="193">
        <f>IF(S296=0,0,(SUMIFS(операции!$AH:$AH,операции!$T:$T,"&lt;="&amp;S$9,операции!$X:$X,"",операции!$AB:$AB,"&lt;&gt;"&amp;"",операции!$AB:$AB,"&lt;="&amp;S$9,операции!$P:$P,$F235)+SUMIFS(операции!$AH:$AH,операции!$T:$T,"&lt;="&amp;S$9,операции!$X:$X,"&gt;"&amp;S$9,операции!$AB:$AB,"&lt;&gt;"&amp;"",операции!$AB:$AB,"&lt;="&amp;S$9,операции!$P:$P,$F235))/S296)</f>
        <v>42237.005201141576</v>
      </c>
      <c r="T299" s="196"/>
      <c r="U299" s="193">
        <f>IF(U296=0,0,(SUMIFS(операции!$AH:$AH,операции!$T:$T,"&lt;="&amp;S$9,операции!$X:$X,"",операции!$AB:$AB,"&lt;&gt;"&amp;"",операции!$AB:$AB,"&lt;="&amp;S$9,операции!$L:$L,U$9,операции!$P:$P,$F235)+SUMIFS(операции!$AH:$AH,операции!$T:$T,"&lt;="&amp;S$9,операции!$X:$X,"&gt;"&amp;S$9,операции!$AB:$AB,"&lt;&gt;"&amp;"",операции!$AB:$AB,"&lt;="&amp;S$9,операции!$L:$L,U$9,операции!$P:$P,$F235))/U296)</f>
        <v>42237.005201141576</v>
      </c>
      <c r="V299" s="237">
        <f>IF(V296=0,0,(SUMIFS(операции!$AH:$AH,операции!$T:$T,"&lt;="&amp;S$9,операции!$X:$X,"",операции!$AB:$AB,"&lt;&gt;"&amp;"",операции!$AB:$AB,"&lt;="&amp;S$9,операции!$L:$L,V$9,операции!$P:$P,$F235)+SUMIFS(операции!$AH:$AH,операции!$T:$T,"&lt;="&amp;S$9,операции!$X:$X,"&gt;"&amp;S$9,операции!$AB:$AB,"&lt;&gt;"&amp;"",операции!$AB:$AB,"&lt;="&amp;S$9,операции!$L:$L,V$9,операции!$P:$P,$F235))/V296)</f>
        <v>0</v>
      </c>
      <c r="W299" s="238"/>
      <c r="X299" s="193">
        <f>IF(X296=0,0,(SUMIFS(операции!$AH:$AH,операции!$T:$T,"&lt;="&amp;X$9,операции!$X:$X,"",операции!$AB:$AB,"&lt;&gt;"&amp;"",операции!$AB:$AB,"&lt;="&amp;X$9,операции!$P:$P,$F235)+SUMIFS(операции!$AH:$AH,операции!$T:$T,"&lt;="&amp;X$9,операции!$X:$X,"&gt;"&amp;X$9,операции!$AB:$AB,"&lt;&gt;"&amp;"",операции!$AB:$AB,"&lt;="&amp;X$9,операции!$P:$P,$F235))/X296)</f>
        <v>42243.417894038321</v>
      </c>
      <c r="Y299" s="196"/>
      <c r="Z299" s="193">
        <f>IF(Z296=0,0,(SUMIFS(операции!$AH:$AH,операции!$T:$T,"&lt;="&amp;X$9,операции!$X:$X,"",операции!$AB:$AB,"&lt;&gt;"&amp;"",операции!$AB:$AB,"&lt;="&amp;X$9,операции!$L:$L,Z$9,операции!$P:$P,$F235)+SUMIFS(операции!$AH:$AH,операции!$T:$T,"&lt;="&amp;X$9,операции!$X:$X,"&gt;"&amp;X$9,операции!$AB:$AB,"&lt;&gt;"&amp;"",операции!$AB:$AB,"&lt;="&amp;X$9,операции!$L:$L,Z$9,операции!$P:$P,$F235))/Z296)</f>
        <v>42233.615196641724</v>
      </c>
      <c r="AA299" s="237">
        <f>IF(AA296=0,0,(SUMIFS(операции!$AH:$AH,операции!$T:$T,"&lt;="&amp;X$9,операции!$X:$X,"",операции!$AB:$AB,"&lt;&gt;"&amp;"",операции!$AB:$AB,"&lt;="&amp;X$9,операции!$L:$L,AA$9,операции!$P:$P,$F235)+SUMIFS(операции!$AH:$AH,операции!$T:$T,"&lt;="&amp;X$9,операции!$X:$X,"&gt;"&amp;X$9,операции!$AB:$AB,"&lt;&gt;"&amp;"",операции!$AB:$AB,"&lt;="&amp;X$9,операции!$L:$L,AA$9,операции!$P:$P,$F235))/AA296)</f>
        <v>42363.683549790774</v>
      </c>
      <c r="AB299" s="265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</row>
    <row r="300" spans="1:42" s="192" customFormat="1" ht="11.25">
      <c r="A300" s="37"/>
      <c r="B300" s="37"/>
      <c r="C300" s="37"/>
      <c r="D300" s="191"/>
      <c r="E300" s="191" t="s">
        <v>284</v>
      </c>
      <c r="F300" s="191" t="str">
        <f t="shared" si="378"/>
        <v>Спортивный инвентарь</v>
      </c>
      <c r="G300" s="191" t="s">
        <v>219</v>
      </c>
      <c r="H300" s="315"/>
      <c r="I300" s="329">
        <f>I299-I297</f>
        <v>29.860793240048224</v>
      </c>
      <c r="J300" s="317"/>
      <c r="K300" s="329">
        <f>K299-K297</f>
        <v>31.497157417834387</v>
      </c>
      <c r="L300" s="330">
        <f>L299-L297</f>
        <v>9.7848485353752039</v>
      </c>
      <c r="M300" s="274"/>
      <c r="N300" s="156">
        <f>N299-N297</f>
        <v>27.182651416915178</v>
      </c>
      <c r="O300" s="196"/>
      <c r="P300" s="156">
        <f>P299-P297</f>
        <v>27.182651416915178</v>
      </c>
      <c r="Q300" s="245">
        <f>Q299-Q297</f>
        <v>0</v>
      </c>
      <c r="R300" s="238"/>
      <c r="S300" s="156">
        <f>S299-S297</f>
        <v>29.346257871999114</v>
      </c>
      <c r="T300" s="196"/>
      <c r="U300" s="156">
        <f>U299-U297</f>
        <v>29.346257871999114</v>
      </c>
      <c r="V300" s="245">
        <f>V299-V297</f>
        <v>0</v>
      </c>
      <c r="W300" s="238"/>
      <c r="X300" s="156">
        <f>X299-X297</f>
        <v>29.860793240048224</v>
      </c>
      <c r="Y300" s="196"/>
      <c r="Z300" s="156">
        <f>Z299-Z297</f>
        <v>31.497157417834387</v>
      </c>
      <c r="AA300" s="245">
        <f>AA299-AA297</f>
        <v>9.7848485353752039</v>
      </c>
      <c r="AB300" s="265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</row>
    <row r="301" spans="1:42" s="192" customFormat="1" ht="11.25">
      <c r="A301" s="37"/>
      <c r="B301" s="37"/>
      <c r="C301" s="37"/>
      <c r="D301" s="191"/>
      <c r="E301" s="191" t="s">
        <v>285</v>
      </c>
      <c r="F301" s="191" t="str">
        <f t="shared" si="378"/>
        <v>Спортивный инвентарь</v>
      </c>
      <c r="G301" s="191" t="s">
        <v>219</v>
      </c>
      <c r="H301" s="315"/>
      <c r="I301" s="329">
        <f>I298-I300</f>
        <v>125.58210596167919</v>
      </c>
      <c r="J301" s="317"/>
      <c r="K301" s="329">
        <f>K298-K300</f>
        <v>135.38480335827626</v>
      </c>
      <c r="L301" s="330">
        <f>L298-L300</f>
        <v>5.3164502092258772</v>
      </c>
      <c r="M301" s="274"/>
      <c r="N301" s="156">
        <f>N298-N300</f>
        <v>74.140089821223228</v>
      </c>
      <c r="O301" s="196"/>
      <c r="P301" s="156">
        <f>P298-P300</f>
        <v>74.140089821223228</v>
      </c>
      <c r="Q301" s="245">
        <f>Q298-Q300</f>
        <v>0</v>
      </c>
      <c r="R301" s="238"/>
      <c r="S301" s="156">
        <f>S298-S300</f>
        <v>100.99479885842447</v>
      </c>
      <c r="T301" s="196"/>
      <c r="U301" s="156">
        <f>U298-U300</f>
        <v>100.99479885842447</v>
      </c>
      <c r="V301" s="245">
        <f>V298-V300</f>
        <v>0</v>
      </c>
      <c r="W301" s="238"/>
      <c r="X301" s="156">
        <f>X298-X300</f>
        <v>125.58210596167919</v>
      </c>
      <c r="Y301" s="196"/>
      <c r="Z301" s="156">
        <f>Z298-Z300</f>
        <v>135.38480335827626</v>
      </c>
      <c r="AA301" s="245">
        <f>AA298-AA300</f>
        <v>5.3164502092258772</v>
      </c>
      <c r="AB301" s="265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</row>
    <row r="302" spans="1:42" s="5" customFormat="1">
      <c r="A302" s="1"/>
      <c r="B302" s="1"/>
      <c r="C302" s="1"/>
      <c r="D302" s="168"/>
      <c r="E302" s="168" t="s">
        <v>286</v>
      </c>
      <c r="F302" s="168" t="str">
        <f t="shared" si="378"/>
        <v>Спортивный инвентарь</v>
      </c>
      <c r="G302" s="168" t="s">
        <v>261</v>
      </c>
      <c r="H302" s="326"/>
      <c r="I302" s="327">
        <f>SUMIFS(операции!$V:$V,операции!$T:$T,"&lt;="&amp;I$9,операции!$X:$X,"",операции!$AB:$AB,"",операции!$P:$P,$F235)+SUMIFS(операции!$V:$V,операции!$T:$T,"&lt;="&amp;I$9,операции!$X:$X,"&gt;"&amp;I$9,операции!$AB:$AB,"",операции!$P:$P,$F235)+SUMIFS(операции!$V:$V,операции!$T:$T,"&lt;="&amp;I$9,операции!$X:$X,"",операции!$AB:$AB,"&gt;"&amp;I$9,операции!$P:$P,$F235)+SUMIFS(операции!$V:$V,операции!$T:$T,"&lt;="&amp;I$9,операции!$X:$X,"&gt;"&amp;I$9,операции!$AB:$AB,"&gt;"&amp;I$9,операции!$P:$P,$F235)</f>
        <v>17458.480000000003</v>
      </c>
      <c r="J302" s="313">
        <f>I302-K302-L302</f>
        <v>0</v>
      </c>
      <c r="K302" s="327">
        <f>SUMIFS(операции!$V:$V,операции!$T:$T,"&lt;="&amp;I$9,операции!$X:$X,"",операции!$AB:$AB,"",операции!$L:$L,K$9,операции!$P:$P,$F235)+SUMIFS(операции!$V:$V,операции!$T:$T,"&lt;="&amp;I$9,операции!$X:$X,"&gt;"&amp;I$9,операции!$AB:$AB,"",операции!$L:$L,K$9,операции!$P:$P,$F235)+SUMIFS(операции!$V:$V,операции!$T:$T,"&lt;="&amp;I$9,операции!$X:$X,"",операции!$AB:$AB,"&gt;"&amp;I$9,операции!$L:$L,K$9,операции!$P:$P,$F235)+SUMIFS(операции!$V:$V,операции!$T:$T,"&lt;="&amp;I$9,операции!$X:$X,"&gt;"&amp;I$9,операции!$AB:$AB,"&gt;"&amp;I$9,операции!$L:$L,K$9,операции!$P:$P,$F235)</f>
        <v>6632.27</v>
      </c>
      <c r="L302" s="328">
        <f>SUMIFS(операции!$V:$V,операции!$T:$T,"&lt;="&amp;I$9,операции!$X:$X,"",операции!$AB:$AB,"",операции!$L:$L,L$9,операции!$P:$P,$F235)+SUMIFS(операции!$V:$V,операции!$T:$T,"&lt;="&amp;I$9,операции!$X:$X,"&gt;"&amp;I$9,операции!$AB:$AB,"",операции!$L:$L,L$9,операции!$P:$P,$F235)+SUMIFS(операции!$V:$V,операции!$T:$T,"&lt;="&amp;I$9,операции!$X:$X,"",операции!$AB:$AB,"&gt;"&amp;I$9,операции!$L:$L,L$9,операции!$P:$P,$F235)+SUMIFS(операции!$V:$V,операции!$T:$T,"&lt;="&amp;I$9,операции!$X:$X,"&gt;"&amp;I$9,операции!$AB:$AB,"&gt;"&amp;I$9,операции!$L:$L,L$9,операции!$P:$P,$F235)</f>
        <v>10826.21</v>
      </c>
      <c r="M302" s="277"/>
      <c r="N302" s="169">
        <f>SUMIFS(операции!$V:$V,операции!$T:$T,"&lt;="&amp;N$9,операции!$X:$X,"",операции!$AB:$AB,"",операции!$P:$P,$F235)+SUMIFS(операции!$V:$V,операции!$T:$T,"&lt;="&amp;N$9,операции!$X:$X,"&gt;"&amp;N$9,операции!$AB:$AB,"",операции!$P:$P,$F235)+SUMIFS(операции!$V:$V,операции!$T:$T,"&lt;="&amp;N$9,операции!$X:$X,"",операции!$AB:$AB,"&gt;"&amp;N$9,операции!$P:$P,$F235)+SUMIFS(операции!$V:$V,операции!$T:$T,"&lt;="&amp;N$9,операции!$X:$X,"&gt;"&amp;N$9,операции!$AB:$AB,"&gt;"&amp;N$9,операции!$P:$P,$F235)</f>
        <v>41236.400000000001</v>
      </c>
      <c r="O302" s="170">
        <f>N302-P302-Q302</f>
        <v>0</v>
      </c>
      <c r="P302" s="169">
        <f>SUMIFS(операции!$V:$V,операции!$T:$T,"&lt;="&amp;N$9,операции!$X:$X,"",операции!$AB:$AB,"",операции!$L:$L,P$9,операции!$P:$P,$F235)+SUMIFS(операции!$V:$V,операции!$T:$T,"&lt;="&amp;N$9,операции!$X:$X,"&gt;"&amp;N$9,операции!$AB:$AB,"",операции!$L:$L,P$9,операции!$P:$P,$F235)+SUMIFS(операции!$V:$V,операции!$T:$T,"&lt;="&amp;N$9,операции!$X:$X,"",операции!$AB:$AB,"&gt;"&amp;N$9,операции!$L:$L,P$9,операции!$P:$P,$F235)+SUMIFS(операции!$V:$V,операции!$T:$T,"&lt;="&amp;N$9,операции!$X:$X,"&gt;"&amp;N$9,операции!$AB:$AB,"&gt;"&amp;N$9,операции!$L:$L,P$9,операции!$P:$P,$F235)</f>
        <v>28005.160000000003</v>
      </c>
      <c r="Q302" s="243">
        <f>SUMIFS(операции!$V:$V,операции!$T:$T,"&lt;="&amp;N$9,операции!$X:$X,"",операции!$AB:$AB,"",операции!$L:$L,Q$9,операции!$P:$P,$F235)+SUMIFS(операции!$V:$V,операции!$T:$T,"&lt;="&amp;N$9,операции!$X:$X,"&gt;"&amp;N$9,операции!$AB:$AB,"",операции!$L:$L,Q$9,операции!$P:$P,$F235)+SUMIFS(операции!$V:$V,операции!$T:$T,"&lt;="&amp;N$9,операции!$X:$X,"",операции!$AB:$AB,"&gt;"&amp;N$9,операции!$L:$L,Q$9,операции!$P:$P,$F235)+SUMIFS(операции!$V:$V,операции!$T:$T,"&lt;="&amp;N$9,операции!$X:$X,"&gt;"&amp;N$9,операции!$AB:$AB,"&gt;"&amp;N$9,операции!$L:$L,Q$9,операции!$P:$P,$F235)</f>
        <v>13231.239999999998</v>
      </c>
      <c r="R302" s="244"/>
      <c r="S302" s="169">
        <f>SUMIFS(операции!$V:$V,операции!$T:$T,"&lt;="&amp;S$9,операции!$X:$X,"",операции!$AB:$AB,"",операции!$P:$P,$F235)+SUMIFS(операции!$V:$V,операции!$T:$T,"&lt;="&amp;S$9,операции!$X:$X,"&gt;"&amp;S$9,операции!$AB:$AB,"",операции!$P:$P,$F235)+SUMIFS(операции!$V:$V,операции!$T:$T,"&lt;="&amp;S$9,операции!$X:$X,"",операции!$AB:$AB,"&gt;"&amp;S$9,операции!$P:$P,$F235)+SUMIFS(операции!$V:$V,операции!$T:$T,"&lt;="&amp;S$9,операции!$X:$X,"&gt;"&amp;S$9,операции!$AB:$AB,"&gt;"&amp;S$9,операции!$P:$P,$F235)</f>
        <v>92045.170000000013</v>
      </c>
      <c r="T302" s="170">
        <f>S302-U302-V302</f>
        <v>0</v>
      </c>
      <c r="U302" s="169">
        <f>SUMIFS(операции!$V:$V,операции!$T:$T,"&lt;="&amp;S$9,операции!$X:$X,"",операции!$AB:$AB,"",операции!$L:$L,U$9,операции!$P:$P,$F235)+SUMIFS(операции!$V:$V,операции!$T:$T,"&lt;="&amp;S$9,операции!$X:$X,"&gt;"&amp;S$9,операции!$AB:$AB,"",операции!$L:$L,U$9,операции!$P:$P,$F235)+SUMIFS(операции!$V:$V,операции!$T:$T,"&lt;="&amp;S$9,операции!$X:$X,"",операции!$AB:$AB,"&gt;"&amp;S$9,операции!$L:$L,U$9,операции!$P:$P,$F235)+SUMIFS(операции!$V:$V,операции!$T:$T,"&lt;="&amp;S$9,операции!$X:$X,"&gt;"&amp;S$9,операции!$AB:$AB,"&gt;"&amp;S$9,операции!$L:$L,U$9,операции!$P:$P,$F235)</f>
        <v>9726.83</v>
      </c>
      <c r="V302" s="243">
        <f>SUMIFS(операции!$V:$V,операции!$T:$T,"&lt;="&amp;S$9,операции!$X:$X,"",операции!$AB:$AB,"",операции!$L:$L,V$9,операции!$P:$P,$F235)+SUMIFS(операции!$V:$V,операции!$T:$T,"&lt;="&amp;S$9,операции!$X:$X,"&gt;"&amp;S$9,операции!$AB:$AB,"",операции!$L:$L,V$9,операции!$P:$P,$F235)+SUMIFS(операции!$V:$V,операции!$T:$T,"&lt;="&amp;S$9,операции!$X:$X,"",операции!$AB:$AB,"&gt;"&amp;S$9,операции!$L:$L,V$9,операции!$P:$P,$F235)+SUMIFS(операции!$V:$V,операции!$T:$T,"&lt;="&amp;S$9,операции!$X:$X,"&gt;"&amp;S$9,операции!$AB:$AB,"&gt;"&amp;S$9,операции!$L:$L,V$9,операции!$P:$P,$F235)</f>
        <v>82318.340000000026</v>
      </c>
      <c r="W302" s="244"/>
      <c r="X302" s="169">
        <f>SUMIFS(операции!$V:$V,операции!$T:$T,"&lt;="&amp;X$9,операции!$X:$X,"",операции!$AB:$AB,"",операции!$P:$P,$F235)+SUMIFS(операции!$V:$V,операции!$T:$T,"&lt;="&amp;X$9,операции!$X:$X,"&gt;"&amp;X$9,операции!$AB:$AB,"",операции!$P:$P,$F235)+SUMIFS(операции!$V:$V,операции!$T:$T,"&lt;="&amp;X$9,операции!$X:$X,"",операции!$AB:$AB,"&gt;"&amp;X$9,операции!$P:$P,$F235)+SUMIFS(операции!$V:$V,операции!$T:$T,"&lt;="&amp;X$9,операции!$X:$X,"&gt;"&amp;X$9,операции!$AB:$AB,"&gt;"&amp;X$9,операции!$P:$P,$F235)</f>
        <v>17458.480000000003</v>
      </c>
      <c r="Y302" s="170">
        <f>X302-Z302-AA302</f>
        <v>0</v>
      </c>
      <c r="Z302" s="169">
        <f>SUMIFS(операции!$V:$V,операции!$T:$T,"&lt;="&amp;X$9,операции!$X:$X,"",операции!$AB:$AB,"",операции!$L:$L,Z$9,операции!$P:$P,$F235)+SUMIFS(операции!$V:$V,операции!$T:$T,"&lt;="&amp;X$9,операции!$X:$X,"&gt;"&amp;X$9,операции!$AB:$AB,"",операции!$L:$L,Z$9,операции!$P:$P,$F235)+SUMIFS(операции!$V:$V,операции!$T:$T,"&lt;="&amp;X$9,операции!$X:$X,"",операции!$AB:$AB,"&gt;"&amp;X$9,операции!$L:$L,Z$9,операции!$P:$P,$F235)+SUMIFS(операции!$V:$V,операции!$T:$T,"&lt;="&amp;X$9,операции!$X:$X,"&gt;"&amp;X$9,операции!$AB:$AB,"&gt;"&amp;X$9,операции!$L:$L,Z$9,операции!$P:$P,$F235)</f>
        <v>6632.27</v>
      </c>
      <c r="AA302" s="243">
        <f>SUMIFS(операции!$V:$V,операции!$T:$T,"&lt;="&amp;X$9,операции!$X:$X,"",операции!$AB:$AB,"",операции!$L:$L,AA$9,операции!$P:$P,$F235)+SUMIFS(операции!$V:$V,операции!$T:$T,"&lt;="&amp;X$9,операции!$X:$X,"&gt;"&amp;X$9,операции!$AB:$AB,"",операции!$L:$L,AA$9,операции!$P:$P,$F235)+SUMIFS(операции!$V:$V,операции!$T:$T,"&lt;="&amp;X$9,операции!$X:$X,"",операции!$AB:$AB,"&gt;"&amp;X$9,операции!$L:$L,AA$9,операции!$P:$P,$F235)+SUMIFS(операции!$V:$V,операции!$T:$T,"&lt;="&amp;X$9,операции!$X:$X,"&gt;"&amp;X$9,операции!$AB:$AB,"&gt;"&amp;X$9,операции!$L:$L,AA$9,операции!$P:$P,$F235)</f>
        <v>10826.21</v>
      </c>
      <c r="AB302" s="266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s="192" customFormat="1" ht="11.25">
      <c r="A303" s="37"/>
      <c r="B303" s="37"/>
      <c r="C303" s="37"/>
      <c r="D303" s="191"/>
      <c r="E303" s="191" t="s">
        <v>255</v>
      </c>
      <c r="F303" s="191" t="str">
        <f t="shared" si="378"/>
        <v>Спортивный инвентарь</v>
      </c>
      <c r="G303" s="191" t="s">
        <v>262</v>
      </c>
      <c r="H303" s="315"/>
      <c r="I303" s="316">
        <f>IF(I302=0,0,(SUMIFS(операции!$AF:$AF,операции!$T:$T,"&lt;="&amp;I$9,операции!$X:$X,"",операции!$AB:$AB,"",операции!$P:$P,$F235)+SUMIFS(операции!$AF:$AF,операции!$T:$T,"&lt;="&amp;I$9,операции!$X:$X,"&gt;"&amp;I$9,операции!$AB:$AB,"",операции!$P:$P,$F235)+SUMIFS(операции!$AF:$AF,операции!$T:$T,"&lt;="&amp;I$9,операции!$X:$X,"",операции!$AB:$AB,"&gt;"&amp;I$9,операции!$P:$P,$F235)+SUMIFS(операции!$AF:$AF,операции!$T:$T,"&lt;="&amp;I$9,операции!$X:$X,"&gt;"&amp;I$9,операции!$AB:$AB,"&gt;"&amp;I$9,операции!$P:$P,$F235))/I302)</f>
        <v>42302.352420141957</v>
      </c>
      <c r="J303" s="317"/>
      <c r="K303" s="316">
        <f>IF(K302=0,0,(SUMIFS(операции!$AF:$AF,операции!$T:$T,"&lt;="&amp;I$9,операции!$X:$X,"",операции!$AB:$AB,"",операции!$L:$L,K$9,операции!$P:$P,$F235)+SUMIFS(операции!$AF:$AF,операции!$T:$T,"&lt;="&amp;I$9,операции!$X:$X,"&gt;"&amp;I$9,операции!$AB:$AB,"",операции!$L:$L,K$9,операции!$P:$P,$F235)+SUMIFS(операции!$AF:$AF,операции!$T:$T,"&lt;="&amp;I$9,операции!$X:$X,"",операции!$AB:$AB,"&gt;"&amp;I$9,операции!$L:$L,K$9,операции!$P:$P,$F235)+SUMIFS(операции!$AF:$AF,операции!$T:$T,"&lt;="&amp;I$9,операции!$X:$X,"&gt;"&amp;I$9,операции!$AB:$AB,"&gt;"&amp;I$9,операции!$L:$L,K$9,операции!$P:$P,$F235))/K302)</f>
        <v>42211.056368332407</v>
      </c>
      <c r="L303" s="318">
        <f>IF(L302=0,0,(SUMIFS(операции!$AF:$AF,операции!$T:$T,"&lt;="&amp;I$9,операции!$X:$X,"",операции!$AB:$AB,"",операции!$L:$L,L$9,операции!$P:$P,$F235)+SUMIFS(операции!$AF:$AF,операции!$T:$T,"&lt;="&amp;I$9,операции!$X:$X,"&gt;"&amp;I$9,операции!$AB:$AB,"",операции!$L:$L,L$9,операции!$P:$P,$F235)+SUMIFS(операции!$AF:$AF,операции!$T:$T,"&lt;="&amp;I$9,операции!$X:$X,"",операции!$AB:$AB,"&gt;"&amp;I$9,операции!$L:$L,L$9,операции!$P:$P,$F235)+SUMIFS(операции!$AF:$AF,операции!$T:$T,"&lt;="&amp;I$9,операции!$X:$X,"&gt;"&amp;I$9,операции!$AB:$AB,"&gt;"&amp;I$9,операции!$L:$L,L$9,операции!$P:$P,$F235))/L302)</f>
        <v>42358.281509410961</v>
      </c>
      <c r="M303" s="274"/>
      <c r="N303" s="193">
        <f>IF(N302=0,0,(SUMIFS(операции!$AF:$AF,операции!$T:$T,"&lt;="&amp;N$9,операции!$X:$X,"",операции!$AB:$AB,"",операции!$P:$P,$F235)+SUMIFS(операции!$AF:$AF,операции!$T:$T,"&lt;="&amp;N$9,операции!$X:$X,"&gt;"&amp;N$9,операции!$AB:$AB,"",операции!$P:$P,$F235)+SUMIFS(операции!$AF:$AF,операции!$T:$T,"&lt;="&amp;N$9,операции!$X:$X,"",операции!$AB:$AB,"&gt;"&amp;N$9,операции!$P:$P,$F235)+SUMIFS(операции!$AF:$AF,операции!$T:$T,"&lt;="&amp;N$9,операции!$X:$X,"&gt;"&amp;N$9,операции!$AB:$AB,"&gt;"&amp;N$9,операции!$P:$P,$F235))/N302)</f>
        <v>42262.679514700605</v>
      </c>
      <c r="O303" s="196"/>
      <c r="P303" s="193">
        <f>IF(P302=0,0,(SUMIFS(операции!$AF:$AF,операции!$T:$T,"&lt;="&amp;N$9,операции!$X:$X,"",операции!$AB:$AB,"",операции!$L:$L,P$9,операции!$P:$P,$F235)+SUMIFS(операции!$AF:$AF,операции!$T:$T,"&lt;="&amp;N$9,операции!$X:$X,"&gt;"&amp;N$9,операции!$AB:$AB,"",операции!$L:$L,P$9,операции!$P:$P,$F235)+SUMIFS(операции!$AF:$AF,операции!$T:$T,"&lt;="&amp;N$9,операции!$X:$X,"",операции!$AB:$AB,"&gt;"&amp;N$9,операции!$L:$L,P$9,операции!$P:$P,$F235)+SUMIFS(операции!$AF:$AF,операции!$T:$T,"&lt;="&amp;N$9,операции!$X:$X,"&gt;"&amp;N$9,операции!$AB:$AB,"&gt;"&amp;N$9,операции!$L:$L,P$9,операции!$P:$P,$F235))/P302)</f>
        <v>42241.788195461122</v>
      </c>
      <c r="Q303" s="237">
        <f>IF(Q302=0,0,(SUMIFS(операции!$AF:$AF,операции!$T:$T,"&lt;="&amp;N$9,операции!$X:$X,"",операции!$AB:$AB,"",операции!$L:$L,Q$9,операции!$P:$P,$F235)+SUMIFS(операции!$AF:$AF,операции!$T:$T,"&lt;="&amp;N$9,операции!$X:$X,"&gt;"&amp;N$9,операции!$AB:$AB,"",операции!$L:$L,Q$9,операции!$P:$P,$F235)+SUMIFS(операции!$AF:$AF,операции!$T:$T,"&lt;="&amp;N$9,операции!$X:$X,"",операции!$AB:$AB,"&gt;"&amp;N$9,операции!$L:$L,Q$9,операции!$P:$P,$F235)+SUMIFS(операции!$AF:$AF,операции!$T:$T,"&lt;="&amp;N$9,операции!$X:$X,"&gt;"&amp;N$9,операции!$AB:$AB,"&gt;"&amp;N$9,операции!$L:$L,Q$9,операции!$P:$P,$F235))/Q302)</f>
        <v>42306.897950607803</v>
      </c>
      <c r="R303" s="238"/>
      <c r="S303" s="193">
        <f>IF(S302=0,0,(SUMIFS(операции!$AF:$AF,операции!$T:$T,"&lt;="&amp;S$9,операции!$X:$X,"",операции!$AB:$AB,"",операции!$P:$P,$F235)+SUMIFS(операции!$AF:$AF,операции!$T:$T,"&lt;="&amp;S$9,операции!$X:$X,"&gt;"&amp;S$9,операции!$AB:$AB,"",операции!$P:$P,$F235)+SUMIFS(операции!$AF:$AF,операции!$T:$T,"&lt;="&amp;S$9,операции!$X:$X,"",операции!$AB:$AB,"&gt;"&amp;S$9,операции!$P:$P,$F235)+SUMIFS(операции!$AF:$AF,операции!$T:$T,"&lt;="&amp;S$9,операции!$X:$X,"&gt;"&amp;S$9,операции!$AB:$AB,"&gt;"&amp;S$9,операции!$P:$P,$F235))/S302)</f>
        <v>42322.834869010505</v>
      </c>
      <c r="T303" s="196"/>
      <c r="U303" s="193">
        <f>IF(U302=0,0,(SUMIFS(операции!$AF:$AF,операции!$T:$T,"&lt;="&amp;S$9,операции!$X:$X,"",операции!$AB:$AB,"",операции!$L:$L,U$9,операции!$P:$P,$F235)+SUMIFS(операции!$AF:$AF,операции!$T:$T,"&lt;="&amp;S$9,операции!$X:$X,"&gt;"&amp;S$9,операции!$AB:$AB,"",операции!$L:$L,U$9,операции!$P:$P,$F235)+SUMIFS(операции!$AF:$AF,операции!$T:$T,"&lt;="&amp;S$9,операции!$X:$X,"",операции!$AB:$AB,"&gt;"&amp;S$9,операции!$L:$L,U$9,операции!$P:$P,$F235)+SUMIFS(операции!$AF:$AF,операции!$T:$T,"&lt;="&amp;S$9,операции!$X:$X,"&gt;"&amp;S$9,операции!$AB:$AB,"&gt;"&amp;S$9,операции!$L:$L,U$9,операции!$P:$P,$F235))/U302)</f>
        <v>42209.789460697881</v>
      </c>
      <c r="V303" s="237">
        <f>IF(V302=0,0,(SUMIFS(операции!$AF:$AF,операции!$T:$T,"&lt;="&amp;S$9,операции!$X:$X,"",операции!$AB:$AB,"",операции!$L:$L,V$9,операции!$P:$P,$F235)+SUMIFS(операции!$AF:$AF,операции!$T:$T,"&lt;="&amp;S$9,операции!$X:$X,"&gt;"&amp;S$9,операции!$AB:$AB,"",операции!$L:$L,V$9,операции!$P:$P,$F235)+SUMIFS(операции!$AF:$AF,операции!$T:$T,"&lt;="&amp;S$9,операции!$X:$X,"",операции!$AB:$AB,"&gt;"&amp;S$9,операции!$L:$L,V$9,операции!$P:$P,$F235)+SUMIFS(операции!$AF:$AF,операции!$T:$T,"&lt;="&amp;S$9,операции!$X:$X,"&gt;"&amp;S$9,операции!$AB:$AB,"&gt;"&amp;S$9,операции!$L:$L,V$9,операции!$P:$P,$F235))/V302)</f>
        <v>42336.192444842782</v>
      </c>
      <c r="W303" s="238"/>
      <c r="X303" s="193">
        <f>IF(X302=0,0,(SUMIFS(операции!$AF:$AF,операции!$T:$T,"&lt;="&amp;X$9,операции!$X:$X,"",операции!$AB:$AB,"",операции!$P:$P,$F235)+SUMIFS(операции!$AF:$AF,операции!$T:$T,"&lt;="&amp;X$9,операции!$X:$X,"&gt;"&amp;X$9,операции!$AB:$AB,"",операции!$P:$P,$F235)+SUMIFS(операции!$AF:$AF,операции!$T:$T,"&lt;="&amp;X$9,операции!$X:$X,"",операции!$AB:$AB,"&gt;"&amp;X$9,операции!$P:$P,$F235)+SUMIFS(операции!$AF:$AF,операции!$T:$T,"&lt;="&amp;X$9,операции!$X:$X,"&gt;"&amp;X$9,операции!$AB:$AB,"&gt;"&amp;X$9,операции!$P:$P,$F235))/X302)</f>
        <v>42302.352420141957</v>
      </c>
      <c r="Y303" s="196"/>
      <c r="Z303" s="193">
        <f>IF(Z302=0,0,(SUMIFS(операции!$AF:$AF,операции!$T:$T,"&lt;="&amp;X$9,операции!$X:$X,"",операции!$AB:$AB,"",операции!$L:$L,Z$9,операции!$P:$P,$F235)+SUMIFS(операции!$AF:$AF,операции!$T:$T,"&lt;="&amp;X$9,операции!$X:$X,"&gt;"&amp;X$9,операции!$AB:$AB,"",операции!$L:$L,Z$9,операции!$P:$P,$F235)+SUMIFS(операции!$AF:$AF,операции!$T:$T,"&lt;="&amp;X$9,операции!$X:$X,"",операции!$AB:$AB,"&gt;"&amp;X$9,операции!$L:$L,Z$9,операции!$P:$P,$F235)+SUMIFS(операции!$AF:$AF,операции!$T:$T,"&lt;="&amp;X$9,операции!$X:$X,"&gt;"&amp;X$9,операции!$AB:$AB,"&gt;"&amp;X$9,операции!$L:$L,Z$9,операции!$P:$P,$F235))/Z302)</f>
        <v>42211.056368332407</v>
      </c>
      <c r="AA303" s="237">
        <f>IF(AA302=0,0,(SUMIFS(операции!$AF:$AF,операции!$T:$T,"&lt;="&amp;X$9,операции!$X:$X,"",операции!$AB:$AB,"",операции!$L:$L,AA$9,операции!$P:$P,$F235)+SUMIFS(операции!$AF:$AF,операции!$T:$T,"&lt;="&amp;X$9,операции!$X:$X,"&gt;"&amp;X$9,операции!$AB:$AB,"",операции!$L:$L,AA$9,операции!$P:$P,$F235)+SUMIFS(операции!$AF:$AF,операции!$T:$T,"&lt;="&amp;X$9,операции!$X:$X,"",операции!$AB:$AB,"&gt;"&amp;X$9,операции!$L:$L,AA$9,операции!$P:$P,$F235)+SUMIFS(операции!$AF:$AF,операции!$T:$T,"&lt;="&amp;X$9,операции!$X:$X,"&gt;"&amp;X$9,операции!$AB:$AB,"&gt;"&amp;X$9,операции!$L:$L,AA$9,операции!$P:$P,$F235))/AA302)</f>
        <v>42358.281509410961</v>
      </c>
      <c r="AB303" s="265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</row>
    <row r="304" spans="1:42" s="192" customFormat="1" ht="11.25">
      <c r="A304" s="37"/>
      <c r="B304" s="37"/>
      <c r="C304" s="37"/>
      <c r="D304" s="191"/>
      <c r="E304" s="191" t="s">
        <v>287</v>
      </c>
      <c r="F304" s="191" t="str">
        <f t="shared" ref="F304:F307" si="511">F303</f>
        <v>Спортивный инвентарь</v>
      </c>
      <c r="G304" s="191" t="s">
        <v>219</v>
      </c>
      <c r="H304" s="315"/>
      <c r="I304" s="329">
        <f>IF(I302=0,0,I$9-I303)</f>
        <v>66.647579858043173</v>
      </c>
      <c r="J304" s="317"/>
      <c r="K304" s="329">
        <f>IF(K302=0,0,I$9-K303)</f>
        <v>157.94363166759285</v>
      </c>
      <c r="L304" s="330">
        <f>IF(L302=0,0,I$9-L303)</f>
        <v>10.718490589038993</v>
      </c>
      <c r="M304" s="274"/>
      <c r="N304" s="156">
        <f>IF(N302=0,0,N$9-N303)</f>
        <v>45.320485299394932</v>
      </c>
      <c r="O304" s="196"/>
      <c r="P304" s="156">
        <f>IF(P302=0,0,N$9-P303)</f>
        <v>66.211804538877914</v>
      </c>
      <c r="Q304" s="245">
        <f>IF(Q302=0,0,N$9-Q303)</f>
        <v>1.1020493921969319</v>
      </c>
      <c r="R304" s="238"/>
      <c r="S304" s="156">
        <f>IF(S302=0,0,S$9-S303)</f>
        <v>15.165130989495083</v>
      </c>
      <c r="T304" s="196"/>
      <c r="U304" s="156">
        <f>IF(U302=0,0,S$9-U303)</f>
        <v>128.21053930211929</v>
      </c>
      <c r="V304" s="245">
        <f>IF(V302=0,0,S$9-V303)</f>
        <v>1.8075551572183031</v>
      </c>
      <c r="W304" s="238"/>
      <c r="X304" s="156">
        <f>IF(X302=0,0,X$9-X303)</f>
        <v>66.647579858043173</v>
      </c>
      <c r="Y304" s="196"/>
      <c r="Z304" s="156">
        <f>IF(Z302=0,0,X$9-Z303)</f>
        <v>157.94363166759285</v>
      </c>
      <c r="AA304" s="245">
        <f>IF(AA302=0,0,X$9-AA303)</f>
        <v>10.718490589038993</v>
      </c>
      <c r="AB304" s="265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</row>
    <row r="305" spans="1:42" s="192" customFormat="1" ht="11.25">
      <c r="A305" s="37"/>
      <c r="B305" s="37"/>
      <c r="C305" s="37"/>
      <c r="D305" s="191"/>
      <c r="E305" s="191" t="s">
        <v>311</v>
      </c>
      <c r="F305" s="191" t="str">
        <f t="shared" si="511"/>
        <v>Спортивный инвентарь</v>
      </c>
      <c r="G305" s="191" t="s">
        <v>262</v>
      </c>
      <c r="H305" s="315"/>
      <c r="I305" s="316">
        <f>I$9</f>
        <v>42369</v>
      </c>
      <c r="J305" s="317"/>
      <c r="K305" s="316">
        <f>I$9</f>
        <v>42369</v>
      </c>
      <c r="L305" s="318">
        <f>I$9</f>
        <v>42369</v>
      </c>
      <c r="M305" s="274"/>
      <c r="N305" s="193">
        <f>N$9</f>
        <v>42308</v>
      </c>
      <c r="O305" s="196"/>
      <c r="P305" s="193">
        <f>N$9</f>
        <v>42308</v>
      </c>
      <c r="Q305" s="237">
        <f>N$9</f>
        <v>42308</v>
      </c>
      <c r="R305" s="238"/>
      <c r="S305" s="193">
        <f>S$9</f>
        <v>42338</v>
      </c>
      <c r="T305" s="196"/>
      <c r="U305" s="193">
        <f>S$9</f>
        <v>42338</v>
      </c>
      <c r="V305" s="237">
        <f>S$9</f>
        <v>42338</v>
      </c>
      <c r="W305" s="238"/>
      <c r="X305" s="193">
        <f>X$9</f>
        <v>42369</v>
      </c>
      <c r="Y305" s="196"/>
      <c r="Z305" s="193">
        <f>X$9</f>
        <v>42369</v>
      </c>
      <c r="AA305" s="237">
        <f>X$9</f>
        <v>42369</v>
      </c>
      <c r="AB305" s="265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</row>
    <row r="306" spans="1:42" s="192" customFormat="1" ht="11.25">
      <c r="A306" s="37"/>
      <c r="B306" s="37"/>
      <c r="C306" s="37"/>
      <c r="D306" s="191"/>
      <c r="E306" s="191" t="s">
        <v>288</v>
      </c>
      <c r="F306" s="191" t="str">
        <f t="shared" si="511"/>
        <v>Спортивный инвентарь</v>
      </c>
      <c r="G306" s="191" t="s">
        <v>219</v>
      </c>
      <c r="H306" s="315"/>
      <c r="I306" s="329">
        <f>IF(I302=0,0,I305-I303)</f>
        <v>66.647579858043173</v>
      </c>
      <c r="J306" s="317"/>
      <c r="K306" s="329">
        <f>IF(K302=0,0,K305-K303)</f>
        <v>157.94363166759285</v>
      </c>
      <c r="L306" s="330">
        <f>IF(L302=0,0,L305-L303)</f>
        <v>10.718490589038993</v>
      </c>
      <c r="M306" s="274"/>
      <c r="N306" s="156">
        <f>IF(N302=0,0,N305-N303)</f>
        <v>45.320485299394932</v>
      </c>
      <c r="O306" s="196"/>
      <c r="P306" s="156">
        <f>IF(P302=0,0,P305-P303)</f>
        <v>66.211804538877914</v>
      </c>
      <c r="Q306" s="245">
        <f>IF(Q302=0,0,Q305-Q303)</f>
        <v>1.1020493921969319</v>
      </c>
      <c r="R306" s="238"/>
      <c r="S306" s="156">
        <f>IF(S302=0,0,S305-S303)</f>
        <v>15.165130989495083</v>
      </c>
      <c r="T306" s="196"/>
      <c r="U306" s="156">
        <f>IF(U302=0,0,U305-U303)</f>
        <v>128.21053930211929</v>
      </c>
      <c r="V306" s="245">
        <f>IF(V302=0,0,V305-V303)</f>
        <v>1.8075551572183031</v>
      </c>
      <c r="W306" s="238"/>
      <c r="X306" s="156">
        <f>IF(X302=0,0,X305-X303)</f>
        <v>66.647579858043173</v>
      </c>
      <c r="Y306" s="196"/>
      <c r="Z306" s="156">
        <f>IF(Z302=0,0,Z305-Z303)</f>
        <v>157.94363166759285</v>
      </c>
      <c r="AA306" s="245">
        <f>IF(AA302=0,0,AA305-AA303)</f>
        <v>10.718490589038993</v>
      </c>
      <c r="AB306" s="265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</row>
    <row r="307" spans="1:42" s="192" customFormat="1" ht="12" thickBot="1">
      <c r="A307" s="37"/>
      <c r="B307" s="37"/>
      <c r="C307" s="37"/>
      <c r="D307" s="297"/>
      <c r="E307" s="297" t="s">
        <v>289</v>
      </c>
      <c r="F307" s="297" t="str">
        <f t="shared" si="511"/>
        <v>Спортивный инвентарь</v>
      </c>
      <c r="G307" s="297" t="s">
        <v>219</v>
      </c>
      <c r="H307" s="377"/>
      <c r="I307" s="378">
        <f>I304-I306</f>
        <v>0</v>
      </c>
      <c r="J307" s="379"/>
      <c r="K307" s="378">
        <f>K304-K306</f>
        <v>0</v>
      </c>
      <c r="L307" s="380">
        <f>L304-L306</f>
        <v>0</v>
      </c>
      <c r="M307" s="300"/>
      <c r="N307" s="298">
        <f>N304-N306</f>
        <v>0</v>
      </c>
      <c r="O307" s="299"/>
      <c r="P307" s="298">
        <f>P304-P306</f>
        <v>0</v>
      </c>
      <c r="Q307" s="301">
        <f>Q304-Q306</f>
        <v>0</v>
      </c>
      <c r="R307" s="302"/>
      <c r="S307" s="298">
        <f>S304-S306</f>
        <v>0</v>
      </c>
      <c r="T307" s="299"/>
      <c r="U307" s="298">
        <f>U304-U306</f>
        <v>0</v>
      </c>
      <c r="V307" s="301">
        <f>V304-V306</f>
        <v>0</v>
      </c>
      <c r="W307" s="302"/>
      <c r="X307" s="298">
        <f>X304-X306</f>
        <v>0</v>
      </c>
      <c r="Y307" s="299"/>
      <c r="Z307" s="298">
        <f>Z304-Z306</f>
        <v>0</v>
      </c>
      <c r="AA307" s="301">
        <f>AA304-AA306</f>
        <v>0</v>
      </c>
      <c r="AB307" s="265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</row>
    <row r="308" spans="1:42" s="111" customFormat="1" ht="11.25">
      <c r="A308" s="108"/>
      <c r="B308" s="108"/>
      <c r="C308" s="108" t="s">
        <v>271</v>
      </c>
      <c r="D308" s="291"/>
      <c r="E308" s="291"/>
      <c r="F308" s="291" t="str">
        <f>F309</f>
        <v>Товары для детей</v>
      </c>
      <c r="G308" s="291"/>
      <c r="H308" s="373"/>
      <c r="I308" s="374">
        <f>I309-K309-L309</f>
        <v>0</v>
      </c>
      <c r="J308" s="375">
        <f>N308+N326+N364+SUM(O:O)+S308+S326+S364+SUM(T:T)+X308+X326+X364+SUM(Y:Y)</f>
        <v>3.7104683769939584E-9</v>
      </c>
      <c r="K308" s="373"/>
      <c r="L308" s="376"/>
      <c r="M308" s="293"/>
      <c r="N308" s="292">
        <f>N309-P309-Q309</f>
        <v>0</v>
      </c>
      <c r="O308" s="294"/>
      <c r="P308" s="291"/>
      <c r="Q308" s="295"/>
      <c r="R308" s="296"/>
      <c r="S308" s="292">
        <f>S309-U309-V309</f>
        <v>0</v>
      </c>
      <c r="T308" s="294"/>
      <c r="U308" s="291"/>
      <c r="V308" s="295"/>
      <c r="W308" s="296"/>
      <c r="X308" s="292">
        <f>X309-Z309-AA309</f>
        <v>0</v>
      </c>
      <c r="Y308" s="294"/>
      <c r="Z308" s="291"/>
      <c r="AA308" s="295"/>
      <c r="AB308" s="263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</row>
    <row r="309" spans="1:42" s="93" customFormat="1" ht="15">
      <c r="A309" s="92"/>
      <c r="B309" s="92"/>
      <c r="C309" s="92"/>
      <c r="D309" s="151" t="s">
        <v>256</v>
      </c>
      <c r="E309" s="151"/>
      <c r="F309" s="286" t="str">
        <f>микс!$H$49</f>
        <v>Товары для детей</v>
      </c>
      <c r="G309" s="151" t="s">
        <v>261</v>
      </c>
      <c r="H309" s="311"/>
      <c r="I309" s="312">
        <f>SUMIFS(операции!$V:$V,операции!$T:$T,"&lt;"&amp;I$8,операции!$X:$X,"",операции!$P:$P,$F309)+SUMIFS(операции!$V:$V,операции!$T:$T,"&lt;"&amp;I$8,операции!$X:$X,"&gt;="&amp;I$8,операции!$P:$P,$F309)</f>
        <v>1026855.4100000001</v>
      </c>
      <c r="J309" s="313">
        <f>I309-I314-I320</f>
        <v>0</v>
      </c>
      <c r="K309" s="312">
        <f>SUMIFS(операции!$V:$V,операции!$T:$T,"&lt;"&amp;I$8,операции!$X:$X,"",операции!$L:$L,K$9,операции!$P:$P,$F309)+SUMIFS(операции!$V:$V,операции!$T:$T,"&lt;"&amp;I$8,операции!$X:$X,"&gt;="&amp;I$8,операции!$L:$L,K$9,операции!$P:$P,$F309)</f>
        <v>1026855.4100000001</v>
      </c>
      <c r="L309" s="314">
        <f>SUMIFS(операции!$V:$V,операции!$T:$T,"&lt;"&amp;I$8,операции!$X:$X,"",операции!$L:$L,L$9,операции!$P:$P,$F309)+SUMIFS(операции!$V:$V,операции!$T:$T,"&lt;"&amp;I$8,операции!$X:$X,"&gt;="&amp;I$8,операции!$L:$L,L$9,операции!$P:$P,$F309)</f>
        <v>0</v>
      </c>
      <c r="M309" s="273"/>
      <c r="N309" s="152">
        <f>SUMIFS(операции!$V:$V,операции!$T:$T,"&lt;"&amp;N$8,операции!$X:$X,"",операции!$P:$P,$F309)+SUMIFS(операции!$V:$V,операции!$T:$T,"&lt;"&amp;N$8,операции!$X:$X,"&gt;="&amp;N$8,операции!$P:$P,$F309)</f>
        <v>1026855.4100000001</v>
      </c>
      <c r="O309" s="170">
        <f>N309-N314-N320</f>
        <v>0</v>
      </c>
      <c r="P309" s="152">
        <f>SUMIFS(операции!$V:$V,операции!$T:$T,"&lt;"&amp;N$8,операции!$X:$X,"",операции!$L:$L,P$9,операции!$P:$P,$F309)+SUMIFS(операции!$V:$V,операции!$T:$T,"&lt;"&amp;N$8,операции!$X:$X,"&gt;="&amp;N$8,операции!$L:$L,P$9,операции!$P:$P,$F309)</f>
        <v>1026855.4100000001</v>
      </c>
      <c r="Q309" s="235">
        <f>SUMIFS(операции!$V:$V,операции!$T:$T,"&lt;"&amp;N$8,операции!$X:$X,"",операции!$L:$L,Q$9,операции!$P:$P,$F309)+SUMIFS(операции!$V:$V,операции!$T:$T,"&lt;"&amp;N$8,операции!$X:$X,"&gt;="&amp;N$8,операции!$L:$L,Q$9,операции!$P:$P,$F309)</f>
        <v>0</v>
      </c>
      <c r="R309" s="236"/>
      <c r="S309" s="152">
        <f>SUMIFS(операции!$V:$V,операции!$T:$T,"&lt;"&amp;S$8,операции!$X:$X,"",операции!$P:$P,$F309)+SUMIFS(операции!$V:$V,операции!$T:$T,"&lt;"&amp;S$8,операции!$X:$X,"&gt;="&amp;S$8,операции!$P:$P,$F309)</f>
        <v>897189.27999999956</v>
      </c>
      <c r="T309" s="170">
        <f>S309-S314-S320</f>
        <v>-5.8207660913467407E-10</v>
      </c>
      <c r="U309" s="152">
        <f>SUMIFS(операции!$V:$V,операции!$T:$T,"&lt;"&amp;S$8,операции!$X:$X,"",операции!$L:$L,U$9,операции!$P:$P,$F309)+SUMIFS(операции!$V:$V,операции!$T:$T,"&lt;"&amp;S$8,операции!$X:$X,"&gt;="&amp;S$8,операции!$L:$L,U$9,операции!$P:$P,$F309)</f>
        <v>818940.18999999959</v>
      </c>
      <c r="V309" s="235">
        <f>SUMIFS(операции!$V:$V,операции!$T:$T,"&lt;"&amp;S$8,операции!$X:$X,"",операции!$L:$L,V$9,операции!$P:$P,$F309)+SUMIFS(операции!$V:$V,операции!$T:$T,"&lt;"&amp;S$8,операции!$X:$X,"&gt;="&amp;S$8,операции!$L:$L,V$9,операции!$P:$P,$F309)</f>
        <v>78249.090000000011</v>
      </c>
      <c r="W309" s="236"/>
      <c r="X309" s="152">
        <f>SUMIFS(операции!$V:$V,операции!$T:$T,"&lt;"&amp;X$8,операции!$X:$X,"",операции!$P:$P,$F309)+SUMIFS(операции!$V:$V,операции!$T:$T,"&lt;"&amp;X$8,операции!$X:$X,"&gt;="&amp;X$8,операции!$P:$P,$F309)</f>
        <v>1278881.5199999993</v>
      </c>
      <c r="Y309" s="170">
        <f>X309-X314-X320</f>
        <v>0</v>
      </c>
      <c r="Z309" s="152">
        <f>SUMIFS(операции!$V:$V,операции!$T:$T,"&lt;"&amp;X$8,операции!$X:$X,"",операции!$L:$L,Z$9,операции!$P:$P,$F309)+SUMIFS(операции!$V:$V,операции!$T:$T,"&lt;"&amp;X$8,операции!$X:$X,"&gt;="&amp;X$8,операции!$L:$L,Z$9,операции!$P:$P,$F309)</f>
        <v>527710.69999999995</v>
      </c>
      <c r="AA309" s="235">
        <f>SUMIFS(операции!$V:$V,операции!$T:$T,"&lt;"&amp;X$8,операции!$X:$X,"",операции!$L:$L,AA$9,операции!$P:$P,$F309)+SUMIFS(операции!$V:$V,операции!$T:$T,"&lt;"&amp;X$8,операции!$X:$X,"&gt;="&amp;X$8,операции!$L:$L,AA$9,операции!$P:$P,$F309)</f>
        <v>751170.81999999972</v>
      </c>
      <c r="AB309" s="264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</row>
    <row r="310" spans="1:42" s="192" customFormat="1" ht="11.25">
      <c r="A310" s="37"/>
      <c r="B310" s="37"/>
      <c r="C310" s="37"/>
      <c r="D310" s="191" t="s">
        <v>255</v>
      </c>
      <c r="E310" s="191"/>
      <c r="F310" s="191" t="str">
        <f>F309</f>
        <v>Товары для детей</v>
      </c>
      <c r="G310" s="191" t="s">
        <v>262</v>
      </c>
      <c r="H310" s="315"/>
      <c r="I310" s="316">
        <f>IF(I309=0,0,(SUMIFS(операции!$AF:$AF,операции!$T:$T,"&lt;"&amp;I$8,операции!$X:$X,"",операции!$P:$P,$F309)+SUMIFS(операции!$AF:$AF,операции!$T:$T,"&lt;"&amp;I$8,операции!$X:$X,"&gt;="&amp;I$8,операции!$P:$P,$F309))/I309)</f>
        <v>42175.632874758856</v>
      </c>
      <c r="J310" s="317"/>
      <c r="K310" s="316">
        <f>IF(K309=0,0,(SUMIFS(операции!$AF:$AF,операции!$T:$T,"&lt;"&amp;I$8,операции!$X:$X,"",операции!$L:$L,K$9,операции!$P:$P,$F309)+SUMIFS(операции!$AF:$AF,операции!$T:$T,"&lt;"&amp;I$8,операции!$X:$X,"&gt;="&amp;I$8,операции!$L:$L,K$9,операции!$P:$P,$F309))/K309)</f>
        <v>42175.632874758856</v>
      </c>
      <c r="L310" s="318">
        <f>IF(L309=0,0,(SUMIFS(операции!$AF:$AF,операции!$T:$T,"&lt;"&amp;I$8,операции!$X:$X,"",операции!$L:$L,L$9,операции!$P:$P,$F309)+SUMIFS(операции!$AF:$AF,операции!$T:$T,"&lt;"&amp;I$8,операции!$X:$X,"&gt;="&amp;I$8,операции!$L:$L,L$9,операции!$P:$P,$F309))/L309)</f>
        <v>0</v>
      </c>
      <c r="M310" s="274"/>
      <c r="N310" s="193">
        <f>IF(N309=0,0,(SUMIFS(операции!$AF:$AF,операции!$T:$T,"&lt;"&amp;N$8,операции!$X:$X,"",операции!$P:$P,$F309)+SUMIFS(операции!$AF:$AF,операции!$T:$T,"&lt;"&amp;N$8,операции!$X:$X,"&gt;="&amp;N$8,операции!$P:$P,$F309))/N309)</f>
        <v>42175.632874758856</v>
      </c>
      <c r="O310" s="196"/>
      <c r="P310" s="193">
        <f>IF(P309=0,0,(SUMIFS(операции!$AF:$AF,операции!$T:$T,"&lt;"&amp;N$8,операции!$X:$X,"",операции!$L:$L,P$9,операции!$P:$P,$F309)+SUMIFS(операции!$AF:$AF,операции!$T:$T,"&lt;"&amp;N$8,операции!$X:$X,"&gt;="&amp;N$8,операции!$L:$L,P$9,операции!$P:$P,$F309))/P309)</f>
        <v>42175.632874758856</v>
      </c>
      <c r="Q310" s="237">
        <f>IF(Q309=0,0,(SUMIFS(операции!$AF:$AF,операции!$T:$T,"&lt;"&amp;N$8,операции!$X:$X,"",операции!$L:$L,Q$9,операции!$P:$P,$F309)+SUMIFS(операции!$AF:$AF,операции!$T:$T,"&lt;"&amp;N$8,операции!$X:$X,"&gt;="&amp;N$8,операции!$L:$L,Q$9,операции!$P:$P,$F309))/Q309)</f>
        <v>0</v>
      </c>
      <c r="R310" s="238"/>
      <c r="S310" s="193">
        <f>IF(S309=0,0,(SUMIFS(операции!$AF:$AF,операции!$T:$T,"&lt;"&amp;S$8,операции!$X:$X,"",операции!$P:$P,$F309)+SUMIFS(операции!$AF:$AF,операции!$T:$T,"&lt;"&amp;S$8,операции!$X:$X,"&gt;="&amp;S$8,операции!$P:$P,$F309))/S309)</f>
        <v>42192.723419131813</v>
      </c>
      <c r="T310" s="196"/>
      <c r="U310" s="193">
        <f>IF(U309=0,0,(SUMIFS(операции!$AF:$AF,операции!$T:$T,"&lt;"&amp;S$8,операции!$X:$X,"",операции!$L:$L,U$9,операции!$P:$P,$F309)+SUMIFS(операции!$AF:$AF,операции!$T:$T,"&lt;"&amp;S$8,операции!$X:$X,"&gt;="&amp;S$8,операции!$L:$L,U$9,операции!$P:$P,$F309))/U309)</f>
        <v>42181.88772501202</v>
      </c>
      <c r="V310" s="237">
        <f>IF(V309=0,0,(SUMIFS(операции!$AF:$AF,операции!$T:$T,"&lt;"&amp;S$8,операции!$X:$X,"",операции!$L:$L,V$9,операции!$P:$P,$F309)+SUMIFS(операции!$AF:$AF,операции!$T:$T,"&lt;"&amp;S$8,операции!$X:$X,"&gt;="&amp;S$8,операции!$L:$L,V$9,операции!$P:$P,$F309))/V309)</f>
        <v>42306.12774627794</v>
      </c>
      <c r="W310" s="238"/>
      <c r="X310" s="193">
        <f>IF(X309=0,0,(SUMIFS(операции!$AF:$AF,операции!$T:$T,"&lt;"&amp;X$8,операции!$X:$X,"",операции!$P:$P,$F309)+SUMIFS(операции!$AF:$AF,операции!$T:$T,"&lt;"&amp;X$8,операции!$X:$X,"&gt;="&amp;X$8,операции!$P:$P,$F309))/X309)</f>
        <v>42274.272217640631</v>
      </c>
      <c r="Y310" s="196"/>
      <c r="Z310" s="193">
        <f>IF(Z309=0,0,(SUMIFS(операции!$AF:$AF,операции!$T:$T,"&lt;"&amp;X$8,операции!$X:$X,"",операции!$L:$L,Z$9,операции!$P:$P,$F309)+SUMIFS(операции!$AF:$AF,операции!$T:$T,"&lt;"&amp;X$8,операции!$X:$X,"&gt;="&amp;X$8,операции!$L:$L,Z$9,операции!$P:$P,$F309))/Z309)</f>
        <v>42186.771105171822</v>
      </c>
      <c r="AA310" s="237">
        <f>IF(AA309=0,0,(SUMIFS(операции!$AF:$AF,операции!$T:$T,"&lt;"&amp;X$8,операции!$X:$X,"",операции!$L:$L,AA$9,операции!$P:$P,$F309)+SUMIFS(операции!$AF:$AF,операции!$T:$T,"&lt;"&amp;X$8,операции!$X:$X,"&gt;="&amp;X$8,операции!$L:$L,AA$9,операции!$P:$P,$F309))/AA309)</f>
        <v>42335.743286646852</v>
      </c>
      <c r="AB310" s="265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</row>
    <row r="311" spans="1:42" s="50" customFormat="1" ht="11.25">
      <c r="A311" s="48"/>
      <c r="B311" s="48"/>
      <c r="C311" s="48"/>
      <c r="D311" s="154" t="s">
        <v>257</v>
      </c>
      <c r="E311" s="154"/>
      <c r="F311" s="154" t="str">
        <f t="shared" ref="F311:F377" si="512">F310</f>
        <v>Товары для детей</v>
      </c>
      <c r="G311" s="154" t="s">
        <v>219</v>
      </c>
      <c r="H311" s="319"/>
      <c r="I311" s="320">
        <f>IF(I309=0,0,I$8-I310)</f>
        <v>102.36712524114409</v>
      </c>
      <c r="J311" s="321">
        <f>I311-IF(I309=0,0,(I314*I316+I320*I322)/I309)</f>
        <v>6.3096194935496897E-12</v>
      </c>
      <c r="K311" s="320">
        <f>IF(K309=0,0,I$8-K310)</f>
        <v>102.36712524114409</v>
      </c>
      <c r="L311" s="322">
        <f>IF(L309=0,0,I$8-L310)</f>
        <v>0</v>
      </c>
      <c r="M311" s="275"/>
      <c r="N311" s="155">
        <f>IF(N309=0,0,N$8-N310)</f>
        <v>102.36712524114409</v>
      </c>
      <c r="O311" s="173">
        <f>N311-IF(N309=0,0,(N314*N316+N320*N322)/N309)</f>
        <v>6.3096194935496897E-12</v>
      </c>
      <c r="P311" s="155">
        <f>IF(P309=0,0,N$8-P310)</f>
        <v>102.36712524114409</v>
      </c>
      <c r="Q311" s="239">
        <f>IF(Q309=0,0,N$8-Q310)</f>
        <v>0</v>
      </c>
      <c r="R311" s="240"/>
      <c r="S311" s="155">
        <f>IF(S309=0,0,S$8-S310)</f>
        <v>116.27658086818701</v>
      </c>
      <c r="T311" s="173">
        <f>S311-IF(S309=0,0,(S314*S316+S320*S322)/S309)</f>
        <v>-1.4921397450962104E-11</v>
      </c>
      <c r="U311" s="155">
        <f>IF(U309=0,0,S$8-U310)</f>
        <v>127.11227498797962</v>
      </c>
      <c r="V311" s="239">
        <f>IF(V309=0,0,S$8-V310)</f>
        <v>2.8722537220601225</v>
      </c>
      <c r="W311" s="240"/>
      <c r="X311" s="155">
        <f>IF(X309=0,0,X$8-X310)</f>
        <v>64.727782359368575</v>
      </c>
      <c r="Y311" s="173">
        <f>X311-IF(X309=0,0,(X314*X316+X320*X322)/X309)</f>
        <v>-8.9102059064316563E-12</v>
      </c>
      <c r="Z311" s="155">
        <f>IF(Z309=0,0,X$8-Z310)</f>
        <v>152.22889482817845</v>
      </c>
      <c r="AA311" s="239">
        <f>IF(AA309=0,0,X$8-AA310)</f>
        <v>3.2567133531483705</v>
      </c>
      <c r="AB311" s="230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</row>
    <row r="312" spans="1:42" s="93" customFormat="1" ht="15">
      <c r="A312" s="92"/>
      <c r="B312" s="92"/>
      <c r="C312" s="92"/>
      <c r="D312" s="198" t="s">
        <v>267</v>
      </c>
      <c r="E312" s="198"/>
      <c r="F312" s="198" t="str">
        <f t="shared" si="512"/>
        <v>Товары для детей</v>
      </c>
      <c r="G312" s="198" t="s">
        <v>219</v>
      </c>
      <c r="H312" s="323"/>
      <c r="I312" s="324">
        <f>IF(I309=0,0,(I314*I318+I320*I324)/I309)</f>
        <v>41.59486294180121</v>
      </c>
      <c r="J312" s="321"/>
      <c r="K312" s="324">
        <f t="shared" ref="K312" si="513">IF(K309=0,0,(K314*K318+K320*K324)/K309)</f>
        <v>41.59486294180121</v>
      </c>
      <c r="L312" s="325">
        <f>IF(L309=0,0,(L314*L318+L320*L324)/L309)</f>
        <v>0</v>
      </c>
      <c r="M312" s="276"/>
      <c r="N312" s="199">
        <f>IF(N309=0,0,(N314*N318+N320*N324)/N309)</f>
        <v>41.59486294180121</v>
      </c>
      <c r="O312" s="173"/>
      <c r="P312" s="199">
        <f t="shared" ref="P312" si="514">IF(P309=0,0,(P314*P318+P320*P324)/P309)</f>
        <v>41.59486294180121</v>
      </c>
      <c r="Q312" s="241">
        <f>IF(Q309=0,0,(Q314*Q318+Q320*Q324)/Q309)</f>
        <v>0</v>
      </c>
      <c r="R312" s="242"/>
      <c r="S312" s="199">
        <f>IF(S309=0,0,(S314*S318+S320*S324)/S309)</f>
        <v>45.920951340384647</v>
      </c>
      <c r="T312" s="173"/>
      <c r="U312" s="199">
        <f t="shared" ref="U312" si="515">IF(U309=0,0,(U314*U318+U320*U324)/U309)</f>
        <v>50.034220484399746</v>
      </c>
      <c r="V312" s="241">
        <f>IF(V309=0,0,(V314*V318+V320*V324)/V309)</f>
        <v>2.8722537220528457</v>
      </c>
      <c r="W312" s="242"/>
      <c r="X312" s="199">
        <f>IF(X309=0,0,(X314*X318+X320*X324)/X309)</f>
        <v>24.687750034886506</v>
      </c>
      <c r="Y312" s="173"/>
      <c r="Z312" s="199">
        <f t="shared" ref="Z312" si="516">IF(Z309=0,0,(Z314*Z318+Z320*Z324)/Z309)</f>
        <v>55.193800788960715</v>
      </c>
      <c r="AA312" s="241">
        <f>IF(AA309=0,0,(AA314*AA318+AA320*AA324)/AA309)</f>
        <v>3.2567133531701993</v>
      </c>
      <c r="AB312" s="264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</row>
    <row r="313" spans="1:42" s="50" customFormat="1" ht="11.25">
      <c r="A313" s="48"/>
      <c r="B313" s="48"/>
      <c r="C313" s="48"/>
      <c r="D313" s="154" t="s">
        <v>270</v>
      </c>
      <c r="E313" s="154"/>
      <c r="F313" s="154" t="str">
        <f t="shared" si="512"/>
        <v>Товары для детей</v>
      </c>
      <c r="G313" s="154" t="s">
        <v>219</v>
      </c>
      <c r="H313" s="319"/>
      <c r="I313" s="320">
        <f>I311-I312</f>
        <v>60.772262299342884</v>
      </c>
      <c r="J313" s="321"/>
      <c r="K313" s="320">
        <f t="shared" ref="K313" si="517">K311-K312</f>
        <v>60.772262299342884</v>
      </c>
      <c r="L313" s="322">
        <f t="shared" ref="L313" si="518">L311-L312</f>
        <v>0</v>
      </c>
      <c r="M313" s="275"/>
      <c r="N313" s="155">
        <f>N311-N312</f>
        <v>60.772262299342884</v>
      </c>
      <c r="O313" s="173"/>
      <c r="P313" s="155">
        <f t="shared" ref="P313" si="519">P311-P312</f>
        <v>60.772262299342884</v>
      </c>
      <c r="Q313" s="239">
        <f t="shared" ref="Q313" si="520">Q311-Q312</f>
        <v>0</v>
      </c>
      <c r="R313" s="240"/>
      <c r="S313" s="155">
        <f>S311-S312</f>
        <v>70.355629527802364</v>
      </c>
      <c r="T313" s="173"/>
      <c r="U313" s="155">
        <f t="shared" ref="U313" si="521">U311-U312</f>
        <v>77.078054503579864</v>
      </c>
      <c r="V313" s="239">
        <f t="shared" ref="V313" si="522">V311-V312</f>
        <v>7.276845792603126E-12</v>
      </c>
      <c r="W313" s="240"/>
      <c r="X313" s="155">
        <f>X311-X312</f>
        <v>40.04003232448207</v>
      </c>
      <c r="Y313" s="173"/>
      <c r="Z313" s="155">
        <f t="shared" ref="Z313" si="523">Z311-Z312</f>
        <v>97.035094039217739</v>
      </c>
      <c r="AA313" s="239">
        <f t="shared" ref="AA313" si="524">AA311-AA312</f>
        <v>-2.1828761020969978E-11</v>
      </c>
      <c r="AB313" s="230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</row>
    <row r="314" spans="1:42" s="5" customFormat="1">
      <c r="A314" s="1"/>
      <c r="B314" s="1"/>
      <c r="C314" s="1"/>
      <c r="D314" s="168"/>
      <c r="E314" s="168" t="s">
        <v>258</v>
      </c>
      <c r="F314" s="168" t="str">
        <f t="shared" si="512"/>
        <v>Товары для детей</v>
      </c>
      <c r="G314" s="168" t="s">
        <v>261</v>
      </c>
      <c r="H314" s="326"/>
      <c r="I314" s="327">
        <f>SUMIFS(операции!$V:$V,операции!$T:$T,"&lt;"&amp;I$8,операции!$X:$X,"",операции!$AB:$AB,"&lt;&gt;"&amp;"",операции!$AB:$AB,"&lt;"&amp;I$8,операции!$P:$P,$F309)+SUMIFS(операции!$V:$V,операции!$T:$T,"&lt;"&amp;I$8,операции!$X:$X,"&gt;="&amp;I$8,операции!$AB:$AB,"&lt;&gt;"&amp;"",операции!$AB:$AB,"&lt;"&amp;I$8,операции!$P:$P,$F309)</f>
        <v>576614.67000000016</v>
      </c>
      <c r="J314" s="313">
        <f>I314-K314-L314</f>
        <v>0</v>
      </c>
      <c r="K314" s="327">
        <f>SUMIFS(операции!$V:$V,операции!$T:$T,"&lt;"&amp;I$8,операции!$X:$X,"",операции!$AB:$AB,"&lt;&gt;"&amp;"",операции!$AB:$AB,"&lt;"&amp;I$8,операции!$L:$L,K$9,операции!$P:$P,$F309)+SUMIFS(операции!$V:$V,операции!$T:$T,"&lt;"&amp;I$8,операции!$X:$X,"&gt;="&amp;I$8,операции!$AB:$AB,"&lt;&gt;"&amp;"",операции!$AB:$AB,"&lt;"&amp;I$8,операции!$L:$L,K$9,операции!$P:$P,$F309)</f>
        <v>576614.67000000016</v>
      </c>
      <c r="L314" s="328">
        <f>SUMIFS(операции!$V:$V,операции!$T:$T,"&lt;"&amp;I$8,операции!$X:$X,"",операции!$AB:$AB,"&lt;&gt;"&amp;"",операции!$AB:$AB,"&lt;"&amp;I$8,операции!$L:$L,L$9,операции!$P:$P,$F309)+SUMIFS(операции!$V:$V,операции!$T:$T,"&lt;"&amp;I$8,операции!$X:$X,"&gt;="&amp;I$8,операции!$AB:$AB,"&lt;&gt;"&amp;"",операции!$AB:$AB,"&lt;"&amp;I$8,операции!$L:$L,L$9,операции!$P:$P,$F309)</f>
        <v>0</v>
      </c>
      <c r="M314" s="277"/>
      <c r="N314" s="169">
        <f>SUMIFS(операции!$V:$V,операции!$T:$T,"&lt;"&amp;N$8,операции!$X:$X,"",операции!$AB:$AB,"&lt;&gt;"&amp;"",операции!$AB:$AB,"&lt;"&amp;N$8,операции!$P:$P,$F309)+SUMIFS(операции!$V:$V,операции!$T:$T,"&lt;"&amp;N$8,операции!$X:$X,"&gt;="&amp;N$8,операции!$AB:$AB,"&lt;&gt;"&amp;"",операции!$AB:$AB,"&lt;"&amp;N$8,операции!$P:$P,$F309)</f>
        <v>576614.67000000016</v>
      </c>
      <c r="O314" s="170">
        <f>N314-P314-Q314</f>
        <v>0</v>
      </c>
      <c r="P314" s="169">
        <f>SUMIFS(операции!$V:$V,операции!$T:$T,"&lt;"&amp;N$8,операции!$X:$X,"",операции!$AB:$AB,"&lt;&gt;"&amp;"",операции!$AB:$AB,"&lt;"&amp;N$8,операции!$L:$L,P$9,операции!$P:$P,$F309)+SUMIFS(операции!$V:$V,операции!$T:$T,"&lt;"&amp;N$8,операции!$X:$X,"&gt;="&amp;N$8,операции!$AB:$AB,"&lt;&gt;"&amp;"",операции!$AB:$AB,"&lt;"&amp;N$8,операции!$L:$L,P$9,операции!$P:$P,$F309)</f>
        <v>576614.67000000016</v>
      </c>
      <c r="Q314" s="243">
        <f>SUMIFS(операции!$V:$V,операции!$T:$T,"&lt;"&amp;N$8,операции!$X:$X,"",операции!$AB:$AB,"&lt;&gt;"&amp;"",операции!$AB:$AB,"&lt;"&amp;N$8,операции!$L:$L,Q$9,операции!$P:$P,$F309)+SUMIFS(операции!$V:$V,операции!$T:$T,"&lt;"&amp;N$8,операции!$X:$X,"&gt;="&amp;N$8,операции!$AB:$AB,"&lt;&gt;"&amp;"",операции!$AB:$AB,"&lt;"&amp;N$8,операции!$L:$L,Q$9,операции!$P:$P,$F309)</f>
        <v>0</v>
      </c>
      <c r="R314" s="244"/>
      <c r="S314" s="169">
        <f>SUMIFS(операции!$V:$V,операции!$T:$T,"&lt;"&amp;S$8,операции!$X:$X,"",операции!$AB:$AB,"&lt;&gt;"&amp;"",операции!$AB:$AB,"&lt;"&amp;S$8,операции!$P:$P,$F309)+SUMIFS(операции!$V:$V,операции!$T:$T,"&lt;"&amp;S$8,операции!$X:$X,"&gt;="&amp;S$8,операции!$AB:$AB,"&lt;&gt;"&amp;"",операции!$AB:$AB,"&lt;"&amp;S$8,операции!$P:$P,$F309)</f>
        <v>559401.78000000014</v>
      </c>
      <c r="T314" s="170">
        <f>S314-U314-V314</f>
        <v>0</v>
      </c>
      <c r="U314" s="169">
        <f>SUMIFS(операции!$V:$V,операции!$T:$T,"&lt;"&amp;S$8,операции!$X:$X,"",операции!$AB:$AB,"&lt;&gt;"&amp;"",операции!$AB:$AB,"&lt;"&amp;S$8,операции!$L:$L,U$9,операции!$P:$P,$F309)+SUMIFS(операции!$V:$V,операции!$T:$T,"&lt;"&amp;S$8,операции!$X:$X,"&gt;="&amp;S$8,операции!$AB:$AB,"&lt;&gt;"&amp;"",операции!$AB:$AB,"&lt;"&amp;S$8,операции!$L:$L,U$9,операции!$P:$P,$F309)</f>
        <v>559401.78000000014</v>
      </c>
      <c r="V314" s="243">
        <f>SUMIFS(операции!$V:$V,операции!$T:$T,"&lt;"&amp;S$8,операции!$X:$X,"",операции!$AB:$AB,"&lt;&gt;"&amp;"",операции!$AB:$AB,"&lt;"&amp;S$8,операции!$L:$L,V$9,операции!$P:$P,$F309)+SUMIFS(операции!$V:$V,операции!$T:$T,"&lt;"&amp;S$8,операции!$X:$X,"&gt;="&amp;S$8,операции!$AB:$AB,"&lt;&gt;"&amp;"",операции!$AB:$AB,"&lt;"&amp;S$8,операции!$L:$L,V$9,операции!$P:$P,$F309)</f>
        <v>0</v>
      </c>
      <c r="W314" s="244"/>
      <c r="X314" s="169">
        <f>SUMIFS(операции!$V:$V,операции!$T:$T,"&lt;"&amp;X$8,операции!$X:$X,"",операции!$AB:$AB,"&lt;&gt;"&amp;"",операции!$AB:$AB,"&lt;"&amp;X$8,операции!$P:$P,$F309)+SUMIFS(операции!$V:$V,операции!$T:$T,"&lt;"&amp;X$8,операции!$X:$X,"&gt;="&amp;X$8,операции!$AB:$AB,"&lt;&gt;"&amp;"",операции!$AB:$AB,"&lt;"&amp;X$8,операции!$P:$P,$F309)</f>
        <v>419196.42999999993</v>
      </c>
      <c r="Y314" s="170">
        <f>X314-Z314-AA314</f>
        <v>0</v>
      </c>
      <c r="Z314" s="169">
        <f>SUMIFS(операции!$V:$V,операции!$T:$T,"&lt;"&amp;X$8,операции!$X:$X,"",операции!$AB:$AB,"&lt;&gt;"&amp;"",операции!$AB:$AB,"&lt;"&amp;X$8,операции!$L:$L,Z$9,операции!$P:$P,$F309)+SUMIFS(операции!$V:$V,операции!$T:$T,"&lt;"&amp;X$8,операции!$X:$X,"&gt;="&amp;X$8,операции!$AB:$AB,"&lt;&gt;"&amp;"",операции!$AB:$AB,"&lt;"&amp;X$8,операции!$L:$L,Z$9,операции!$P:$P,$F309)</f>
        <v>419196.42999999993</v>
      </c>
      <c r="AA314" s="243">
        <f>SUMIFS(операции!$V:$V,операции!$T:$T,"&lt;"&amp;X$8,операции!$X:$X,"",операции!$AB:$AB,"&lt;&gt;"&amp;"",операции!$AB:$AB,"&lt;"&amp;X$8,операции!$L:$L,AA$9,операции!$P:$P,$F309)+SUMIFS(операции!$V:$V,операции!$T:$T,"&lt;"&amp;X$8,операции!$X:$X,"&gt;="&amp;X$8,операции!$AB:$AB,"&lt;&gt;"&amp;"",операции!$AB:$AB,"&lt;"&amp;X$8,операции!$L:$L,AA$9,операции!$P:$P,$F309)</f>
        <v>0</v>
      </c>
      <c r="AB314" s="266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s="192" customFormat="1" ht="11.25">
      <c r="A315" s="37"/>
      <c r="B315" s="37"/>
      <c r="C315" s="37"/>
      <c r="D315" s="191"/>
      <c r="E315" s="191" t="s">
        <v>255</v>
      </c>
      <c r="F315" s="191" t="str">
        <f t="shared" si="512"/>
        <v>Товары для детей</v>
      </c>
      <c r="G315" s="191" t="s">
        <v>262</v>
      </c>
      <c r="H315" s="315"/>
      <c r="I315" s="316">
        <f>IF(I314=0,0,(SUMIFS(операции!$AF:$AF,операции!$T:$T,"&lt;"&amp;I$8,операции!$X:$X,"",операции!$AB:$AB,"&lt;&gt;"&amp;"",операции!$AB:$AB,"&lt;"&amp;I$8,операции!$P:$P,$F309)+SUMIFS(операции!$AF:$AF,операции!$T:$T,"&lt;"&amp;I$8,операции!$X:$X,"&gt;="&amp;I$8,операции!$AB:$AB,"&lt;&gt;"&amp;"",операции!$AB:$AB,"&lt;"&amp;I$8,операции!$P:$P,$F309))/I314)</f>
        <v>42144.422561361454</v>
      </c>
      <c r="J315" s="317"/>
      <c r="K315" s="316">
        <f>IF(K314=0,0,(SUMIFS(операции!$AF:$AF,операции!$T:$T,"&lt;"&amp;I$8,операции!$X:$X,"",операции!$AB:$AB,"&lt;&gt;"&amp;"",операции!$AB:$AB,"&lt;"&amp;I$8,операции!$L:$L,K$9,операции!$P:$P,$F309)+SUMIFS(операции!$AF:$AF,операции!$T:$T,"&lt;"&amp;I$8,операции!$X:$X,"&gt;="&amp;I$8,операции!$AB:$AB,"&lt;&gt;"&amp;"",операции!$AB:$AB,"&lt;"&amp;I$8,операции!$L:$L,K$9,операции!$P:$P,$F309))/K314)</f>
        <v>42144.422561361454</v>
      </c>
      <c r="L315" s="318">
        <f>IF(L314=0,0,(SUMIFS(операции!$AF:$AF,операции!$T:$T,"&lt;"&amp;I$8,операции!$X:$X,"",операции!$AB:$AB,"&lt;&gt;"&amp;"",операции!$AB:$AB,"&lt;"&amp;I$8,операции!$L:$L,L$9,операции!$P:$P,$F309)+SUMIFS(операции!$AF:$AF,операции!$T:$T,"&lt;"&amp;I$8,операции!$X:$X,"&gt;="&amp;I$8,операции!$AB:$AB,"&lt;&gt;"&amp;"",операции!$AB:$AB,"&lt;"&amp;I$8,операции!$L:$L,L$9,операции!$P:$P,$F309))/L314)</f>
        <v>0</v>
      </c>
      <c r="M315" s="274"/>
      <c r="N315" s="193">
        <f>IF(N314=0,0,(SUMIFS(операции!$AF:$AF,операции!$T:$T,"&lt;"&amp;N$8,операции!$X:$X,"",операции!$AB:$AB,"&lt;&gt;"&amp;"",операции!$AB:$AB,"&lt;"&amp;N$8,операции!$P:$P,$F309)+SUMIFS(операции!$AF:$AF,операции!$T:$T,"&lt;"&amp;N$8,операции!$X:$X,"&gt;="&amp;N$8,операции!$AB:$AB,"&lt;&gt;"&amp;"",операции!$AB:$AB,"&lt;"&amp;N$8,операции!$P:$P,$F309))/N314)</f>
        <v>42144.422561361454</v>
      </c>
      <c r="O315" s="196"/>
      <c r="P315" s="193">
        <f>IF(P314=0,0,(SUMIFS(операции!$AF:$AF,операции!$T:$T,"&lt;"&amp;N$8,операции!$X:$X,"",операции!$AB:$AB,"&lt;&gt;"&amp;"",операции!$AB:$AB,"&lt;"&amp;N$8,операции!$L:$L,P$9,операции!$P:$P,$F309)+SUMIFS(операции!$AF:$AF,операции!$T:$T,"&lt;"&amp;N$8,операции!$X:$X,"&gt;="&amp;N$8,операции!$AB:$AB,"&lt;&gt;"&amp;"",операции!$AB:$AB,"&lt;"&amp;N$8,операции!$L:$L,P$9,операции!$P:$P,$F309))/P314)</f>
        <v>42144.422561361454</v>
      </c>
      <c r="Q315" s="237">
        <f>IF(Q314=0,0,(SUMIFS(операции!$AF:$AF,операции!$T:$T,"&lt;"&amp;N$8,операции!$X:$X,"",операции!$AB:$AB,"&lt;&gt;"&amp;"",операции!$AB:$AB,"&lt;"&amp;N$8,операции!$L:$L,Q$9,операции!$P:$P,$F309)+SUMIFS(операции!$AF:$AF,операции!$T:$T,"&lt;"&amp;N$8,операции!$X:$X,"&gt;="&amp;N$8,операции!$AB:$AB,"&lt;&gt;"&amp;"",операции!$AB:$AB,"&lt;"&amp;N$8,операции!$L:$L,Q$9,операции!$P:$P,$F309))/Q314)</f>
        <v>0</v>
      </c>
      <c r="R315" s="238"/>
      <c r="S315" s="193">
        <f>IF(S314=0,0,(SUMIFS(операции!$AF:$AF,операции!$T:$T,"&lt;"&amp;S$8,операции!$X:$X,"",операции!$AB:$AB,"&lt;&gt;"&amp;"",операции!$AB:$AB,"&lt;"&amp;S$8,операции!$P:$P,$F309)+SUMIFS(операции!$AF:$AF,операции!$T:$T,"&lt;"&amp;S$8,операции!$X:$X,"&gt;="&amp;S$8,операции!$AB:$AB,"&lt;&gt;"&amp;"",операции!$AB:$AB,"&lt;"&amp;S$8,операции!$P:$P,$F309))/S314)</f>
        <v>42169.319538346826</v>
      </c>
      <c r="T315" s="196"/>
      <c r="U315" s="193">
        <f>IF(U314=0,0,(SUMIFS(операции!$AF:$AF,операции!$T:$T,"&lt;"&amp;S$8,операции!$X:$X,"",операции!$AB:$AB,"&lt;&gt;"&amp;"",операции!$AB:$AB,"&lt;"&amp;S$8,операции!$L:$L,U$9,операции!$P:$P,$F309)+SUMIFS(операции!$AF:$AF,операции!$T:$T,"&lt;"&amp;S$8,операции!$X:$X,"&gt;="&amp;S$8,операции!$AB:$AB,"&lt;&gt;"&amp;"",операции!$AB:$AB,"&lt;"&amp;S$8,операции!$L:$L,U$9,операции!$P:$P,$F309))/U314)</f>
        <v>42169.319538346826</v>
      </c>
      <c r="V315" s="237">
        <f>IF(V314=0,0,(SUMIFS(операции!$AF:$AF,операции!$T:$T,"&lt;"&amp;S$8,операции!$X:$X,"",операции!$AB:$AB,"&lt;&gt;"&amp;"",операции!$AB:$AB,"&lt;"&amp;S$8,операции!$L:$L,V$9,операции!$P:$P,$F309)+SUMIFS(операции!$AF:$AF,операции!$T:$T,"&lt;"&amp;S$8,операции!$X:$X,"&gt;="&amp;S$8,операции!$AB:$AB,"&lt;&gt;"&amp;"",операции!$AB:$AB,"&lt;"&amp;S$8,операции!$L:$L,V$9,операции!$P:$P,$F309))/V314)</f>
        <v>0</v>
      </c>
      <c r="W315" s="238"/>
      <c r="X315" s="193">
        <f>IF(X314=0,0,(SUMIFS(операции!$AF:$AF,операции!$T:$T,"&lt;"&amp;X$8,операции!$X:$X,"",операции!$AB:$AB,"&lt;&gt;"&amp;"",операции!$AB:$AB,"&lt;"&amp;X$8,операции!$P:$P,$F309)+SUMIFS(операции!$AF:$AF,операции!$T:$T,"&lt;"&amp;X$8,операции!$X:$X,"&gt;="&amp;X$8,операции!$AB:$AB,"&lt;&gt;"&amp;"",операции!$AB:$AB,"&lt;"&amp;X$8,операции!$P:$P,$F309))/X314)</f>
        <v>42189.135566063866</v>
      </c>
      <c r="Y315" s="196"/>
      <c r="Z315" s="193">
        <f>IF(Z314=0,0,(SUMIFS(операции!$AF:$AF,операции!$T:$T,"&lt;"&amp;X$8,операции!$X:$X,"",операции!$AB:$AB,"&lt;&gt;"&amp;"",операции!$AB:$AB,"&lt;"&amp;X$8,операции!$L:$L,Z$9,операции!$P:$P,$F309)+SUMIFS(операции!$AF:$AF,операции!$T:$T,"&lt;"&amp;X$8,операции!$X:$X,"&gt;="&amp;X$8,операции!$AB:$AB,"&lt;&gt;"&amp;"",операции!$AB:$AB,"&lt;"&amp;X$8,операции!$L:$L,Z$9,операции!$P:$P,$F309))/Z314)</f>
        <v>42189.135566063866</v>
      </c>
      <c r="AA315" s="237">
        <f>IF(AA314=0,0,(SUMIFS(операции!$AF:$AF,операции!$T:$T,"&lt;"&amp;X$8,операции!$X:$X,"",операции!$AB:$AB,"&lt;&gt;"&amp;"",операции!$AB:$AB,"&lt;"&amp;X$8,операции!$L:$L,AA$9,операции!$P:$P,$F309)+SUMIFS(операции!$AF:$AF,операции!$T:$T,"&lt;"&amp;X$8,операции!$X:$X,"&gt;="&amp;X$8,операции!$AB:$AB,"&lt;&gt;"&amp;"",операции!$AB:$AB,"&lt;"&amp;X$8,операции!$L:$L,AA$9,операции!$P:$P,$F309))/AA314)</f>
        <v>0</v>
      </c>
      <c r="AB315" s="265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</row>
    <row r="316" spans="1:42" s="192" customFormat="1" ht="11.25">
      <c r="A316" s="37"/>
      <c r="B316" s="37"/>
      <c r="C316" s="37"/>
      <c r="D316" s="191"/>
      <c r="E316" s="191" t="s">
        <v>260</v>
      </c>
      <c r="F316" s="191" t="str">
        <f t="shared" si="512"/>
        <v>Товары для детей</v>
      </c>
      <c r="G316" s="191" t="s">
        <v>219</v>
      </c>
      <c r="H316" s="315"/>
      <c r="I316" s="329">
        <f>IF(I314=0,0,I$8-I315)</f>
        <v>133.57743863854557</v>
      </c>
      <c r="J316" s="317"/>
      <c r="K316" s="329">
        <f>IF(K314=0,0,I$8-K315)</f>
        <v>133.57743863854557</v>
      </c>
      <c r="L316" s="330">
        <f>IF(L314=0,0,I$8-L315)</f>
        <v>0</v>
      </c>
      <c r="M316" s="274"/>
      <c r="N316" s="156">
        <f>IF(N314=0,0,N$8-N315)</f>
        <v>133.57743863854557</v>
      </c>
      <c r="O316" s="196"/>
      <c r="P316" s="156">
        <f>IF(P314=0,0,N$8-P315)</f>
        <v>133.57743863854557</v>
      </c>
      <c r="Q316" s="245">
        <f>IF(Q314=0,0,N$8-Q315)</f>
        <v>0</v>
      </c>
      <c r="R316" s="238"/>
      <c r="S316" s="156">
        <f>IF(S314=0,0,S$8-S315)</f>
        <v>139.68046165317355</v>
      </c>
      <c r="T316" s="196"/>
      <c r="U316" s="156">
        <f>IF(U314=0,0,S$8-U315)</f>
        <v>139.68046165317355</v>
      </c>
      <c r="V316" s="245">
        <f>IF(V314=0,0,S$8-V315)</f>
        <v>0</v>
      </c>
      <c r="W316" s="238"/>
      <c r="X316" s="156">
        <f>IF(X314=0,0,X$8-X315)</f>
        <v>149.86443393613445</v>
      </c>
      <c r="Y316" s="196"/>
      <c r="Z316" s="156">
        <f>IF(Z314=0,0,X$8-Z315)</f>
        <v>149.86443393613445</v>
      </c>
      <c r="AA316" s="245">
        <f>IF(AA314=0,0,X$8-AA315)</f>
        <v>0</v>
      </c>
      <c r="AB316" s="265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</row>
    <row r="317" spans="1:42" s="192" customFormat="1" ht="11.25">
      <c r="A317" s="37"/>
      <c r="B317" s="37"/>
      <c r="C317" s="37"/>
      <c r="D317" s="191"/>
      <c r="E317" s="191" t="s">
        <v>259</v>
      </c>
      <c r="F317" s="191" t="str">
        <f t="shared" si="512"/>
        <v>Товары для детей</v>
      </c>
      <c r="G317" s="191" t="s">
        <v>262</v>
      </c>
      <c r="H317" s="315"/>
      <c r="I317" s="316">
        <f>IF(I314=0,0,(SUMIFS(операции!$AH:$AH,операции!$T:$T,"&lt;"&amp;I$8,операции!$X:$X,"",операции!$AB:$AB,"&lt;&gt;"&amp;"",операции!$AB:$AB,"&lt;"&amp;I$8,операции!$P:$P,$F309)+SUMIFS(операции!$AH:$AH,операции!$T:$T,"&lt;"&amp;I$8,операции!$X:$X,"&gt;="&amp;I$8,операции!$AB:$AB,"&lt;&gt;"&amp;"",операции!$AB:$AB,"&lt;"&amp;I$8,операции!$P:$P,$F309))/I314)</f>
        <v>42169.774646801801</v>
      </c>
      <c r="J317" s="317"/>
      <c r="K317" s="316">
        <f>IF(K314=0,0,(SUMIFS(операции!$AH:$AH,операции!$T:$T,"&lt;"&amp;I$8,операции!$X:$X,"",операции!$AB:$AB,"&lt;&gt;"&amp;"",операции!$AB:$AB,"&lt;"&amp;I$8,операции!$L:$L,K$9,операции!$P:$P,$F309)+SUMIFS(операции!$AH:$AH,операции!$T:$T,"&lt;"&amp;I$8,операции!$X:$X,"&gt;="&amp;I$8,операции!$AB:$AB,"&lt;&gt;"&amp;"",операции!$AB:$AB,"&lt;"&amp;I$8,операции!$L:$L,K$9,операции!$P:$P,$F309))/K314)</f>
        <v>42169.774646801801</v>
      </c>
      <c r="L317" s="318">
        <f>IF(L314=0,0,(SUMIFS(операции!$AH:$AH,операции!$T:$T,"&lt;"&amp;I$8,операции!$X:$X,"",операции!$AB:$AB,"&lt;&gt;"&amp;"",операции!$AB:$AB,"&lt;"&amp;I$8,операции!$L:$L,L$9,операции!$P:$P,$F309)+SUMIFS(операции!$AH:$AH,операции!$T:$T,"&lt;"&amp;I$8,операции!$X:$X,"&gt;="&amp;I$8,операции!$AB:$AB,"&lt;&gt;"&amp;"",операции!$AB:$AB,"&lt;"&amp;I$8,операции!$L:$L,L$9,операции!$P:$P,$F309))/L314)</f>
        <v>0</v>
      </c>
      <c r="M317" s="274"/>
      <c r="N317" s="193">
        <f>IF(N314=0,0,(SUMIFS(операции!$AH:$AH,операции!$T:$T,"&lt;"&amp;N$8,операции!$X:$X,"",операции!$AB:$AB,"&lt;&gt;"&amp;"",операции!$AB:$AB,"&lt;"&amp;N$8,операции!$P:$P,$F309)+SUMIFS(операции!$AH:$AH,операции!$T:$T,"&lt;"&amp;N$8,операции!$X:$X,"&gt;="&amp;N$8,операции!$AB:$AB,"&lt;&gt;"&amp;"",операции!$AB:$AB,"&lt;"&amp;N$8,операции!$P:$P,$F309))/N314)</f>
        <v>42169.774646801801</v>
      </c>
      <c r="O317" s="196"/>
      <c r="P317" s="193">
        <f>IF(P314=0,0,(SUMIFS(операции!$AH:$AH,операции!$T:$T,"&lt;"&amp;N$8,операции!$X:$X,"",операции!$AB:$AB,"&lt;&gt;"&amp;"",операции!$AB:$AB,"&lt;"&amp;N$8,операции!$L:$L,P$9,операции!$P:$P,$F309)+SUMIFS(операции!$AH:$AH,операции!$T:$T,"&lt;"&amp;N$8,операции!$X:$X,"&gt;="&amp;N$8,операции!$AB:$AB,"&lt;&gt;"&amp;"",операции!$AB:$AB,"&lt;"&amp;N$8,операции!$L:$L,P$9,операции!$P:$P,$F309))/P314)</f>
        <v>42169.774646801801</v>
      </c>
      <c r="Q317" s="237">
        <f>IF(Q314=0,0,(SUMIFS(операции!$AH:$AH,операции!$T:$T,"&lt;"&amp;N$8,операции!$X:$X,"",операции!$AB:$AB,"&lt;&gt;"&amp;"",операции!$AB:$AB,"&lt;"&amp;N$8,операции!$L:$L,Q$9,операции!$P:$P,$F309)+SUMIFS(операции!$AH:$AH,операции!$T:$T,"&lt;"&amp;N$8,операции!$X:$X,"&gt;="&amp;N$8,операции!$AB:$AB,"&lt;&gt;"&amp;"",операции!$AB:$AB,"&lt;"&amp;N$8,операции!$L:$L,Q$9,операции!$P:$P,$F309))/Q314)</f>
        <v>0</v>
      </c>
      <c r="R317" s="238"/>
      <c r="S317" s="193">
        <f>IF(S314=0,0,(SUMIFS(операции!$AH:$AH,операции!$T:$T,"&lt;"&amp;S$8,операции!$X:$X,"",операции!$AB:$AB,"&lt;&gt;"&amp;"",операции!$AB:$AB,"&lt;"&amp;S$8,операции!$P:$P,$F309)+SUMIFS(операции!$AH:$AH,операции!$T:$T,"&lt;"&amp;S$8,операции!$X:$X,"&gt;="&amp;S$8,операции!$AB:$AB,"&lt;&gt;"&amp;"",операции!$AB:$AB,"&lt;"&amp;S$8,операции!$P:$P,$F309))/S314)</f>
        <v>42196.161037278056</v>
      </c>
      <c r="T317" s="196"/>
      <c r="U317" s="193">
        <f>IF(U314=0,0,(SUMIFS(операции!$AH:$AH,операции!$T:$T,"&lt;"&amp;S$8,операции!$X:$X,"",операции!$AB:$AB,"&lt;&gt;"&amp;"",операции!$AB:$AB,"&lt;"&amp;S$8,операции!$L:$L,U$9,операции!$P:$P,$F309)+SUMIFS(операции!$AH:$AH,операции!$T:$T,"&lt;"&amp;S$8,операции!$X:$X,"&gt;="&amp;S$8,операции!$AB:$AB,"&lt;&gt;"&amp;"",операции!$AB:$AB,"&lt;"&amp;S$8,операции!$L:$L,U$9,операции!$P:$P,$F309))/U314)</f>
        <v>42196.161037278056</v>
      </c>
      <c r="V317" s="237">
        <f>IF(V314=0,0,(SUMIFS(операции!$AH:$AH,операции!$T:$T,"&lt;"&amp;S$8,операции!$X:$X,"",операции!$AB:$AB,"&lt;&gt;"&amp;"",операции!$AB:$AB,"&lt;"&amp;S$8,операции!$L:$L,V$9,операции!$P:$P,$F309)+SUMIFS(операции!$AH:$AH,операции!$T:$T,"&lt;"&amp;S$8,операции!$X:$X,"&gt;="&amp;S$8,операции!$AB:$AB,"&lt;&gt;"&amp;"",операции!$AB:$AB,"&lt;"&amp;S$8,операции!$L:$L,V$9,операции!$P:$P,$F309))/V314)</f>
        <v>0</v>
      </c>
      <c r="W317" s="238"/>
      <c r="X317" s="193">
        <f>IF(X314=0,0,(SUMIFS(операции!$AH:$AH,операции!$T:$T,"&lt;"&amp;X$8,операции!$X:$X,"",операции!$AB:$AB,"&lt;&gt;"&amp;"",операции!$AB:$AB,"&lt;"&amp;X$8,операции!$P:$P,$F309)+SUMIFS(операции!$AH:$AH,операции!$T:$T,"&lt;"&amp;X$8,операции!$X:$X,"&gt;="&amp;X$8,операции!$AB:$AB,"&lt;&gt;"&amp;"",операции!$AB:$AB,"&lt;"&amp;X$8,операции!$P:$P,$F309))/X314)</f>
        <v>42216.846151027588</v>
      </c>
      <c r="Y317" s="196"/>
      <c r="Z317" s="193">
        <f>IF(Z314=0,0,(SUMIFS(операции!$AH:$AH,операции!$T:$T,"&lt;"&amp;X$8,операции!$X:$X,"",операции!$AB:$AB,"&lt;&gt;"&amp;"",операции!$AB:$AB,"&lt;"&amp;X$8,операции!$L:$L,Z$9,операции!$P:$P,$F309)+SUMIFS(операции!$AH:$AH,операции!$T:$T,"&lt;"&amp;X$8,операции!$X:$X,"&gt;="&amp;X$8,операции!$AB:$AB,"&lt;&gt;"&amp;"",операции!$AB:$AB,"&lt;"&amp;X$8,операции!$L:$L,Z$9,операции!$P:$P,$F309))/Z314)</f>
        <v>42216.846151027588</v>
      </c>
      <c r="AA317" s="237">
        <f>IF(AA314=0,0,(SUMIFS(операции!$AH:$AH,операции!$T:$T,"&lt;"&amp;X$8,операции!$X:$X,"",операции!$AB:$AB,"&lt;&gt;"&amp;"",операции!$AB:$AB,"&lt;"&amp;X$8,операции!$L:$L,AA$9,операции!$P:$P,$F309)+SUMIFS(операции!$AH:$AH,операции!$T:$T,"&lt;"&amp;X$8,операции!$X:$X,"&gt;="&amp;X$8,операции!$AB:$AB,"&lt;&gt;"&amp;"",операции!$AB:$AB,"&lt;"&amp;X$8,операции!$L:$L,AA$9,операции!$P:$P,$F309))/AA314)</f>
        <v>0</v>
      </c>
      <c r="AB317" s="265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</row>
    <row r="318" spans="1:42" s="192" customFormat="1" ht="11.25">
      <c r="A318" s="37"/>
      <c r="B318" s="37"/>
      <c r="C318" s="37"/>
      <c r="D318" s="191"/>
      <c r="E318" s="191" t="s">
        <v>265</v>
      </c>
      <c r="F318" s="191" t="str">
        <f t="shared" si="512"/>
        <v>Товары для детей</v>
      </c>
      <c r="G318" s="191" t="s">
        <v>219</v>
      </c>
      <c r="H318" s="315"/>
      <c r="I318" s="329">
        <f>I317-I315</f>
        <v>25.352085440346855</v>
      </c>
      <c r="J318" s="317"/>
      <c r="K318" s="329">
        <f t="shared" ref="K318" si="525">K317-K315</f>
        <v>25.352085440346855</v>
      </c>
      <c r="L318" s="330">
        <f>L317-L315</f>
        <v>0</v>
      </c>
      <c r="M318" s="274"/>
      <c r="N318" s="156">
        <f>N317-N315</f>
        <v>25.352085440346855</v>
      </c>
      <c r="O318" s="196"/>
      <c r="P318" s="156">
        <f t="shared" ref="P318" si="526">P317-P315</f>
        <v>25.352085440346855</v>
      </c>
      <c r="Q318" s="245">
        <f>Q317-Q315</f>
        <v>0</v>
      </c>
      <c r="R318" s="238"/>
      <c r="S318" s="156">
        <f>S317-S315</f>
        <v>26.84149893122958</v>
      </c>
      <c r="T318" s="196"/>
      <c r="U318" s="156">
        <f t="shared" ref="U318" si="527">U317-U315</f>
        <v>26.84149893122958</v>
      </c>
      <c r="V318" s="245">
        <f>V317-V315</f>
        <v>0</v>
      </c>
      <c r="W318" s="238"/>
      <c r="X318" s="156">
        <f>X317-X315</f>
        <v>27.710584963722795</v>
      </c>
      <c r="Y318" s="196"/>
      <c r="Z318" s="156">
        <f t="shared" ref="Z318" si="528">Z317-Z315</f>
        <v>27.710584963722795</v>
      </c>
      <c r="AA318" s="245">
        <f>AA317-AA315</f>
        <v>0</v>
      </c>
      <c r="AB318" s="265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</row>
    <row r="319" spans="1:42" s="192" customFormat="1" ht="11.25">
      <c r="A319" s="37"/>
      <c r="B319" s="37"/>
      <c r="C319" s="37"/>
      <c r="D319" s="191"/>
      <c r="E319" s="191" t="s">
        <v>268</v>
      </c>
      <c r="F319" s="191" t="str">
        <f t="shared" si="512"/>
        <v>Товары для детей</v>
      </c>
      <c r="G319" s="191" t="s">
        <v>219</v>
      </c>
      <c r="H319" s="315"/>
      <c r="I319" s="329">
        <f>I316-I318</f>
        <v>108.22535319819872</v>
      </c>
      <c r="J319" s="317"/>
      <c r="K319" s="329">
        <f t="shared" ref="K319" si="529">K316-K318</f>
        <v>108.22535319819872</v>
      </c>
      <c r="L319" s="330">
        <f t="shared" ref="L319" si="530">L316-L318</f>
        <v>0</v>
      </c>
      <c r="M319" s="274"/>
      <c r="N319" s="156">
        <f>N316-N318</f>
        <v>108.22535319819872</v>
      </c>
      <c r="O319" s="196"/>
      <c r="P319" s="156">
        <f t="shared" ref="P319" si="531">P316-P318</f>
        <v>108.22535319819872</v>
      </c>
      <c r="Q319" s="245">
        <f t="shared" ref="Q319" si="532">Q316-Q318</f>
        <v>0</v>
      </c>
      <c r="R319" s="238"/>
      <c r="S319" s="156">
        <f>S316-S318</f>
        <v>112.83896272194397</v>
      </c>
      <c r="T319" s="196"/>
      <c r="U319" s="156">
        <f t="shared" ref="U319" si="533">U316-U318</f>
        <v>112.83896272194397</v>
      </c>
      <c r="V319" s="245">
        <f t="shared" ref="V319" si="534">V316-V318</f>
        <v>0</v>
      </c>
      <c r="W319" s="238"/>
      <c r="X319" s="156">
        <f>X316-X318</f>
        <v>122.15384897241165</v>
      </c>
      <c r="Y319" s="196"/>
      <c r="Z319" s="156">
        <f t="shared" ref="Z319" si="535">Z316-Z318</f>
        <v>122.15384897241165</v>
      </c>
      <c r="AA319" s="245">
        <f t="shared" ref="AA319" si="536">AA316-AA318</f>
        <v>0</v>
      </c>
      <c r="AB319" s="265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</row>
    <row r="320" spans="1:42" s="5" customFormat="1">
      <c r="A320" s="1"/>
      <c r="B320" s="1"/>
      <c r="C320" s="1"/>
      <c r="D320" s="168"/>
      <c r="E320" s="168" t="s">
        <v>276</v>
      </c>
      <c r="F320" s="168" t="str">
        <f t="shared" si="512"/>
        <v>Товары для детей</v>
      </c>
      <c r="G320" s="168" t="s">
        <v>261</v>
      </c>
      <c r="H320" s="326"/>
      <c r="I320" s="327">
        <f>SUMIFS(операции!$V:$V,операции!$T:$T,"&lt;"&amp;I$8,операции!$X:$X,"",операции!$AB:$AB,"",операции!$P:$P,$F309)+SUMIFS(операции!$V:$V,операции!$T:$T,"&lt;"&amp;I$8,операции!$X:$X,"&gt;="&amp;I$8,операции!$AB:$AB,"",операции!$P:$P,$F309)+SUMIFS(операции!$V:$V,операции!$T:$T,"&lt;"&amp;I$8,операции!$X:$X,"",операции!$AB:$AB,"&gt;="&amp;I$8,операции!$P:$P,$F309)+SUMIFS(операции!$V:$V,операции!$T:$T,"&lt;"&amp;I$8,операции!$X:$X,"&gt;="&amp;I$8,операции!$AB:$AB,"&gt;="&amp;I$8,операции!$P:$P,$F309)</f>
        <v>450240.74</v>
      </c>
      <c r="J320" s="313">
        <f>I320-K320-L320</f>
        <v>0</v>
      </c>
      <c r="K320" s="327">
        <f>SUMIFS(операции!$V:$V,операции!$T:$T,"&lt;"&amp;I$8,операции!$X:$X,"",операции!$AB:$AB,"",операции!$L:$L,K$9,операции!$P:$P,$F309)+SUMIFS(операции!$V:$V,операции!$T:$T,"&lt;"&amp;I$8,операции!$X:$X,"&gt;="&amp;I$8,операции!$AB:$AB,"",операции!$L:$L,K$9,операции!$P:$P,$F309)+SUMIFS(операции!$V:$V,операции!$T:$T,"&lt;"&amp;I$8,операции!$X:$X,"",операции!$AB:$AB,"&gt;="&amp;I$8,операции!$L:$L,K$9,операции!$P:$P,$F309)+SUMIFS(операции!$V:$V,операции!$T:$T,"&lt;"&amp;I$8,операции!$X:$X,"&gt;="&amp;I$8,операции!$AB:$AB,"&gt;="&amp;I$8,операции!$L:$L,K$9,операции!$P:$P,$F309)</f>
        <v>450240.74</v>
      </c>
      <c r="L320" s="328">
        <f>SUMIFS(операции!$V:$V,операции!$T:$T,"&lt;"&amp;I$8,операции!$X:$X,"",операции!$AB:$AB,"",операции!$L:$L,L$9,операции!$P:$P,$F309)+SUMIFS(операции!$V:$V,операции!$T:$T,"&lt;"&amp;I$8,операции!$X:$X,"&gt;="&amp;I$8,операции!$AB:$AB,"",операции!$L:$L,L$9,операции!$P:$P,$F309)+SUMIFS(операции!$V:$V,операции!$T:$T,"&lt;"&amp;I$8,операции!$X:$X,"",операции!$AB:$AB,"&gt;="&amp;I$8,операции!$L:$L,L$9,операции!$P:$P,$F309)+SUMIFS(операции!$V:$V,операции!$T:$T,"&lt;"&amp;I$8,операции!$X:$X,"&gt;="&amp;I$8,операции!$AB:$AB,"&gt;="&amp;I$8,операции!$L:$L,L$9,операции!$P:$P,$F309)</f>
        <v>0</v>
      </c>
      <c r="M320" s="277"/>
      <c r="N320" s="169">
        <f>SUMIFS(операции!$V:$V,операции!$T:$T,"&lt;"&amp;N$8,операции!$X:$X,"",операции!$AB:$AB,"",операции!$P:$P,$F309)+SUMIFS(операции!$V:$V,операции!$T:$T,"&lt;"&amp;N$8,операции!$X:$X,"&gt;="&amp;N$8,операции!$AB:$AB,"",операции!$P:$P,$F309)+SUMIFS(операции!$V:$V,операции!$T:$T,"&lt;"&amp;N$8,операции!$X:$X,"",операции!$AB:$AB,"&gt;="&amp;N$8,операции!$P:$P,$F309)+SUMIFS(операции!$V:$V,операции!$T:$T,"&lt;"&amp;N$8,операции!$X:$X,"&gt;="&amp;N$8,операции!$AB:$AB,"&gt;="&amp;N$8,операции!$P:$P,$F309)</f>
        <v>450240.74</v>
      </c>
      <c r="O320" s="170">
        <f>N320-P320-Q320</f>
        <v>0</v>
      </c>
      <c r="P320" s="169">
        <f>SUMIFS(операции!$V:$V,операции!$T:$T,"&lt;"&amp;N$8,операции!$X:$X,"",операции!$AB:$AB,"",операции!$L:$L,P$9,операции!$P:$P,$F309)+SUMIFS(операции!$V:$V,операции!$T:$T,"&lt;"&amp;N$8,операции!$X:$X,"&gt;="&amp;N$8,операции!$AB:$AB,"",операции!$L:$L,P$9,операции!$P:$P,$F309)+SUMIFS(операции!$V:$V,операции!$T:$T,"&lt;"&amp;N$8,операции!$X:$X,"",операции!$AB:$AB,"&gt;="&amp;N$8,операции!$L:$L,P$9,операции!$P:$P,$F309)+SUMIFS(операции!$V:$V,операции!$T:$T,"&lt;"&amp;N$8,операции!$X:$X,"&gt;="&amp;N$8,операции!$AB:$AB,"&gt;="&amp;N$8,операции!$L:$L,P$9,операции!$P:$P,$F309)</f>
        <v>450240.74</v>
      </c>
      <c r="Q320" s="243">
        <f>SUMIFS(операции!$V:$V,операции!$T:$T,"&lt;"&amp;N$8,операции!$X:$X,"",операции!$AB:$AB,"",операции!$L:$L,Q$9,операции!$P:$P,$F309)+SUMIFS(операции!$V:$V,операции!$T:$T,"&lt;"&amp;N$8,операции!$X:$X,"&gt;="&amp;N$8,операции!$AB:$AB,"",операции!$L:$L,Q$9,операции!$P:$P,$F309)+SUMIFS(операции!$V:$V,операции!$T:$T,"&lt;"&amp;N$8,операции!$X:$X,"",операции!$AB:$AB,"&gt;="&amp;N$8,операции!$L:$L,Q$9,операции!$P:$P,$F309)+SUMIFS(операции!$V:$V,операции!$T:$T,"&lt;"&amp;N$8,операции!$X:$X,"&gt;="&amp;N$8,операции!$AB:$AB,"&gt;="&amp;N$8,операции!$L:$L,Q$9,операции!$P:$P,$F309)</f>
        <v>0</v>
      </c>
      <c r="R320" s="244"/>
      <c r="S320" s="169">
        <f>SUMIFS(операции!$V:$V,операции!$T:$T,"&lt;"&amp;S$8,операции!$X:$X,"",операции!$AB:$AB,"",операции!$P:$P,$F309)+SUMIFS(операции!$V:$V,операции!$T:$T,"&lt;"&amp;S$8,операции!$X:$X,"&gt;="&amp;S$8,операции!$AB:$AB,"",операции!$P:$P,$F309)+SUMIFS(операции!$V:$V,операции!$T:$T,"&lt;"&amp;S$8,операции!$X:$X,"",операции!$AB:$AB,"&gt;="&amp;S$8,операции!$P:$P,$F309)+SUMIFS(операции!$V:$V,операции!$T:$T,"&lt;"&amp;S$8,операции!$X:$X,"&gt;="&amp;S$8,операции!$AB:$AB,"&gt;="&amp;S$8,операции!$P:$P,$F309)</f>
        <v>337787.5</v>
      </c>
      <c r="T320" s="170">
        <f>S320-U320-V320</f>
        <v>0</v>
      </c>
      <c r="U320" s="169">
        <f>SUMIFS(операции!$V:$V,операции!$T:$T,"&lt;"&amp;S$8,операции!$X:$X,"",операции!$AB:$AB,"",операции!$L:$L,U$9,операции!$P:$P,$F309)+SUMIFS(операции!$V:$V,операции!$T:$T,"&lt;"&amp;S$8,операции!$X:$X,"&gt;="&amp;S$8,операции!$AB:$AB,"",операции!$L:$L,U$9,операции!$P:$P,$F309)+SUMIFS(операции!$V:$V,операции!$T:$T,"&lt;"&amp;S$8,операции!$X:$X,"",операции!$AB:$AB,"&gt;="&amp;S$8,операции!$L:$L,U$9,операции!$P:$P,$F309)+SUMIFS(операции!$V:$V,операции!$T:$T,"&lt;"&amp;S$8,операции!$X:$X,"&gt;="&amp;S$8,операции!$AB:$AB,"&gt;="&amp;S$8,операции!$L:$L,U$9,операции!$P:$P,$F309)</f>
        <v>259538.40999999997</v>
      </c>
      <c r="V320" s="243">
        <f>SUMIFS(операции!$V:$V,операции!$T:$T,"&lt;"&amp;S$8,операции!$X:$X,"",операции!$AB:$AB,"",операции!$L:$L,V$9,операции!$P:$P,$F309)+SUMIFS(операции!$V:$V,операции!$T:$T,"&lt;"&amp;S$8,операции!$X:$X,"&gt;="&amp;S$8,операции!$AB:$AB,"",операции!$L:$L,V$9,операции!$P:$P,$F309)+SUMIFS(операции!$V:$V,операции!$T:$T,"&lt;"&amp;S$8,операции!$X:$X,"",операции!$AB:$AB,"&gt;="&amp;S$8,операции!$L:$L,V$9,операции!$P:$P,$F309)+SUMIFS(операции!$V:$V,операции!$T:$T,"&lt;"&amp;S$8,операции!$X:$X,"&gt;="&amp;S$8,операции!$AB:$AB,"&gt;="&amp;S$8,операции!$L:$L,V$9,операции!$P:$P,$F309)</f>
        <v>78249.09</v>
      </c>
      <c r="W320" s="244"/>
      <c r="X320" s="169">
        <f>SUMIFS(операции!$V:$V,операции!$T:$T,"&lt;"&amp;X$8,операции!$X:$X,"",операции!$AB:$AB,"",операции!$P:$P,$F309)+SUMIFS(операции!$V:$V,операции!$T:$T,"&lt;"&amp;X$8,операции!$X:$X,"&gt;="&amp;X$8,операции!$AB:$AB,"",операции!$P:$P,$F309)+SUMIFS(операции!$V:$V,операции!$T:$T,"&lt;"&amp;X$8,операции!$X:$X,"",операции!$AB:$AB,"&gt;="&amp;X$8,операции!$P:$P,$F309)+SUMIFS(операции!$V:$V,операции!$T:$T,"&lt;"&amp;X$8,операции!$X:$X,"&gt;="&amp;X$8,операции!$AB:$AB,"&gt;="&amp;X$8,операции!$P:$P,$F309)</f>
        <v>859685.08999999973</v>
      </c>
      <c r="Y320" s="170">
        <f>X320-Z320-AA320</f>
        <v>0</v>
      </c>
      <c r="Z320" s="169">
        <f>SUMIFS(операции!$V:$V,операции!$T:$T,"&lt;"&amp;X$8,операции!$X:$X,"",операции!$AB:$AB,"",операции!$L:$L,Z$9,операции!$P:$P,$F309)+SUMIFS(операции!$V:$V,операции!$T:$T,"&lt;"&amp;X$8,операции!$X:$X,"&gt;="&amp;X$8,операции!$AB:$AB,"",операции!$L:$L,Z$9,операции!$P:$P,$F309)+SUMIFS(операции!$V:$V,операции!$T:$T,"&lt;"&amp;X$8,операции!$X:$X,"",операции!$AB:$AB,"&gt;="&amp;X$8,операции!$L:$L,Z$9,операции!$P:$P,$F309)+SUMIFS(операции!$V:$V,операции!$T:$T,"&lt;"&amp;X$8,операции!$X:$X,"&gt;="&amp;X$8,операции!$AB:$AB,"&gt;="&amp;X$8,операции!$L:$L,Z$9,операции!$P:$P,$F309)</f>
        <v>108514.26999999999</v>
      </c>
      <c r="AA320" s="243">
        <f>SUMIFS(операции!$V:$V,операции!$T:$T,"&lt;"&amp;X$8,операции!$X:$X,"",операции!$AB:$AB,"",операции!$L:$L,AA$9,операции!$P:$P,$F309)+SUMIFS(операции!$V:$V,операции!$T:$T,"&lt;"&amp;X$8,операции!$X:$X,"&gt;="&amp;X$8,операции!$AB:$AB,"",операции!$L:$L,AA$9,операции!$P:$P,$F309)+SUMIFS(операции!$V:$V,операции!$T:$T,"&lt;"&amp;X$8,операции!$X:$X,"",операции!$AB:$AB,"&gt;="&amp;X$8,операции!$L:$L,AA$9,операции!$P:$P,$F309)+SUMIFS(операции!$V:$V,операции!$T:$T,"&lt;"&amp;X$8,операции!$X:$X,"&gt;="&amp;X$8,операции!$AB:$AB,"&gt;="&amp;X$8,операции!$L:$L,AA$9,операции!$P:$P,$F309)</f>
        <v>751170.82</v>
      </c>
      <c r="AB320" s="266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s="192" customFormat="1" ht="11.25">
      <c r="A321" s="37"/>
      <c r="B321" s="37"/>
      <c r="C321" s="37"/>
      <c r="D321" s="191"/>
      <c r="E321" s="191" t="s">
        <v>255</v>
      </c>
      <c r="F321" s="191" t="str">
        <f t="shared" si="512"/>
        <v>Товары для детей</v>
      </c>
      <c r="G321" s="191" t="s">
        <v>262</v>
      </c>
      <c r="H321" s="315"/>
      <c r="I321" s="316">
        <f>IF(I320=0,0,(SUMIFS(операции!$AF:$AF,операции!$T:$T,"&lt;"&amp;I$8,операции!$X:$X,"",операции!$AB:$AB,"",операции!$P:$P,$F309)+SUMIFS(операции!$AF:$AF,операции!$T:$T,"&lt;"&amp;I$8,операции!$X:$X,"&gt;="&amp;I$8,операции!$AB:$AB,"",операции!$P:$P,$F309)+SUMIFS(операции!$AF:$AF,операции!$T:$T,"&lt;"&amp;I$8,операции!$X:$X,"",операции!$AB:$AB,"&gt;="&amp;I$8,операции!$P:$P,$F309)+SUMIFS(операции!$AF:$AF,операции!$T:$T,"&lt;"&amp;I$8,операции!$X:$X,"&gt;="&amp;I$8,операции!$AB:$AB,"&gt;="&amp;I$8,операции!$P:$P,$F309))/I320)</f>
        <v>42215.603323812946</v>
      </c>
      <c r="J321" s="317"/>
      <c r="K321" s="316">
        <f>IF(K320=0,0,(SUMIFS(операции!$AF:$AF,операции!$T:$T,"&lt;"&amp;I$8,операции!$X:$X,"",операции!$AB:$AB,"",операции!$L:$L,K$9,операции!$P:$P,$F309)+SUMIFS(операции!$AF:$AF,операции!$T:$T,"&lt;"&amp;I$8,операции!$X:$X,"&gt;="&amp;I$8,операции!$AB:$AB,"",операции!$L:$L,K$9,операции!$P:$P,$F309)+SUMIFS(операции!$AF:$AF,операции!$T:$T,"&lt;"&amp;I$8,операции!$X:$X,"",операции!$AB:$AB,"&gt;="&amp;I$8,операции!$L:$L,K$9,операции!$P:$P,$F309)+SUMIFS(операции!$AF:$AF,операции!$T:$T,"&lt;"&amp;I$8,операции!$X:$X,"&gt;="&amp;I$8,операции!$AB:$AB,"&gt;="&amp;I$8,операции!$L:$L,K$9,операции!$P:$P,$F309))/K320)</f>
        <v>42215.603323812946</v>
      </c>
      <c r="L321" s="318">
        <f>IF(L320=0,0,(SUMIFS(операции!$AF:$AF,операции!$T:$T,"&lt;"&amp;I$8,операции!$X:$X,"",операции!$AB:$AB,"",операции!$L:$L,L$9,операции!$P:$P,$F309)+SUMIFS(операции!$AF:$AF,операции!$T:$T,"&lt;"&amp;I$8,операции!$X:$X,"&gt;="&amp;I$8,операции!$AB:$AB,"",операции!$L:$L,L$9,операции!$P:$P,$F309)+SUMIFS(операции!$AF:$AF,операции!$T:$T,"&lt;"&amp;I$8,операции!$X:$X,"",операции!$AB:$AB,"&gt;="&amp;I$8,операции!$L:$L,L$9,операции!$P:$P,$F309)+SUMIFS(операции!$AF:$AF,операции!$T:$T,"&lt;"&amp;I$8,операции!$X:$X,"&gt;="&amp;I$8,операции!$AB:$AB,"&gt;="&amp;I$8,операции!$L:$L,L$9,операции!$P:$P,$F309))/L320)</f>
        <v>0</v>
      </c>
      <c r="M321" s="274"/>
      <c r="N321" s="193">
        <f>IF(N320=0,0,(SUMIFS(операции!$AF:$AF,операции!$T:$T,"&lt;"&amp;N$8,операции!$X:$X,"",операции!$AB:$AB,"",операции!$P:$P,$F309)+SUMIFS(операции!$AF:$AF,операции!$T:$T,"&lt;"&amp;N$8,операции!$X:$X,"&gt;="&amp;N$8,операции!$AB:$AB,"",операции!$P:$P,$F309)+SUMIFS(операции!$AF:$AF,операции!$T:$T,"&lt;"&amp;N$8,операции!$X:$X,"",операции!$AB:$AB,"&gt;="&amp;N$8,операции!$P:$P,$F309)+SUMIFS(операции!$AF:$AF,операции!$T:$T,"&lt;"&amp;N$8,операции!$X:$X,"&gt;="&amp;N$8,операции!$AB:$AB,"&gt;="&amp;N$8,операции!$P:$P,$F309))/N320)</f>
        <v>42215.603323812946</v>
      </c>
      <c r="O321" s="196"/>
      <c r="P321" s="193">
        <f>IF(P320=0,0,(SUMIFS(операции!$AF:$AF,операции!$T:$T,"&lt;"&amp;N$8,операции!$X:$X,"",операции!$AB:$AB,"",операции!$L:$L,P$9,операции!$P:$P,$F309)+SUMIFS(операции!$AF:$AF,операции!$T:$T,"&lt;"&amp;N$8,операции!$X:$X,"&gt;="&amp;N$8,операции!$AB:$AB,"",операции!$L:$L,P$9,операции!$P:$P,$F309)+SUMIFS(операции!$AF:$AF,операции!$T:$T,"&lt;"&amp;N$8,операции!$X:$X,"",операции!$AB:$AB,"&gt;="&amp;N$8,операции!$L:$L,P$9,операции!$P:$P,$F309)+SUMIFS(операции!$AF:$AF,операции!$T:$T,"&lt;"&amp;N$8,операции!$X:$X,"&gt;="&amp;N$8,операции!$AB:$AB,"&gt;="&amp;N$8,операции!$L:$L,P$9,операции!$P:$P,$F309))/P320)</f>
        <v>42215.603323812946</v>
      </c>
      <c r="Q321" s="237">
        <f>IF(Q320=0,0,(SUMIFS(операции!$AF:$AF,операции!$T:$T,"&lt;"&amp;N$8,операции!$X:$X,"",операции!$AB:$AB,"",операции!$L:$L,Q$9,операции!$P:$P,$F309)+SUMIFS(операции!$AF:$AF,операции!$T:$T,"&lt;"&amp;N$8,операции!$X:$X,"&gt;="&amp;N$8,операции!$AB:$AB,"",операции!$L:$L,Q$9,операции!$P:$P,$F309)+SUMIFS(операции!$AF:$AF,операции!$T:$T,"&lt;"&amp;N$8,операции!$X:$X,"",операции!$AB:$AB,"&gt;="&amp;N$8,операции!$L:$L,Q$9,операции!$P:$P,$F309)+SUMIFS(операции!$AF:$AF,операции!$T:$T,"&lt;"&amp;N$8,операции!$X:$X,"&gt;="&amp;N$8,операции!$AB:$AB,"&gt;="&amp;N$8,операции!$L:$L,Q$9,операции!$P:$P,$F309))/Q320)</f>
        <v>0</v>
      </c>
      <c r="R321" s="238"/>
      <c r="S321" s="193">
        <f>IF(S320=0,0,(SUMIFS(операции!$AF:$AF,операции!$T:$T,"&lt;"&amp;S$8,операции!$X:$X,"",операции!$AB:$AB,"",операции!$P:$P,$F309)+SUMIFS(операции!$AF:$AF,операции!$T:$T,"&lt;"&amp;S$8,операции!$X:$X,"&gt;="&amp;S$8,операции!$AB:$AB,"",операции!$P:$P,$F309)+SUMIFS(операции!$AF:$AF,операции!$T:$T,"&lt;"&amp;S$8,операции!$X:$X,"",операции!$AB:$AB,"&gt;="&amp;S$8,операции!$P:$P,$F309)+SUMIFS(операции!$AF:$AF,операции!$T:$T,"&lt;"&amp;S$8,операции!$X:$X,"&gt;="&amp;S$8,операции!$AB:$AB,"&gt;="&amp;S$8,операции!$P:$P,$F309))/S320)</f>
        <v>42231.48202497133</v>
      </c>
      <c r="T321" s="196"/>
      <c r="U321" s="193">
        <f>IF(U320=0,0,(SUMIFS(операции!$AF:$AF,операции!$T:$T,"&lt;"&amp;S$8,операции!$X:$X,"",операции!$AB:$AB,"",операции!$L:$L,U$9,операции!$P:$P,$F309)+SUMIFS(операции!$AF:$AF,операции!$T:$T,"&lt;"&amp;S$8,операции!$X:$X,"&gt;="&amp;S$8,операции!$AB:$AB,"",операции!$L:$L,U$9,операции!$P:$P,$F309)+SUMIFS(операции!$AF:$AF,операции!$T:$T,"&lt;"&amp;S$8,операции!$X:$X,"",операции!$AB:$AB,"&gt;="&amp;S$8,операции!$L:$L,U$9,операции!$P:$P,$F309)+SUMIFS(операции!$AF:$AF,операции!$T:$T,"&lt;"&amp;S$8,операции!$X:$X,"&gt;="&amp;S$8,операции!$AB:$AB,"&gt;="&amp;S$8,операции!$L:$L,U$9,операции!$P:$P,$F309))/U320)</f>
        <v>42208.976840614851</v>
      </c>
      <c r="V321" s="237">
        <f>IF(V320=0,0,(SUMIFS(операции!$AF:$AF,операции!$T:$T,"&lt;"&amp;S$8,операции!$X:$X,"",операции!$AB:$AB,"",операции!$L:$L,V$9,операции!$P:$P,$F309)+SUMIFS(операции!$AF:$AF,операции!$T:$T,"&lt;"&amp;S$8,операции!$X:$X,"&gt;="&amp;S$8,операции!$AB:$AB,"",операции!$L:$L,V$9,операции!$P:$P,$F309)+SUMIFS(операции!$AF:$AF,операции!$T:$T,"&lt;"&amp;S$8,операции!$X:$X,"",операции!$AB:$AB,"&gt;="&amp;S$8,операции!$L:$L,V$9,операции!$P:$P,$F309)+SUMIFS(операции!$AF:$AF,операции!$T:$T,"&lt;"&amp;S$8,операции!$X:$X,"&gt;="&amp;S$8,операции!$AB:$AB,"&gt;="&amp;S$8,операции!$L:$L,V$9,операции!$P:$P,$F309))/V320)</f>
        <v>42306.127746277947</v>
      </c>
      <c r="W321" s="238"/>
      <c r="X321" s="193">
        <f>IF(X320=0,0,(SUMIFS(операции!$AF:$AF,операции!$T:$T,"&lt;"&amp;X$8,операции!$X:$X,"",операции!$AB:$AB,"",операции!$P:$P,$F309)+SUMIFS(операции!$AF:$AF,операции!$T:$T,"&lt;"&amp;X$8,операции!$X:$X,"&gt;="&amp;X$8,операции!$AB:$AB,"",операции!$P:$P,$F309)+SUMIFS(операции!$AF:$AF,операции!$T:$T,"&lt;"&amp;X$8,операции!$X:$X,"",операции!$AB:$AB,"&gt;="&amp;X$8,операции!$P:$P,$F309)+SUMIFS(операции!$AF:$AF,операции!$T:$T,"&lt;"&amp;X$8,операции!$X:$X,"&gt;="&amp;X$8,операции!$AB:$AB,"&gt;="&amp;X$8,операции!$P:$P,$F309))/X320)</f>
        <v>42315.786233433464</v>
      </c>
      <c r="Y321" s="196"/>
      <c r="Z321" s="193">
        <f>IF(Z320=0,0,(SUMIFS(операции!$AF:$AF,операции!$T:$T,"&lt;"&amp;X$8,операции!$X:$X,"",операции!$AB:$AB,"",операции!$L:$L,Z$9,операции!$P:$P,$F309)+SUMIFS(операции!$AF:$AF,операции!$T:$T,"&lt;"&amp;X$8,операции!$X:$X,"&gt;="&amp;X$8,операции!$AB:$AB,"",операции!$L:$L,Z$9,операции!$P:$P,$F309)+SUMIFS(операции!$AF:$AF,операции!$T:$T,"&lt;"&amp;X$8,операции!$X:$X,"",операции!$AB:$AB,"&gt;="&amp;X$8,операции!$L:$L,Z$9,операции!$P:$P,$F309)+SUMIFS(операции!$AF:$AF,операции!$T:$T,"&lt;"&amp;X$8,операции!$X:$X,"&gt;="&amp;X$8,операции!$AB:$AB,"&gt;="&amp;X$8,операции!$L:$L,Z$9,операции!$P:$P,$F309))/Z320)</f>
        <v>42177.637066258671</v>
      </c>
      <c r="AA321" s="237">
        <f>IF(AA320=0,0,(SUMIFS(операции!$AF:$AF,операции!$T:$T,"&lt;"&amp;X$8,операции!$X:$X,"",операции!$AB:$AB,"",операции!$L:$L,AA$9,операции!$P:$P,$F309)+SUMIFS(операции!$AF:$AF,операции!$T:$T,"&lt;"&amp;X$8,операции!$X:$X,"&gt;="&amp;X$8,операции!$AB:$AB,"",операции!$L:$L,AA$9,операции!$P:$P,$F309)+SUMIFS(операции!$AF:$AF,операции!$T:$T,"&lt;"&amp;X$8,операции!$X:$X,"",операции!$AB:$AB,"&gt;="&amp;X$8,операции!$L:$L,AA$9,операции!$P:$P,$F309)+SUMIFS(операции!$AF:$AF,операции!$T:$T,"&lt;"&amp;X$8,операции!$X:$X,"&gt;="&amp;X$8,операции!$AB:$AB,"&gt;="&amp;X$8,операции!$L:$L,AA$9,операции!$P:$P,$F309))/AA320)</f>
        <v>42335.74328664683</v>
      </c>
      <c r="AB321" s="265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</row>
    <row r="322" spans="1:42" s="192" customFormat="1" ht="11.25">
      <c r="A322" s="37"/>
      <c r="B322" s="37"/>
      <c r="C322" s="37"/>
      <c r="D322" s="191"/>
      <c r="E322" s="191" t="s">
        <v>263</v>
      </c>
      <c r="F322" s="191" t="str">
        <f t="shared" si="512"/>
        <v>Товары для детей</v>
      </c>
      <c r="G322" s="191" t="s">
        <v>219</v>
      </c>
      <c r="H322" s="315"/>
      <c r="I322" s="329">
        <f>IF(I320=0,0,I$8-I321)</f>
        <v>62.396676187054254</v>
      </c>
      <c r="J322" s="317"/>
      <c r="K322" s="329">
        <f>IF(K320=0,0,I$8-K321)</f>
        <v>62.396676187054254</v>
      </c>
      <c r="L322" s="330">
        <f>IF(L320=0,0,I$8-L321)</f>
        <v>0</v>
      </c>
      <c r="M322" s="274"/>
      <c r="N322" s="156">
        <f>IF(N320=0,0,N$8-N321)</f>
        <v>62.396676187054254</v>
      </c>
      <c r="O322" s="196"/>
      <c r="P322" s="156">
        <f>IF(P320=0,0,N$8-P321)</f>
        <v>62.396676187054254</v>
      </c>
      <c r="Q322" s="245">
        <f>IF(Q320=0,0,N$8-Q321)</f>
        <v>0</v>
      </c>
      <c r="R322" s="238"/>
      <c r="S322" s="156">
        <f>IF(S320=0,0,S$8-S321)</f>
        <v>77.517975028669753</v>
      </c>
      <c r="T322" s="196"/>
      <c r="U322" s="156">
        <f>IF(U320=0,0,S$8-U321)</f>
        <v>100.02315938514948</v>
      </c>
      <c r="V322" s="245">
        <f>IF(V320=0,0,S$8-V321)</f>
        <v>2.8722537220528466</v>
      </c>
      <c r="W322" s="238"/>
      <c r="X322" s="156">
        <f>IF(X320=0,0,X$8-X321)</f>
        <v>23.213766566535924</v>
      </c>
      <c r="Y322" s="196"/>
      <c r="Z322" s="156">
        <f>IF(Z320=0,0,X$8-Z321)</f>
        <v>161.36293374132947</v>
      </c>
      <c r="AA322" s="245">
        <f>IF(AA320=0,0,X$8-AA321)</f>
        <v>3.2567133531701984</v>
      </c>
      <c r="AB322" s="265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</row>
    <row r="323" spans="1:42" s="192" customFormat="1" ht="11.25">
      <c r="A323" s="37"/>
      <c r="B323" s="37"/>
      <c r="C323" s="37"/>
      <c r="D323" s="191"/>
      <c r="E323" s="191" t="s">
        <v>311</v>
      </c>
      <c r="F323" s="191" t="str">
        <f t="shared" si="512"/>
        <v>Товары для детей</v>
      </c>
      <c r="G323" s="191" t="s">
        <v>262</v>
      </c>
      <c r="H323" s="315"/>
      <c r="I323" s="316">
        <f>I$8</f>
        <v>42278</v>
      </c>
      <c r="J323" s="317"/>
      <c r="K323" s="316">
        <f>I$8</f>
        <v>42278</v>
      </c>
      <c r="L323" s="318">
        <f>I$8</f>
        <v>42278</v>
      </c>
      <c r="M323" s="274"/>
      <c r="N323" s="193">
        <f>N$8</f>
        <v>42278</v>
      </c>
      <c r="O323" s="196"/>
      <c r="P323" s="193">
        <f>N$8</f>
        <v>42278</v>
      </c>
      <c r="Q323" s="237">
        <f>N$8</f>
        <v>42278</v>
      </c>
      <c r="R323" s="238"/>
      <c r="S323" s="193">
        <f>S$8</f>
        <v>42309</v>
      </c>
      <c r="T323" s="196"/>
      <c r="U323" s="193">
        <f>S$8</f>
        <v>42309</v>
      </c>
      <c r="V323" s="237">
        <f>S$8</f>
        <v>42309</v>
      </c>
      <c r="W323" s="238"/>
      <c r="X323" s="193">
        <f>X$8</f>
        <v>42339</v>
      </c>
      <c r="Y323" s="196"/>
      <c r="Z323" s="193">
        <f>X$8</f>
        <v>42339</v>
      </c>
      <c r="AA323" s="237">
        <f>X$8</f>
        <v>42339</v>
      </c>
      <c r="AB323" s="265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</row>
    <row r="324" spans="1:42" s="192" customFormat="1" ht="11.25">
      <c r="A324" s="37"/>
      <c r="B324" s="37"/>
      <c r="C324" s="37"/>
      <c r="D324" s="191"/>
      <c r="E324" s="191" t="s">
        <v>264</v>
      </c>
      <c r="F324" s="191" t="str">
        <f t="shared" si="512"/>
        <v>Товары для детей</v>
      </c>
      <c r="G324" s="191" t="s">
        <v>219</v>
      </c>
      <c r="H324" s="315"/>
      <c r="I324" s="329">
        <f>IF(I320=0,0,I323-I321)</f>
        <v>62.396676187054254</v>
      </c>
      <c r="J324" s="317"/>
      <c r="K324" s="329">
        <f>IF(K320=0,0,K323-K321)</f>
        <v>62.396676187054254</v>
      </c>
      <c r="L324" s="330">
        <f>IF(L320=0,0,L323-L321)</f>
        <v>0</v>
      </c>
      <c r="M324" s="274"/>
      <c r="N324" s="156">
        <f>IF(N320=0,0,N323-N321)</f>
        <v>62.396676187054254</v>
      </c>
      <c r="O324" s="196"/>
      <c r="P324" s="156">
        <f>IF(P320=0,0,P323-P321)</f>
        <v>62.396676187054254</v>
      </c>
      <c r="Q324" s="245">
        <f>IF(Q320=0,0,Q323-Q321)</f>
        <v>0</v>
      </c>
      <c r="R324" s="238"/>
      <c r="S324" s="156">
        <f>IF(S320=0,0,S323-S321)</f>
        <v>77.517975028669753</v>
      </c>
      <c r="T324" s="196"/>
      <c r="U324" s="156">
        <f>IF(U320=0,0,U323-U321)</f>
        <v>100.02315938514948</v>
      </c>
      <c r="V324" s="245">
        <f>IF(V320=0,0,V323-V321)</f>
        <v>2.8722537220528466</v>
      </c>
      <c r="W324" s="238"/>
      <c r="X324" s="156">
        <f>IF(X320=0,0,X323-X321)</f>
        <v>23.213766566535924</v>
      </c>
      <c r="Y324" s="196"/>
      <c r="Z324" s="156">
        <f>IF(Z320=0,0,Z323-Z321)</f>
        <v>161.36293374132947</v>
      </c>
      <c r="AA324" s="245">
        <f>IF(AA320=0,0,AA323-AA321)</f>
        <v>3.2567133531701984</v>
      </c>
      <c r="AB324" s="265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</row>
    <row r="325" spans="1:42" s="192" customFormat="1" ht="11.25">
      <c r="A325" s="37"/>
      <c r="B325" s="37"/>
      <c r="C325" s="37"/>
      <c r="D325" s="207"/>
      <c r="E325" s="207" t="s">
        <v>269</v>
      </c>
      <c r="F325" s="207" t="str">
        <f t="shared" si="512"/>
        <v>Товары для детей</v>
      </c>
      <c r="G325" s="207" t="s">
        <v>219</v>
      </c>
      <c r="H325" s="331"/>
      <c r="I325" s="332">
        <f>I322-I324</f>
        <v>0</v>
      </c>
      <c r="J325" s="333"/>
      <c r="K325" s="332">
        <f t="shared" ref="K325" si="537">K322-K324</f>
        <v>0</v>
      </c>
      <c r="L325" s="334">
        <f>L322-L324</f>
        <v>0</v>
      </c>
      <c r="M325" s="278"/>
      <c r="N325" s="162">
        <f>N322-N324</f>
        <v>0</v>
      </c>
      <c r="O325" s="208"/>
      <c r="P325" s="162">
        <f t="shared" ref="P325" si="538">P322-P324</f>
        <v>0</v>
      </c>
      <c r="Q325" s="246">
        <f>Q322-Q324</f>
        <v>0</v>
      </c>
      <c r="R325" s="247"/>
      <c r="S325" s="162">
        <f>S322-S324</f>
        <v>0</v>
      </c>
      <c r="T325" s="208"/>
      <c r="U325" s="162">
        <f t="shared" ref="U325" si="539">U322-U324</f>
        <v>0</v>
      </c>
      <c r="V325" s="246">
        <f>V322-V324</f>
        <v>0</v>
      </c>
      <c r="W325" s="247"/>
      <c r="X325" s="162">
        <f>X322-X324</f>
        <v>0</v>
      </c>
      <c r="Y325" s="208"/>
      <c r="Z325" s="162">
        <f t="shared" ref="Z325" si="540">Z322-Z324</f>
        <v>0</v>
      </c>
      <c r="AA325" s="246">
        <f>AA322-AA324</f>
        <v>0</v>
      </c>
      <c r="AB325" s="265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</row>
    <row r="326" spans="1:42" s="111" customFormat="1" ht="11.25">
      <c r="A326" s="108"/>
      <c r="B326" s="108"/>
      <c r="C326" s="108" t="s">
        <v>272</v>
      </c>
      <c r="D326" s="109"/>
      <c r="E326" s="109"/>
      <c r="F326" s="109" t="str">
        <f t="shared" si="512"/>
        <v>Товары для детей</v>
      </c>
      <c r="G326" s="109"/>
      <c r="H326" s="307"/>
      <c r="I326" s="308">
        <f>I327-K327-L327</f>
        <v>0</v>
      </c>
      <c r="J326" s="335"/>
      <c r="K326" s="308"/>
      <c r="L326" s="336"/>
      <c r="M326" s="272"/>
      <c r="N326" s="110">
        <f>N327-P327-Q327</f>
        <v>0</v>
      </c>
      <c r="O326" s="105"/>
      <c r="P326" s="110"/>
      <c r="Q326" s="248"/>
      <c r="R326" s="234"/>
      <c r="S326" s="110">
        <f>S327-U327-V327</f>
        <v>0</v>
      </c>
      <c r="T326" s="105"/>
      <c r="U326" s="110"/>
      <c r="V326" s="248"/>
      <c r="W326" s="234"/>
      <c r="X326" s="110">
        <f>X327-Z327-AA327</f>
        <v>0</v>
      </c>
      <c r="Y326" s="105"/>
      <c r="Z326" s="110"/>
      <c r="AA326" s="248"/>
      <c r="AB326" s="263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</row>
    <row r="327" spans="1:42" s="5" customFormat="1">
      <c r="A327" s="1"/>
      <c r="B327" s="1"/>
      <c r="C327" s="1"/>
      <c r="D327" s="168" t="s">
        <v>273</v>
      </c>
      <c r="E327" s="168"/>
      <c r="F327" s="168" t="str">
        <f t="shared" si="512"/>
        <v>Товары для детей</v>
      </c>
      <c r="G327" s="168" t="s">
        <v>261</v>
      </c>
      <c r="H327" s="326"/>
      <c r="I327" s="327">
        <f>SUMIFS(операции!$V:$V,операции!$T:$T,"&gt;="&amp;I$8,операции!$T:$T,"&lt;="&amp;I$9,операции!$P:$P,$F309)</f>
        <v>1949725.4999999988</v>
      </c>
      <c r="J327" s="313"/>
      <c r="K327" s="327">
        <f>SUMIFS(операции!$V:$V,операции!$T:$T,"&gt;="&amp;I$8,операции!$T:$T,"&lt;="&amp;I$9,операции!$L:$L,K$9,операции!$P:$P,$F309)</f>
        <v>124868.22000000003</v>
      </c>
      <c r="L327" s="328">
        <f>SUMIFS(операции!$V:$V,операции!$T:$T,"&gt;="&amp;I$8,операции!$T:$T,"&lt;="&amp;I$9,операции!$L:$L,L$9,операции!$P:$P,$F309)</f>
        <v>1824857.2799999989</v>
      </c>
      <c r="M327" s="277"/>
      <c r="N327" s="169">
        <f>SUMIFS(операции!$V:$V,операции!$T:$T,"&gt;="&amp;N$8,операции!$T:$T,"&lt;="&amp;N$9,операции!$P:$P,$F309)</f>
        <v>364522.56999999995</v>
      </c>
      <c r="O327" s="170"/>
      <c r="P327" s="169">
        <f>SUMIFS(операции!$V:$V,операции!$T:$T,"&gt;="&amp;N$8,операции!$T:$T,"&lt;="&amp;N$9,операции!$L:$L,P$9,операции!$P:$P,$F309)</f>
        <v>110331.62000000004</v>
      </c>
      <c r="Q327" s="243">
        <f>SUMIFS(операции!$V:$V,операции!$T:$T,"&gt;="&amp;N$8,операции!$T:$T,"&lt;="&amp;N$9,операции!$L:$L,Q$9,операции!$P:$P,$F309)</f>
        <v>254190.95000000004</v>
      </c>
      <c r="R327" s="244"/>
      <c r="S327" s="169">
        <f>SUMIFS(операции!$V:$V,операции!$T:$T,"&gt;="&amp;S$8,операции!$T:$T,"&lt;="&amp;S$9,операции!$P:$P,$F309)</f>
        <v>1447910.3699999987</v>
      </c>
      <c r="T327" s="170"/>
      <c r="U327" s="169">
        <f>SUMIFS(операции!$V:$V,операции!$T:$T,"&gt;="&amp;S$8,операции!$T:$T,"&lt;="&amp;S$9,операции!$L:$L,U$9,операции!$P:$P,$F309)</f>
        <v>14536.6</v>
      </c>
      <c r="V327" s="243">
        <f>SUMIFS(операции!$V:$V,операции!$T:$T,"&gt;="&amp;S$8,операции!$T:$T,"&lt;="&amp;S$9,операции!$L:$L,V$9,операции!$P:$P,$F309)</f>
        <v>1433373.7699999986</v>
      </c>
      <c r="W327" s="244"/>
      <c r="X327" s="169">
        <f>SUMIFS(операции!$V:$V,операции!$T:$T,"&gt;="&amp;X$8,операции!$T:$T,"&lt;="&amp;X$9,операции!$P:$P,$F309)</f>
        <v>137292.56</v>
      </c>
      <c r="Y327" s="170"/>
      <c r="Z327" s="169">
        <f>SUMIFS(операции!$V:$V,операции!$T:$T,"&gt;="&amp;X$8,операции!$T:$T,"&lt;="&amp;X$9,операции!$L:$L,Z$9,операции!$P:$P,$F309)</f>
        <v>0</v>
      </c>
      <c r="AA327" s="243">
        <f>SUMIFS(операции!$V:$V,операции!$T:$T,"&gt;="&amp;X$8,операции!$T:$T,"&lt;="&amp;X$9,операции!$L:$L,AA$9,операции!$P:$P,$F309)</f>
        <v>137292.56</v>
      </c>
      <c r="AB327" s="266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s="192" customFormat="1" ht="11.25">
      <c r="A328" s="37"/>
      <c r="B328" s="37"/>
      <c r="C328" s="37"/>
      <c r="D328" s="207" t="s">
        <v>255</v>
      </c>
      <c r="E328" s="207"/>
      <c r="F328" s="207" t="str">
        <f t="shared" si="512"/>
        <v>Товары для детей</v>
      </c>
      <c r="G328" s="207" t="s">
        <v>262</v>
      </c>
      <c r="H328" s="331"/>
      <c r="I328" s="337">
        <f>IF(I327=0,0,SUMIFS(операции!$AF:$AF,операции!$T:$T,"&gt;="&amp;I$8,операции!$T:$T,"&lt;="&amp;I$9,операции!$P:$P,$F309)/I327)</f>
        <v>42325.958675854628</v>
      </c>
      <c r="J328" s="333"/>
      <c r="K328" s="337">
        <f>IF(K327=0,0,SUMIFS(операции!$AF:$AF,операции!$T:$T,"&gt;="&amp;I$8,операции!$T:$T,"&lt;="&amp;I$9,операции!$L:$L,K$9,операции!$P:$P,$F309)/K327)</f>
        <v>42291.265304094188</v>
      </c>
      <c r="L328" s="338">
        <f>IF(L327=0,0,SUMIFS(операции!$AF:$AF,операции!$T:$T,"&gt;="&amp;I$8,операции!$T:$T,"&lt;="&amp;I$9,операции!$L:$L,L$9,операции!$P:$P,$F309)/L327)</f>
        <v>42328.332614696315</v>
      </c>
      <c r="M328" s="278"/>
      <c r="N328" s="217">
        <f>IF(N327=0,0,SUMIFS(операции!$AF:$AF,операции!$T:$T,"&gt;="&amp;N$8,операции!$T:$T,"&lt;="&amp;N$9,операции!$P:$P,$F309)/N327)</f>
        <v>42297.507291606118</v>
      </c>
      <c r="O328" s="208"/>
      <c r="P328" s="217">
        <f>IF(P327=0,0,SUMIFS(операции!$AF:$AF,операции!$T:$T,"&gt;="&amp;N$8,операции!$T:$T,"&lt;="&amp;N$9,операции!$L:$L,P$9,операции!$P:$P,$F309)/P327)</f>
        <v>42288.121291702228</v>
      </c>
      <c r="Q328" s="249">
        <f>IF(Q327=0,0,SUMIFS(операции!$AF:$AF,операции!$T:$T,"&gt;="&amp;N$8,операции!$T:$T,"&lt;="&amp;N$9,операции!$L:$L,Q$9,операции!$P:$P,$F309)/Q327)</f>
        <v>42301.581286273162</v>
      </c>
      <c r="R328" s="247"/>
      <c r="S328" s="217">
        <f>IF(S327=0,0,SUMIFS(операции!$AF:$AF,операции!$T:$T,"&gt;="&amp;S$8,операции!$T:$T,"&lt;="&amp;S$9,операции!$P:$P,$F309)/S327)</f>
        <v>42329.586391469842</v>
      </c>
      <c r="T328" s="208"/>
      <c r="U328" s="217">
        <f>IF(U327=0,0,SUMIFS(операции!$AF:$AF,операции!$T:$T,"&gt;="&amp;S$8,операции!$T:$T,"&lt;="&amp;S$9,операции!$L:$L,U$9,операции!$P:$P,$F309)/U327)</f>
        <v>42315.128104233452</v>
      </c>
      <c r="V328" s="249">
        <f>IF(V327=0,0,SUMIFS(операции!$AF:$AF,операции!$T:$T,"&gt;="&amp;S$8,операции!$T:$T,"&lt;="&amp;S$9,операции!$L:$L,V$9,операции!$P:$P,$F309)/V327)</f>
        <v>42329.73302059243</v>
      </c>
      <c r="W328" s="247"/>
      <c r="X328" s="217">
        <f>IF(X327=0,0,SUMIFS(операции!$AF:$AF,операции!$T:$T,"&gt;="&amp;X$8,операции!$T:$T,"&lt;="&amp;X$9,операции!$P:$P,$F309)/X327)</f>
        <v>42363.240846481422</v>
      </c>
      <c r="Y328" s="208"/>
      <c r="Z328" s="217">
        <f>IF(Z327=0,0,SUMIFS(операции!$AF:$AF,операции!$T:$T,"&gt;="&amp;X$8,операции!$T:$T,"&lt;="&amp;X$9,операции!$L:$L,Z$9,операции!$P:$P,$F309)/Z327)</f>
        <v>0</v>
      </c>
      <c r="AA328" s="249">
        <f>IF(AA327=0,0,SUMIFS(операции!$AF:$AF,операции!$T:$T,"&gt;="&amp;X$8,операции!$T:$T,"&lt;="&amp;X$9,операции!$L:$L,AA$9,операции!$P:$P,$F309)/AA327)</f>
        <v>42363.240846481422</v>
      </c>
      <c r="AB328" s="265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</row>
    <row r="329" spans="1:42" s="93" customFormat="1" ht="15">
      <c r="A329" s="92"/>
      <c r="B329" s="92"/>
      <c r="C329" s="92"/>
      <c r="D329" s="212" t="s">
        <v>274</v>
      </c>
      <c r="E329" s="212"/>
      <c r="F329" s="212" t="str">
        <f t="shared" si="512"/>
        <v>Товары для детей</v>
      </c>
      <c r="G329" s="212" t="s">
        <v>261</v>
      </c>
      <c r="H329" s="339"/>
      <c r="I329" s="340">
        <f>SUMIFS(операции!$Z:$Z,операции!$X:$X,"&gt;="&amp;I$8,операции!$X:$X,"&lt;="&amp;I$9,операции!$P:$P,$F309)</f>
        <v>2705371</v>
      </c>
      <c r="J329" s="341">
        <f>I329-I342-I352</f>
        <v>0</v>
      </c>
      <c r="K329" s="340">
        <f>SUMIFS(операции!$Z:$Z,операции!$X:$X,"&gt;="&amp;I$8,операции!$X:$X,"&lt;="&amp;I$9,операции!$L:$L,K$9,операции!$P:$P,$F309)</f>
        <v>806510</v>
      </c>
      <c r="L329" s="342">
        <f>SUMIFS(операции!$Z:$Z,операции!$X:$X,"&gt;="&amp;I$8,операции!$X:$X,"&lt;="&amp;I$9,операции!$L:$L,L$9,операции!$P:$P,$F309)</f>
        <v>1898861</v>
      </c>
      <c r="M329" s="279"/>
      <c r="N329" s="213">
        <f>SUMIFS(операции!$Z:$Z,операции!$X:$X,"&gt;="&amp;N$8,операции!$X:$X,"&lt;="&amp;N$9,операции!$P:$P,$F309)</f>
        <v>550818</v>
      </c>
      <c r="O329" s="216">
        <f>N329-N342-N352</f>
        <v>0</v>
      </c>
      <c r="P329" s="213">
        <f>SUMIFS(операции!$Z:$Z,операции!$X:$X,"&gt;="&amp;N$8,операции!$X:$X,"&lt;="&amp;N$9,операции!$L:$L,P$9,операции!$P:$P,$F309)</f>
        <v>346202</v>
      </c>
      <c r="Q329" s="250">
        <f>SUMIFS(операции!$Z:$Z,операции!$X:$X,"&gt;="&amp;N$8,операции!$X:$X,"&lt;="&amp;N$9,операции!$L:$L,Q$9,операции!$P:$P,$F309)</f>
        <v>204616</v>
      </c>
      <c r="R329" s="251"/>
      <c r="S329" s="213">
        <f>SUMIFS(операции!$Z:$Z,операции!$X:$X,"&gt;="&amp;S$8,операции!$X:$X,"&lt;="&amp;S$9,операции!$P:$P,$F309)</f>
        <v>1233461</v>
      </c>
      <c r="T329" s="216">
        <f>S329-S342-S352</f>
        <v>0</v>
      </c>
      <c r="U329" s="213">
        <f>SUMIFS(операции!$Z:$Z,операции!$X:$X,"&gt;="&amp;S$8,операции!$X:$X,"&lt;="&amp;S$9,операции!$L:$L,U$9,операции!$P:$P,$F309)</f>
        <v>353261</v>
      </c>
      <c r="V329" s="250">
        <f>SUMIFS(операции!$Z:$Z,операции!$X:$X,"&gt;="&amp;S$8,операции!$X:$X,"&lt;="&amp;S$9,операции!$L:$L,V$9,операции!$P:$P,$F309)</f>
        <v>880200</v>
      </c>
      <c r="W329" s="251"/>
      <c r="X329" s="213">
        <f>SUMIFS(операции!$Z:$Z,операции!$X:$X,"&gt;="&amp;X$8,операции!$X:$X,"&lt;="&amp;X$9,операции!$P:$P,$F309)</f>
        <v>921092</v>
      </c>
      <c r="Y329" s="216">
        <f>X329-X342-X352</f>
        <v>0</v>
      </c>
      <c r="Z329" s="213">
        <f>SUMIFS(операции!$Z:$Z,операции!$X:$X,"&gt;="&amp;X$8,операции!$X:$X,"&lt;="&amp;X$9,операции!$L:$L,Z$9,операции!$P:$P,$F309)</f>
        <v>107047</v>
      </c>
      <c r="AA329" s="250">
        <f>SUMIFS(операции!$Z:$Z,операции!$X:$X,"&gt;="&amp;X$8,операции!$X:$X,"&lt;="&amp;X$9,операции!$L:$L,AA$9,операции!$P:$P,$F309)</f>
        <v>814045</v>
      </c>
      <c r="AB329" s="264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</row>
    <row r="330" spans="1:42" s="407" customFormat="1" ht="11.25">
      <c r="A330" s="404"/>
      <c r="B330" s="404"/>
      <c r="C330" s="404"/>
      <c r="D330" s="405" t="s">
        <v>332</v>
      </c>
      <c r="E330" s="405"/>
      <c r="F330" s="405" t="str">
        <f>F328</f>
        <v>Товары для детей</v>
      </c>
      <c r="G330" s="405" t="s">
        <v>218</v>
      </c>
      <c r="H330" s="408"/>
      <c r="I330" s="408">
        <f>IF(I$31=0,0,I329/I$31)</f>
        <v>0.72925454259232902</v>
      </c>
      <c r="J330" s="409"/>
      <c r="K330" s="408">
        <f t="shared" ref="K330" si="541">IF(K$31=0,0,K329/K$31)</f>
        <v>0.61949927565954921</v>
      </c>
      <c r="L330" s="410">
        <f t="shared" ref="L330" si="542">IF(L$31=0,0,L329/L$31)</f>
        <v>0.78859563221426787</v>
      </c>
      <c r="M330" s="411"/>
      <c r="N330" s="412">
        <f t="shared" ref="N330" si="543">IF(N$31=0,0,N329/N$31)</f>
        <v>0.71073015201231482</v>
      </c>
      <c r="O330" s="413"/>
      <c r="P330" s="412">
        <f t="shared" ref="P330" si="544">IF(P$31=0,0,P329/P$31)</f>
        <v>0.69174545832367584</v>
      </c>
      <c r="Q330" s="414">
        <f t="shared" ref="Q330" si="545">IF(Q$31=0,0,Q329/Q$31)</f>
        <v>0.74534016690525884</v>
      </c>
      <c r="R330" s="415"/>
      <c r="S330" s="412">
        <f t="shared" ref="S330" si="546">IF(S$31=0,0,S329/S$31)</f>
        <v>0.69502703281408917</v>
      </c>
      <c r="T330" s="413"/>
      <c r="U330" s="412">
        <f t="shared" ref="U330" si="547">IF(U$31=0,0,U329/U$31)</f>
        <v>0.56094989321243971</v>
      </c>
      <c r="V330" s="414">
        <f t="shared" ref="V330" si="548">IF(V$31=0,0,V329/V$31)</f>
        <v>0.76877390954984537</v>
      </c>
      <c r="W330" s="415"/>
      <c r="X330" s="412">
        <f t="shared" ref="X330" si="549">IF(X$31=0,0,X329/X$31)</f>
        <v>0.79399143850672105</v>
      </c>
      <c r="Y330" s="413"/>
      <c r="Z330" s="412">
        <f t="shared" ref="Z330" si="550">IF(Z$31=0,0,Z329/Z$31)</f>
        <v>0.62366073769393449</v>
      </c>
      <c r="AA330" s="414">
        <f t="shared" ref="AA330" si="551">IF(AA$31=0,0,AA329/AA$31)</f>
        <v>0.8235695822183553</v>
      </c>
      <c r="AB330" s="406"/>
      <c r="AC330" s="404"/>
      <c r="AD330" s="404"/>
      <c r="AE330" s="404"/>
      <c r="AF330" s="404"/>
      <c r="AG330" s="404"/>
      <c r="AH330" s="404"/>
      <c r="AI330" s="404"/>
      <c r="AJ330" s="404"/>
      <c r="AK330" s="404"/>
      <c r="AL330" s="404"/>
      <c r="AM330" s="404"/>
      <c r="AN330" s="404"/>
      <c r="AO330" s="404"/>
      <c r="AP330" s="404"/>
    </row>
    <row r="331" spans="1:42" s="192" customFormat="1" ht="11.25">
      <c r="A331" s="37"/>
      <c r="B331" s="37"/>
      <c r="C331" s="37"/>
      <c r="D331" s="191" t="s">
        <v>331</v>
      </c>
      <c r="E331" s="191"/>
      <c r="F331" s="191" t="str">
        <f>F329</f>
        <v>Товары для детей</v>
      </c>
      <c r="G331" s="191" t="s">
        <v>334</v>
      </c>
      <c r="H331" s="315"/>
      <c r="I331" s="329">
        <f>SUMIFS(операции!$R:$R,операции!$X:$X,"&gt;="&amp;I$8,операции!$X:$X,"&lt;="&amp;I$9,операции!$P:$P,$F309)</f>
        <v>784</v>
      </c>
      <c r="J331" s="317">
        <f>I331-K331-L331</f>
        <v>0</v>
      </c>
      <c r="K331" s="329">
        <f>SUMIFS(операции!$R:$R,операции!$X:$X,"&gt;="&amp;I$8,операции!$X:$X,"&lt;="&amp;I$9,операции!$L:$L,K$9,операции!$P:$P,$F309)</f>
        <v>231</v>
      </c>
      <c r="L331" s="330">
        <f>SUMIFS(операции!$R:$R,операции!$X:$X,"&gt;="&amp;I$8,операции!$X:$X,"&lt;="&amp;I$9,операции!$L:$L,L$9,операции!$P:$P,$F309)</f>
        <v>553</v>
      </c>
      <c r="M331" s="402"/>
      <c r="N331" s="156">
        <f>SUMIFS(операции!$R:$R,операции!$X:$X,"&gt;="&amp;N$8,операции!$X:$X,"&lt;="&amp;N$9,операции!$P:$P,$F309)</f>
        <v>148</v>
      </c>
      <c r="O331" s="196">
        <f t="shared" ref="O331" si="552">N331-P331-Q331</f>
        <v>0</v>
      </c>
      <c r="P331" s="156">
        <f>SUMIFS(операции!$R:$R,операции!$X:$X,"&gt;="&amp;N$8,операции!$X:$X,"&lt;="&amp;N$9,операции!$L:$L,P$9,операции!$P:$P,$F309)</f>
        <v>71</v>
      </c>
      <c r="Q331" s="245">
        <f>SUMIFS(операции!$R:$R,операции!$X:$X,"&gt;="&amp;N$8,операции!$X:$X,"&lt;="&amp;N$9,операции!$L:$L,Q$9,операции!$P:$P,$F309)</f>
        <v>77</v>
      </c>
      <c r="R331" s="403"/>
      <c r="S331" s="156">
        <f>SUMIFS(операции!$R:$R,операции!$X:$X,"&gt;="&amp;S$8,операции!$X:$X,"&lt;="&amp;S$9,операции!$P:$P,$F309)</f>
        <v>391</v>
      </c>
      <c r="T331" s="196">
        <f t="shared" ref="T331" si="553">S331-U331-V331</f>
        <v>0</v>
      </c>
      <c r="U331" s="156">
        <f>SUMIFS(операции!$R:$R,операции!$X:$X,"&gt;="&amp;S$8,операции!$X:$X,"&lt;="&amp;S$9,операции!$L:$L,U$9,операции!$P:$P,$F309)</f>
        <v>116</v>
      </c>
      <c r="V331" s="245">
        <f>SUMIFS(операции!$R:$R,операции!$X:$X,"&gt;="&amp;S$8,операции!$X:$X,"&lt;="&amp;S$9,операции!$L:$L,V$9,операции!$P:$P,$F309)</f>
        <v>275</v>
      </c>
      <c r="W331" s="403"/>
      <c r="X331" s="156">
        <f>SUMIFS(операции!$R:$R,операции!$X:$X,"&gt;="&amp;X$8,операции!$X:$X,"&lt;="&amp;X$9,операции!$P:$P,$F309)</f>
        <v>245</v>
      </c>
      <c r="Y331" s="196">
        <f t="shared" ref="Y331" si="554">X331-Z331-AA331</f>
        <v>0</v>
      </c>
      <c r="Z331" s="156">
        <f>SUMIFS(операции!$R:$R,операции!$X:$X,"&gt;="&amp;X$8,операции!$X:$X,"&lt;="&amp;X$9,операции!$L:$L,Z$9,операции!$P:$P,$F309)</f>
        <v>44</v>
      </c>
      <c r="AA331" s="245">
        <f>SUMIFS(операции!$R:$R,операции!$X:$X,"&gt;="&amp;X$8,операции!$X:$X,"&lt;="&amp;X$9,операции!$L:$L,AA$9,операции!$P:$P,$F309)</f>
        <v>201</v>
      </c>
      <c r="AB331" s="265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</row>
    <row r="332" spans="1:42" s="192" customFormat="1" ht="11.25">
      <c r="A332" s="37"/>
      <c r="B332" s="37"/>
      <c r="C332" s="37"/>
      <c r="D332" s="191" t="s">
        <v>333</v>
      </c>
      <c r="E332" s="191"/>
      <c r="F332" s="191" t="str">
        <f t="shared" si="512"/>
        <v>Товары для детей</v>
      </c>
      <c r="G332" s="191" t="s">
        <v>261</v>
      </c>
      <c r="H332" s="315"/>
      <c r="I332" s="329">
        <f>IF(I331=0,0,I329/I331)</f>
        <v>3450.7283163265306</v>
      </c>
      <c r="J332" s="317"/>
      <c r="K332" s="329">
        <f t="shared" ref="K332" si="555">IF(K331=0,0,K329/K331)</f>
        <v>3491.3852813852814</v>
      </c>
      <c r="L332" s="330">
        <f t="shared" ref="L332" si="556">IF(L331=0,0,L329/L331)</f>
        <v>3433.745027124774</v>
      </c>
      <c r="M332" s="402"/>
      <c r="N332" s="156">
        <f>IF(N331=0,0,N329/N331)</f>
        <v>3721.7432432432433</v>
      </c>
      <c r="O332" s="196"/>
      <c r="P332" s="156">
        <f>IF(P331=0,0,P329/P331)</f>
        <v>4876.0845070422538</v>
      </c>
      <c r="Q332" s="245">
        <f>IF(Q331=0,0,Q329/Q331)</f>
        <v>2657.3506493506493</v>
      </c>
      <c r="R332" s="403"/>
      <c r="S332" s="156">
        <f>IF(S331=0,0,S329/S331)</f>
        <v>3154.6317135549871</v>
      </c>
      <c r="T332" s="196"/>
      <c r="U332" s="156">
        <f>IF(U331=0,0,U329/U331)</f>
        <v>3045.3534482758619</v>
      </c>
      <c r="V332" s="245">
        <f>IF(V331=0,0,V329/V331)</f>
        <v>3200.7272727272725</v>
      </c>
      <c r="W332" s="403"/>
      <c r="X332" s="156">
        <f>IF(X331=0,0,X329/X331)</f>
        <v>3759.5591836734693</v>
      </c>
      <c r="Y332" s="196"/>
      <c r="Z332" s="156">
        <f>IF(Z331=0,0,Z329/Z331)</f>
        <v>2432.8863636363635</v>
      </c>
      <c r="AA332" s="245">
        <f>IF(AA331=0,0,AA329/AA331)</f>
        <v>4049.9751243781093</v>
      </c>
      <c r="AB332" s="265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</row>
    <row r="333" spans="1:42" s="192" customFormat="1" ht="11.25">
      <c r="A333" s="37"/>
      <c r="B333" s="37"/>
      <c r="C333" s="37"/>
      <c r="D333" s="191" t="s">
        <v>290</v>
      </c>
      <c r="E333" s="191"/>
      <c r="F333" s="191" t="str">
        <f>F329</f>
        <v>Товары для детей</v>
      </c>
      <c r="G333" s="191" t="s">
        <v>262</v>
      </c>
      <c r="H333" s="315"/>
      <c r="I333" s="316">
        <f>IF(I329=0,0,SUMIFS(операции!$AG:$AG,операции!$X:$X,"&gt;="&amp;I$8,операции!$X:$X,"&lt;="&amp;I$9,операции!$P:$P,$F309)/I329)</f>
        <v>42327.30189833483</v>
      </c>
      <c r="J333" s="317"/>
      <c r="K333" s="316">
        <f>IF(K329=0,0,SUMIFS(операции!$AG:$AG,операции!$X:$X,"&gt;="&amp;I$8,операции!$X:$X,"&lt;="&amp;I$9,операции!$L:$L,K$9,операции!$P:$P,$F309)/K329)</f>
        <v>42317.800917533568</v>
      </c>
      <c r="L333" s="318">
        <f>IF(L329=0,0,SUMIFS(операции!$AG:$AG,операции!$X:$X,"&gt;="&amp;I$8,операции!$X:$X,"&lt;="&amp;I$9,операции!$L:$L,L$9,операции!$P:$P,$F309)/L329)</f>
        <v>42331.337283771696</v>
      </c>
      <c r="M333" s="274"/>
      <c r="N333" s="193">
        <f>IF(N329=0,0,SUMIFS(операции!$AG:$AG,операции!$X:$X,"&gt;="&amp;N$8,операции!$X:$X,"&lt;="&amp;N$9,операции!$P:$P,$F309)/N329)</f>
        <v>42301.908096685293</v>
      </c>
      <c r="O333" s="196"/>
      <c r="P333" s="193">
        <f>IF(P329=0,0,SUMIFS(операции!$AG:$AG,операции!$X:$X,"&gt;="&amp;N$8,операции!$X:$X,"&lt;="&amp;N$9,операции!$L:$L,P$9,операции!$P:$P,$F309)/P329)</f>
        <v>42301.3801422291</v>
      </c>
      <c r="Q333" s="237">
        <f>IF(Q329=0,0,SUMIFS(операции!$AG:$AG,операции!$X:$X,"&gt;="&amp;N$8,операции!$X:$X,"&lt;="&amp;N$9,операции!$L:$L,Q$9,операции!$P:$P,$F309)/Q329)</f>
        <v>42302.801374281582</v>
      </c>
      <c r="R333" s="238"/>
      <c r="S333" s="193">
        <f>IF(S329=0,0,SUMIFS(операции!$AG:$AG,операции!$X:$X,"&gt;="&amp;S$8,операции!$X:$X,"&lt;="&amp;S$9,операции!$P:$P,$F309)/S329)</f>
        <v>42326.913779195289</v>
      </c>
      <c r="T333" s="196"/>
      <c r="U333" s="193">
        <f>IF(U329=0,0,SUMIFS(операции!$AG:$AG,операции!$X:$X,"&gt;="&amp;S$8,операции!$X:$X,"&lt;="&amp;S$9,операции!$L:$L,U$9,операции!$P:$P,$F309)/U329)</f>
        <v>42326.525951067342</v>
      </c>
      <c r="V333" s="237">
        <f>IF(V329=0,0,SUMIFS(операции!$AG:$AG,операции!$X:$X,"&gt;="&amp;S$8,операции!$X:$X,"&lt;="&amp;S$9,операции!$L:$L,V$9,операции!$P:$P,$F309)/V329)</f>
        <v>42327.069430811178</v>
      </c>
      <c r="W333" s="238"/>
      <c r="X333" s="193">
        <f>IF(X329=0,0,SUMIFS(операции!$AG:$AG,операции!$X:$X,"&gt;="&amp;X$8,операции!$X:$X,"&lt;="&amp;X$9,операции!$P:$P,$F309)/X329)</f>
        <v>42343.007270717797</v>
      </c>
      <c r="Y333" s="196"/>
      <c r="Z333" s="193">
        <f>IF(Z329=0,0,SUMIFS(операции!$AG:$AG,операции!$X:$X,"&gt;="&amp;X$8,операции!$X:$X,"&lt;="&amp;X$9,операции!$L:$L,Z$9,операции!$P:$P,$F309)/Z329)</f>
        <v>42342.114454398536</v>
      </c>
      <c r="AA333" s="237">
        <f>IF(AA329=0,0,SUMIFS(операции!$AG:$AG,операции!$X:$X,"&gt;="&amp;X$8,операции!$X:$X,"&lt;="&amp;X$9,операции!$L:$L,AA$9,операции!$P:$P,$F309)/AA329)</f>
        <v>42343.124676154264</v>
      </c>
      <c r="AB333" s="265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</row>
    <row r="334" spans="1:42" s="93" customFormat="1" ht="15">
      <c r="A334" s="92"/>
      <c r="B334" s="92"/>
      <c r="C334" s="92"/>
      <c r="D334" s="151" t="s">
        <v>275</v>
      </c>
      <c r="E334" s="151"/>
      <c r="F334" s="151" t="str">
        <f t="shared" si="512"/>
        <v>Товары для детей</v>
      </c>
      <c r="G334" s="151" t="s">
        <v>261</v>
      </c>
      <c r="H334" s="311"/>
      <c r="I334" s="312">
        <f>SUMIFS(операции!$V:$V,операции!$X:$X,"&gt;="&amp;I$8,операции!$X:$X,"&lt;="&amp;I$9,операции!$P:$P,$F309)</f>
        <v>2406236.7599999993</v>
      </c>
      <c r="J334" s="313">
        <f>I334-I344-I354</f>
        <v>1.280568540096283E-9</v>
      </c>
      <c r="K334" s="312">
        <f>SUMIFS(операции!$V:$V,операции!$X:$X,"&gt;="&amp;I$8,операции!$X:$X,"&lt;="&amp;I$9,операции!$L:$L,K$9,операции!$P:$P,$F309)</f>
        <v>718672.03999999969</v>
      </c>
      <c r="L334" s="314">
        <f>SUMIFS(операции!$V:$V,операции!$X:$X,"&gt;="&amp;I$8,операции!$X:$X,"&lt;="&amp;I$9,операции!$L:$L,L$9,операции!$P:$P,$F309)</f>
        <v>1687564.7199999988</v>
      </c>
      <c r="M334" s="273"/>
      <c r="N334" s="152">
        <f>SUMIFS(операции!$V:$V,операции!$X:$X,"&gt;="&amp;N$8,операции!$X:$X,"&lt;="&amp;N$9,операции!$P:$P,$F309)</f>
        <v>494188.7</v>
      </c>
      <c r="O334" s="170">
        <f>N334-N344-N354</f>
        <v>0</v>
      </c>
      <c r="P334" s="152">
        <f>SUMIFS(операции!$V:$V,операции!$X:$X,"&gt;="&amp;N$8,операции!$X:$X,"&lt;="&amp;N$9,операции!$L:$L,P$9,операции!$P:$P,$F309)</f>
        <v>318246.83999999997</v>
      </c>
      <c r="Q334" s="235">
        <f>SUMIFS(операции!$V:$V,операции!$X:$X,"&gt;="&amp;N$8,операции!$X:$X,"&lt;="&amp;N$9,операции!$L:$L,Q$9,операции!$P:$P,$F309)</f>
        <v>175941.86</v>
      </c>
      <c r="R334" s="236"/>
      <c r="S334" s="152">
        <f>SUMIFS(операции!$V:$V,операции!$X:$X,"&gt;="&amp;S$8,операции!$X:$X,"&lt;="&amp;S$9,операции!$P:$P,$F309)</f>
        <v>1066218.1299999999</v>
      </c>
      <c r="T334" s="170">
        <f>S334-S344-S354</f>
        <v>0</v>
      </c>
      <c r="U334" s="152">
        <f>SUMIFS(операции!$V:$V,операции!$X:$X,"&gt;="&amp;S$8,операции!$X:$X,"&lt;="&amp;S$9,операции!$L:$L,U$9,операции!$P:$P,$F309)</f>
        <v>305766.09000000008</v>
      </c>
      <c r="V334" s="235">
        <f>SUMIFS(операции!$V:$V,операции!$X:$X,"&gt;="&amp;S$8,операции!$X:$X,"&lt;="&amp;S$9,операции!$L:$L,V$9,операции!$P:$P,$F309)</f>
        <v>760452.04</v>
      </c>
      <c r="W334" s="236"/>
      <c r="X334" s="152">
        <f>SUMIFS(операции!$V:$V,операции!$X:$X,"&gt;="&amp;X$8,операции!$X:$X,"&lt;="&amp;X$9,операции!$P:$P,$F309)</f>
        <v>845829.92999999935</v>
      </c>
      <c r="Y334" s="170">
        <f>X334-X344-X354</f>
        <v>-5.2386894822120667E-10</v>
      </c>
      <c r="Z334" s="152">
        <f>SUMIFS(операции!$V:$V,операции!$X:$X,"&gt;="&amp;X$8,операции!$X:$X,"&lt;="&amp;X$9,операции!$L:$L,Z$9,операции!$P:$P,$F309)</f>
        <v>94659.11000000003</v>
      </c>
      <c r="AA334" s="235">
        <f>SUMIFS(операции!$V:$V,операции!$X:$X,"&gt;="&amp;X$8,операции!$X:$X,"&lt;="&amp;X$9,операции!$L:$L,AA$9,операции!$P:$P,$F309)</f>
        <v>751170.81999999972</v>
      </c>
      <c r="AB334" s="264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</row>
    <row r="335" spans="1:42" s="192" customFormat="1" ht="11.25">
      <c r="A335" s="37"/>
      <c r="B335" s="37"/>
      <c r="C335" s="37"/>
      <c r="D335" s="191" t="s">
        <v>291</v>
      </c>
      <c r="E335" s="191"/>
      <c r="F335" s="191" t="str">
        <f t="shared" si="512"/>
        <v>Товары для детей</v>
      </c>
      <c r="G335" s="191" t="s">
        <v>262</v>
      </c>
      <c r="H335" s="315"/>
      <c r="I335" s="316">
        <f>IF(I334=0,0,SUMIFS(операции!$AF:$AF,операции!$X:$X,"&gt;="&amp;I$8,операции!$X:$X,"&lt;="&amp;I$9,операции!$P:$P,$F309)/I334)</f>
        <v>42284.780960619173</v>
      </c>
      <c r="J335" s="317"/>
      <c r="K335" s="316">
        <f>IF(K334=0,0,SUMIFS(операции!$AF:$AF,операции!$X:$X,"&gt;="&amp;I$8,операции!$X:$X,"&lt;="&amp;I$9,операции!$L:$L,K$9,операции!$P:$P,$F309)/K334)</f>
        <v>42189.182981864724</v>
      </c>
      <c r="L335" s="318">
        <f>IF(L334=0,0,SUMIFS(операции!$AF:$AF,операции!$X:$X,"&gt;="&amp;I$8,операции!$X:$X,"&lt;="&amp;I$9,операции!$L:$L,L$9,операции!$P:$P,$F309)/L334)</f>
        <v>42325.49264035339</v>
      </c>
      <c r="M335" s="274"/>
      <c r="N335" s="193">
        <f>IF(N334=0,0,SUMIFS(операции!$AF:$AF,операции!$X:$X,"&gt;="&amp;N$8,операции!$X:$X,"&lt;="&amp;N$9,операции!$P:$P,$F309)/N334)</f>
        <v>42234.502133496775</v>
      </c>
      <c r="O335" s="196"/>
      <c r="P335" s="193">
        <f>IF(P334=0,0,SUMIFS(операции!$AF:$AF,операции!$X:$X,"&gt;="&amp;N$8,операции!$X:$X,"&lt;="&amp;N$9,операции!$L:$L,P$9,операции!$P:$P,$F309)/P334)</f>
        <v>42198.535477712838</v>
      </c>
      <c r="Q335" s="237">
        <f>IF(Q334=0,0,SUMIFS(операции!$AF:$AF,операции!$X:$X,"&gt;="&amp;N$8,операции!$X:$X,"&lt;="&amp;N$9,операции!$L:$L,Q$9,операции!$P:$P,$F309)/Q334)</f>
        <v>42299.55927537653</v>
      </c>
      <c r="R335" s="238"/>
      <c r="S335" s="193">
        <f>IF(S334=0,0,SUMIFS(операции!$AF:$AF,операции!$X:$X,"&gt;="&amp;S$8,операции!$X:$X,"&lt;="&amp;S$9,операции!$P:$P,$F309)/S334)</f>
        <v>42280.767378322489</v>
      </c>
      <c r="T335" s="196"/>
      <c r="U335" s="193">
        <f>IF(U334=0,0,SUMIFS(операции!$AF:$AF,операции!$X:$X,"&gt;="&amp;S$8,операции!$X:$X,"&lt;="&amp;S$9,операции!$L:$L,U$9,операции!$P:$P,$F309)/U334)</f>
        <v>42179.794131618706</v>
      </c>
      <c r="V335" s="237">
        <f>IF(V334=0,0,SUMIFS(операции!$AF:$AF,операции!$X:$X,"&gt;="&amp;S$8,операции!$X:$X,"&lt;="&amp;S$9,операции!$L:$L,V$9,операции!$P:$P,$F309)/V334)</f>
        <v>42321.367170571328</v>
      </c>
      <c r="W335" s="238"/>
      <c r="X335" s="193">
        <f>IF(X334=0,0,SUMIFS(операции!$AF:$AF,операции!$X:$X,"&gt;="&amp;X$8,операции!$X:$X,"&lt;="&amp;X$9,операции!$P:$P,$F309)/X334)</f>
        <v>42319.216467558712</v>
      </c>
      <c r="Y335" s="196"/>
      <c r="Z335" s="193">
        <f>IF(Z334=0,0,SUMIFS(операции!$AF:$AF,операции!$X:$X,"&gt;="&amp;X$8,операции!$X:$X,"&lt;="&amp;X$9,операции!$L:$L,Z$9,операции!$P:$P,$F309)/Z334)</f>
        <v>42188.067291885585</v>
      </c>
      <c r="AA335" s="237">
        <f>IF(AA334=0,0,SUMIFS(операции!$AF:$AF,операции!$X:$X,"&gt;="&amp;X$8,операции!$X:$X,"&lt;="&amp;X$9,операции!$L:$L,AA$9,операции!$P:$P,$F309)/AA334)</f>
        <v>42335.743286646852</v>
      </c>
      <c r="AB335" s="265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</row>
    <row r="336" spans="1:42" s="192" customFormat="1" ht="11.25">
      <c r="A336" s="37"/>
      <c r="B336" s="37"/>
      <c r="C336" s="37"/>
      <c r="D336" s="191" t="s">
        <v>308</v>
      </c>
      <c r="E336" s="191"/>
      <c r="F336" s="191" t="str">
        <f t="shared" si="512"/>
        <v>Товары для детей</v>
      </c>
      <c r="G336" s="191" t="s">
        <v>262</v>
      </c>
      <c r="H336" s="315"/>
      <c r="I336" s="316">
        <f>IF(I334=0,0,(I344*I346+I354*I356)/I334)</f>
        <v>42325.092356984045</v>
      </c>
      <c r="J336" s="317"/>
      <c r="K336" s="316">
        <f t="shared" ref="K336:L336" si="557">IF(K334=0,0,(K344*K346+K354*K356)/K334)</f>
        <v>42257.488767463408</v>
      </c>
      <c r="L336" s="318">
        <f t="shared" si="557"/>
        <v>42353.88225109379</v>
      </c>
      <c r="M336" s="274"/>
      <c r="N336" s="193">
        <f>IF(N334=0,0,(N344*N346+N354*N356)/N334)</f>
        <v>42272.435815731915</v>
      </c>
      <c r="O336" s="196"/>
      <c r="P336" s="193">
        <f t="shared" ref="P336:Q336" si="558">IF(P334=0,0,(P344*P346+P354*P356)/P334)</f>
        <v>42243.344565369451</v>
      </c>
      <c r="Q336" s="237">
        <f t="shared" si="558"/>
        <v>42325.056599094729</v>
      </c>
      <c r="R336" s="238"/>
      <c r="S336" s="193">
        <f>IF(S334=0,0,(S344*S346+S354*S356)/S334)</f>
        <v>42312.547552938369</v>
      </c>
      <c r="T336" s="196"/>
      <c r="U336" s="193">
        <f t="shared" ref="U336:V336" si="559">IF(U334=0,0,(U344*U346+U354*U356)/U334)</f>
        <v>42240.319704483903</v>
      </c>
      <c r="V336" s="237">
        <f t="shared" si="559"/>
        <v>42341.589261881658</v>
      </c>
      <c r="W336" s="238"/>
      <c r="X336" s="193">
        <f>IF(X334=0,0,(X344*X346+X354*X356)/X334)</f>
        <v>42353.839982701989</v>
      </c>
      <c r="Y336" s="196"/>
      <c r="Z336" s="193">
        <f t="shared" ref="Z336:AA336" si="560">IF(Z334=0,0,(Z344*Z346+Z354*Z356)/Z334)</f>
        <v>42285.75840740525</v>
      </c>
      <c r="AA336" s="237">
        <f t="shared" si="560"/>
        <v>42362.419311335885</v>
      </c>
      <c r="AB336" s="265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</row>
    <row r="337" spans="1:42" s="93" customFormat="1" ht="15">
      <c r="A337" s="92"/>
      <c r="B337" s="92"/>
      <c r="C337" s="92"/>
      <c r="D337" s="151" t="s">
        <v>278</v>
      </c>
      <c r="E337" s="151"/>
      <c r="F337" s="151" t="str">
        <f t="shared" si="512"/>
        <v>Товары для детей</v>
      </c>
      <c r="G337" s="151" t="s">
        <v>261</v>
      </c>
      <c r="H337" s="311"/>
      <c r="I337" s="312">
        <f>I329-I334</f>
        <v>299134.24000000069</v>
      </c>
      <c r="J337" s="313">
        <f>I337-K337-L337</f>
        <v>-8.149072527885437E-10</v>
      </c>
      <c r="K337" s="312">
        <f t="shared" ref="K337:L337" si="561">K329-K334</f>
        <v>87837.960000000312</v>
      </c>
      <c r="L337" s="314">
        <f t="shared" si="561"/>
        <v>211296.28000000119</v>
      </c>
      <c r="M337" s="273"/>
      <c r="N337" s="152">
        <f>N329-N334</f>
        <v>56629.299999999988</v>
      </c>
      <c r="O337" s="170">
        <f>N337-P337-Q337</f>
        <v>-5.8207660913467407E-11</v>
      </c>
      <c r="P337" s="152">
        <f t="shared" ref="P337:Q337" si="562">P329-P334</f>
        <v>27955.160000000033</v>
      </c>
      <c r="Q337" s="235">
        <f t="shared" si="562"/>
        <v>28674.140000000014</v>
      </c>
      <c r="R337" s="236"/>
      <c r="S337" s="152">
        <f>S329-S334</f>
        <v>167242.87000000011</v>
      </c>
      <c r="T337" s="170">
        <f>S337-U337-V337</f>
        <v>2.3283064365386963E-10</v>
      </c>
      <c r="U337" s="152">
        <f t="shared" ref="U337:V337" si="563">U329-U334</f>
        <v>47494.909999999916</v>
      </c>
      <c r="V337" s="235">
        <f t="shared" si="563"/>
        <v>119747.95999999996</v>
      </c>
      <c r="W337" s="236"/>
      <c r="X337" s="152">
        <f>X329-X334</f>
        <v>75262.070000000647</v>
      </c>
      <c r="Y337" s="170">
        <f>X337-Z337-AA337</f>
        <v>3.92901711165905E-10</v>
      </c>
      <c r="Z337" s="152">
        <f t="shared" ref="Z337:AA337" si="564">Z329-Z334</f>
        <v>12387.88999999997</v>
      </c>
      <c r="AA337" s="235">
        <f t="shared" si="564"/>
        <v>62874.180000000284</v>
      </c>
      <c r="AB337" s="264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</row>
    <row r="338" spans="1:42" s="211" customFormat="1">
      <c r="A338" s="210"/>
      <c r="B338" s="210"/>
      <c r="C338" s="210"/>
      <c r="D338" s="218" t="s">
        <v>277</v>
      </c>
      <c r="E338" s="218"/>
      <c r="F338" s="218" t="str">
        <f t="shared" si="512"/>
        <v>Товары для детей</v>
      </c>
      <c r="G338" s="218" t="s">
        <v>218</v>
      </c>
      <c r="H338" s="343"/>
      <c r="I338" s="344">
        <f>IF(I329=0,0,(I337/I329))</f>
        <v>0.11057050585668313</v>
      </c>
      <c r="J338" s="345"/>
      <c r="K338" s="344">
        <f t="shared" ref="K338" si="565">IF(K329=0,0,(K337/K329))</f>
        <v>0.10891118523018972</v>
      </c>
      <c r="L338" s="346">
        <f t="shared" ref="L338" si="566">IF(L329=0,0,(L337/L329))</f>
        <v>0.11127527502013111</v>
      </c>
      <c r="M338" s="280"/>
      <c r="N338" s="219">
        <f>IF(N329=0,0,(N337/N329))</f>
        <v>0.10280945793347347</v>
      </c>
      <c r="O338" s="220"/>
      <c r="P338" s="219">
        <f t="shared" ref="P338" si="567">IF(P329=0,0,(P337/P329))</f>
        <v>8.0748118150675133E-2</v>
      </c>
      <c r="Q338" s="252">
        <f t="shared" ref="Q338" si="568">IF(Q329=0,0,(Q337/Q329))</f>
        <v>0.14013635297337459</v>
      </c>
      <c r="R338" s="253"/>
      <c r="S338" s="219">
        <f>IF(S329=0,0,(S337/S329))</f>
        <v>0.13558829180655094</v>
      </c>
      <c r="T338" s="220"/>
      <c r="U338" s="219">
        <f t="shared" ref="U338" si="569">IF(U329=0,0,(U337/U329))</f>
        <v>0.13444708020415477</v>
      </c>
      <c r="V338" s="252">
        <f t="shared" ref="V338" si="570">IF(V329=0,0,(V337/V329))</f>
        <v>0.13604630765735057</v>
      </c>
      <c r="W338" s="253"/>
      <c r="X338" s="219">
        <f>IF(X329=0,0,(X337/X329))</f>
        <v>8.1709612069153406E-2</v>
      </c>
      <c r="Y338" s="220"/>
      <c r="Z338" s="219">
        <f t="shared" ref="Z338" si="571">IF(Z329=0,0,(Z337/Z329))</f>
        <v>0.11572384092968481</v>
      </c>
      <c r="AA338" s="252">
        <f t="shared" ref="AA338" si="572">IF(AA329=0,0,(AA337/AA329))</f>
        <v>7.7236737526795551E-2</v>
      </c>
      <c r="AB338" s="267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</row>
    <row r="339" spans="1:42" s="93" customFormat="1" ht="15">
      <c r="A339" s="92"/>
      <c r="B339" s="92"/>
      <c r="C339" s="92"/>
      <c r="D339" s="198" t="s">
        <v>220</v>
      </c>
      <c r="E339" s="198"/>
      <c r="F339" s="198" t="str">
        <f t="shared" si="512"/>
        <v>Товары для детей</v>
      </c>
      <c r="G339" s="198" t="s">
        <v>219</v>
      </c>
      <c r="H339" s="323"/>
      <c r="I339" s="324">
        <f>I333-I335</f>
        <v>42.520937715657055</v>
      </c>
      <c r="J339" s="321">
        <f>I339-SUMIFS(ПОбТЗ!$I:$I,ПОбТЗ!$E:$E,$D339,ПОбТЗ!$F:$F,$F339)</f>
        <v>0</v>
      </c>
      <c r="K339" s="324">
        <f t="shared" ref="K339:L339" si="573">K333-K335</f>
        <v>128.61793566884444</v>
      </c>
      <c r="L339" s="325">
        <f t="shared" si="573"/>
        <v>5.8446434183060774</v>
      </c>
      <c r="M339" s="276"/>
      <c r="N339" s="199">
        <f>N333-N335</f>
        <v>67.405963188517489</v>
      </c>
      <c r="O339" s="173">
        <f>N339-SUMIFS(ПОбТЗ_2!$J:$J,ПОбТЗ_2!$D:$D,$D339,ПОбТЗ_2!$E:$E,$F339)</f>
        <v>0</v>
      </c>
      <c r="P339" s="199">
        <f t="shared" ref="P339:Q339" si="574">P333-P335</f>
        <v>102.84466451626213</v>
      </c>
      <c r="Q339" s="241">
        <f t="shared" si="574"/>
        <v>3.2420989050515345</v>
      </c>
      <c r="R339" s="242"/>
      <c r="S339" s="199">
        <f>S333-S335</f>
        <v>46.146400872799859</v>
      </c>
      <c r="T339" s="173">
        <f>S339-SUMIFS(ПОбТЗ_2!$K:$K,ПОбТЗ_2!$D:$D,$D339,ПОбТЗ_2!$E:$E,$F339)</f>
        <v>0</v>
      </c>
      <c r="U339" s="199">
        <f t="shared" ref="U339:V339" si="575">U333-U335</f>
        <v>146.73181944863609</v>
      </c>
      <c r="V339" s="241">
        <f t="shared" si="575"/>
        <v>5.7022602398501476</v>
      </c>
      <c r="W339" s="242"/>
      <c r="X339" s="199">
        <f>X333-X335</f>
        <v>23.790803159085044</v>
      </c>
      <c r="Y339" s="173">
        <f>X339-SUMIFS(ПОбТЗ_2!$L:$L,ПОбТЗ_2!$D:$D,$D339,ПОбТЗ_2!$E:$E,$F339)</f>
        <v>0</v>
      </c>
      <c r="Z339" s="199">
        <f t="shared" ref="Z339:AA339" si="576">Z333-Z335</f>
        <v>154.04716251295031</v>
      </c>
      <c r="AA339" s="241">
        <f t="shared" si="576"/>
        <v>7.3813895074126776</v>
      </c>
      <c r="AB339" s="264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</row>
    <row r="340" spans="1:42" s="5" customFormat="1">
      <c r="A340" s="1"/>
      <c r="B340" s="1"/>
      <c r="C340" s="1"/>
      <c r="D340" s="227" t="s">
        <v>309</v>
      </c>
      <c r="E340" s="227"/>
      <c r="F340" s="227" t="str">
        <f t="shared" si="512"/>
        <v>Товары для детей</v>
      </c>
      <c r="G340" s="227" t="s">
        <v>219</v>
      </c>
      <c r="H340" s="347"/>
      <c r="I340" s="348">
        <f>I336-I335</f>
        <v>40.311396364872053</v>
      </c>
      <c r="J340" s="321"/>
      <c r="K340" s="348">
        <f t="shared" ref="K340:L340" si="577">K336-K335</f>
        <v>68.305785598684452</v>
      </c>
      <c r="L340" s="349">
        <f t="shared" si="577"/>
        <v>28.389610740399803</v>
      </c>
      <c r="M340" s="281"/>
      <c r="N340" s="228">
        <f>N336-N335</f>
        <v>37.933682235139713</v>
      </c>
      <c r="O340" s="173"/>
      <c r="P340" s="228">
        <f t="shared" ref="P340:Q340" si="578">P336-P335</f>
        <v>44.809087656612974</v>
      </c>
      <c r="Q340" s="254">
        <f t="shared" si="578"/>
        <v>25.497323718198459</v>
      </c>
      <c r="R340" s="255"/>
      <c r="S340" s="228">
        <f>S336-S335</f>
        <v>31.780174615880242</v>
      </c>
      <c r="T340" s="173"/>
      <c r="U340" s="228">
        <f t="shared" ref="U340:V340" si="579">U336-U335</f>
        <v>60.525572865197319</v>
      </c>
      <c r="V340" s="254">
        <f t="shared" si="579"/>
        <v>20.222091310330143</v>
      </c>
      <c r="W340" s="255"/>
      <c r="X340" s="228">
        <f>X336-X335</f>
        <v>34.623515143277473</v>
      </c>
      <c r="Y340" s="173"/>
      <c r="Z340" s="228">
        <f t="shared" ref="Z340:AA340" si="580">Z336-Z335</f>
        <v>97.691115519664891</v>
      </c>
      <c r="AA340" s="254">
        <f t="shared" si="580"/>
        <v>26.676024689033511</v>
      </c>
      <c r="AB340" s="266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s="5" customFormat="1">
      <c r="A341" s="1"/>
      <c r="B341" s="1"/>
      <c r="C341" s="1"/>
      <c r="D341" s="225" t="s">
        <v>310</v>
      </c>
      <c r="E341" s="225"/>
      <c r="F341" s="225" t="str">
        <f t="shared" si="512"/>
        <v>Товары для детей</v>
      </c>
      <c r="G341" s="225" t="s">
        <v>219</v>
      </c>
      <c r="H341" s="350"/>
      <c r="I341" s="351">
        <f>I339-I340</f>
        <v>2.2095413507850026</v>
      </c>
      <c r="J341" s="352"/>
      <c r="K341" s="351">
        <f t="shared" ref="K341" si="581">K339-K340</f>
        <v>60.312150070159987</v>
      </c>
      <c r="L341" s="353">
        <f t="shared" ref="L341" si="582">L339-L340</f>
        <v>-22.544967322093726</v>
      </c>
      <c r="M341" s="282"/>
      <c r="N341" s="226">
        <f>N339-N340</f>
        <v>29.472280953377776</v>
      </c>
      <c r="O341" s="181"/>
      <c r="P341" s="226">
        <f t="shared" ref="P341" si="583">P339-P340</f>
        <v>58.035576859649154</v>
      </c>
      <c r="Q341" s="256">
        <f t="shared" ref="Q341" si="584">Q339-Q340</f>
        <v>-22.255224813146924</v>
      </c>
      <c r="R341" s="257"/>
      <c r="S341" s="226">
        <f>S339-S340</f>
        <v>14.366226256919617</v>
      </c>
      <c r="T341" s="181"/>
      <c r="U341" s="226">
        <f t="shared" ref="U341" si="585">U339-U340</f>
        <v>86.206246583438769</v>
      </c>
      <c r="V341" s="256">
        <f t="shared" ref="V341" si="586">V339-V340</f>
        <v>-14.519831070479995</v>
      </c>
      <c r="W341" s="257"/>
      <c r="X341" s="226">
        <f>X339-X340</f>
        <v>-10.832711984192429</v>
      </c>
      <c r="Y341" s="181"/>
      <c r="Z341" s="226">
        <f t="shared" ref="Z341" si="587">Z339-Z340</f>
        <v>56.356046993285418</v>
      </c>
      <c r="AA341" s="256">
        <f t="shared" ref="AA341" si="588">AA339-AA340</f>
        <v>-19.294635181620833</v>
      </c>
      <c r="AB341" s="266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s="5" customFormat="1">
      <c r="A342" s="1"/>
      <c r="B342" s="1"/>
      <c r="C342" s="1"/>
      <c r="D342" s="223"/>
      <c r="E342" s="223" t="s">
        <v>293</v>
      </c>
      <c r="F342" s="223" t="str">
        <f t="shared" si="512"/>
        <v>Товары для детей</v>
      </c>
      <c r="G342" s="223" t="s">
        <v>261</v>
      </c>
      <c r="H342" s="354"/>
      <c r="I342" s="355">
        <f>SUMIFS(операции!$Z:$Z,операции!$X:$X,"&gt;="&amp;I$8,операции!$X:$X,"&lt;="&amp;I$9,операции!$AB:$AB,"&lt;&gt;"&amp;"",операции!$P:$P,$F309)</f>
        <v>1890723</v>
      </c>
      <c r="J342" s="341">
        <f>I342-K342-L342</f>
        <v>0</v>
      </c>
      <c r="K342" s="355">
        <f>SUMIFS(операции!$Z:$Z,операции!$X:$X,"&gt;="&amp;I$8,операции!$X:$X,"&lt;="&amp;I$9,операции!$AB:$AB,"&lt;&gt;"&amp;"",операции!$L:$L,K$9,операции!$P:$P,$F309)</f>
        <v>602830</v>
      </c>
      <c r="L342" s="356">
        <f>SUMIFS(операции!$Z:$Z,операции!$X:$X,"&gt;="&amp;I$8,операции!$X:$X,"&lt;="&amp;I$9,операции!$AB:$AB,"&lt;&gt;"&amp;"",операции!$L:$L,L$9,операции!$P:$P,$F309)</f>
        <v>1287893</v>
      </c>
      <c r="M342" s="283"/>
      <c r="N342" s="224">
        <f>SUMIFS(операции!$Z:$Z,операции!$X:$X,"&gt;="&amp;N$8,операции!$X:$X,"&lt;="&amp;N$9,операции!$AB:$AB,"&lt;&gt;"&amp;"",операции!$P:$P,$F309)</f>
        <v>427545</v>
      </c>
      <c r="O342" s="216">
        <f>N342-P342-Q342</f>
        <v>0</v>
      </c>
      <c r="P342" s="224">
        <f>SUMIFS(операции!$Z:$Z,операции!$X:$X,"&gt;="&amp;N$8,операции!$X:$X,"&lt;="&amp;N$9,операции!$AB:$AB,"&lt;&gt;"&amp;"",операции!$L:$L,P$9,операции!$P:$P,$F309)</f>
        <v>257975</v>
      </c>
      <c r="Q342" s="258">
        <f>SUMIFS(операции!$Z:$Z,операции!$X:$X,"&gt;="&amp;N$8,операции!$X:$X,"&lt;="&amp;N$9,операции!$AB:$AB,"&lt;&gt;"&amp;"",операции!$L:$L,Q$9,операции!$P:$P,$F309)</f>
        <v>169570</v>
      </c>
      <c r="R342" s="259"/>
      <c r="S342" s="224">
        <f>SUMIFS(операции!$Z:$Z,операции!$X:$X,"&gt;="&amp;S$8,операции!$X:$X,"&lt;="&amp;S$9,операции!$AB:$AB,"&lt;&gt;"&amp;"",операции!$P:$P,$F309)</f>
        <v>924684</v>
      </c>
      <c r="T342" s="216">
        <f>S342-U342-V342</f>
        <v>0</v>
      </c>
      <c r="U342" s="224">
        <f>SUMIFS(операции!$Z:$Z,операции!$X:$X,"&gt;="&amp;S$8,операции!$X:$X,"&lt;="&amp;S$9,операции!$AB:$AB,"&lt;&gt;"&amp;"",операции!$L:$L,U$9,операции!$P:$P,$F309)</f>
        <v>272144</v>
      </c>
      <c r="V342" s="258">
        <f>SUMIFS(операции!$Z:$Z,операции!$X:$X,"&gt;="&amp;S$8,операции!$X:$X,"&lt;="&amp;S$9,операции!$AB:$AB,"&lt;&gt;"&amp;"",операции!$L:$L,V$9,операции!$P:$P,$F309)</f>
        <v>652540</v>
      </c>
      <c r="W342" s="259"/>
      <c r="X342" s="224">
        <f>SUMIFS(операции!$Z:$Z,операции!$X:$X,"&gt;="&amp;X$8,операции!$X:$X,"&lt;="&amp;X$9,операции!$AB:$AB,"&lt;&gt;"&amp;"",операции!$P:$P,$F309)</f>
        <v>538494</v>
      </c>
      <c r="Y342" s="216">
        <f>X342-Z342-AA342</f>
        <v>0</v>
      </c>
      <c r="Z342" s="224">
        <f>SUMIFS(операции!$Z:$Z,операции!$X:$X,"&gt;="&amp;X$8,операции!$X:$X,"&lt;="&amp;X$9,операции!$AB:$AB,"&lt;&gt;"&amp;"",операции!$L:$L,Z$9,операции!$P:$P,$F309)</f>
        <v>72711</v>
      </c>
      <c r="AA342" s="258">
        <f>SUMIFS(операции!$Z:$Z,операции!$X:$X,"&gt;="&amp;X$8,операции!$X:$X,"&lt;="&amp;X$9,операции!$AB:$AB,"&lt;&gt;"&amp;"",операции!$L:$L,AA$9,операции!$P:$P,$F309)</f>
        <v>465783</v>
      </c>
      <c r="AB342" s="266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s="192" customFormat="1" ht="11.25">
      <c r="A343" s="37"/>
      <c r="B343" s="37"/>
      <c r="C343" s="37"/>
      <c r="D343" s="191"/>
      <c r="E343" s="191" t="s">
        <v>295</v>
      </c>
      <c r="F343" s="191" t="str">
        <f t="shared" si="512"/>
        <v>Товары для детей</v>
      </c>
      <c r="G343" s="191" t="s">
        <v>262</v>
      </c>
      <c r="H343" s="315"/>
      <c r="I343" s="316">
        <f>IF(I342=0,0,SUMIFS(операции!$AG:$AG,операции!$X:$X,"&gt;="&amp;I$8,операции!$X:$X,"&lt;="&amp;I$9,операции!$AB:$AB,"&lt;&gt;"&amp;"",операции!$P:$P,$F309)/I342)</f>
        <v>42325.574755265581</v>
      </c>
      <c r="J343" s="317"/>
      <c r="K343" s="316">
        <f>IF(K342=0,0,SUMIFS(операции!$AG:$AG,операции!$X:$X,"&gt;="&amp;I$8,операции!$X:$X,"&lt;="&amp;I$9,операции!$AB:$AB,"&lt;&gt;"&amp;"",операции!$L:$L,K$9,операции!$P:$P,$F309)/K342)</f>
        <v>42317.987391138464</v>
      </c>
      <c r="L343" s="318">
        <f>IF(L342=0,0,SUMIFS(операции!$AG:$AG,операции!$X:$X,"&gt;="&amp;I$8,операции!$X:$X,"&lt;="&amp;I$9,операции!$AB:$AB,"&lt;&gt;"&amp;"",операции!$L:$L,L$9,операции!$P:$P,$F309)/L342)</f>
        <v>42329.126207689616</v>
      </c>
      <c r="M343" s="274"/>
      <c r="N343" s="193">
        <f>IF(N342=0,0,SUMIFS(операции!$AG:$AG,операции!$X:$X,"&gt;="&amp;N$8,операции!$X:$X,"&lt;="&amp;N$9,операции!$AB:$AB,"&lt;&gt;"&amp;"",операции!$P:$P,$F309)/N342)</f>
        <v>42301.703095580582</v>
      </c>
      <c r="O343" s="196"/>
      <c r="P343" s="193">
        <f>IF(P342=0,0,SUMIFS(операции!$AG:$AG,операции!$X:$X,"&gt;="&amp;N$8,операции!$X:$X,"&lt;="&amp;N$9,операции!$AB:$AB,"&lt;&gt;"&amp;"",операции!$L:$L,P$9,операции!$P:$P,$F309)/P342)</f>
        <v>42301.130268436864</v>
      </c>
      <c r="Q343" s="237">
        <f>IF(Q342=0,0,SUMIFS(операции!$AG:$AG,операции!$X:$X,"&gt;="&amp;N$8,операции!$X:$X,"&lt;="&amp;N$9,операции!$AB:$AB,"&lt;&gt;"&amp;"",операции!$L:$L,Q$9,операции!$P:$P,$F309)/Q342)</f>
        <v>42302.574565076371</v>
      </c>
      <c r="R343" s="238"/>
      <c r="S343" s="193">
        <f>IF(S342=0,0,SUMIFS(операции!$AG:$AG,операции!$X:$X,"&gt;="&amp;S$8,операции!$X:$X,"&lt;="&amp;S$9,операции!$AB:$AB,"&lt;&gt;"&amp;"",операции!$P:$P,$F309)/S342)</f>
        <v>42326.337231962483</v>
      </c>
      <c r="T343" s="196"/>
      <c r="U343" s="193">
        <f>IF(U342=0,0,SUMIFS(операции!$AG:$AG,операции!$X:$X,"&gt;="&amp;S$8,операции!$X:$X,"&lt;="&amp;S$9,операции!$AB:$AB,"&lt;&gt;"&amp;"",операции!$L:$L,U$9,операции!$P:$P,$F309)/U342)</f>
        <v>42327.599182785583</v>
      </c>
      <c r="V343" s="237">
        <f>IF(V342=0,0,SUMIFS(операции!$AG:$AG,операции!$X:$X,"&gt;="&amp;S$8,операции!$X:$X,"&lt;="&amp;S$9,операции!$AB:$AB,"&lt;&gt;"&amp;"",операции!$L:$L,V$9,операции!$P:$P,$F309)/V342)</f>
        <v>42325.810931130662</v>
      </c>
      <c r="W343" s="238"/>
      <c r="X343" s="193">
        <f>IF(X342=0,0,SUMIFS(операции!$AG:$AG,операции!$X:$X,"&gt;="&amp;X$8,операции!$X:$X,"&lt;="&amp;X$9,операции!$AB:$AB,"&lt;&gt;"&amp;"",операции!$P:$P,$F309)/X342)</f>
        <v>42343.218700672616</v>
      </c>
      <c r="Y343" s="196"/>
      <c r="Z343" s="193">
        <f>IF(Z342=0,0,SUMIFS(операции!$AG:$AG,операции!$X:$X,"&gt;="&amp;X$8,операции!$X:$X,"&lt;="&amp;X$9,операции!$AB:$AB,"&lt;&gt;"&amp;"",операции!$L:$L,Z$9,операции!$P:$P,$F309)/Z342)</f>
        <v>42341.820439823408</v>
      </c>
      <c r="AA343" s="237">
        <f>IF(AA342=0,0,SUMIFS(операции!$AG:$AG,операции!$X:$X,"&gt;="&amp;X$8,операции!$X:$X,"&lt;="&amp;X$9,операции!$AB:$AB,"&lt;&gt;"&amp;"",операции!$L:$L,AA$9,операции!$P:$P,$F309)/AA342)</f>
        <v>42343.436976016732</v>
      </c>
      <c r="AB343" s="265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</row>
    <row r="344" spans="1:42" s="93" customFormat="1" ht="15">
      <c r="A344" s="92"/>
      <c r="B344" s="92"/>
      <c r="C344" s="92"/>
      <c r="D344" s="151"/>
      <c r="E344" s="151" t="s">
        <v>292</v>
      </c>
      <c r="F344" s="151" t="str">
        <f t="shared" si="512"/>
        <v>Товары для детей</v>
      </c>
      <c r="G344" s="151" t="s">
        <v>261</v>
      </c>
      <c r="H344" s="311"/>
      <c r="I344" s="312">
        <f>SUMIFS(операции!$V:$V,операции!$X:$X,"&gt;="&amp;I$8,операции!$X:$X,"&lt;="&amp;I$9,операции!$AB:$AB,"&lt;&gt;"&amp;"",операции!$P:$P,$F309)</f>
        <v>1672168.9999999981</v>
      </c>
      <c r="J344" s="313">
        <f>I344-K344-L344</f>
        <v>0</v>
      </c>
      <c r="K344" s="312">
        <f>SUMIFS(операции!$V:$V,операции!$X:$X,"&gt;="&amp;I$8,операции!$X:$X,"&lt;="&amp;I$9,операции!$AB:$AB,"&lt;&gt;"&amp;"",операции!$L:$L,K$9,операции!$P:$P,$F309)</f>
        <v>537163.46999999974</v>
      </c>
      <c r="L344" s="314">
        <f>SUMIFS(операции!$V:$V,операции!$X:$X,"&gt;="&amp;I$8,операции!$X:$X,"&lt;="&amp;I$9,операции!$AB:$AB,"&lt;&gt;"&amp;"",операции!$L:$L,L$9,операции!$P:$P,$F309)</f>
        <v>1135005.5299999986</v>
      </c>
      <c r="M344" s="273"/>
      <c r="N344" s="152">
        <f>SUMIFS(операции!$V:$V,операции!$X:$X,"&gt;="&amp;N$8,операции!$X:$X,"&lt;="&amp;N$9,операции!$AB:$AB,"&lt;&gt;"&amp;"",операции!$P:$P,$F309)</f>
        <v>383473.28000000009</v>
      </c>
      <c r="O344" s="170">
        <f>N344-P344-Q344</f>
        <v>0</v>
      </c>
      <c r="P344" s="152">
        <f>SUMIFS(операции!$V:$V,операции!$X:$X,"&gt;="&amp;N$8,операции!$X:$X,"&lt;="&amp;N$9,операции!$AB:$AB,"&lt;&gt;"&amp;"",операции!$L:$L,P$9,операции!$P:$P,$F309)</f>
        <v>237136.21</v>
      </c>
      <c r="Q344" s="235">
        <f>SUMIFS(операции!$V:$V,операции!$X:$X,"&gt;="&amp;N$8,операции!$X:$X,"&lt;="&amp;N$9,операции!$AB:$AB,"&lt;&gt;"&amp;"",операции!$L:$L,Q$9,операции!$P:$P,$F309)</f>
        <v>146337.07</v>
      </c>
      <c r="R344" s="236"/>
      <c r="S344" s="152">
        <f>SUMIFS(операции!$V:$V,операции!$X:$X,"&gt;="&amp;S$8,операции!$X:$X,"&lt;="&amp;S$9,операции!$AB:$AB,"&lt;&gt;"&amp;"",операции!$P:$P,$F309)</f>
        <v>797556.12000000011</v>
      </c>
      <c r="T344" s="170">
        <f>S344-U344-V344</f>
        <v>0</v>
      </c>
      <c r="U344" s="152">
        <f>SUMIFS(операции!$V:$V,операции!$X:$X,"&gt;="&amp;S$8,операции!$X:$X,"&lt;="&amp;S$9,операции!$AB:$AB,"&lt;&gt;"&amp;"",операции!$L:$L,U$9,операции!$P:$P,$F309)</f>
        <v>237142.30000000016</v>
      </c>
      <c r="V344" s="235">
        <f>SUMIFS(операции!$V:$V,операции!$X:$X,"&gt;="&amp;S$8,операции!$X:$X,"&lt;="&amp;S$9,операции!$AB:$AB,"&lt;&gt;"&amp;"",операции!$L:$L,V$9,операции!$P:$P,$F309)</f>
        <v>560413.82000000018</v>
      </c>
      <c r="W344" s="236"/>
      <c r="X344" s="152">
        <f>SUMIFS(операции!$V:$V,операции!$X:$X,"&gt;="&amp;X$8,операции!$X:$X,"&lt;="&amp;X$9,операции!$AB:$AB,"&lt;&gt;"&amp;"",операции!$P:$P,$F309)</f>
        <v>491139.60000000009</v>
      </c>
      <c r="Y344" s="170">
        <f>X344-Z344-AA344</f>
        <v>0</v>
      </c>
      <c r="Z344" s="152">
        <f>SUMIFS(операции!$V:$V,операции!$X:$X,"&gt;="&amp;X$8,операции!$X:$X,"&lt;="&amp;X$9,операции!$AB:$AB,"&lt;&gt;"&amp;"",операции!$L:$L,Z$9,операции!$P:$P,$F309)</f>
        <v>62884.960000000006</v>
      </c>
      <c r="AA344" s="235">
        <f>SUMIFS(операции!$V:$V,операции!$X:$X,"&gt;="&amp;X$8,операции!$X:$X,"&lt;="&amp;X$9,операции!$AB:$AB,"&lt;&gt;"&amp;"",операции!$L:$L,AA$9,операции!$P:$P,$F309)</f>
        <v>428254.64</v>
      </c>
      <c r="AB344" s="264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</row>
    <row r="345" spans="1:42" s="192" customFormat="1" ht="11.25">
      <c r="A345" s="37"/>
      <c r="B345" s="37"/>
      <c r="C345" s="37"/>
      <c r="D345" s="191"/>
      <c r="E345" s="191" t="s">
        <v>294</v>
      </c>
      <c r="F345" s="191" t="str">
        <f t="shared" si="512"/>
        <v>Товары для детей</v>
      </c>
      <c r="G345" s="191" t="s">
        <v>262</v>
      </c>
      <c r="H345" s="315"/>
      <c r="I345" s="316">
        <f>IF(I344=0,0,SUMIFS(операции!$AF:$AF,операции!$X:$X,"&gt;="&amp;I$8,операции!$X:$X,"&lt;="&amp;I$9,операции!$AB:$AB,"&lt;&gt;"&amp;"",операции!$P:$P,$F309)/I344)</f>
        <v>42280.894818645749</v>
      </c>
      <c r="J345" s="317"/>
      <c r="K345" s="316">
        <f>IF(K344=0,0,SUMIFS(операции!$AF:$AF,операции!$X:$X,"&gt;="&amp;I$8,операции!$X:$X,"&lt;="&amp;I$9,операции!$AB:$AB,"&lt;&gt;"&amp;"",операции!$L:$L,K$9,операции!$P:$P,$F309)/K344)</f>
        <v>42191.749142416542</v>
      </c>
      <c r="L345" s="318">
        <f>IF(L344=0,0,SUMIFS(операции!$AF:$AF,операции!$X:$X,"&gt;="&amp;I$8,операции!$X:$X,"&lt;="&amp;I$9,операции!$AB:$AB,"&lt;&gt;"&amp;"",операции!$L:$L,L$9,операции!$P:$P,$F309)/L344)</f>
        <v>42323.084745930741</v>
      </c>
      <c r="M345" s="274"/>
      <c r="N345" s="193">
        <f>IF(N344=0,0,SUMIFS(операции!$AF:$AF,операции!$X:$X,"&gt;="&amp;N$8,операции!$X:$X,"&lt;="&amp;N$9,операции!$AB:$AB,"&lt;&gt;"&amp;"",операции!$P:$P,$F309)/N344)</f>
        <v>42235.558464751433</v>
      </c>
      <c r="O345" s="196"/>
      <c r="P345" s="193">
        <f>IF(P344=0,0,SUMIFS(операции!$AF:$AF,операции!$X:$X,"&gt;="&amp;N$8,операции!$X:$X,"&lt;="&amp;N$9,операции!$AB:$AB,"&lt;&gt;"&amp;"",операции!$L:$L,P$9,операции!$P:$P,$F309)/P344)</f>
        <v>42196.229235720682</v>
      </c>
      <c r="Q345" s="237">
        <f>IF(Q344=0,0,SUMIFS(операции!$AF:$AF,операции!$X:$X,"&gt;="&amp;N$8,операции!$X:$X,"&lt;="&amp;N$9,операции!$AB:$AB,"&lt;&gt;"&amp;"",операции!$L:$L,Q$9,операции!$P:$P,$F309)/Q344)</f>
        <v>42299.29067091475</v>
      </c>
      <c r="R345" s="238"/>
      <c r="S345" s="193">
        <f>IF(S344=0,0,SUMIFS(операции!$AF:$AF,операции!$X:$X,"&gt;="&amp;S$8,операции!$X:$X,"&lt;="&amp;S$9,операции!$AB:$AB,"&lt;&gt;"&amp;"",операции!$P:$P,$F309)/S344)</f>
        <v>42278.630786269925</v>
      </c>
      <c r="T345" s="196"/>
      <c r="U345" s="193">
        <f>IF(U344=0,0,SUMIFS(операции!$AF:$AF,операции!$X:$X,"&gt;="&amp;S$8,операции!$X:$X,"&lt;="&amp;S$9,операции!$AB:$AB,"&lt;&gt;"&amp;"",операции!$L:$L,U$9,операции!$P:$P,$F309)/U344)</f>
        <v>42181.569170072129</v>
      </c>
      <c r="V345" s="237">
        <f>IF(V344=0,0,SUMIFS(операции!$AF:$AF,операции!$X:$X,"&gt;="&amp;S$8,операции!$X:$X,"&lt;="&amp;S$9,операции!$AB:$AB,"&lt;&gt;"&amp;"",операции!$L:$L,V$9,операции!$P:$P,$F309)/V344)</f>
        <v>42319.702962018309</v>
      </c>
      <c r="W345" s="238"/>
      <c r="X345" s="193">
        <f>IF(X344=0,0,SUMIFS(операции!$AF:$AF,операции!$X:$X,"&gt;="&amp;X$8,операции!$X:$X,"&lt;="&amp;X$9,операции!$AB:$AB,"&lt;&gt;"&amp;"",операции!$P:$P,$F309)/X344)</f>
        <v>42319.969194257581</v>
      </c>
      <c r="Y345" s="196"/>
      <c r="Z345" s="193">
        <f>IF(Z344=0,0,SUMIFS(операции!$AF:$AF,операции!$X:$X,"&gt;="&amp;X$8,операции!$X:$X,"&lt;="&amp;X$9,операции!$AB:$AB,"&lt;&gt;"&amp;"",операции!$L:$L,Z$9,операции!$P:$P,$F309)/Z344)</f>
        <v>42213.244102564437</v>
      </c>
      <c r="AA345" s="237">
        <f>IF(AA344=0,0,SUMIFS(операции!$AF:$AF,операции!$X:$X,"&gt;="&amp;X$8,операции!$X:$X,"&lt;="&amp;X$9,операции!$AB:$AB,"&lt;&gt;"&amp;"",операции!$L:$L,AA$9,операции!$P:$P,$F309)/AA344)</f>
        <v>42335.640718848939</v>
      </c>
      <c r="AB345" s="265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</row>
    <row r="346" spans="1:42" s="192" customFormat="1" ht="11.25">
      <c r="A346" s="37"/>
      <c r="B346" s="37"/>
      <c r="C346" s="37"/>
      <c r="D346" s="191"/>
      <c r="E346" s="191" t="s">
        <v>299</v>
      </c>
      <c r="F346" s="191" t="str">
        <f t="shared" si="512"/>
        <v>Товары для детей</v>
      </c>
      <c r="G346" s="191" t="s">
        <v>262</v>
      </c>
      <c r="H346" s="315"/>
      <c r="I346" s="316">
        <f>IF(I344=0,0,SUMIFS(операции!$AH:$AH,операции!$X:$X,"&gt;="&amp;I$8,операции!$X:$X,"&lt;="&amp;I$9,операции!$AB:$AB,"&lt;&gt;"&amp;"",операции!$P:$P,$F309)/I344)</f>
        <v>42305.817280627794</v>
      </c>
      <c r="J346" s="317"/>
      <c r="K346" s="316">
        <f>IF(K344=0,0,SUMIFS(операции!$AH:$AH,операции!$X:$X,"&gt;="&amp;I$8,операции!$X:$X,"&lt;="&amp;I$9,операции!$AB:$AB,"&lt;&gt;"&amp;"",операции!$L:$L,K$9,операции!$P:$P,$F309)/K344)</f>
        <v>42219.808907444902</v>
      </c>
      <c r="L346" s="318">
        <f>IF(L344=0,0,SUMIFS(операции!$AH:$AH,операции!$X:$X,"&gt;="&amp;I$8,операции!$X:$X,"&lt;="&amp;I$9,операции!$AB:$AB,"&lt;&gt;"&amp;"",операции!$L:$L,L$9,операции!$P:$P,$F309)/L344)</f>
        <v>42346.522418150744</v>
      </c>
      <c r="M346" s="274"/>
      <c r="N346" s="193">
        <f>IF(N344=0,0,SUMIFS(операции!$AH:$AH,операции!$X:$X,"&gt;="&amp;N$8,операции!$X:$X,"&lt;="&amp;N$9,операции!$AB:$AB,"&lt;&gt;"&amp;"",операции!$P:$P,$F309)/N344)</f>
        <v>42262.167815838417</v>
      </c>
      <c r="O346" s="196"/>
      <c r="P346" s="193">
        <f>IF(P344=0,0,SUMIFS(операции!$AH:$AH,операции!$X:$X,"&gt;="&amp;N$8,операции!$X:$X,"&lt;="&amp;N$9,операции!$AB:$AB,"&lt;&gt;"&amp;"",операции!$L:$L,P$9,операции!$P:$P,$F309)/P344)</f>
        <v>42221.22966762435</v>
      </c>
      <c r="Q346" s="237">
        <f>IF(Q344=0,0,SUMIFS(операции!$AH:$AH,операции!$X:$X,"&gt;="&amp;N$8,операции!$X:$X,"&lt;="&amp;N$9,операции!$AB:$AB,"&lt;&gt;"&amp;"",операции!$L:$L,Q$9,операции!$P:$P,$F309)/Q344)</f>
        <v>42328.507242423264</v>
      </c>
      <c r="R346" s="238"/>
      <c r="S346" s="193">
        <f>IF(S344=0,0,SUMIFS(операции!$AH:$AH,операции!$X:$X,"&gt;="&amp;S$8,операции!$X:$X,"&lt;="&amp;S$9,операции!$AB:$AB,"&lt;&gt;"&amp;"",операции!$P:$P,$F309)/S344)</f>
        <v>42303.973729209189</v>
      </c>
      <c r="T346" s="196"/>
      <c r="U346" s="193">
        <f>IF(U344=0,0,SUMIFS(операции!$AH:$AH,операции!$X:$X,"&gt;="&amp;S$8,операции!$X:$X,"&lt;="&amp;S$9,операции!$AB:$AB,"&lt;&gt;"&amp;"",операции!$L:$L,U$9,операции!$P:$P,$F309)/U344)</f>
        <v>42212.05316542006</v>
      </c>
      <c r="V346" s="237">
        <f>IF(V344=0,0,SUMIFS(операции!$AH:$AH,операции!$X:$X,"&gt;="&amp;S$8,операции!$X:$X,"&lt;="&amp;S$9,операции!$AB:$AB,"&lt;&gt;"&amp;"",операции!$L:$L,V$9,операции!$P:$P,$F309)/V344)</f>
        <v>42342.870439347833</v>
      </c>
      <c r="W346" s="238"/>
      <c r="X346" s="193">
        <f>IF(X344=0,0,SUMIFS(операции!$AH:$AH,операции!$X:$X,"&gt;="&amp;X$8,операции!$X:$X,"&lt;="&amp;X$9,операции!$AB:$AB,"&lt;&gt;"&amp;"",операции!$P:$P,$F309)/X344)</f>
        <v>42342.891748150636</v>
      </c>
      <c r="Y346" s="196"/>
      <c r="Z346" s="193">
        <f>IF(Z344=0,0,SUMIFS(операции!$AH:$AH,операции!$X:$X,"&gt;="&amp;X$8,операции!$X:$X,"&lt;="&amp;X$9,операции!$AB:$AB,"&lt;&gt;"&amp;"",операции!$L:$L,Z$9,операции!$P:$P,$F309)/Z344)</f>
        <v>42243.698575462229</v>
      </c>
      <c r="AA346" s="237">
        <f>IF(AA344=0,0,SUMIFS(операции!$AH:$AH,операции!$X:$X,"&gt;="&amp;X$8,операции!$X:$X,"&lt;="&amp;X$9,операции!$AB:$AB,"&lt;&gt;"&amp;"",операции!$L:$L,AA$9,операции!$P:$P,$F309)/AA344)</f>
        <v>42357.457284899472</v>
      </c>
      <c r="AB346" s="265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</row>
    <row r="347" spans="1:42" s="5" customFormat="1">
      <c r="A347" s="1"/>
      <c r="B347" s="1"/>
      <c r="C347" s="1"/>
      <c r="D347" s="168"/>
      <c r="E347" s="168" t="s">
        <v>296</v>
      </c>
      <c r="F347" s="168" t="str">
        <f t="shared" si="512"/>
        <v>Товары для детей</v>
      </c>
      <c r="G347" s="168" t="s">
        <v>261</v>
      </c>
      <c r="H347" s="326"/>
      <c r="I347" s="327">
        <f>I342-I344</f>
        <v>218554.00000000186</v>
      </c>
      <c r="J347" s="313">
        <f>I347-K347-L347</f>
        <v>2.3283064365386963E-10</v>
      </c>
      <c r="K347" s="327">
        <f t="shared" ref="K347:L347" si="589">K342-K344</f>
        <v>65666.530000000261</v>
      </c>
      <c r="L347" s="328">
        <f t="shared" si="589"/>
        <v>152887.47000000137</v>
      </c>
      <c r="M347" s="277"/>
      <c r="N347" s="169">
        <f>N342-N344</f>
        <v>44071.719999999914</v>
      </c>
      <c r="O347" s="170">
        <f>N347-P347-Q347</f>
        <v>-8.7311491370201111E-11</v>
      </c>
      <c r="P347" s="169">
        <f t="shared" ref="P347:Q347" si="590">P342-P344</f>
        <v>20838.790000000008</v>
      </c>
      <c r="Q347" s="243">
        <f t="shared" si="590"/>
        <v>23232.929999999993</v>
      </c>
      <c r="R347" s="244"/>
      <c r="S347" s="169">
        <f>S342-S344</f>
        <v>127127.87999999989</v>
      </c>
      <c r="T347" s="170">
        <f>S347-U347-V347</f>
        <v>2.3283064365386963E-10</v>
      </c>
      <c r="U347" s="169">
        <f t="shared" ref="U347:V347" si="591">U342-U344</f>
        <v>35001.699999999837</v>
      </c>
      <c r="V347" s="243">
        <f t="shared" si="591"/>
        <v>92126.179999999818</v>
      </c>
      <c r="W347" s="244"/>
      <c r="X347" s="169">
        <f>X342-X344</f>
        <v>47354.399999999907</v>
      </c>
      <c r="Y347" s="170">
        <f>X347-Z347-AA347</f>
        <v>-7.2759576141834259E-11</v>
      </c>
      <c r="Z347" s="169">
        <f t="shared" ref="Z347:AA347" si="592">Z342-Z344</f>
        <v>9826.0399999999936</v>
      </c>
      <c r="AA347" s="243">
        <f t="shared" si="592"/>
        <v>37528.359999999986</v>
      </c>
      <c r="AB347" s="266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s="211" customFormat="1">
      <c r="A348" s="210"/>
      <c r="B348" s="210"/>
      <c r="C348" s="210"/>
      <c r="D348" s="218"/>
      <c r="E348" s="218" t="s">
        <v>297</v>
      </c>
      <c r="F348" s="218" t="str">
        <f t="shared" si="512"/>
        <v>Товары для детей</v>
      </c>
      <c r="G348" s="218" t="s">
        <v>218</v>
      </c>
      <c r="H348" s="343"/>
      <c r="I348" s="344">
        <f>IF(I342=0,0,(I347/I342))</f>
        <v>0.11559281819706105</v>
      </c>
      <c r="J348" s="345"/>
      <c r="K348" s="344">
        <f t="shared" ref="K348" si="593">IF(K342=0,0,(K347/K342))</f>
        <v>0.10893042814723929</v>
      </c>
      <c r="L348" s="346">
        <f t="shared" ref="L348" si="594">IF(L342=0,0,(L347/L342))</f>
        <v>0.11871131375044462</v>
      </c>
      <c r="M348" s="280"/>
      <c r="N348" s="219">
        <f>IF(N342=0,0,(N347/N342))</f>
        <v>0.1030808920698404</v>
      </c>
      <c r="O348" s="220"/>
      <c r="P348" s="219">
        <f t="shared" ref="P348" si="595">IF(P342=0,0,(P347/P342))</f>
        <v>8.0778331233646708E-2</v>
      </c>
      <c r="Q348" s="252">
        <f t="shared" ref="Q348" si="596">IF(Q342=0,0,(Q347/Q342))</f>
        <v>0.13701085097599808</v>
      </c>
      <c r="R348" s="253"/>
      <c r="S348" s="219">
        <f>IF(S342=0,0,(S347/S342))</f>
        <v>0.13748251294496269</v>
      </c>
      <c r="T348" s="220"/>
      <c r="U348" s="219">
        <f t="shared" ref="U348" si="597">IF(U342=0,0,(U347/U342))</f>
        <v>0.12861463048974012</v>
      </c>
      <c r="V348" s="252">
        <f t="shared" ref="V348" si="598">IF(V342=0,0,(V347/V342))</f>
        <v>0.14118089312532536</v>
      </c>
      <c r="W348" s="253"/>
      <c r="X348" s="219">
        <f>IF(X342=0,0,(X347/X342))</f>
        <v>8.7938584273919318E-2</v>
      </c>
      <c r="Y348" s="220"/>
      <c r="Z348" s="219">
        <f t="shared" ref="Z348" si="599">IF(Z342=0,0,(Z347/Z342))</f>
        <v>0.13513828719175908</v>
      </c>
      <c r="AA348" s="252">
        <f t="shared" ref="AA348" si="600">IF(AA342=0,0,(AA347/AA342))</f>
        <v>8.0570480245092641E-2</v>
      </c>
      <c r="AB348" s="267"/>
      <c r="AC348" s="210"/>
      <c r="AD348" s="210"/>
      <c r="AE348" s="210"/>
      <c r="AF348" s="210"/>
      <c r="AG348" s="210"/>
      <c r="AH348" s="210"/>
      <c r="AI348" s="210"/>
      <c r="AJ348" s="210"/>
      <c r="AK348" s="210"/>
      <c r="AL348" s="210"/>
      <c r="AM348" s="210"/>
      <c r="AN348" s="210"/>
      <c r="AO348" s="210"/>
      <c r="AP348" s="210"/>
    </row>
    <row r="349" spans="1:42" s="5" customFormat="1">
      <c r="A349" s="1"/>
      <c r="B349" s="1"/>
      <c r="C349" s="1"/>
      <c r="D349" s="227"/>
      <c r="E349" s="227" t="s">
        <v>298</v>
      </c>
      <c r="F349" s="227" t="str">
        <f t="shared" si="512"/>
        <v>Товары для детей</v>
      </c>
      <c r="G349" s="227" t="s">
        <v>219</v>
      </c>
      <c r="H349" s="347"/>
      <c r="I349" s="348">
        <f>I343-I345</f>
        <v>44.679936619832006</v>
      </c>
      <c r="J349" s="321"/>
      <c r="K349" s="348">
        <f t="shared" ref="K349:L349" si="601">K343-K345</f>
        <v>126.23824872192199</v>
      </c>
      <c r="L349" s="349">
        <f t="shared" si="601"/>
        <v>6.0414617588758119</v>
      </c>
      <c r="M349" s="281"/>
      <c r="N349" s="228">
        <f>N343-N345</f>
        <v>66.144630829148809</v>
      </c>
      <c r="O349" s="173"/>
      <c r="P349" s="228">
        <f t="shared" ref="P349:Q349" si="602">P343-P345</f>
        <v>104.90103271618136</v>
      </c>
      <c r="Q349" s="254">
        <f t="shared" si="602"/>
        <v>3.2838941616209922</v>
      </c>
      <c r="R349" s="255"/>
      <c r="S349" s="228">
        <f>S343-S345</f>
        <v>47.706445692558191</v>
      </c>
      <c r="T349" s="173"/>
      <c r="U349" s="228">
        <f t="shared" ref="U349:V349" si="603">U343-U345</f>
        <v>146.0300127134542</v>
      </c>
      <c r="V349" s="254">
        <f t="shared" si="603"/>
        <v>6.1079691123522935</v>
      </c>
      <c r="W349" s="255"/>
      <c r="X349" s="228">
        <f>X343-X345</f>
        <v>23.249506415035285</v>
      </c>
      <c r="Y349" s="173"/>
      <c r="Z349" s="228">
        <f t="shared" ref="Z349:AA349" si="604">Z343-Z345</f>
        <v>128.57633725897176</v>
      </c>
      <c r="AA349" s="254">
        <f t="shared" si="604"/>
        <v>7.7962571677926462</v>
      </c>
      <c r="AB349" s="266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s="5" customFormat="1">
      <c r="A350" s="1"/>
      <c r="B350" s="1"/>
      <c r="C350" s="1"/>
      <c r="D350" s="227"/>
      <c r="E350" s="227" t="s">
        <v>300</v>
      </c>
      <c r="F350" s="227" t="str">
        <f t="shared" si="512"/>
        <v>Товары для детей</v>
      </c>
      <c r="G350" s="227" t="s">
        <v>219</v>
      </c>
      <c r="H350" s="347"/>
      <c r="I350" s="348">
        <f>I346-I345</f>
        <v>24.922461982045206</v>
      </c>
      <c r="J350" s="321"/>
      <c r="K350" s="348">
        <f t="shared" ref="K350:L350" si="605">K346-K345</f>
        <v>28.059765028359834</v>
      </c>
      <c r="L350" s="349">
        <f t="shared" si="605"/>
        <v>23.437672220003151</v>
      </c>
      <c r="M350" s="281"/>
      <c r="N350" s="228">
        <f>N346-N345</f>
        <v>26.609351086983224</v>
      </c>
      <c r="O350" s="173"/>
      <c r="P350" s="228">
        <f t="shared" ref="P350:Q350" si="606">P346-P345</f>
        <v>25.000431903667049</v>
      </c>
      <c r="Q350" s="254">
        <f t="shared" si="606"/>
        <v>29.21657150851388</v>
      </c>
      <c r="R350" s="255"/>
      <c r="S350" s="228">
        <f>S346-S345</f>
        <v>25.342942939263594</v>
      </c>
      <c r="T350" s="173"/>
      <c r="U350" s="228">
        <f t="shared" ref="U350:V350" si="607">U346-U345</f>
        <v>30.483995347931341</v>
      </c>
      <c r="V350" s="254">
        <f t="shared" si="607"/>
        <v>23.167477329523535</v>
      </c>
      <c r="W350" s="255"/>
      <c r="X350" s="228">
        <f>X346-X345</f>
        <v>22.92255389305501</v>
      </c>
      <c r="Y350" s="173"/>
      <c r="Z350" s="228">
        <f t="shared" ref="Z350:AA350" si="608">Z346-Z345</f>
        <v>30.454472897792584</v>
      </c>
      <c r="AA350" s="254">
        <f t="shared" si="608"/>
        <v>21.816566050532856</v>
      </c>
      <c r="AB350" s="266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s="93" customFormat="1" ht="15">
      <c r="A351" s="92"/>
      <c r="B351" s="92"/>
      <c r="C351" s="92"/>
      <c r="D351" s="221"/>
      <c r="E351" s="221" t="s">
        <v>301</v>
      </c>
      <c r="F351" s="221" t="str">
        <f t="shared" si="512"/>
        <v>Товары для детей</v>
      </c>
      <c r="G351" s="221" t="s">
        <v>219</v>
      </c>
      <c r="H351" s="357"/>
      <c r="I351" s="358">
        <f>I349-I350</f>
        <v>19.7574746377868</v>
      </c>
      <c r="J351" s="352"/>
      <c r="K351" s="358">
        <f t="shared" ref="K351" si="609">K349-K350</f>
        <v>98.178483693562157</v>
      </c>
      <c r="L351" s="359">
        <f t="shared" ref="L351" si="610">L349-L350</f>
        <v>-17.396210461127339</v>
      </c>
      <c r="M351" s="284"/>
      <c r="N351" s="222">
        <f>N349-N350</f>
        <v>39.535279742165585</v>
      </c>
      <c r="O351" s="181"/>
      <c r="P351" s="222">
        <f t="shared" ref="P351" si="611">P349-P350</f>
        <v>79.900600812514313</v>
      </c>
      <c r="Q351" s="260">
        <f t="shared" ref="Q351" si="612">Q349-Q350</f>
        <v>-25.932677346892888</v>
      </c>
      <c r="R351" s="261"/>
      <c r="S351" s="222">
        <f>S349-S350</f>
        <v>22.363502753294597</v>
      </c>
      <c r="T351" s="181"/>
      <c r="U351" s="222">
        <f t="shared" ref="U351" si="613">U349-U350</f>
        <v>115.54601736552286</v>
      </c>
      <c r="V351" s="260">
        <f t="shared" ref="V351" si="614">V349-V350</f>
        <v>-17.059508217171242</v>
      </c>
      <c r="W351" s="261"/>
      <c r="X351" s="222">
        <f>X349-X350</f>
        <v>0.32695252198027447</v>
      </c>
      <c r="Y351" s="181"/>
      <c r="Z351" s="222">
        <f t="shared" ref="Z351" si="615">Z349-Z350</f>
        <v>98.121864361179178</v>
      </c>
      <c r="AA351" s="260">
        <f t="shared" ref="AA351" si="616">AA349-AA350</f>
        <v>-14.02030888274021</v>
      </c>
      <c r="AB351" s="264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</row>
    <row r="352" spans="1:42" s="5" customFormat="1">
      <c r="A352" s="1"/>
      <c r="B352" s="1"/>
      <c r="C352" s="1"/>
      <c r="D352" s="223"/>
      <c r="E352" s="223" t="s">
        <v>302</v>
      </c>
      <c r="F352" s="223" t="str">
        <f t="shared" si="512"/>
        <v>Товары для детей</v>
      </c>
      <c r="G352" s="223" t="s">
        <v>261</v>
      </c>
      <c r="H352" s="354"/>
      <c r="I352" s="355">
        <f>SUMIFS(операции!$Z:$Z,операции!$X:$X,"&gt;="&amp;I$8,операции!$X:$X,"&lt;="&amp;I$9,операции!$AB:$AB,"",операции!$P:$P,$F309)</f>
        <v>814648</v>
      </c>
      <c r="J352" s="341">
        <f>I352-K352-L352</f>
        <v>0</v>
      </c>
      <c r="K352" s="355">
        <f>SUMIFS(операции!$Z:$Z,операции!$X:$X,"&gt;="&amp;I$8,операции!$X:$X,"&lt;="&amp;I$9,операции!$AB:$AB,"",операции!$L:$L,K$9,операции!$P:$P,$F309)</f>
        <v>203680</v>
      </c>
      <c r="L352" s="356">
        <f>SUMIFS(операции!$Z:$Z,операции!$X:$X,"&gt;="&amp;I$8,операции!$X:$X,"&lt;="&amp;I$9,операции!$AB:$AB,"",операции!$L:$L,L$9,операции!$P:$P,$F309)</f>
        <v>610968</v>
      </c>
      <c r="M352" s="283"/>
      <c r="N352" s="224">
        <f>SUMIFS(операции!$Z:$Z,операции!$X:$X,"&gt;="&amp;N$8,операции!$X:$X,"&lt;="&amp;N$9,операции!$AB:$AB,"",операции!$P:$P,$F309)</f>
        <v>123273</v>
      </c>
      <c r="O352" s="216">
        <f>N352-P352-Q352</f>
        <v>0</v>
      </c>
      <c r="P352" s="224">
        <f>SUMIFS(операции!$Z:$Z,операции!$X:$X,"&gt;="&amp;N$8,операции!$X:$X,"&lt;="&amp;N$9,операции!$AB:$AB,"",операции!$L:$L,P$9,операции!$P:$P,$F309)</f>
        <v>88227</v>
      </c>
      <c r="Q352" s="258">
        <f>SUMIFS(операции!$Z:$Z,операции!$X:$X,"&gt;="&amp;N$8,операции!$X:$X,"&lt;="&amp;N$9,операции!$AB:$AB,"",операции!$L:$L,Q$9,операции!$P:$P,$F309)</f>
        <v>35046</v>
      </c>
      <c r="R352" s="259"/>
      <c r="S352" s="224">
        <f>SUMIFS(операции!$Z:$Z,операции!$X:$X,"&gt;="&amp;S$8,операции!$X:$X,"&lt;="&amp;S$9,операции!$AB:$AB,"",операции!$P:$P,$F309)</f>
        <v>308777</v>
      </c>
      <c r="T352" s="216">
        <f>S352-U352-V352</f>
        <v>0</v>
      </c>
      <c r="U352" s="224">
        <f>SUMIFS(операции!$Z:$Z,операции!$X:$X,"&gt;="&amp;S$8,операции!$X:$X,"&lt;="&amp;S$9,операции!$AB:$AB,"",операции!$L:$L,U$9,операции!$P:$P,$F309)</f>
        <v>81117</v>
      </c>
      <c r="V352" s="258">
        <f>SUMIFS(операции!$Z:$Z,операции!$X:$X,"&gt;="&amp;S$8,операции!$X:$X,"&lt;="&amp;S$9,операции!$AB:$AB,"",операции!$L:$L,V$9,операции!$P:$P,$F309)</f>
        <v>227660</v>
      </c>
      <c r="W352" s="259"/>
      <c r="X352" s="224">
        <f>SUMIFS(операции!$Z:$Z,операции!$X:$X,"&gt;="&amp;X$8,операции!$X:$X,"&lt;="&amp;X$9,операции!$AB:$AB,"",операции!$P:$P,$F309)</f>
        <v>382598</v>
      </c>
      <c r="Y352" s="216">
        <f>X352-Z352-AA352</f>
        <v>0</v>
      </c>
      <c r="Z352" s="224">
        <f>SUMIFS(операции!$Z:$Z,операции!$X:$X,"&gt;="&amp;X$8,операции!$X:$X,"&lt;="&amp;X$9,операции!$AB:$AB,"",операции!$L:$L,Z$9,операции!$P:$P,$F309)</f>
        <v>34336</v>
      </c>
      <c r="AA352" s="258">
        <f>SUMIFS(операции!$Z:$Z,операции!$X:$X,"&gt;="&amp;X$8,операции!$X:$X,"&lt;="&amp;X$9,операции!$AB:$AB,"",операции!$L:$L,AA$9,операции!$P:$P,$F309)</f>
        <v>348262</v>
      </c>
      <c r="AB352" s="266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s="192" customFormat="1" ht="11.25">
      <c r="A353" s="37"/>
      <c r="B353" s="37"/>
      <c r="C353" s="37"/>
      <c r="D353" s="191"/>
      <c r="E353" s="191" t="s">
        <v>303</v>
      </c>
      <c r="F353" s="191" t="str">
        <f t="shared" si="512"/>
        <v>Товары для детей</v>
      </c>
      <c r="G353" s="191" t="s">
        <v>262</v>
      </c>
      <c r="H353" s="315"/>
      <c r="I353" s="316">
        <f>IF(I352=0,0,SUMIFS(операции!$AG:$AG,операции!$X:$X,"&gt;="&amp;I$8,операции!$X:$X,"&lt;="&amp;I$9,операции!$AB:$AB,"",операции!$P:$P,$F309)/I352)</f>
        <v>42331.310438373381</v>
      </c>
      <c r="J353" s="317"/>
      <c r="K353" s="316">
        <f>IF(K352=0,0,SUMIFS(операции!$AG:$AG,операции!$X:$X,"&gt;="&amp;I$8,операции!$X:$X,"&lt;="&amp;I$9,операции!$AB:$AB,"",операции!$L:$L,K$9,операции!$P:$P,$F309)/K352)</f>
        <v>42317.249013157896</v>
      </c>
      <c r="L353" s="318">
        <f>IF(L352=0,0,SUMIFS(операции!$AG:$AG,операции!$X:$X,"&gt;="&amp;I$8,операции!$X:$X,"&lt;="&amp;I$9,операции!$AB:$AB,"",операции!$L:$L,L$9,операции!$P:$P,$F309)/L352)</f>
        <v>42335.998132471752</v>
      </c>
      <c r="M353" s="274"/>
      <c r="N353" s="193">
        <f>IF(N352=0,0,SUMIFS(операции!$AG:$AG,операции!$X:$X,"&gt;="&amp;N$8,операции!$X:$X,"&lt;="&amp;N$9,операции!$AB:$AB,"",операции!$P:$P,$F309)/N352)</f>
        <v>42302.619097450377</v>
      </c>
      <c r="O353" s="196"/>
      <c r="P353" s="193">
        <f>IF(P352=0,0,SUMIFS(операции!$AG:$AG,операции!$X:$X,"&gt;="&amp;N$8,операции!$X:$X,"&lt;="&amp;N$9,операции!$AB:$AB,"",операции!$L:$L,P$9,операции!$P:$P,$F309)/P352)</f>
        <v>42302.110771079148</v>
      </c>
      <c r="Q353" s="237">
        <f>IF(Q352=0,0,SUMIFS(операции!$AG:$AG,операции!$X:$X,"&gt;="&amp;N$8,операции!$X:$X,"&lt;="&amp;N$9,операции!$AB:$AB,"",операции!$L:$L,Q$9,операции!$P:$P,$F309)/Q352)</f>
        <v>42303.898790161504</v>
      </c>
      <c r="R353" s="238"/>
      <c r="S353" s="193">
        <f>IF(S352=0,0,SUMIFS(операции!$AG:$AG,операции!$X:$X,"&gt;="&amp;S$8,операции!$X:$X,"&lt;="&amp;S$9,операции!$AB:$AB,"",операции!$P:$P,$F309)/S352)</f>
        <v>42328.640345621599</v>
      </c>
      <c r="T353" s="196"/>
      <c r="U353" s="193">
        <f>IF(U352=0,0,SUMIFS(операции!$AG:$AG,операции!$X:$X,"&gt;="&amp;S$8,операции!$X:$X,"&lt;="&amp;S$9,операции!$AB:$AB,"",операции!$L:$L,U$9,операции!$P:$P,$F309)/U352)</f>
        <v>42322.925305423028</v>
      </c>
      <c r="V353" s="237">
        <f>IF(V352=0,0,SUMIFS(операции!$AG:$AG,операции!$X:$X,"&gt;="&amp;S$8,операции!$X:$X,"&lt;="&amp;S$9,операции!$AB:$AB,"",операции!$L:$L,V$9,операции!$P:$P,$F309)/V352)</f>
        <v>42330.676658174474</v>
      </c>
      <c r="W353" s="238"/>
      <c r="X353" s="193">
        <f>IF(X352=0,0,SUMIFS(операции!$AG:$AG,операции!$X:$X,"&gt;="&amp;X$8,операции!$X:$X,"&lt;="&amp;X$9,операции!$AB:$AB,"",операции!$P:$P,$F309)/X352)</f>
        <v>42342.709690066338</v>
      </c>
      <c r="Y353" s="196"/>
      <c r="Z353" s="193">
        <f>IF(Z352=0,0,SUMIFS(операции!$AG:$AG,операции!$X:$X,"&gt;="&amp;X$8,операции!$X:$X,"&lt;="&amp;X$9,операции!$AB:$AB,"",операции!$L:$L,Z$9,операции!$P:$P,$F309)/Z352)</f>
        <v>42342.737068965514</v>
      </c>
      <c r="AA353" s="237">
        <f>IF(AA352=0,0,SUMIFS(операции!$AG:$AG,операции!$X:$X,"&gt;="&amp;X$8,операции!$X:$X,"&lt;="&amp;X$9,операции!$AB:$AB,"",операции!$L:$L,AA$9,операции!$P:$P,$F309)/AA352)</f>
        <v>42342.706990713887</v>
      </c>
      <c r="AB353" s="265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</row>
    <row r="354" spans="1:42" s="5" customFormat="1">
      <c r="A354" s="1"/>
      <c r="B354" s="1"/>
      <c r="C354" s="1"/>
      <c r="D354" s="168"/>
      <c r="E354" s="168" t="s">
        <v>304</v>
      </c>
      <c r="F354" s="168" t="str">
        <f t="shared" si="512"/>
        <v>Товары для детей</v>
      </c>
      <c r="G354" s="168" t="s">
        <v>261</v>
      </c>
      <c r="H354" s="326"/>
      <c r="I354" s="327">
        <f>SUMIFS(операции!$V:$V,операции!$X:$X,"&gt;="&amp;I$8,операции!$X:$X,"&lt;="&amp;I$9,операции!$AB:$AB,"",операции!$P:$P,$F309)</f>
        <v>734067.75999999989</v>
      </c>
      <c r="J354" s="313">
        <f>I354-K354-L354</f>
        <v>0</v>
      </c>
      <c r="K354" s="327">
        <f>SUMIFS(операции!$V:$V,операции!$X:$X,"&gt;="&amp;I$8,операции!$X:$X,"&lt;="&amp;I$9,операции!$AB:$AB,"",операции!$L:$L,K$9,операции!$P:$P,$F309)</f>
        <v>181508.56999999998</v>
      </c>
      <c r="L354" s="328">
        <f>SUMIFS(операции!$V:$V,операции!$X:$X,"&gt;="&amp;I$8,операции!$X:$X,"&lt;="&amp;I$9,операции!$AB:$AB,"",операции!$L:$L,L$9,операции!$P:$P,$F309)</f>
        <v>552559.18999999994</v>
      </c>
      <c r="M354" s="277"/>
      <c r="N354" s="169">
        <f>SUMIFS(операции!$V:$V,операции!$X:$X,"&gt;="&amp;N$8,операции!$X:$X,"&lt;="&amp;N$9,операции!$AB:$AB,"",операции!$P:$P,$F309)</f>
        <v>110715.42</v>
      </c>
      <c r="O354" s="170">
        <f>N354-P354-Q354</f>
        <v>0</v>
      </c>
      <c r="P354" s="169">
        <f>SUMIFS(операции!$V:$V,операции!$X:$X,"&gt;="&amp;N$8,операции!$X:$X,"&lt;="&amp;N$9,операции!$AB:$AB,"",операции!$L:$L,P$9,операции!$P:$P,$F309)</f>
        <v>81110.63</v>
      </c>
      <c r="Q354" s="243">
        <f>SUMIFS(операции!$V:$V,операции!$X:$X,"&gt;="&amp;N$8,операции!$X:$X,"&lt;="&amp;N$9,операции!$AB:$AB,"",операции!$L:$L,Q$9,операции!$P:$P,$F309)</f>
        <v>29604.79</v>
      </c>
      <c r="R354" s="244"/>
      <c r="S354" s="169">
        <f>SUMIFS(операции!$V:$V,операции!$X:$X,"&gt;="&amp;S$8,операции!$X:$X,"&lt;="&amp;S$9,операции!$AB:$AB,"",операции!$P:$P,$F309)</f>
        <v>268662.01</v>
      </c>
      <c r="T354" s="170">
        <f>S354-U354-V354</f>
        <v>0</v>
      </c>
      <c r="U354" s="169">
        <f>SUMIFS(операции!$V:$V,операции!$X:$X,"&gt;="&amp;S$8,операции!$X:$X,"&lt;="&amp;S$9,операции!$AB:$AB,"",операции!$L:$L,U$9,операции!$P:$P,$F309)</f>
        <v>68623.790000000008</v>
      </c>
      <c r="V354" s="243">
        <f>SUMIFS(операции!$V:$V,операции!$X:$X,"&gt;="&amp;S$8,операции!$X:$X,"&lt;="&amp;S$9,операции!$AB:$AB,"",операции!$L:$L,V$9,операции!$P:$P,$F309)</f>
        <v>200038.22</v>
      </c>
      <c r="W354" s="244"/>
      <c r="X354" s="169">
        <f>SUMIFS(операции!$V:$V,операции!$X:$X,"&gt;="&amp;X$8,операции!$X:$X,"&lt;="&amp;X$9,операции!$AB:$AB,"",операции!$P:$P,$F309)</f>
        <v>354690.32999999978</v>
      </c>
      <c r="Y354" s="170">
        <f>X354-Z354-AA354</f>
        <v>0</v>
      </c>
      <c r="Z354" s="169">
        <f>SUMIFS(операции!$V:$V,операции!$X:$X,"&gt;="&amp;X$8,операции!$X:$X,"&lt;="&amp;X$9,операции!$AB:$AB,"",операции!$L:$L,Z$9,операции!$P:$P,$F309)</f>
        <v>31774.15</v>
      </c>
      <c r="AA354" s="243">
        <f>SUMIFS(операции!$V:$V,операции!$X:$X,"&gt;="&amp;X$8,операции!$X:$X,"&lt;="&amp;X$9,операции!$AB:$AB,"",операции!$L:$L,AA$9,операции!$P:$P,$F309)</f>
        <v>322916.17999999993</v>
      </c>
      <c r="AB354" s="266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s="192" customFormat="1" ht="11.25">
      <c r="A355" s="37"/>
      <c r="B355" s="37"/>
      <c r="C355" s="37"/>
      <c r="D355" s="191"/>
      <c r="E355" s="191" t="s">
        <v>305</v>
      </c>
      <c r="F355" s="191" t="str">
        <f t="shared" si="512"/>
        <v>Товары для детей</v>
      </c>
      <c r="G355" s="191" t="s">
        <v>262</v>
      </c>
      <c r="H355" s="315"/>
      <c r="I355" s="316">
        <f>IF(I354=0,0,SUMIFS(операции!$AF:$AF,операции!$X:$X,"&gt;="&amp;I$8,операции!$X:$X,"&lt;="&amp;I$9,операции!$AB:$AB,"",операции!$P:$P,$F309)/I354)</f>
        <v>42293.633394265948</v>
      </c>
      <c r="J355" s="317"/>
      <c r="K355" s="316">
        <f>IF(K354=0,0,SUMIFS(операции!$AF:$AF,операции!$X:$X,"&gt;="&amp;I$8,операции!$X:$X,"&lt;="&amp;I$9,операции!$AB:$AB,"",операции!$L:$L,K$9,операции!$P:$P,$F309)/K354)</f>
        <v>42181.588587249636</v>
      </c>
      <c r="L355" s="318">
        <f>IF(L354=0,0,SUMIFS(операции!$AF:$AF,операции!$X:$X,"&gt;="&amp;I$8,операции!$X:$X,"&lt;="&amp;I$9,операции!$AB:$AB,"",операции!$L:$L,L$9,операции!$P:$P,$F309)/L354)</f>
        <v>42330.438668823874</v>
      </c>
      <c r="M355" s="274"/>
      <c r="N355" s="193">
        <f>IF(N354=0,0,SUMIFS(операции!$AF:$AF,операции!$X:$X,"&gt;="&amp;N$8,операции!$X:$X,"&lt;="&amp;N$9,операции!$AB:$AB,"",операции!$P:$P,$F309)/N354)</f>
        <v>42230.843430752459</v>
      </c>
      <c r="O355" s="196"/>
      <c r="P355" s="193">
        <f>IF(P354=0,0,SUMIFS(операции!$AF:$AF,операции!$X:$X,"&gt;="&amp;N$8,операции!$X:$X,"&lt;="&amp;N$9,операции!$AB:$AB,"",операции!$L:$L,P$9,операции!$P:$P,$F309)/P354)</f>
        <v>42205.278040128644</v>
      </c>
      <c r="Q355" s="237">
        <f>IF(Q354=0,0,SUMIFS(операции!$AF:$AF,операции!$X:$X,"&gt;="&amp;N$8,операции!$X:$X,"&lt;="&amp;N$9,операции!$AB:$AB,"",операции!$L:$L,Q$9,операции!$P:$P,$F309)/Q354)</f>
        <v>42300.886992611668</v>
      </c>
      <c r="R355" s="238"/>
      <c r="S355" s="193">
        <f>IF(S354=0,0,SUMIFS(операции!$AF:$AF,операции!$X:$X,"&gt;="&amp;S$8,операции!$X:$X,"&lt;="&amp;S$9,операции!$AB:$AB,"",операции!$P:$P,$F309)/S354)</f>
        <v>42287.110113819203</v>
      </c>
      <c r="T355" s="196"/>
      <c r="U355" s="193">
        <f>IF(U354=0,0,SUMIFS(операции!$AF:$AF,операции!$X:$X,"&gt;="&amp;S$8,операции!$X:$X,"&lt;="&amp;S$9,операции!$AB:$AB,"",операции!$L:$L,U$9,операции!$P:$P,$F309)/U354)</f>
        <v>42173.660155319303</v>
      </c>
      <c r="V355" s="237">
        <f>IF(V354=0,0,SUMIFS(операции!$AF:$AF,операции!$X:$X,"&gt;="&amp;S$8,операции!$X:$X,"&lt;="&amp;S$9,операции!$AB:$AB,"",операции!$L:$L,V$9,операции!$P:$P,$F309)/V354)</f>
        <v>42326.029506961211</v>
      </c>
      <c r="W355" s="238"/>
      <c r="X355" s="193">
        <f>IF(X354=0,0,SUMIFS(операции!$AF:$AF,операции!$X:$X,"&gt;="&amp;X$8,операции!$X:$X,"&lt;="&amp;X$9,операции!$AB:$AB,"",операции!$P:$P,$F309)/X354)</f>
        <v>42318.174167110803</v>
      </c>
      <c r="Y355" s="196"/>
      <c r="Z355" s="193">
        <f>IF(Z354=0,0,SUMIFS(операции!$AF:$AF,операции!$X:$X,"&gt;="&amp;X$8,операции!$X:$X,"&lt;="&amp;X$9,операции!$AB:$AB,"",операции!$L:$L,Z$9,операции!$P:$P,$F309)/Z354)</f>
        <v>42138.239279728965</v>
      </c>
      <c r="AA355" s="237">
        <f>IF(AA354=0,0,SUMIFS(операции!$AF:$AF,операции!$X:$X,"&gt;="&amp;X$8,операции!$X:$X,"&lt;="&amp;X$9,операции!$AB:$AB,"",операции!$L:$L,AA$9,операции!$P:$P,$F309)/AA354)</f>
        <v>42335.879313077472</v>
      </c>
      <c r="AB355" s="265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</row>
    <row r="356" spans="1:42" s="192" customFormat="1" ht="11.25">
      <c r="A356" s="37"/>
      <c r="B356" s="37"/>
      <c r="C356" s="37"/>
      <c r="D356" s="191"/>
      <c r="E356" s="191" t="s">
        <v>307</v>
      </c>
      <c r="F356" s="191" t="str">
        <f t="shared" si="512"/>
        <v>Товары для детей</v>
      </c>
      <c r="G356" s="191" t="s">
        <v>262</v>
      </c>
      <c r="H356" s="315"/>
      <c r="I356" s="316">
        <f>I$9</f>
        <v>42369</v>
      </c>
      <c r="J356" s="317"/>
      <c r="K356" s="316">
        <f>I$9</f>
        <v>42369</v>
      </c>
      <c r="L356" s="318">
        <f>I$9</f>
        <v>42369</v>
      </c>
      <c r="M356" s="274"/>
      <c r="N356" s="193">
        <f>N$9</f>
        <v>42308</v>
      </c>
      <c r="O356" s="196"/>
      <c r="P356" s="193">
        <f>N$9</f>
        <v>42308</v>
      </c>
      <c r="Q356" s="237">
        <f>N$9</f>
        <v>42308</v>
      </c>
      <c r="R356" s="238"/>
      <c r="S356" s="193">
        <f>S$9</f>
        <v>42338</v>
      </c>
      <c r="T356" s="196"/>
      <c r="U356" s="193">
        <f>S$9</f>
        <v>42338</v>
      </c>
      <c r="V356" s="237">
        <f>S$9</f>
        <v>42338</v>
      </c>
      <c r="W356" s="238"/>
      <c r="X356" s="193">
        <f>X$9</f>
        <v>42369</v>
      </c>
      <c r="Y356" s="196"/>
      <c r="Z356" s="193">
        <f>X$9</f>
        <v>42369</v>
      </c>
      <c r="AA356" s="237">
        <f>X$9</f>
        <v>42369</v>
      </c>
      <c r="AB356" s="265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</row>
    <row r="357" spans="1:42" s="5" customFormat="1">
      <c r="A357" s="1"/>
      <c r="B357" s="1"/>
      <c r="C357" s="1"/>
      <c r="D357" s="168"/>
      <c r="E357" s="168" t="s">
        <v>380</v>
      </c>
      <c r="F357" s="168" t="str">
        <f t="shared" si="512"/>
        <v>Товары для детей</v>
      </c>
      <c r="G357" s="168" t="s">
        <v>261</v>
      </c>
      <c r="H357" s="326"/>
      <c r="I357" s="327">
        <f>I352-I354</f>
        <v>80580.240000000107</v>
      </c>
      <c r="J357" s="313">
        <f>I357-K357-L357</f>
        <v>0</v>
      </c>
      <c r="K357" s="327">
        <f t="shared" ref="K357:L357" si="617">K352-K354</f>
        <v>22171.430000000022</v>
      </c>
      <c r="L357" s="328">
        <f t="shared" si="617"/>
        <v>58408.810000000056</v>
      </c>
      <c r="M357" s="277"/>
      <c r="N357" s="169">
        <f>N352-N354</f>
        <v>12557.580000000002</v>
      </c>
      <c r="O357" s="170">
        <f>N357-P357-Q357</f>
        <v>7.2759576141834259E-12</v>
      </c>
      <c r="P357" s="169">
        <f t="shared" ref="P357:Q357" si="618">P352-P354</f>
        <v>7116.3699999999953</v>
      </c>
      <c r="Q357" s="243">
        <f t="shared" si="618"/>
        <v>5441.2099999999991</v>
      </c>
      <c r="R357" s="244"/>
      <c r="S357" s="169">
        <f>S352-S354</f>
        <v>40114.989999999991</v>
      </c>
      <c r="T357" s="170">
        <f>S357-U357-V357</f>
        <v>0</v>
      </c>
      <c r="U357" s="169">
        <f t="shared" ref="U357:V357" si="619">U352-U354</f>
        <v>12493.209999999992</v>
      </c>
      <c r="V357" s="243">
        <f t="shared" si="619"/>
        <v>27621.78</v>
      </c>
      <c r="W357" s="244"/>
      <c r="X357" s="169">
        <f>X352-X354</f>
        <v>27907.670000000217</v>
      </c>
      <c r="Y357" s="170">
        <f>X357-Z357-AA357</f>
        <v>1.5279510989785194E-10</v>
      </c>
      <c r="Z357" s="169">
        <f t="shared" ref="Z357:AA357" si="620">Z352-Z354</f>
        <v>2561.8499999999985</v>
      </c>
      <c r="AA357" s="243">
        <f t="shared" si="620"/>
        <v>25345.820000000065</v>
      </c>
      <c r="AB357" s="266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s="211" customFormat="1">
      <c r="A358" s="210"/>
      <c r="B358" s="210"/>
      <c r="C358" s="210"/>
      <c r="D358" s="218"/>
      <c r="E358" s="218" t="s">
        <v>381</v>
      </c>
      <c r="F358" s="218" t="str">
        <f t="shared" si="512"/>
        <v>Товары для детей</v>
      </c>
      <c r="G358" s="218" t="s">
        <v>218</v>
      </c>
      <c r="H358" s="343"/>
      <c r="I358" s="344">
        <f>IF(I352=0,0,(I357/I352))</f>
        <v>9.8914181339670768E-2</v>
      </c>
      <c r="J358" s="345"/>
      <c r="K358" s="344">
        <f t="shared" ref="K358" si="621">IF(K352=0,0,(K357/K352))</f>
        <v>0.10885423212882965</v>
      </c>
      <c r="L358" s="346">
        <f t="shared" ref="L358" si="622">IF(L352=0,0,(L357/L352))</f>
        <v>9.5600440612274379E-2</v>
      </c>
      <c r="M358" s="280"/>
      <c r="N358" s="219">
        <f>IF(N352=0,0,(N357/N352))</f>
        <v>0.10186804896449346</v>
      </c>
      <c r="O358" s="220"/>
      <c r="P358" s="219">
        <f t="shared" ref="P358" si="623">IF(P352=0,0,(P357/P352))</f>
        <v>8.0659775352216384E-2</v>
      </c>
      <c r="Q358" s="252">
        <f t="shared" ref="Q358" si="624">IF(Q352=0,0,(Q357/Q352))</f>
        <v>0.15525908805569821</v>
      </c>
      <c r="R358" s="253"/>
      <c r="S358" s="219">
        <f>IF(S352=0,0,(S357/S352))</f>
        <v>0.12991573206553594</v>
      </c>
      <c r="T358" s="220"/>
      <c r="U358" s="219">
        <f t="shared" ref="U358" si="625">IF(U352=0,0,(U357/U352))</f>
        <v>0.15401469482352642</v>
      </c>
      <c r="V358" s="252">
        <f t="shared" ref="V358" si="626">IF(V352=0,0,(V357/V352))</f>
        <v>0.12132908723535096</v>
      </c>
      <c r="W358" s="253"/>
      <c r="X358" s="219">
        <f>IF(X352=0,0,(X357/X352))</f>
        <v>7.294254021192012E-2</v>
      </c>
      <c r="Y358" s="220"/>
      <c r="Z358" s="219">
        <f t="shared" ref="Z358" si="627">IF(Z352=0,0,(Z357/Z352))</f>
        <v>7.461119524697106E-2</v>
      </c>
      <c r="AA358" s="252">
        <f t="shared" ref="AA358" si="628">IF(AA352=0,0,(AA357/AA352))</f>
        <v>7.2778023442121351E-2</v>
      </c>
      <c r="AB358" s="267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</row>
    <row r="359" spans="1:42" s="5" customFormat="1">
      <c r="A359" s="1"/>
      <c r="B359" s="1"/>
      <c r="C359" s="1"/>
      <c r="D359" s="227"/>
      <c r="E359" s="227" t="s">
        <v>306</v>
      </c>
      <c r="F359" s="227" t="str">
        <f t="shared" si="512"/>
        <v>Товары для детей</v>
      </c>
      <c r="G359" s="227" t="s">
        <v>219</v>
      </c>
      <c r="H359" s="347"/>
      <c r="I359" s="348">
        <f>I353-I355</f>
        <v>37.677044107433176</v>
      </c>
      <c r="J359" s="321"/>
      <c r="K359" s="348">
        <f t="shared" ref="K359:L359" si="629">K353-K355</f>
        <v>135.66042590825964</v>
      </c>
      <c r="L359" s="349">
        <f t="shared" si="629"/>
        <v>5.5594636478781467</v>
      </c>
      <c r="M359" s="281"/>
      <c r="N359" s="228">
        <f>N353-N355</f>
        <v>71.775666697918496</v>
      </c>
      <c r="O359" s="173"/>
      <c r="P359" s="228">
        <f t="shared" ref="P359:Q359" si="630">P353-P355</f>
        <v>96.832730950503901</v>
      </c>
      <c r="Q359" s="254">
        <f t="shared" si="630"/>
        <v>3.0117975498360465</v>
      </c>
      <c r="R359" s="255"/>
      <c r="S359" s="228">
        <f>S353-S355</f>
        <v>41.530231802396884</v>
      </c>
      <c r="T359" s="173"/>
      <c r="U359" s="228">
        <f t="shared" ref="U359:V359" si="631">U353-U355</f>
        <v>149.26515010372532</v>
      </c>
      <c r="V359" s="254">
        <f t="shared" si="631"/>
        <v>4.6471512132629869</v>
      </c>
      <c r="W359" s="255"/>
      <c r="X359" s="228">
        <f>X353-X355</f>
        <v>24.535522955535271</v>
      </c>
      <c r="Y359" s="173"/>
      <c r="Z359" s="228">
        <f t="shared" ref="Z359:AA359" si="632">Z353-Z355</f>
        <v>204.49778923654958</v>
      </c>
      <c r="AA359" s="254">
        <f t="shared" si="632"/>
        <v>6.8276776364145917</v>
      </c>
      <c r="AB359" s="266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s="5" customFormat="1">
      <c r="A360" s="1"/>
      <c r="B360" s="1"/>
      <c r="C360" s="1"/>
      <c r="D360" s="227"/>
      <c r="E360" s="227" t="s">
        <v>382</v>
      </c>
      <c r="F360" s="227" t="str">
        <f t="shared" si="512"/>
        <v>Товары для детей</v>
      </c>
      <c r="G360" s="227" t="s">
        <v>219</v>
      </c>
      <c r="H360" s="347"/>
      <c r="I360" s="348">
        <f>I356-I355</f>
        <v>75.366605734052428</v>
      </c>
      <c r="J360" s="321"/>
      <c r="K360" s="348">
        <f t="shared" ref="K360:L360" si="633">K356-K355</f>
        <v>187.41141275036352</v>
      </c>
      <c r="L360" s="349">
        <f t="shared" si="633"/>
        <v>38.561331176126259</v>
      </c>
      <c r="M360" s="281"/>
      <c r="N360" s="228">
        <f>N356-N355</f>
        <v>77.156569247541483</v>
      </c>
      <c r="O360" s="173"/>
      <c r="P360" s="228">
        <f t="shared" ref="P360:Q360" si="634">P356-P355</f>
        <v>102.72195987135638</v>
      </c>
      <c r="Q360" s="254">
        <f t="shared" si="634"/>
        <v>7.1130073883323348</v>
      </c>
      <c r="R360" s="255"/>
      <c r="S360" s="228">
        <f>S356-S355</f>
        <v>50.889886180797475</v>
      </c>
      <c r="T360" s="173"/>
      <c r="U360" s="228">
        <f t="shared" ref="U360:V360" si="635">U356-U355</f>
        <v>164.33984468069684</v>
      </c>
      <c r="V360" s="254">
        <f t="shared" si="635"/>
        <v>11.970493038788845</v>
      </c>
      <c r="W360" s="255"/>
      <c r="X360" s="228">
        <f>X356-X355</f>
        <v>50.825832889197045</v>
      </c>
      <c r="Y360" s="173"/>
      <c r="Z360" s="228">
        <f t="shared" ref="Z360:AA360" si="636">Z356-Z355</f>
        <v>230.7607202710351</v>
      </c>
      <c r="AA360" s="254">
        <f t="shared" si="636"/>
        <v>33.120686922527966</v>
      </c>
      <c r="AB360" s="266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s="5" customFormat="1">
      <c r="A361" s="1"/>
      <c r="B361" s="1"/>
      <c r="C361" s="1"/>
      <c r="D361" s="225"/>
      <c r="E361" s="225" t="s">
        <v>383</v>
      </c>
      <c r="F361" s="225" t="str">
        <f t="shared" si="512"/>
        <v>Товары для детей</v>
      </c>
      <c r="G361" s="225" t="s">
        <v>219</v>
      </c>
      <c r="H361" s="350"/>
      <c r="I361" s="351">
        <f>I359-I360</f>
        <v>-37.689561626619252</v>
      </c>
      <c r="J361" s="352"/>
      <c r="K361" s="351">
        <f t="shared" ref="K361" si="637">K359-K360</f>
        <v>-51.750986842103885</v>
      </c>
      <c r="L361" s="353">
        <f t="shared" ref="L361" si="638">L359-L360</f>
        <v>-33.001867528248113</v>
      </c>
      <c r="M361" s="282"/>
      <c r="N361" s="226">
        <f>N359-N360</f>
        <v>-5.3809025496229879</v>
      </c>
      <c r="O361" s="181"/>
      <c r="P361" s="226">
        <f t="shared" ref="P361" si="639">P359-P360</f>
        <v>-5.8892289208524744</v>
      </c>
      <c r="Q361" s="256">
        <f t="shared" ref="Q361" si="640">Q359-Q360</f>
        <v>-4.1012098384962883</v>
      </c>
      <c r="R361" s="257"/>
      <c r="S361" s="226">
        <f>S359-S360</f>
        <v>-9.3596543784005917</v>
      </c>
      <c r="T361" s="181"/>
      <c r="U361" s="226">
        <f t="shared" ref="U361" si="641">U359-U360</f>
        <v>-15.074694576971524</v>
      </c>
      <c r="V361" s="256">
        <f t="shared" ref="V361" si="642">V359-V360</f>
        <v>-7.3233418255258584</v>
      </c>
      <c r="W361" s="257"/>
      <c r="X361" s="226">
        <f>X359-X360</f>
        <v>-26.290309933661774</v>
      </c>
      <c r="Y361" s="181"/>
      <c r="Z361" s="226">
        <f t="shared" ref="Z361" si="643">Z359-Z360</f>
        <v>-26.262931034485518</v>
      </c>
      <c r="AA361" s="256">
        <f t="shared" ref="AA361" si="644">AA359-AA360</f>
        <v>-26.293009286113374</v>
      </c>
      <c r="AB361" s="266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s="5" customFormat="1">
      <c r="A362" s="1"/>
      <c r="B362" s="1"/>
      <c r="C362" s="1"/>
      <c r="D362" s="168" t="s">
        <v>312</v>
      </c>
      <c r="E362" s="168"/>
      <c r="F362" s="168" t="str">
        <f t="shared" si="512"/>
        <v>Товары для детей</v>
      </c>
      <c r="G362" s="168" t="s">
        <v>261</v>
      </c>
      <c r="H362" s="326"/>
      <c r="I362" s="327">
        <f>SUMIFS(операции!$AC:$AC,операции!$AB:$AB,"&gt;="&amp;I$8,операции!$AB:$AB,"&lt;="&amp;I$9,операции!$P:$P,$F309)</f>
        <v>1460304.4799999984</v>
      </c>
      <c r="J362" s="313">
        <f>I362-K362-L362</f>
        <v>0</v>
      </c>
      <c r="K362" s="327">
        <f>SUMIFS(операции!$AC:$AC,операции!$AB:$AB,"&gt;="&amp;I$8,операции!$AB:$AB,"&lt;="&amp;I$9,операции!$L:$L,K$9,операции!$P:$P,$F309)</f>
        <v>323898.61999999994</v>
      </c>
      <c r="L362" s="328">
        <f>SUMIFS(операции!$AC:$AC,операции!$AB:$AB,"&gt;="&amp;I$8,операции!$AB:$AB,"&lt;="&amp;I$9,операции!$L:$L,L$9,операции!$P:$P,$F309)</f>
        <v>1136405.8599999987</v>
      </c>
      <c r="M362" s="277"/>
      <c r="N362" s="169">
        <f>SUMIFS(операции!$AC:$AC,операции!$AB:$AB,"&gt;="&amp;N$8,операции!$AB:$AB,"&lt;="&amp;N$9,операции!$P:$P,$F309)</f>
        <v>238504.90000000008</v>
      </c>
      <c r="O362" s="170">
        <f>N362-P362-Q362</f>
        <v>4.3655745685100555E-11</v>
      </c>
      <c r="P362" s="169">
        <f>SUMIFS(операции!$AC:$AC,операции!$AB:$AB,"&gt;="&amp;N$8,операции!$AB:$AB,"&lt;="&amp;N$9,операции!$L:$L,P$9,операции!$P:$P,$F309)</f>
        <v>218764.32000000004</v>
      </c>
      <c r="Q362" s="243">
        <f>SUMIFS(операции!$AC:$AC,операции!$AB:$AB,"&gt;="&amp;N$8,операции!$AB:$AB,"&lt;="&amp;N$9,операции!$L:$L,Q$9,операции!$P:$P,$F309)</f>
        <v>19740.580000000002</v>
      </c>
      <c r="R362" s="244"/>
      <c r="S362" s="169">
        <f>SUMIFS(операции!$AC:$AC,операции!$AB:$AB,"&gt;="&amp;S$8,операции!$AB:$AB,"&lt;="&amp;S$9,операции!$P:$P,$F309)</f>
        <v>379615.35000000009</v>
      </c>
      <c r="T362" s="170">
        <f>S362-U362-V362</f>
        <v>0</v>
      </c>
      <c r="U362" s="169">
        <f>SUMIFS(операции!$AC:$AC,операции!$AB:$AB,"&gt;="&amp;S$8,операции!$AB:$AB,"&lt;="&amp;S$9,операции!$L:$L,U$9,операции!$P:$P,$F309)</f>
        <v>91301.650000000009</v>
      </c>
      <c r="V362" s="243">
        <f>SUMIFS(операции!$AC:$AC,операции!$AB:$AB,"&gt;="&amp;S$8,операции!$AB:$AB,"&lt;="&amp;S$9,операции!$L:$L,V$9,операции!$P:$P,$F309)</f>
        <v>288313.70000000007</v>
      </c>
      <c r="W362" s="244"/>
      <c r="X362" s="169">
        <f>SUMIFS(операции!$AC:$AC,операции!$AB:$AB,"&gt;="&amp;X$8,операции!$AB:$AB,"&lt;="&amp;X$9,операции!$P:$P,$F309)</f>
        <v>842184.22999999975</v>
      </c>
      <c r="Y362" s="170">
        <f>X362-Z362-AA362</f>
        <v>0</v>
      </c>
      <c r="Z362" s="169">
        <f>SUMIFS(операции!$AC:$AC,операции!$AB:$AB,"&gt;="&amp;X$8,операции!$AB:$AB,"&lt;="&amp;X$9,операции!$L:$L,Z$9,операции!$P:$P,$F309)</f>
        <v>13832.649999999998</v>
      </c>
      <c r="AA362" s="243">
        <f>SUMIFS(операции!$AC:$AC,операции!$AB:$AB,"&gt;="&amp;X$8,операции!$AB:$AB,"&lt;="&amp;X$9,операции!$L:$L,AA$9,операции!$P:$P,$F309)</f>
        <v>828351.57999999973</v>
      </c>
      <c r="AB362" s="266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s="192" customFormat="1" ht="11.25">
      <c r="A363" s="37"/>
      <c r="B363" s="37"/>
      <c r="C363" s="37"/>
      <c r="D363" s="207" t="s">
        <v>255</v>
      </c>
      <c r="E363" s="207"/>
      <c r="F363" s="207" t="str">
        <f t="shared" si="512"/>
        <v>Товары для детей</v>
      </c>
      <c r="G363" s="207" t="s">
        <v>262</v>
      </c>
      <c r="H363" s="331"/>
      <c r="I363" s="337">
        <f>IF(I362=0,0,SUMIFS(операции!$AH:$AH,операции!$AB:$AB,"&gt;="&amp;I$8,операции!$AB:$AB,"&lt;="&amp;I$9,операции!$P:$P,$F309)/I362)</f>
        <v>42336.913390377369</v>
      </c>
      <c r="J363" s="333"/>
      <c r="K363" s="337">
        <f>IF(K362=0,0,SUMIFS(операции!$AH:$AH,операции!$AB:$AB,"&gt;="&amp;I$8,операции!$AB:$AB,"&lt;="&amp;I$9,операции!$L:$L,K$9,операции!$P:$P,$F309)/K362)</f>
        <v>42303.132977256908</v>
      </c>
      <c r="L363" s="338">
        <f>IF(L362=0,0,SUMIFS(операции!$AH:$AH,операции!$AB:$AB,"&gt;="&amp;I$8,операции!$AB:$AB,"&lt;="&amp;I$9,операции!$L:$L,L$9,операции!$P:$P,$F309)/L362)</f>
        <v>42346.541490317606</v>
      </c>
      <c r="M363" s="278"/>
      <c r="N363" s="217">
        <f>IF(N362=0,0,SUMIFS(операции!$AH:$AH,операции!$AB:$AB,"&gt;="&amp;N$8,операции!$AB:$AB,"&lt;="&amp;N$9,операции!$P:$P,$F309)/N362)</f>
        <v>42293.485919828061</v>
      </c>
      <c r="O363" s="208"/>
      <c r="P363" s="217">
        <f>IF(P362=0,0,SUMIFS(операции!$AH:$AH,операции!$AB:$AB,"&gt;="&amp;N$8,операции!$AB:$AB,"&lt;="&amp;N$9,операции!$L:$L,P$9,операции!$P:$P,$F309)/P362)</f>
        <v>42292.222275552056</v>
      </c>
      <c r="Q363" s="249">
        <f>IF(Q362=0,0,SUMIFS(операции!$AH:$AH,операции!$AB:$AB,"&gt;="&amp;N$8,операции!$AB:$AB,"&lt;="&amp;N$9,операции!$L:$L,Q$9,операции!$P:$P,$F309)/Q362)</f>
        <v>42307.489575280961</v>
      </c>
      <c r="R363" s="247"/>
      <c r="S363" s="217">
        <f>IF(S362=0,0,SUMIFS(операции!$AH:$AH,операции!$AB:$AB,"&gt;="&amp;S$8,операции!$AB:$AB,"&lt;="&amp;S$9,операции!$P:$P,$F309)/S362)</f>
        <v>42325.138818806976</v>
      </c>
      <c r="T363" s="208"/>
      <c r="U363" s="217">
        <f>IF(U362=0,0,SUMIFS(операции!$AH:$AH,операции!$AB:$AB,"&gt;="&amp;S$8,операции!$AB:$AB,"&lt;="&amp;S$9,операции!$L:$L,U$9,операции!$P:$P,$F309)/U362)</f>
        <v>42322.00905810573</v>
      </c>
      <c r="V363" s="249">
        <f>IF(V362=0,0,SUMIFS(операции!$AH:$AH,операции!$AB:$AB,"&gt;="&amp;S$8,операции!$AB:$AB,"&lt;="&amp;S$9,операции!$L:$L,V$9,операции!$P:$P,$F309)/V362)</f>
        <v>42326.129934789773</v>
      </c>
      <c r="W363" s="247"/>
      <c r="X363" s="217">
        <f>IF(X362=0,0,SUMIFS(операции!$AH:$AH,операции!$AB:$AB,"&gt;="&amp;X$8,операции!$AB:$AB,"&lt;="&amp;X$9,операции!$P:$P,$F309)/X362)</f>
        <v>42354.519363156462</v>
      </c>
      <c r="Y363" s="208"/>
      <c r="Z363" s="217">
        <f>IF(Z362=0,0,SUMIFS(операции!$AH:$AH,операции!$AB:$AB,"&gt;="&amp;X$8,операции!$AB:$AB,"&lt;="&amp;X$9,операции!$L:$L,Z$9,операции!$P:$P,$F309)/Z362)</f>
        <v>42351.095942570668</v>
      </c>
      <c r="AA363" s="249">
        <f>IF(AA362=0,0,SUMIFS(операции!$AH:$AH,операции!$AB:$AB,"&gt;="&amp;X$8,операции!$AB:$AB,"&lt;="&amp;X$9,операции!$L:$L,AA$9,операции!$P:$P,$F309)/AA362)</f>
        <v>42354.576530885613</v>
      </c>
      <c r="AB363" s="265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</row>
    <row r="364" spans="1:42" s="111" customFormat="1" ht="11.25">
      <c r="A364" s="108"/>
      <c r="B364" s="108"/>
      <c r="C364" s="209" t="s">
        <v>279</v>
      </c>
      <c r="D364" s="109"/>
      <c r="E364" s="109"/>
      <c r="F364" s="109" t="str">
        <f t="shared" si="512"/>
        <v>Товары для детей</v>
      </c>
      <c r="G364" s="109"/>
      <c r="H364" s="307"/>
      <c r="I364" s="308">
        <f>I365-K365-L365+K364+L364</f>
        <v>5.2386894822120667E-10</v>
      </c>
      <c r="J364" s="309">
        <f>I309+I327-I334-I365</f>
        <v>0</v>
      </c>
      <c r="K364" s="308">
        <f>K309+K327-K334-K365</f>
        <v>5.2386894822120667E-10</v>
      </c>
      <c r="L364" s="336">
        <f>L309+L327-L334-L365</f>
        <v>0</v>
      </c>
      <c r="M364" s="272"/>
      <c r="N364" s="110">
        <f>N365-P365-Q365</f>
        <v>0</v>
      </c>
      <c r="O364" s="215">
        <f>N309+N327-N334-N365</f>
        <v>0</v>
      </c>
      <c r="P364" s="110">
        <f>P309+P327-P334-P365</f>
        <v>0</v>
      </c>
      <c r="Q364" s="248">
        <f>Q309+Q327-Q334-Q365</f>
        <v>0</v>
      </c>
      <c r="R364" s="234"/>
      <c r="S364" s="110">
        <f>S365-U365-V365</f>
        <v>0</v>
      </c>
      <c r="T364" s="215">
        <f>S309+S327-S334-S365</f>
        <v>0</v>
      </c>
      <c r="U364" s="110">
        <f>U309+U327-U334-U365</f>
        <v>0</v>
      </c>
      <c r="V364" s="248">
        <f>V309+V327-V334-V365</f>
        <v>-1.0477378964424133E-9</v>
      </c>
      <c r="W364" s="234"/>
      <c r="X364" s="110">
        <f>X365-Z365-AA365</f>
        <v>0</v>
      </c>
      <c r="Y364" s="215">
        <f>X309+X327-X334-X365</f>
        <v>0</v>
      </c>
      <c r="Z364" s="110">
        <f>Z309+Z327-Z334-Z365</f>
        <v>0</v>
      </c>
      <c r="AA364" s="248">
        <f>AA309+AA327-AA334-AA365</f>
        <v>0</v>
      </c>
      <c r="AB364" s="263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</row>
    <row r="365" spans="1:42" s="93" customFormat="1" ht="15">
      <c r="A365" s="92"/>
      <c r="B365" s="92"/>
      <c r="C365" s="214"/>
      <c r="D365" s="151" t="s">
        <v>238</v>
      </c>
      <c r="E365" s="151"/>
      <c r="F365" s="151" t="str">
        <f t="shared" si="512"/>
        <v>Товары для детей</v>
      </c>
      <c r="G365" s="151" t="s">
        <v>261</v>
      </c>
      <c r="H365" s="311"/>
      <c r="I365" s="312">
        <f>SUMIFS(операции!$V:$V,операции!$T:$T,"&lt;="&amp;I$9,операции!$X:$X,"",операции!$P:$P,$F309)+SUMIFS(операции!$V:$V,операции!$T:$T,"&lt;="&amp;I$9,операции!$X:$X,"&gt;"&amp;I$9,операции!$P:$P,$F309)</f>
        <v>570344.14999999991</v>
      </c>
      <c r="J365" s="313">
        <f>I365-I370-I376</f>
        <v>0</v>
      </c>
      <c r="K365" s="312">
        <f>SUMIFS(операции!$V:$V,операции!$T:$T,"&lt;="&amp;I$9,операции!$X:$X,"",операции!$L:$L,K$9,операции!$P:$P,$F309)+SUMIFS(операции!$V:$V,операции!$T:$T,"&lt;="&amp;I$9,операции!$X:$X,"&gt;"&amp;I$9,операции!$L:$L,K$9,операции!$P:$P,$F309)</f>
        <v>433051.58999999991</v>
      </c>
      <c r="L365" s="314">
        <f>SUMIFS(операции!$V:$V,операции!$T:$T,"&lt;="&amp;I$9,операции!$X:$X,"",операции!$L:$L,L$9,операции!$P:$P,$F309)+SUMIFS(операции!$V:$V,операции!$T:$T,"&lt;="&amp;I$9,операции!$X:$X,"&gt;"&amp;I$9,операции!$L:$L,L$9,операции!$P:$P,$F309)</f>
        <v>137292.56</v>
      </c>
      <c r="M365" s="273"/>
      <c r="N365" s="152">
        <f>SUMIFS(операции!$V:$V,операции!$T:$T,"&lt;="&amp;N$9,операции!$X:$X,"",операции!$P:$P,$F309)+SUMIFS(операции!$V:$V,операции!$T:$T,"&lt;="&amp;N$9,операции!$X:$X,"&gt;"&amp;N$9,операции!$P:$P,$F309)</f>
        <v>897189.27999999956</v>
      </c>
      <c r="O365" s="170">
        <f>N365-N370-N376</f>
        <v>-5.8207660913467407E-10</v>
      </c>
      <c r="P365" s="152">
        <f>SUMIFS(операции!$V:$V,операции!$T:$T,"&lt;="&amp;N$9,операции!$X:$X,"",операции!$L:$L,P$9,операции!$P:$P,$F309)+SUMIFS(операции!$V:$V,операции!$T:$T,"&lt;="&amp;N$9,операции!$X:$X,"&gt;"&amp;N$9,операции!$L:$L,P$9,операции!$P:$P,$F309)</f>
        <v>818940.18999999959</v>
      </c>
      <c r="Q365" s="235">
        <f>SUMIFS(операции!$V:$V,операции!$T:$T,"&lt;="&amp;N$9,операции!$X:$X,"",операции!$L:$L,Q$9,операции!$P:$P,$F309)+SUMIFS(операции!$V:$V,операции!$T:$T,"&lt;="&amp;N$9,операции!$X:$X,"&gt;"&amp;N$9,операции!$L:$L,Q$9,операции!$P:$P,$F309)</f>
        <v>78249.090000000011</v>
      </c>
      <c r="R365" s="236"/>
      <c r="S365" s="152">
        <f>SUMIFS(операции!$V:$V,операции!$T:$T,"&lt;="&amp;S$9,операции!$X:$X,"",операции!$P:$P,$F309)+SUMIFS(операции!$V:$V,операции!$T:$T,"&lt;="&amp;S$9,операции!$X:$X,"&gt;"&amp;S$9,операции!$P:$P,$F309)</f>
        <v>1278881.5199999993</v>
      </c>
      <c r="T365" s="170">
        <f>S365-S370-S376</f>
        <v>0</v>
      </c>
      <c r="U365" s="152">
        <f>SUMIFS(операции!$V:$V,операции!$T:$T,"&lt;="&amp;S$9,операции!$X:$X,"",операции!$L:$L,U$9,операции!$P:$P,$F309)+SUMIFS(операции!$V:$V,операции!$T:$T,"&lt;="&amp;S$9,операции!$X:$X,"&gt;"&amp;S$9,операции!$L:$L,U$9,операции!$P:$P,$F309)</f>
        <v>527710.69999999995</v>
      </c>
      <c r="V365" s="235">
        <f>SUMIFS(операции!$V:$V,операции!$T:$T,"&lt;="&amp;S$9,операции!$X:$X,"",операции!$L:$L,V$9,операции!$P:$P,$F309)+SUMIFS(операции!$V:$V,операции!$T:$T,"&lt;="&amp;S$9,операции!$X:$X,"&gt;"&amp;S$9,операции!$L:$L,V$9,операции!$P:$P,$F309)</f>
        <v>751170.81999999972</v>
      </c>
      <c r="W365" s="236"/>
      <c r="X365" s="152">
        <f>SUMIFS(операции!$V:$V,операции!$T:$T,"&lt;="&amp;X$9,операции!$X:$X,"",операции!$P:$P,$F309)+SUMIFS(операции!$V:$V,операции!$T:$T,"&lt;="&amp;X$9,операции!$X:$X,"&gt;"&amp;X$9,операции!$P:$P,$F309)</f>
        <v>570344.14999999991</v>
      </c>
      <c r="Y365" s="170">
        <f>X365-X370-X376</f>
        <v>0</v>
      </c>
      <c r="Z365" s="152">
        <f>SUMIFS(операции!$V:$V,операции!$T:$T,"&lt;="&amp;X$9,операции!$X:$X,"",операции!$L:$L,Z$9,операции!$P:$P,$F309)+SUMIFS(операции!$V:$V,операции!$T:$T,"&lt;="&amp;X$9,операции!$X:$X,"&gt;"&amp;X$9,операции!$L:$L,Z$9,операции!$P:$P,$F309)</f>
        <v>433051.58999999991</v>
      </c>
      <c r="AA365" s="235">
        <f>SUMIFS(операции!$V:$V,операции!$T:$T,"&lt;="&amp;X$9,операции!$X:$X,"",операции!$L:$L,AA$9,операции!$P:$P,$F309)+SUMIFS(операции!$V:$V,операции!$T:$T,"&lt;="&amp;X$9,операции!$X:$X,"&gt;"&amp;X$9,операции!$L:$L,AA$9,операции!$P:$P,$F309)</f>
        <v>137292.56</v>
      </c>
      <c r="AB365" s="264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</row>
    <row r="366" spans="1:42" s="192" customFormat="1" ht="11.25">
      <c r="A366" s="37"/>
      <c r="B366" s="37"/>
      <c r="C366" s="37"/>
      <c r="D366" s="191" t="s">
        <v>255</v>
      </c>
      <c r="E366" s="191"/>
      <c r="F366" s="191" t="str">
        <f t="shared" si="512"/>
        <v>Товары для детей</v>
      </c>
      <c r="G366" s="191" t="s">
        <v>262</v>
      </c>
      <c r="H366" s="315"/>
      <c r="I366" s="316">
        <f>IF(I365=0,0,(SUMIFS(операции!$AF:$AF,операции!$T:$T,"&lt;="&amp;I$9,операции!$X:$X,"",операции!$P:$P,$F309)+SUMIFS(операции!$AF:$AF,операции!$T:$T,"&lt;="&amp;I$9,операции!$X:$X,"&gt;"&amp;I$9,операции!$P:$P,$F309))/I365)</f>
        <v>42229.035563685538</v>
      </c>
      <c r="J366" s="317"/>
      <c r="K366" s="316">
        <f>IF(K365=0,0,(SUMIFS(операции!$AF:$AF,операции!$T:$T,"&lt;="&amp;I$9,операции!$X:$X,"",операции!$L:$L,K$9,операции!$P:$P,$F309)+SUMIFS(операции!$AF:$AF,операции!$T:$T,"&lt;="&amp;I$9,операции!$X:$X,"&gt;"&amp;I$9,операции!$L:$L,K$9,операции!$P:$P,$F309))/K365)</f>
        <v>42186.487776618014</v>
      </c>
      <c r="L366" s="318">
        <f>IF(L365=0,0,(SUMIFS(операции!$AF:$AF,операции!$T:$T,"&lt;="&amp;I$9,операции!$X:$X,"",операции!$L:$L,L$9,операции!$P:$P,$F309)+SUMIFS(операции!$AF:$AF,операции!$T:$T,"&lt;="&amp;I$9,операции!$X:$X,"&gt;"&amp;I$9,операции!$L:$L,L$9,операции!$P:$P,$F309))/L365)</f>
        <v>42363.240846481422</v>
      </c>
      <c r="M366" s="274"/>
      <c r="N366" s="193">
        <f>IF(N365=0,0,(SUMIFS(операции!$AF:$AF,операции!$T:$T,"&lt;="&amp;N$9,операции!$X:$X,"",операции!$P:$P,$F309)+SUMIFS(операции!$AF:$AF,операции!$T:$T,"&lt;="&amp;N$9,операции!$X:$X,"&gt;"&amp;N$9,операции!$P:$P,$F309))/N365)</f>
        <v>42192.723419131813</v>
      </c>
      <c r="O366" s="196"/>
      <c r="P366" s="193">
        <f>IF(P365=0,0,(SUMIFS(операции!$AF:$AF,операции!$T:$T,"&lt;="&amp;N$9,операции!$X:$X,"",операции!$L:$L,P$9,операции!$P:$P,$F309)+SUMIFS(операции!$AF:$AF,операции!$T:$T,"&lt;="&amp;N$9,операции!$X:$X,"&gt;"&amp;N$9,операции!$L:$L,P$9,операции!$P:$P,$F309))/P365)</f>
        <v>42181.88772501202</v>
      </c>
      <c r="Q366" s="237">
        <f>IF(Q365=0,0,(SUMIFS(операции!$AF:$AF,операции!$T:$T,"&lt;="&amp;N$9,операции!$X:$X,"",операции!$L:$L,Q$9,операции!$P:$P,$F309)+SUMIFS(операции!$AF:$AF,операции!$T:$T,"&lt;="&amp;N$9,операции!$X:$X,"&gt;"&amp;N$9,операции!$L:$L,Q$9,операции!$P:$P,$F309))/Q365)</f>
        <v>42306.12774627794</v>
      </c>
      <c r="R366" s="238"/>
      <c r="S366" s="193">
        <f>IF(S365=0,0,(SUMIFS(операции!$AF:$AF,операции!$T:$T,"&lt;="&amp;S$9,операции!$X:$X,"",операции!$P:$P,$F309)+SUMIFS(операции!$AF:$AF,операции!$T:$T,"&lt;="&amp;S$9,операции!$X:$X,"&gt;"&amp;S$9,операции!$P:$P,$F309))/S365)</f>
        <v>42274.272217640631</v>
      </c>
      <c r="T366" s="196"/>
      <c r="U366" s="193">
        <f>IF(U365=0,0,(SUMIFS(операции!$AF:$AF,операции!$T:$T,"&lt;="&amp;S$9,операции!$X:$X,"",операции!$L:$L,U$9,операции!$P:$P,$F309)+SUMIFS(операции!$AF:$AF,операции!$T:$T,"&lt;="&amp;S$9,операции!$X:$X,"&gt;"&amp;S$9,операции!$L:$L,U$9,операции!$P:$P,$F309))/U365)</f>
        <v>42186.771105171822</v>
      </c>
      <c r="V366" s="237">
        <f>IF(V365=0,0,(SUMIFS(операции!$AF:$AF,операции!$T:$T,"&lt;="&amp;S$9,операции!$X:$X,"",операции!$L:$L,V$9,операции!$P:$P,$F309)+SUMIFS(операции!$AF:$AF,операции!$T:$T,"&lt;="&amp;S$9,операции!$X:$X,"&gt;"&amp;S$9,операции!$L:$L,V$9,операции!$P:$P,$F309))/V365)</f>
        <v>42335.743286646852</v>
      </c>
      <c r="W366" s="238"/>
      <c r="X366" s="193">
        <f>IF(X365=0,0,(SUMIFS(операции!$AF:$AF,операции!$T:$T,"&lt;="&amp;X$9,операции!$X:$X,"",операции!$P:$P,$F309)+SUMIFS(операции!$AF:$AF,операции!$T:$T,"&lt;="&amp;X$9,операции!$X:$X,"&gt;"&amp;X$9,операции!$P:$P,$F309))/X365)</f>
        <v>42229.035563685538</v>
      </c>
      <c r="Y366" s="196"/>
      <c r="Z366" s="193">
        <f>IF(Z365=0,0,(SUMIFS(операции!$AF:$AF,операции!$T:$T,"&lt;="&amp;X$9,операции!$X:$X,"",операции!$L:$L,Z$9,операции!$P:$P,$F309)+SUMIFS(операции!$AF:$AF,операции!$T:$T,"&lt;="&amp;X$9,операции!$X:$X,"&gt;"&amp;X$9,операции!$L:$L,Z$9,операции!$P:$P,$F309))/Z365)</f>
        <v>42186.487776618014</v>
      </c>
      <c r="AA366" s="237">
        <f>IF(AA365=0,0,(SUMIFS(операции!$AF:$AF,операции!$T:$T,"&lt;="&amp;X$9,операции!$X:$X,"",операции!$L:$L,AA$9,операции!$P:$P,$F309)+SUMIFS(операции!$AF:$AF,операции!$T:$T,"&lt;="&amp;X$9,операции!$X:$X,"&gt;"&amp;X$9,операции!$L:$L,AA$9,операции!$P:$P,$F309))/AA365)</f>
        <v>42363.240846481422</v>
      </c>
      <c r="AB366" s="265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</row>
    <row r="367" spans="1:42" s="50" customFormat="1" ht="11.25">
      <c r="A367" s="48"/>
      <c r="B367" s="48"/>
      <c r="C367" s="48"/>
      <c r="D367" s="154" t="s">
        <v>239</v>
      </c>
      <c r="E367" s="154"/>
      <c r="F367" s="154" t="str">
        <f t="shared" si="512"/>
        <v>Товары для детей</v>
      </c>
      <c r="G367" s="154" t="s">
        <v>219</v>
      </c>
      <c r="H367" s="319"/>
      <c r="I367" s="320">
        <f>IF(I365=0,0,I$9-I366)</f>
        <v>139.96443631446164</v>
      </c>
      <c r="J367" s="321">
        <f>I367-SUMIFS(ПОбТЗ!$I:$I,ПОбТЗ!$E:$E,$D367,ПОбТЗ!$F:$F,$F367)</f>
        <v>0</v>
      </c>
      <c r="K367" s="320">
        <f>IF(K365=0,0,I$9-K366)</f>
        <v>182.51222338198568</v>
      </c>
      <c r="L367" s="322">
        <f>IF(L365=0,0,I$9-L366)</f>
        <v>5.7591535185783869</v>
      </c>
      <c r="M367" s="275"/>
      <c r="N367" s="155">
        <f>IF(N365=0,0,N$9-N366)</f>
        <v>115.27658086818701</v>
      </c>
      <c r="O367" s="173">
        <f>N367-SUMIFS(ПОбТЗ_2!$J:$J,ПОбТЗ_2!$D:$D,$D367,ПОбТЗ_2!$E:$E,$F367)</f>
        <v>0</v>
      </c>
      <c r="P367" s="155">
        <f>IF(P365=0,0,N$9-P366)</f>
        <v>126.11227498797962</v>
      </c>
      <c r="Q367" s="239">
        <f>IF(Q365=0,0,N$9-Q366)</f>
        <v>1.8722537220601225</v>
      </c>
      <c r="R367" s="240"/>
      <c r="S367" s="155">
        <f>IF(S365=0,0,S$9-S366)</f>
        <v>63.727782359368575</v>
      </c>
      <c r="T367" s="173">
        <f>S367-SUMIFS(ПОбТЗ_2!$K:$K,ПОбТЗ_2!$D:$D,$D367,ПОбТЗ_2!$E:$E,$F367)</f>
        <v>0</v>
      </c>
      <c r="U367" s="155">
        <f>IF(U365=0,0,S$9-U366)</f>
        <v>151.22889482817845</v>
      </c>
      <c r="V367" s="239">
        <f>IF(V365=0,0,S$9-V366)</f>
        <v>2.2567133531483705</v>
      </c>
      <c r="W367" s="240"/>
      <c r="X367" s="155">
        <f>IF(X365=0,0,X$9-X366)</f>
        <v>139.96443631446164</v>
      </c>
      <c r="Y367" s="173">
        <f>X367-SUMIFS(ПОбТЗ_2!$L:$L,ПОбТЗ_2!$D:$D,$D367,ПОбТЗ_2!$E:$E,$F367)</f>
        <v>0</v>
      </c>
      <c r="Z367" s="155">
        <f>IF(Z365=0,0,X$9-Z366)</f>
        <v>182.51222338198568</v>
      </c>
      <c r="AA367" s="239">
        <f>IF(AA365=0,0,X$9-AA366)</f>
        <v>5.7591535185783869</v>
      </c>
      <c r="AB367" s="230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</row>
    <row r="368" spans="1:42" s="93" customFormat="1" ht="15">
      <c r="A368" s="92"/>
      <c r="B368" s="92"/>
      <c r="C368" s="92"/>
      <c r="D368" s="198" t="s">
        <v>280</v>
      </c>
      <c r="E368" s="198"/>
      <c r="F368" s="198" t="str">
        <f t="shared" si="512"/>
        <v>Товары для детей</v>
      </c>
      <c r="G368" s="198" t="s">
        <v>219</v>
      </c>
      <c r="H368" s="323"/>
      <c r="I368" s="324">
        <f>IF(I365=0,0,(I370*I374+I376*I380)/I365)</f>
        <v>41.637318555826759</v>
      </c>
      <c r="J368" s="321"/>
      <c r="K368" s="324">
        <f>IF(K365=0,0,(K370*K374+K376*K380)/K365)</f>
        <v>53.034592114075423</v>
      </c>
      <c r="L368" s="325">
        <f>IF(L365=0,0,(L370*L374+L376*L380)/L365)</f>
        <v>5.6877562775296004</v>
      </c>
      <c r="M368" s="276"/>
      <c r="N368" s="199">
        <f>IF(N365=0,0,(N370*N374+N376*N380)/N365)</f>
        <v>45.544456092915794</v>
      </c>
      <c r="O368" s="173"/>
      <c r="P368" s="199">
        <f>IF(P365=0,0,(P370*P374+P376*P380)/P365)</f>
        <v>49.717300624843212</v>
      </c>
      <c r="Q368" s="241">
        <f>IF(Q365=0,0,(Q370*Q374+Q376*Q380)/Q365)</f>
        <v>1.8722537220528461</v>
      </c>
      <c r="R368" s="242"/>
      <c r="S368" s="199">
        <f>IF(S365=0,0,(S370*S374+S376*S380)/S365)</f>
        <v>24.015533667259273</v>
      </c>
      <c r="T368" s="173"/>
      <c r="U368" s="199">
        <f>IF(U365=0,0,(U370*U374+U376*U380)/U365)</f>
        <v>54.988168668937369</v>
      </c>
      <c r="V368" s="241">
        <f>IF(V365=0,0,(V370*V374+V376*V380)/V365)</f>
        <v>2.2567133531701993</v>
      </c>
      <c r="W368" s="242"/>
      <c r="X368" s="199">
        <f>IF(X365=0,0,(X370*X374+X376*X380)/X365)</f>
        <v>41.637318555826759</v>
      </c>
      <c r="Y368" s="173"/>
      <c r="Z368" s="199">
        <f>IF(Z365=0,0,(Z370*Z374+Z376*Z380)/Z365)</f>
        <v>53.034592114075423</v>
      </c>
      <c r="AA368" s="241">
        <f>IF(AA365=0,0,(AA370*AA374+AA376*AA380)/AA365)</f>
        <v>5.6877562775296004</v>
      </c>
      <c r="AB368" s="264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</row>
    <row r="369" spans="1:42" s="50" customFormat="1" ht="11.25">
      <c r="A369" s="48"/>
      <c r="B369" s="48"/>
      <c r="C369" s="48"/>
      <c r="D369" s="154" t="s">
        <v>281</v>
      </c>
      <c r="E369" s="154"/>
      <c r="F369" s="154" t="str">
        <f t="shared" si="512"/>
        <v>Товары для детей</v>
      </c>
      <c r="G369" s="154" t="s">
        <v>219</v>
      </c>
      <c r="H369" s="319"/>
      <c r="I369" s="320">
        <f>I367-I368</f>
        <v>98.32711775863487</v>
      </c>
      <c r="J369" s="321"/>
      <c r="K369" s="320">
        <f>K367-K368</f>
        <v>129.47763126791025</v>
      </c>
      <c r="L369" s="322">
        <f>L367-L368</f>
        <v>7.139724104878642E-2</v>
      </c>
      <c r="M369" s="275"/>
      <c r="N369" s="155">
        <f>N367-N368</f>
        <v>69.732124775271217</v>
      </c>
      <c r="O369" s="173"/>
      <c r="P369" s="155">
        <f>P367-P368</f>
        <v>76.394974363136413</v>
      </c>
      <c r="Q369" s="239">
        <f>Q367-Q368</f>
        <v>7.276401703393276E-12</v>
      </c>
      <c r="R369" s="240"/>
      <c r="S369" s="155">
        <f>S367-S368</f>
        <v>39.712248692109299</v>
      </c>
      <c r="T369" s="173"/>
      <c r="U369" s="155">
        <f>U367-U368</f>
        <v>96.240726159241092</v>
      </c>
      <c r="V369" s="239">
        <f>V367-V368</f>
        <v>-2.1828761020969978E-11</v>
      </c>
      <c r="W369" s="240"/>
      <c r="X369" s="155">
        <f>X367-X368</f>
        <v>98.32711775863487</v>
      </c>
      <c r="Y369" s="173"/>
      <c r="Z369" s="155">
        <f>Z367-Z368</f>
        <v>129.47763126791025</v>
      </c>
      <c r="AA369" s="239">
        <f>AA367-AA368</f>
        <v>7.139724104878642E-2</v>
      </c>
      <c r="AB369" s="230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</row>
    <row r="370" spans="1:42" s="5" customFormat="1">
      <c r="A370" s="1"/>
      <c r="B370" s="1"/>
      <c r="C370" s="1"/>
      <c r="D370" s="168"/>
      <c r="E370" s="168" t="s">
        <v>282</v>
      </c>
      <c r="F370" s="168" t="str">
        <f t="shared" si="512"/>
        <v>Товары для детей</v>
      </c>
      <c r="G370" s="168" t="s">
        <v>261</v>
      </c>
      <c r="H370" s="326"/>
      <c r="I370" s="327">
        <f>SUMIFS(операции!$V:$V,операции!$T:$T,"&lt;="&amp;I$9,операции!$X:$X,"",операции!$AB:$AB,"&lt;&gt;"&amp;"",операции!$AB:$AB,"&lt;="&amp;I$9,операции!$P:$P,$F309)+SUMIFS(операции!$V:$V,операции!$T:$T,"&lt;="&amp;I$9,операции!$X:$X,"&gt;"&amp;I$9,операции!$AB:$AB,"&lt;&gt;"&amp;"",операции!$AB:$AB,"&lt;="&amp;I$9,операции!$P:$P,$F309)</f>
        <v>364750.14999999997</v>
      </c>
      <c r="J370" s="313">
        <f>I370-K370-L370</f>
        <v>1.6370904631912708E-11</v>
      </c>
      <c r="K370" s="327">
        <f>SUMIFS(операции!$V:$V,операции!$T:$T,"&lt;="&amp;I$9,операции!$X:$X,"",операции!$AB:$AB,"&lt;&gt;"&amp;"",операции!$AB:$AB,"&lt;="&amp;I$9,операции!$L:$L,K$9,операции!$P:$P,$F309)+SUMIFS(операции!$V:$V,операции!$T:$T,"&lt;="&amp;I$9,операции!$X:$X,"&gt;"&amp;I$9,операции!$AB:$AB,"&lt;&gt;"&amp;"",операции!$AB:$AB,"&lt;="&amp;I$9,операции!$L:$L,K$9,операции!$P:$P,$F309)</f>
        <v>363349.81999999995</v>
      </c>
      <c r="L370" s="328">
        <f>SUMIFS(операции!$V:$V,операции!$T:$T,"&lt;="&amp;I$9,операции!$X:$X,"",операции!$AB:$AB,"&lt;&gt;"&amp;"",операции!$AB:$AB,"&lt;="&amp;I$9,операции!$L:$L,L$9,операции!$P:$P,$F309)+SUMIFS(операции!$V:$V,операции!$T:$T,"&lt;="&amp;I$9,операции!$X:$X,"&gt;"&amp;I$9,операции!$AB:$AB,"&lt;&gt;"&amp;"",операции!$AB:$AB,"&lt;="&amp;I$9,операции!$L:$L,L$9,операции!$P:$P,$F309)</f>
        <v>1400.33</v>
      </c>
      <c r="M370" s="277"/>
      <c r="N370" s="169">
        <f>SUMIFS(операции!$V:$V,операции!$T:$T,"&lt;="&amp;N$9,операции!$X:$X,"",операции!$AB:$AB,"&lt;&gt;"&amp;"",операции!$AB:$AB,"&lt;="&amp;N$9,операции!$P:$P,$F309)+SUMIFS(операции!$V:$V,операции!$T:$T,"&lt;="&amp;N$9,операции!$X:$X,"&gt;"&amp;N$9,операции!$AB:$AB,"&lt;&gt;"&amp;"",операции!$AB:$AB,"&lt;="&amp;N$9,операции!$P:$P,$F309)</f>
        <v>559401.78000000014</v>
      </c>
      <c r="O370" s="170">
        <f>N370-P370-Q370</f>
        <v>0</v>
      </c>
      <c r="P370" s="169">
        <f>SUMIFS(операции!$V:$V,операции!$T:$T,"&lt;="&amp;N$9,операции!$X:$X,"",операции!$AB:$AB,"&lt;&gt;"&amp;"",операции!$AB:$AB,"&lt;="&amp;N$9,операции!$L:$L,P$9,операции!$P:$P,$F309)+SUMIFS(операции!$V:$V,операции!$T:$T,"&lt;="&amp;N$9,операции!$X:$X,"&gt;"&amp;N$9,операции!$AB:$AB,"&lt;&gt;"&amp;"",операции!$AB:$AB,"&lt;="&amp;N$9,операции!$L:$L,P$9,операции!$P:$P,$F309)</f>
        <v>559401.78000000014</v>
      </c>
      <c r="Q370" s="243">
        <f>SUMIFS(операции!$V:$V,операции!$T:$T,"&lt;="&amp;N$9,операции!$X:$X,"",операции!$AB:$AB,"&lt;&gt;"&amp;"",операции!$AB:$AB,"&lt;="&amp;N$9,операции!$L:$L,Q$9,операции!$P:$P,$F309)+SUMIFS(операции!$V:$V,операции!$T:$T,"&lt;="&amp;N$9,операции!$X:$X,"&gt;"&amp;N$9,операции!$AB:$AB,"&lt;&gt;"&amp;"",операции!$AB:$AB,"&lt;="&amp;N$9,операции!$L:$L,Q$9,операции!$P:$P,$F309)</f>
        <v>0</v>
      </c>
      <c r="R370" s="244"/>
      <c r="S370" s="169">
        <f>SUMIFS(операции!$V:$V,операции!$T:$T,"&lt;="&amp;S$9,операции!$X:$X,"",операции!$AB:$AB,"&lt;&gt;"&amp;"",операции!$AB:$AB,"&lt;="&amp;S$9,операции!$P:$P,$F309)+SUMIFS(операции!$V:$V,операции!$T:$T,"&lt;="&amp;S$9,операции!$X:$X,"&gt;"&amp;S$9,операции!$AB:$AB,"&lt;&gt;"&amp;"",операции!$AB:$AB,"&lt;="&amp;S$9,операции!$P:$P,$F309)</f>
        <v>419196.42999999993</v>
      </c>
      <c r="T370" s="170">
        <f>S370-U370-V370</f>
        <v>0</v>
      </c>
      <c r="U370" s="169">
        <f>SUMIFS(операции!$V:$V,операции!$T:$T,"&lt;="&amp;S$9,операции!$X:$X,"",операции!$AB:$AB,"&lt;&gt;"&amp;"",операции!$AB:$AB,"&lt;="&amp;S$9,операции!$L:$L,U$9,операции!$P:$P,$F309)+SUMIFS(операции!$V:$V,операции!$T:$T,"&lt;="&amp;S$9,операции!$X:$X,"&gt;"&amp;S$9,операции!$AB:$AB,"&lt;&gt;"&amp;"",операции!$AB:$AB,"&lt;="&amp;S$9,операции!$L:$L,U$9,операции!$P:$P,$F309)</f>
        <v>419196.42999999993</v>
      </c>
      <c r="V370" s="243">
        <f>SUMIFS(операции!$V:$V,операции!$T:$T,"&lt;="&amp;S$9,операции!$X:$X,"",операции!$AB:$AB,"&lt;&gt;"&amp;"",операции!$AB:$AB,"&lt;="&amp;S$9,операции!$L:$L,V$9,операции!$P:$P,$F309)+SUMIFS(операции!$V:$V,операции!$T:$T,"&lt;="&amp;S$9,операции!$X:$X,"&gt;"&amp;S$9,операции!$AB:$AB,"&lt;&gt;"&amp;"",операции!$AB:$AB,"&lt;="&amp;S$9,операции!$L:$L,V$9,операции!$P:$P,$F309)</f>
        <v>0</v>
      </c>
      <c r="W370" s="244"/>
      <c r="X370" s="169">
        <f>SUMIFS(операции!$V:$V,операции!$T:$T,"&lt;="&amp;X$9,операции!$X:$X,"",операции!$AB:$AB,"&lt;&gt;"&amp;"",операции!$AB:$AB,"&lt;="&amp;X$9,операции!$P:$P,$F309)+SUMIFS(операции!$V:$V,операции!$T:$T,"&lt;="&amp;X$9,операции!$X:$X,"&gt;"&amp;X$9,операции!$AB:$AB,"&lt;&gt;"&amp;"",операции!$AB:$AB,"&lt;="&amp;X$9,операции!$P:$P,$F309)</f>
        <v>364750.14999999997</v>
      </c>
      <c r="Y370" s="170">
        <f>X370-Z370-AA370</f>
        <v>1.6370904631912708E-11</v>
      </c>
      <c r="Z370" s="169">
        <f>SUMIFS(операции!$V:$V,операции!$T:$T,"&lt;="&amp;X$9,операции!$X:$X,"",операции!$AB:$AB,"&lt;&gt;"&amp;"",операции!$AB:$AB,"&lt;="&amp;X$9,операции!$L:$L,Z$9,операции!$P:$P,$F309)+SUMIFS(операции!$V:$V,операции!$T:$T,"&lt;="&amp;X$9,операции!$X:$X,"&gt;"&amp;X$9,операции!$AB:$AB,"&lt;&gt;"&amp;"",операции!$AB:$AB,"&lt;="&amp;X$9,операции!$L:$L,Z$9,операции!$P:$P,$F309)</f>
        <v>363349.81999999995</v>
      </c>
      <c r="AA370" s="243">
        <f>SUMIFS(операции!$V:$V,операции!$T:$T,"&lt;="&amp;X$9,операции!$X:$X,"",операции!$AB:$AB,"&lt;&gt;"&amp;"",операции!$AB:$AB,"&lt;="&amp;X$9,операции!$L:$L,AA$9,операции!$P:$P,$F309)+SUMIFS(операции!$V:$V,операции!$T:$T,"&lt;="&amp;X$9,операции!$X:$X,"&gt;"&amp;X$9,операции!$AB:$AB,"&lt;&gt;"&amp;"",операции!$AB:$AB,"&lt;="&amp;X$9,операции!$L:$L,AA$9,операции!$P:$P,$F309)</f>
        <v>1400.33</v>
      </c>
      <c r="AB370" s="266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s="192" customFormat="1" ht="11.25">
      <c r="A371" s="37"/>
      <c r="B371" s="37"/>
      <c r="C371" s="37"/>
      <c r="D371" s="191"/>
      <c r="E371" s="191" t="s">
        <v>255</v>
      </c>
      <c r="F371" s="191" t="str">
        <f t="shared" si="512"/>
        <v>Товары для детей</v>
      </c>
      <c r="G371" s="191" t="s">
        <v>262</v>
      </c>
      <c r="H371" s="315"/>
      <c r="I371" s="316">
        <f>IF(I370=0,0,(SUMIFS(операции!$AF:$AF,операции!$T:$T,"&lt;="&amp;I$9,операции!$X:$X,"",операции!$AB:$AB,"&lt;&gt;"&amp;"",операции!$AB:$AB,"&lt;="&amp;I$9,операции!$P:$P,$F309)+SUMIFS(операции!$AF:$AF,операции!$T:$T,"&lt;="&amp;I$9,операции!$X:$X,"&gt;"&amp;I$9,операции!$AB:$AB,"&lt;&gt;"&amp;"",операции!$AB:$AB,"&lt;="&amp;I$9,операции!$P:$P,$F309))/I370)</f>
        <v>42187.904057119646</v>
      </c>
      <c r="J371" s="317"/>
      <c r="K371" s="316">
        <f>IF(K370=0,0,(SUMIFS(операции!$AF:$AF,операции!$T:$T,"&lt;="&amp;I$9,операции!$X:$X,"",операции!$AB:$AB,"&lt;&gt;"&amp;"",операции!$AB:$AB,"&lt;="&amp;I$9,операции!$L:$L,K$9,операции!$P:$P,$F309)+SUMIFS(операции!$AF:$AF,операции!$T:$T,"&lt;="&amp;I$9,операции!$X:$X,"&gt;"&amp;I$9,операции!$AB:$AB,"&lt;&gt;"&amp;"",операции!$AB:$AB,"&lt;="&amp;I$9,операции!$L:$L,K$9,операции!$P:$P,$F309))/K370)</f>
        <v>42187.260078648178</v>
      </c>
      <c r="L371" s="318">
        <f>IF(L370=0,0,(SUMIFS(операции!$AF:$AF,операции!$T:$T,"&lt;="&amp;I$9,операции!$X:$X,"",операции!$AB:$AB,"&lt;&gt;"&amp;"",операции!$AB:$AB,"&lt;="&amp;I$9,операции!$L:$L,L$9,операции!$P:$P,$F309)+SUMIFS(операции!$AF:$AF,операции!$T:$T,"&lt;="&amp;I$9,операции!$X:$X,"&gt;"&amp;I$9,операции!$AB:$AB,"&lt;&gt;"&amp;"",операции!$AB:$AB,"&lt;="&amp;I$9,операции!$L:$L,L$9,операции!$P:$P,$F309))/L370)</f>
        <v>42355</v>
      </c>
      <c r="M371" s="274"/>
      <c r="N371" s="193">
        <f>IF(N370=0,0,(SUMIFS(операции!$AF:$AF,операции!$T:$T,"&lt;="&amp;N$9,операции!$X:$X,"",операции!$AB:$AB,"&lt;&gt;"&amp;"",операции!$AB:$AB,"&lt;="&amp;N$9,операции!$P:$P,$F309)+SUMIFS(операции!$AF:$AF,операции!$T:$T,"&lt;="&amp;N$9,операции!$X:$X,"&gt;"&amp;N$9,операции!$AB:$AB,"&lt;&gt;"&amp;"",операции!$AB:$AB,"&lt;="&amp;N$9,операции!$P:$P,$F309))/N370)</f>
        <v>42169.319538346826</v>
      </c>
      <c r="O371" s="196"/>
      <c r="P371" s="193">
        <f>IF(P370=0,0,(SUMIFS(операции!$AF:$AF,операции!$T:$T,"&lt;="&amp;N$9,операции!$X:$X,"",операции!$AB:$AB,"&lt;&gt;"&amp;"",операции!$AB:$AB,"&lt;="&amp;N$9,операции!$L:$L,P$9,операции!$P:$P,$F309)+SUMIFS(операции!$AF:$AF,операции!$T:$T,"&lt;="&amp;N$9,операции!$X:$X,"&gt;"&amp;N$9,операции!$AB:$AB,"&lt;&gt;"&amp;"",операции!$AB:$AB,"&lt;="&amp;N$9,операции!$L:$L,P$9,операции!$P:$P,$F309))/P370)</f>
        <v>42169.319538346826</v>
      </c>
      <c r="Q371" s="237">
        <f>IF(Q370=0,0,(SUMIFS(операции!$AF:$AF,операции!$T:$T,"&lt;="&amp;N$9,операции!$X:$X,"",операции!$AB:$AB,"&lt;&gt;"&amp;"",операции!$AB:$AB,"&lt;="&amp;N$9,операции!$L:$L,Q$9,операции!$P:$P,$F309)+SUMIFS(операции!$AF:$AF,операции!$T:$T,"&lt;="&amp;N$9,операции!$X:$X,"&gt;"&amp;N$9,операции!$AB:$AB,"&lt;&gt;"&amp;"",операции!$AB:$AB,"&lt;="&amp;N$9,операции!$L:$L,Q$9,операции!$P:$P,$F309))/Q370)</f>
        <v>0</v>
      </c>
      <c r="R371" s="238"/>
      <c r="S371" s="193">
        <f>IF(S370=0,0,(SUMIFS(операции!$AF:$AF,операции!$T:$T,"&lt;="&amp;S$9,операции!$X:$X,"",операции!$AB:$AB,"&lt;&gt;"&amp;"",операции!$AB:$AB,"&lt;="&amp;S$9,операции!$P:$P,$F309)+SUMIFS(операции!$AF:$AF,операции!$T:$T,"&lt;="&amp;S$9,операции!$X:$X,"&gt;"&amp;S$9,операции!$AB:$AB,"&lt;&gt;"&amp;"",операции!$AB:$AB,"&lt;="&amp;S$9,операции!$P:$P,$F309))/S370)</f>
        <v>42189.135566063866</v>
      </c>
      <c r="T371" s="196"/>
      <c r="U371" s="193">
        <f>IF(U370=0,0,(SUMIFS(операции!$AF:$AF,операции!$T:$T,"&lt;="&amp;S$9,операции!$X:$X,"",операции!$AB:$AB,"&lt;&gt;"&amp;"",операции!$AB:$AB,"&lt;="&amp;S$9,операции!$L:$L,U$9,операции!$P:$P,$F309)+SUMIFS(операции!$AF:$AF,операции!$T:$T,"&lt;="&amp;S$9,операции!$X:$X,"&gt;"&amp;S$9,операции!$AB:$AB,"&lt;&gt;"&amp;"",операции!$AB:$AB,"&lt;="&amp;S$9,операции!$L:$L,U$9,операции!$P:$P,$F309))/U370)</f>
        <v>42189.135566063866</v>
      </c>
      <c r="V371" s="237">
        <f>IF(V370=0,0,(SUMIFS(операции!$AF:$AF,операции!$T:$T,"&lt;="&amp;S$9,операции!$X:$X,"",операции!$AB:$AB,"&lt;&gt;"&amp;"",операции!$AB:$AB,"&lt;="&amp;S$9,операции!$L:$L,V$9,операции!$P:$P,$F309)+SUMIFS(операции!$AF:$AF,операции!$T:$T,"&lt;="&amp;S$9,операции!$X:$X,"&gt;"&amp;S$9,операции!$AB:$AB,"&lt;&gt;"&amp;"",операции!$AB:$AB,"&lt;="&amp;S$9,операции!$L:$L,V$9,операции!$P:$P,$F309))/V370)</f>
        <v>0</v>
      </c>
      <c r="W371" s="238"/>
      <c r="X371" s="193">
        <f>IF(X370=0,0,(SUMIFS(операции!$AF:$AF,операции!$T:$T,"&lt;="&amp;X$9,операции!$X:$X,"",операции!$AB:$AB,"&lt;&gt;"&amp;"",операции!$AB:$AB,"&lt;="&amp;X$9,операции!$P:$P,$F309)+SUMIFS(операции!$AF:$AF,операции!$T:$T,"&lt;="&amp;X$9,операции!$X:$X,"&gt;"&amp;X$9,операции!$AB:$AB,"&lt;&gt;"&amp;"",операции!$AB:$AB,"&lt;="&amp;X$9,операции!$P:$P,$F309))/X370)</f>
        <v>42187.904057119646</v>
      </c>
      <c r="Y371" s="196"/>
      <c r="Z371" s="193">
        <f>IF(Z370=0,0,(SUMIFS(операции!$AF:$AF,операции!$T:$T,"&lt;="&amp;X$9,операции!$X:$X,"",операции!$AB:$AB,"&lt;&gt;"&amp;"",операции!$AB:$AB,"&lt;="&amp;X$9,операции!$L:$L,Z$9,операции!$P:$P,$F309)+SUMIFS(операции!$AF:$AF,операции!$T:$T,"&lt;="&amp;X$9,операции!$X:$X,"&gt;"&amp;X$9,операции!$AB:$AB,"&lt;&gt;"&amp;"",операции!$AB:$AB,"&lt;="&amp;X$9,операции!$L:$L,Z$9,операции!$P:$P,$F309))/Z370)</f>
        <v>42187.260078648178</v>
      </c>
      <c r="AA371" s="237">
        <f>IF(AA370=0,0,(SUMIFS(операции!$AF:$AF,операции!$T:$T,"&lt;="&amp;X$9,операции!$X:$X,"",операции!$AB:$AB,"&lt;&gt;"&amp;"",операции!$AB:$AB,"&lt;="&amp;X$9,операции!$L:$L,AA$9,операции!$P:$P,$F309)+SUMIFS(операции!$AF:$AF,операции!$T:$T,"&lt;="&amp;X$9,операции!$X:$X,"&gt;"&amp;X$9,операции!$AB:$AB,"&lt;&gt;"&amp;"",операции!$AB:$AB,"&lt;="&amp;X$9,операции!$L:$L,AA$9,операции!$P:$P,$F309))/AA370)</f>
        <v>42355</v>
      </c>
      <c r="AB371" s="265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</row>
    <row r="372" spans="1:42" s="192" customFormat="1" ht="11.25">
      <c r="A372" s="37"/>
      <c r="B372" s="37"/>
      <c r="C372" s="37"/>
      <c r="D372" s="191"/>
      <c r="E372" s="191" t="s">
        <v>283</v>
      </c>
      <c r="F372" s="191" t="str">
        <f t="shared" si="512"/>
        <v>Товары для детей</v>
      </c>
      <c r="G372" s="191" t="s">
        <v>219</v>
      </c>
      <c r="H372" s="315"/>
      <c r="I372" s="329">
        <f>IF(I370=0,0,I$9-I371)</f>
        <v>181.09594288035441</v>
      </c>
      <c r="J372" s="317"/>
      <c r="K372" s="329">
        <f>IF(K370=0,0,I$9-K371)</f>
        <v>181.73992135182198</v>
      </c>
      <c r="L372" s="330">
        <f>IF(L370=0,0,I$9-L371)</f>
        <v>14</v>
      </c>
      <c r="M372" s="274"/>
      <c r="N372" s="156">
        <f>IF(N370=0,0,N$9-N371)</f>
        <v>138.68046165317355</v>
      </c>
      <c r="O372" s="196"/>
      <c r="P372" s="156">
        <f>IF(P370=0,0,N$9-P371)</f>
        <v>138.68046165317355</v>
      </c>
      <c r="Q372" s="245">
        <f>IF(Q370=0,0,N$9-Q371)</f>
        <v>0</v>
      </c>
      <c r="R372" s="238"/>
      <c r="S372" s="156">
        <f>IF(S370=0,0,S$9-S371)</f>
        <v>148.86443393613445</v>
      </c>
      <c r="T372" s="196"/>
      <c r="U372" s="156">
        <f>IF(U370=0,0,S$9-U371)</f>
        <v>148.86443393613445</v>
      </c>
      <c r="V372" s="245">
        <f>IF(V370=0,0,S$9-V371)</f>
        <v>0</v>
      </c>
      <c r="W372" s="238"/>
      <c r="X372" s="156">
        <f>IF(X370=0,0,X$9-X371)</f>
        <v>181.09594288035441</v>
      </c>
      <c r="Y372" s="196"/>
      <c r="Z372" s="156">
        <f>IF(Z370=0,0,X$9-Z371)</f>
        <v>181.73992135182198</v>
      </c>
      <c r="AA372" s="245">
        <f>IF(AA370=0,0,X$9-AA371)</f>
        <v>14</v>
      </c>
      <c r="AB372" s="265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</row>
    <row r="373" spans="1:42" s="192" customFormat="1" ht="11.25">
      <c r="A373" s="37"/>
      <c r="B373" s="37"/>
      <c r="C373" s="37"/>
      <c r="D373" s="191"/>
      <c r="E373" s="191" t="s">
        <v>259</v>
      </c>
      <c r="F373" s="191" t="str">
        <f t="shared" si="512"/>
        <v>Товары для детей</v>
      </c>
      <c r="G373" s="191" t="s">
        <v>262</v>
      </c>
      <c r="H373" s="315"/>
      <c r="I373" s="316">
        <f>IF(I370=0,0,(SUMIFS(операции!$AH:$AH,операции!$T:$T,"&lt;="&amp;I$9,операции!$X:$X,"",операции!$AB:$AB,"&lt;&gt;"&amp;"",операции!$AB:$AB,"&lt;="&amp;I$9,операции!$P:$P,$F309)+SUMIFS(операции!$AH:$AH,операции!$T:$T,"&lt;="&amp;I$9,операции!$X:$X,"&gt;"&amp;I$9,операции!$AB:$AB,"&lt;&gt;"&amp;"",операции!$AB:$AB,"&lt;="&amp;I$9,операции!$P:$P,$F309))/I370)</f>
        <v>42215.250107368025</v>
      </c>
      <c r="J373" s="317"/>
      <c r="K373" s="316">
        <f>IF(K370=0,0,(SUMIFS(операции!$AH:$AH,операции!$T:$T,"&lt;="&amp;I$9,операции!$X:$X,"",операции!$AB:$AB,"&lt;&gt;"&amp;"",операции!$AB:$AB,"&lt;="&amp;I$9,операции!$L:$L,K$9,операции!$P:$P,$F309)+SUMIFS(операции!$AH:$AH,операции!$T:$T,"&lt;="&amp;I$9,операции!$X:$X,"&gt;"&amp;I$9,операции!$AB:$AB,"&lt;&gt;"&amp;"",операции!$AB:$AB,"&lt;="&amp;I$9,операции!$L:$L,K$9,операции!$P:$P,$F309))/K370)</f>
        <v>42214.684541442744</v>
      </c>
      <c r="L373" s="318">
        <f>IF(L370=0,0,(SUMIFS(операции!$AH:$AH,операции!$T:$T,"&lt;="&amp;I$9,операции!$X:$X,"",операции!$AB:$AB,"&lt;&gt;"&amp;"",операции!$AB:$AB,"&lt;="&amp;I$9,операции!$L:$L,L$9,операции!$P:$P,$F309)+SUMIFS(операции!$AH:$AH,операции!$T:$T,"&lt;="&amp;I$9,операции!$X:$X,"&gt;"&amp;I$9,операции!$AB:$AB,"&lt;&gt;"&amp;"",операции!$AB:$AB,"&lt;="&amp;I$9,операции!$L:$L,L$9,операции!$P:$P,$F309))/L370)</f>
        <v>42362</v>
      </c>
      <c r="M373" s="274"/>
      <c r="N373" s="193">
        <f>IF(N370=0,0,(SUMIFS(операции!$AH:$AH,операции!$T:$T,"&lt;="&amp;N$9,операции!$X:$X,"",операции!$AB:$AB,"&lt;&gt;"&amp;"",операции!$AB:$AB,"&lt;="&amp;N$9,операции!$P:$P,$F309)+SUMIFS(операции!$AH:$AH,операции!$T:$T,"&lt;="&amp;N$9,операции!$X:$X,"&gt;"&amp;N$9,операции!$AB:$AB,"&lt;&gt;"&amp;"",операции!$AB:$AB,"&lt;="&amp;N$9,операции!$P:$P,$F309))/N370)</f>
        <v>42196.161037278056</v>
      </c>
      <c r="O373" s="196"/>
      <c r="P373" s="193">
        <f>IF(P370=0,0,(SUMIFS(операции!$AH:$AH,операции!$T:$T,"&lt;="&amp;N$9,операции!$X:$X,"",операции!$AB:$AB,"&lt;&gt;"&amp;"",операции!$AB:$AB,"&lt;="&amp;N$9,операции!$L:$L,P$9,операции!$P:$P,$F309)+SUMIFS(операции!$AH:$AH,операции!$T:$T,"&lt;="&amp;N$9,операции!$X:$X,"&gt;"&amp;N$9,операции!$AB:$AB,"&lt;&gt;"&amp;"",операции!$AB:$AB,"&lt;="&amp;N$9,операции!$L:$L,P$9,операции!$P:$P,$F309))/P370)</f>
        <v>42196.161037278056</v>
      </c>
      <c r="Q373" s="237">
        <f>IF(Q370=0,0,(SUMIFS(операции!$AH:$AH,операции!$T:$T,"&lt;="&amp;N$9,операции!$X:$X,"",операции!$AB:$AB,"&lt;&gt;"&amp;"",операции!$AB:$AB,"&lt;="&amp;N$9,операции!$L:$L,Q$9,операции!$P:$P,$F309)+SUMIFS(операции!$AH:$AH,операции!$T:$T,"&lt;="&amp;N$9,операции!$X:$X,"&gt;"&amp;N$9,операции!$AB:$AB,"&lt;&gt;"&amp;"",операции!$AB:$AB,"&lt;="&amp;N$9,операции!$L:$L,Q$9,операции!$P:$P,$F309))/Q370)</f>
        <v>0</v>
      </c>
      <c r="R373" s="238"/>
      <c r="S373" s="193">
        <f>IF(S370=0,0,(SUMIFS(операции!$AH:$AH,операции!$T:$T,"&lt;="&amp;S$9,операции!$X:$X,"",операции!$AB:$AB,"&lt;&gt;"&amp;"",операции!$AB:$AB,"&lt;="&amp;S$9,операции!$P:$P,$F309)+SUMIFS(операции!$AH:$AH,операции!$T:$T,"&lt;="&amp;S$9,операции!$X:$X,"&gt;"&amp;S$9,операции!$AB:$AB,"&lt;&gt;"&amp;"",операции!$AB:$AB,"&lt;="&amp;S$9,операции!$P:$P,$F309))/S370)</f>
        <v>42216.846151027588</v>
      </c>
      <c r="T373" s="196"/>
      <c r="U373" s="193">
        <f>IF(U370=0,0,(SUMIFS(операции!$AH:$AH,операции!$T:$T,"&lt;="&amp;S$9,операции!$X:$X,"",операции!$AB:$AB,"&lt;&gt;"&amp;"",операции!$AB:$AB,"&lt;="&amp;S$9,операции!$L:$L,U$9,операции!$P:$P,$F309)+SUMIFS(операции!$AH:$AH,операции!$T:$T,"&lt;="&amp;S$9,операции!$X:$X,"&gt;"&amp;S$9,операции!$AB:$AB,"&lt;&gt;"&amp;"",операции!$AB:$AB,"&lt;="&amp;S$9,операции!$L:$L,U$9,операции!$P:$P,$F309))/U370)</f>
        <v>42216.846151027588</v>
      </c>
      <c r="V373" s="237">
        <f>IF(V370=0,0,(SUMIFS(операции!$AH:$AH,операции!$T:$T,"&lt;="&amp;S$9,операции!$X:$X,"",операции!$AB:$AB,"&lt;&gt;"&amp;"",операции!$AB:$AB,"&lt;="&amp;S$9,операции!$L:$L,V$9,операции!$P:$P,$F309)+SUMIFS(операции!$AH:$AH,операции!$T:$T,"&lt;="&amp;S$9,операции!$X:$X,"&gt;"&amp;S$9,операции!$AB:$AB,"&lt;&gt;"&amp;"",операции!$AB:$AB,"&lt;="&amp;S$9,операции!$L:$L,V$9,операции!$P:$P,$F309))/V370)</f>
        <v>0</v>
      </c>
      <c r="W373" s="238"/>
      <c r="X373" s="193">
        <f>IF(X370=0,0,(SUMIFS(операции!$AH:$AH,операции!$T:$T,"&lt;="&amp;X$9,операции!$X:$X,"",операции!$AB:$AB,"&lt;&gt;"&amp;"",операции!$AB:$AB,"&lt;="&amp;X$9,операции!$P:$P,$F309)+SUMIFS(операции!$AH:$AH,операции!$T:$T,"&lt;="&amp;X$9,операции!$X:$X,"&gt;"&amp;X$9,операции!$AB:$AB,"&lt;&gt;"&amp;"",операции!$AB:$AB,"&lt;="&amp;X$9,операции!$P:$P,$F309))/X370)</f>
        <v>42215.250107368025</v>
      </c>
      <c r="Y373" s="196"/>
      <c r="Z373" s="193">
        <f>IF(Z370=0,0,(SUMIFS(операции!$AH:$AH,операции!$T:$T,"&lt;="&amp;X$9,операции!$X:$X,"",операции!$AB:$AB,"&lt;&gt;"&amp;"",операции!$AB:$AB,"&lt;="&amp;X$9,операции!$L:$L,Z$9,операции!$P:$P,$F309)+SUMIFS(операции!$AH:$AH,операции!$T:$T,"&lt;="&amp;X$9,операции!$X:$X,"&gt;"&amp;X$9,операции!$AB:$AB,"&lt;&gt;"&amp;"",операции!$AB:$AB,"&lt;="&amp;X$9,операции!$L:$L,Z$9,операции!$P:$P,$F309))/Z370)</f>
        <v>42214.684541442744</v>
      </c>
      <c r="AA373" s="237">
        <f>IF(AA370=0,0,(SUMIFS(операции!$AH:$AH,операции!$T:$T,"&lt;="&amp;X$9,операции!$X:$X,"",операции!$AB:$AB,"&lt;&gt;"&amp;"",операции!$AB:$AB,"&lt;="&amp;X$9,операции!$L:$L,AA$9,операции!$P:$P,$F309)+SUMIFS(операции!$AH:$AH,операции!$T:$T,"&lt;="&amp;X$9,операции!$X:$X,"&gt;"&amp;X$9,операции!$AB:$AB,"&lt;&gt;"&amp;"",операции!$AB:$AB,"&lt;="&amp;X$9,операции!$L:$L,AA$9,операции!$P:$P,$F309))/AA370)</f>
        <v>42362</v>
      </c>
      <c r="AB373" s="265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</row>
    <row r="374" spans="1:42" s="192" customFormat="1" ht="11.25">
      <c r="A374" s="37"/>
      <c r="B374" s="37"/>
      <c r="C374" s="37"/>
      <c r="D374" s="191"/>
      <c r="E374" s="191" t="s">
        <v>284</v>
      </c>
      <c r="F374" s="191" t="str">
        <f t="shared" si="512"/>
        <v>Товары для детей</v>
      </c>
      <c r="G374" s="191" t="s">
        <v>219</v>
      </c>
      <c r="H374" s="315"/>
      <c r="I374" s="329">
        <f>I373-I371</f>
        <v>27.34605024837947</v>
      </c>
      <c r="J374" s="317"/>
      <c r="K374" s="329">
        <f>K373-K371</f>
        <v>27.424462794566352</v>
      </c>
      <c r="L374" s="330">
        <f>L373-L371</f>
        <v>7</v>
      </c>
      <c r="M374" s="274"/>
      <c r="N374" s="156">
        <f>N373-N371</f>
        <v>26.84149893122958</v>
      </c>
      <c r="O374" s="196"/>
      <c r="P374" s="156">
        <f>P373-P371</f>
        <v>26.84149893122958</v>
      </c>
      <c r="Q374" s="245">
        <f>Q373-Q371</f>
        <v>0</v>
      </c>
      <c r="R374" s="238"/>
      <c r="S374" s="156">
        <f>S373-S371</f>
        <v>27.710584963722795</v>
      </c>
      <c r="T374" s="196"/>
      <c r="U374" s="156">
        <f>U373-U371</f>
        <v>27.710584963722795</v>
      </c>
      <c r="V374" s="245">
        <f>V373-V371</f>
        <v>0</v>
      </c>
      <c r="W374" s="238"/>
      <c r="X374" s="156">
        <f>X373-X371</f>
        <v>27.34605024837947</v>
      </c>
      <c r="Y374" s="196"/>
      <c r="Z374" s="156">
        <f>Z373-Z371</f>
        <v>27.424462794566352</v>
      </c>
      <c r="AA374" s="245">
        <f>AA373-AA371</f>
        <v>7</v>
      </c>
      <c r="AB374" s="265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</row>
    <row r="375" spans="1:42" s="192" customFormat="1" ht="11.25">
      <c r="A375" s="37"/>
      <c r="B375" s="37"/>
      <c r="C375" s="37"/>
      <c r="D375" s="191"/>
      <c r="E375" s="191" t="s">
        <v>285</v>
      </c>
      <c r="F375" s="191" t="str">
        <f t="shared" si="512"/>
        <v>Товары для детей</v>
      </c>
      <c r="G375" s="191" t="s">
        <v>219</v>
      </c>
      <c r="H375" s="315"/>
      <c r="I375" s="329">
        <f>I372-I374</f>
        <v>153.74989263197494</v>
      </c>
      <c r="J375" s="317"/>
      <c r="K375" s="329">
        <f>K372-K374</f>
        <v>154.31545855725562</v>
      </c>
      <c r="L375" s="330">
        <f>L372-L374</f>
        <v>7</v>
      </c>
      <c r="M375" s="274"/>
      <c r="N375" s="156">
        <f>N372-N374</f>
        <v>111.83896272194397</v>
      </c>
      <c r="O375" s="196"/>
      <c r="P375" s="156">
        <f>P372-P374</f>
        <v>111.83896272194397</v>
      </c>
      <c r="Q375" s="245">
        <f>Q372-Q374</f>
        <v>0</v>
      </c>
      <c r="R375" s="238"/>
      <c r="S375" s="156">
        <f>S372-S374</f>
        <v>121.15384897241165</v>
      </c>
      <c r="T375" s="196"/>
      <c r="U375" s="156">
        <f>U372-U374</f>
        <v>121.15384897241165</v>
      </c>
      <c r="V375" s="245">
        <f>V372-V374</f>
        <v>0</v>
      </c>
      <c r="W375" s="238"/>
      <c r="X375" s="156">
        <f>X372-X374</f>
        <v>153.74989263197494</v>
      </c>
      <c r="Y375" s="196"/>
      <c r="Z375" s="156">
        <f>Z372-Z374</f>
        <v>154.31545855725562</v>
      </c>
      <c r="AA375" s="245">
        <f>AA372-AA374</f>
        <v>7</v>
      </c>
      <c r="AB375" s="265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</row>
    <row r="376" spans="1:42" s="5" customFormat="1">
      <c r="A376" s="1"/>
      <c r="B376" s="1"/>
      <c r="C376" s="1"/>
      <c r="D376" s="168"/>
      <c r="E376" s="168" t="s">
        <v>286</v>
      </c>
      <c r="F376" s="168" t="str">
        <f t="shared" si="512"/>
        <v>Товары для детей</v>
      </c>
      <c r="G376" s="168" t="s">
        <v>261</v>
      </c>
      <c r="H376" s="326"/>
      <c r="I376" s="327">
        <f>SUMIFS(операции!$V:$V,операции!$T:$T,"&lt;="&amp;I$9,операции!$X:$X,"",операции!$AB:$AB,"",операции!$P:$P,$F309)+SUMIFS(операции!$V:$V,операции!$T:$T,"&lt;="&amp;I$9,операции!$X:$X,"&gt;"&amp;I$9,операции!$AB:$AB,"",операции!$P:$P,$F309)+SUMIFS(операции!$V:$V,операции!$T:$T,"&lt;="&amp;I$9,операции!$X:$X,"",операции!$AB:$AB,"&gt;"&amp;I$9,операции!$P:$P,$F309)+SUMIFS(операции!$V:$V,операции!$T:$T,"&lt;="&amp;I$9,операции!$X:$X,"&gt;"&amp;I$9,операции!$AB:$AB,"&gt;"&amp;I$9,операции!$P:$P,$F309)</f>
        <v>205593.99999999997</v>
      </c>
      <c r="J376" s="313">
        <f>I376-K376-L376</f>
        <v>0</v>
      </c>
      <c r="K376" s="327">
        <f>SUMIFS(операции!$V:$V,операции!$T:$T,"&lt;="&amp;I$9,операции!$X:$X,"",операции!$AB:$AB,"",операции!$L:$L,K$9,операции!$P:$P,$F309)+SUMIFS(операции!$V:$V,операции!$T:$T,"&lt;="&amp;I$9,операции!$X:$X,"&gt;"&amp;I$9,операции!$AB:$AB,"",операции!$L:$L,K$9,операции!$P:$P,$F309)+SUMIFS(операции!$V:$V,операции!$T:$T,"&lt;="&amp;I$9,операции!$X:$X,"",операции!$AB:$AB,"&gt;"&amp;I$9,операции!$L:$L,K$9,операции!$P:$P,$F309)+SUMIFS(операции!$V:$V,операции!$T:$T,"&lt;="&amp;I$9,операции!$X:$X,"&gt;"&amp;I$9,операции!$AB:$AB,"&gt;"&amp;I$9,операции!$L:$L,K$9,операции!$P:$P,$F309)</f>
        <v>69701.76999999999</v>
      </c>
      <c r="L376" s="328">
        <f>SUMIFS(операции!$V:$V,операции!$T:$T,"&lt;="&amp;I$9,операции!$X:$X,"",операции!$AB:$AB,"",операции!$L:$L,L$9,операции!$P:$P,$F309)+SUMIFS(операции!$V:$V,операции!$T:$T,"&lt;="&amp;I$9,операции!$X:$X,"&gt;"&amp;I$9,операции!$AB:$AB,"",операции!$L:$L,L$9,операции!$P:$P,$F309)+SUMIFS(операции!$V:$V,операции!$T:$T,"&lt;="&amp;I$9,операции!$X:$X,"",операции!$AB:$AB,"&gt;"&amp;I$9,операции!$L:$L,L$9,операции!$P:$P,$F309)+SUMIFS(операции!$V:$V,операции!$T:$T,"&lt;="&amp;I$9,операции!$X:$X,"&gt;"&amp;I$9,операции!$AB:$AB,"&gt;"&amp;I$9,операции!$L:$L,L$9,операции!$P:$P,$F309)</f>
        <v>135892.22999999998</v>
      </c>
      <c r="M376" s="277"/>
      <c r="N376" s="169">
        <f>SUMIFS(операции!$V:$V,операции!$T:$T,"&lt;="&amp;N$9,операции!$X:$X,"",операции!$AB:$AB,"",операции!$P:$P,$F309)+SUMIFS(операции!$V:$V,операции!$T:$T,"&lt;="&amp;N$9,операции!$X:$X,"&gt;"&amp;N$9,операции!$AB:$AB,"",операции!$P:$P,$F309)+SUMIFS(операции!$V:$V,операции!$T:$T,"&lt;="&amp;N$9,операции!$X:$X,"",операции!$AB:$AB,"&gt;"&amp;N$9,операции!$P:$P,$F309)+SUMIFS(операции!$V:$V,операции!$T:$T,"&lt;="&amp;N$9,операции!$X:$X,"&gt;"&amp;N$9,операции!$AB:$AB,"&gt;"&amp;N$9,операции!$P:$P,$F309)</f>
        <v>337787.5</v>
      </c>
      <c r="O376" s="170">
        <f>N376-P376-Q376</f>
        <v>0</v>
      </c>
      <c r="P376" s="169">
        <f>SUMIFS(операции!$V:$V,операции!$T:$T,"&lt;="&amp;N$9,операции!$X:$X,"",операции!$AB:$AB,"",операции!$L:$L,P$9,операции!$P:$P,$F309)+SUMIFS(операции!$V:$V,операции!$T:$T,"&lt;="&amp;N$9,операции!$X:$X,"&gt;"&amp;N$9,операции!$AB:$AB,"",операции!$L:$L,P$9,операции!$P:$P,$F309)+SUMIFS(операции!$V:$V,операции!$T:$T,"&lt;="&amp;N$9,операции!$X:$X,"",операции!$AB:$AB,"&gt;"&amp;N$9,операции!$L:$L,P$9,операции!$P:$P,$F309)+SUMIFS(операции!$V:$V,операции!$T:$T,"&lt;="&amp;N$9,операции!$X:$X,"&gt;"&amp;N$9,операции!$AB:$AB,"&gt;"&amp;N$9,операции!$L:$L,P$9,операции!$P:$P,$F309)</f>
        <v>259538.40999999997</v>
      </c>
      <c r="Q376" s="243">
        <f>SUMIFS(операции!$V:$V,операции!$T:$T,"&lt;="&amp;N$9,операции!$X:$X,"",операции!$AB:$AB,"",операции!$L:$L,Q$9,операции!$P:$P,$F309)+SUMIFS(операции!$V:$V,операции!$T:$T,"&lt;="&amp;N$9,операции!$X:$X,"&gt;"&amp;N$9,операции!$AB:$AB,"",операции!$L:$L,Q$9,операции!$P:$P,$F309)+SUMIFS(операции!$V:$V,операции!$T:$T,"&lt;="&amp;N$9,операции!$X:$X,"",операции!$AB:$AB,"&gt;"&amp;N$9,операции!$L:$L,Q$9,операции!$P:$P,$F309)+SUMIFS(операции!$V:$V,операции!$T:$T,"&lt;="&amp;N$9,операции!$X:$X,"&gt;"&amp;N$9,операции!$AB:$AB,"&gt;"&amp;N$9,операции!$L:$L,Q$9,операции!$P:$P,$F309)</f>
        <v>78249.09</v>
      </c>
      <c r="R376" s="244"/>
      <c r="S376" s="169">
        <f>SUMIFS(операции!$V:$V,операции!$T:$T,"&lt;="&amp;S$9,операции!$X:$X,"",операции!$AB:$AB,"",операции!$P:$P,$F309)+SUMIFS(операции!$V:$V,операции!$T:$T,"&lt;="&amp;S$9,операции!$X:$X,"&gt;"&amp;S$9,операции!$AB:$AB,"",операции!$P:$P,$F309)+SUMIFS(операции!$V:$V,операции!$T:$T,"&lt;="&amp;S$9,операции!$X:$X,"",операции!$AB:$AB,"&gt;"&amp;S$9,операции!$P:$P,$F309)+SUMIFS(операции!$V:$V,операции!$T:$T,"&lt;="&amp;S$9,операции!$X:$X,"&gt;"&amp;S$9,операции!$AB:$AB,"&gt;"&amp;S$9,операции!$P:$P,$F309)</f>
        <v>859685.08999999973</v>
      </c>
      <c r="T376" s="170">
        <f>S376-U376-V376</f>
        <v>0</v>
      </c>
      <c r="U376" s="169">
        <f>SUMIFS(операции!$V:$V,операции!$T:$T,"&lt;="&amp;S$9,операции!$X:$X,"",операции!$AB:$AB,"",операции!$L:$L,U$9,операции!$P:$P,$F309)+SUMIFS(операции!$V:$V,операции!$T:$T,"&lt;="&amp;S$9,операции!$X:$X,"&gt;"&amp;S$9,операции!$AB:$AB,"",операции!$L:$L,U$9,операции!$P:$P,$F309)+SUMIFS(операции!$V:$V,операции!$T:$T,"&lt;="&amp;S$9,операции!$X:$X,"",операции!$AB:$AB,"&gt;"&amp;S$9,операции!$L:$L,U$9,операции!$P:$P,$F309)+SUMIFS(операции!$V:$V,операции!$T:$T,"&lt;="&amp;S$9,операции!$X:$X,"&gt;"&amp;S$9,операции!$AB:$AB,"&gt;"&amp;S$9,операции!$L:$L,U$9,операции!$P:$P,$F309)</f>
        <v>108514.26999999999</v>
      </c>
      <c r="V376" s="243">
        <f>SUMIFS(операции!$V:$V,операции!$T:$T,"&lt;="&amp;S$9,операции!$X:$X,"",операции!$AB:$AB,"",операции!$L:$L,V$9,операции!$P:$P,$F309)+SUMIFS(операции!$V:$V,операции!$T:$T,"&lt;="&amp;S$9,операции!$X:$X,"&gt;"&amp;S$9,операции!$AB:$AB,"",операции!$L:$L,V$9,операции!$P:$P,$F309)+SUMIFS(операции!$V:$V,операции!$T:$T,"&lt;="&amp;S$9,операции!$X:$X,"",операции!$AB:$AB,"&gt;"&amp;S$9,операции!$L:$L,V$9,операции!$P:$P,$F309)+SUMIFS(операции!$V:$V,операции!$T:$T,"&lt;="&amp;S$9,операции!$X:$X,"&gt;"&amp;S$9,операции!$AB:$AB,"&gt;"&amp;S$9,операции!$L:$L,V$9,операции!$P:$P,$F309)</f>
        <v>751170.82</v>
      </c>
      <c r="W376" s="244"/>
      <c r="X376" s="169">
        <f>SUMIFS(операции!$V:$V,операции!$T:$T,"&lt;="&amp;X$9,операции!$X:$X,"",операции!$AB:$AB,"",операции!$P:$P,$F309)+SUMIFS(операции!$V:$V,операции!$T:$T,"&lt;="&amp;X$9,операции!$X:$X,"&gt;"&amp;X$9,операции!$AB:$AB,"",операции!$P:$P,$F309)+SUMIFS(операции!$V:$V,операции!$T:$T,"&lt;="&amp;X$9,операции!$X:$X,"",операции!$AB:$AB,"&gt;"&amp;X$9,операции!$P:$P,$F309)+SUMIFS(операции!$V:$V,операции!$T:$T,"&lt;="&amp;X$9,операции!$X:$X,"&gt;"&amp;X$9,операции!$AB:$AB,"&gt;"&amp;X$9,операции!$P:$P,$F309)</f>
        <v>205593.99999999997</v>
      </c>
      <c r="Y376" s="170">
        <f>X376-Z376-AA376</f>
        <v>0</v>
      </c>
      <c r="Z376" s="169">
        <f>SUMIFS(операции!$V:$V,операции!$T:$T,"&lt;="&amp;X$9,операции!$X:$X,"",операции!$AB:$AB,"",операции!$L:$L,Z$9,операции!$P:$P,$F309)+SUMIFS(операции!$V:$V,операции!$T:$T,"&lt;="&amp;X$9,операции!$X:$X,"&gt;"&amp;X$9,операции!$AB:$AB,"",операции!$L:$L,Z$9,операции!$P:$P,$F309)+SUMIFS(операции!$V:$V,операции!$T:$T,"&lt;="&amp;X$9,операции!$X:$X,"",операции!$AB:$AB,"&gt;"&amp;X$9,операции!$L:$L,Z$9,операции!$P:$P,$F309)+SUMIFS(операции!$V:$V,операции!$T:$T,"&lt;="&amp;X$9,операции!$X:$X,"&gt;"&amp;X$9,операции!$AB:$AB,"&gt;"&amp;X$9,операции!$L:$L,Z$9,операции!$P:$P,$F309)</f>
        <v>69701.76999999999</v>
      </c>
      <c r="AA376" s="243">
        <f>SUMIFS(операции!$V:$V,операции!$T:$T,"&lt;="&amp;X$9,операции!$X:$X,"",операции!$AB:$AB,"",операции!$L:$L,AA$9,операции!$P:$P,$F309)+SUMIFS(операции!$V:$V,операции!$T:$T,"&lt;="&amp;X$9,операции!$X:$X,"&gt;"&amp;X$9,операции!$AB:$AB,"",операции!$L:$L,AA$9,операции!$P:$P,$F309)+SUMIFS(операции!$V:$V,операции!$T:$T,"&lt;="&amp;X$9,операции!$X:$X,"",операции!$AB:$AB,"&gt;"&amp;X$9,операции!$L:$L,AA$9,операции!$P:$P,$F309)+SUMIFS(операции!$V:$V,операции!$T:$T,"&lt;="&amp;X$9,операции!$X:$X,"&gt;"&amp;X$9,операции!$AB:$AB,"&gt;"&amp;X$9,операции!$L:$L,AA$9,операции!$P:$P,$F309)</f>
        <v>135892.22999999998</v>
      </c>
      <c r="AB376" s="266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s="192" customFormat="1" ht="11.25">
      <c r="A377" s="37"/>
      <c r="B377" s="37"/>
      <c r="C377" s="37"/>
      <c r="D377" s="191"/>
      <c r="E377" s="191" t="s">
        <v>255</v>
      </c>
      <c r="F377" s="191" t="str">
        <f t="shared" si="512"/>
        <v>Товары для детей</v>
      </c>
      <c r="G377" s="191" t="s">
        <v>262</v>
      </c>
      <c r="H377" s="315"/>
      <c r="I377" s="316">
        <f>IF(I376=0,0,(SUMIFS(операции!$AF:$AF,операции!$T:$T,"&lt;="&amp;I$9,операции!$X:$X,"",операции!$AB:$AB,"",операции!$P:$P,$F309)+SUMIFS(операции!$AF:$AF,операции!$T:$T,"&lt;="&amp;I$9,операции!$X:$X,"&gt;"&amp;I$9,операции!$AB:$AB,"",операции!$P:$P,$F309)+SUMIFS(операции!$AF:$AF,операции!$T:$T,"&lt;="&amp;I$9,операции!$X:$X,"",операции!$AB:$AB,"&gt;"&amp;I$9,операции!$P:$P,$F309)+SUMIFS(операции!$AF:$AF,операции!$T:$T,"&lt;="&amp;I$9,операции!$X:$X,"&gt;"&amp;I$9,операции!$AB:$AB,"&gt;"&amp;I$9,операции!$P:$P,$F309))/I376)</f>
        <v>42302.0081367647</v>
      </c>
      <c r="J377" s="317"/>
      <c r="K377" s="316">
        <f>IF(K376=0,0,(SUMIFS(операции!$AF:$AF,операции!$T:$T,"&lt;="&amp;I$9,операции!$X:$X,"",операции!$AB:$AB,"",операции!$L:$L,K$9,операции!$P:$P,$F309)+SUMIFS(операции!$AF:$AF,операции!$T:$T,"&lt;="&amp;I$9,операции!$X:$X,"&gt;"&amp;I$9,операции!$AB:$AB,"",операции!$L:$L,K$9,операции!$P:$P,$F309)+SUMIFS(операции!$AF:$AF,операции!$T:$T,"&lt;="&amp;I$9,операции!$X:$X,"",операции!$AB:$AB,"&gt;"&amp;I$9,операции!$L:$L,K$9,операции!$P:$P,$F309)+SUMIFS(операции!$AF:$AF,операции!$T:$T,"&lt;="&amp;I$9,операции!$X:$X,"&gt;"&amp;I$9,операции!$AB:$AB,"&gt;"&amp;I$9,операции!$L:$L,K$9,операции!$P:$P,$F309))/K376)</f>
        <v>42182.461827153034</v>
      </c>
      <c r="L377" s="318">
        <f>IF(L376=0,0,(SUMIFS(операции!$AF:$AF,операции!$T:$T,"&lt;="&amp;I$9,операции!$X:$X,"",операции!$AB:$AB,"",операции!$L:$L,L$9,операции!$P:$P,$F309)+SUMIFS(операции!$AF:$AF,операции!$T:$T,"&lt;="&amp;I$9,операции!$X:$X,"&gt;"&amp;I$9,операции!$AB:$AB,"",операции!$L:$L,L$9,операции!$P:$P,$F309)+SUMIFS(операции!$AF:$AF,операции!$T:$T,"&lt;="&amp;I$9,операции!$X:$X,"",операции!$AB:$AB,"&gt;"&amp;I$9,операции!$L:$L,L$9,операции!$P:$P,$F309)+SUMIFS(операции!$AF:$AF,операции!$T:$T,"&lt;="&amp;I$9,операции!$X:$X,"&gt;"&amp;I$9,операции!$AB:$AB,"&gt;"&amp;I$9,операции!$L:$L,L$9,операции!$P:$P,$F309))/L376)</f>
        <v>42363.325766013273</v>
      </c>
      <c r="M377" s="274"/>
      <c r="N377" s="193">
        <f>IF(N376=0,0,(SUMIFS(операции!$AF:$AF,операции!$T:$T,"&lt;="&amp;N$9,операции!$X:$X,"",операции!$AB:$AB,"",операции!$P:$P,$F309)+SUMIFS(операции!$AF:$AF,операции!$T:$T,"&lt;="&amp;N$9,операции!$X:$X,"&gt;"&amp;N$9,операции!$AB:$AB,"",операции!$P:$P,$F309)+SUMIFS(операции!$AF:$AF,операции!$T:$T,"&lt;="&amp;N$9,операции!$X:$X,"",операции!$AB:$AB,"&gt;"&amp;N$9,операции!$P:$P,$F309)+SUMIFS(операции!$AF:$AF,операции!$T:$T,"&lt;="&amp;N$9,операции!$X:$X,"&gt;"&amp;N$9,операции!$AB:$AB,"&gt;"&amp;N$9,операции!$P:$P,$F309))/N376)</f>
        <v>42231.48202497133</v>
      </c>
      <c r="O377" s="196"/>
      <c r="P377" s="193">
        <f>IF(P376=0,0,(SUMIFS(операции!$AF:$AF,операции!$T:$T,"&lt;="&amp;N$9,операции!$X:$X,"",операции!$AB:$AB,"",операции!$L:$L,P$9,операции!$P:$P,$F309)+SUMIFS(операции!$AF:$AF,операции!$T:$T,"&lt;="&amp;N$9,операции!$X:$X,"&gt;"&amp;N$9,операции!$AB:$AB,"",операции!$L:$L,P$9,операции!$P:$P,$F309)+SUMIFS(операции!$AF:$AF,операции!$T:$T,"&lt;="&amp;N$9,операции!$X:$X,"",операции!$AB:$AB,"&gt;"&amp;N$9,операции!$L:$L,P$9,операции!$P:$P,$F309)+SUMIFS(операции!$AF:$AF,операции!$T:$T,"&lt;="&amp;N$9,операции!$X:$X,"&gt;"&amp;N$9,операции!$AB:$AB,"&gt;"&amp;N$9,операции!$L:$L,P$9,операции!$P:$P,$F309))/P376)</f>
        <v>42208.976840614851</v>
      </c>
      <c r="Q377" s="237">
        <f>IF(Q376=0,0,(SUMIFS(операции!$AF:$AF,операции!$T:$T,"&lt;="&amp;N$9,операции!$X:$X,"",операции!$AB:$AB,"",операции!$L:$L,Q$9,операции!$P:$P,$F309)+SUMIFS(операции!$AF:$AF,операции!$T:$T,"&lt;="&amp;N$9,операции!$X:$X,"&gt;"&amp;N$9,операции!$AB:$AB,"",операции!$L:$L,Q$9,операции!$P:$P,$F309)+SUMIFS(операции!$AF:$AF,операции!$T:$T,"&lt;="&amp;N$9,операции!$X:$X,"",операции!$AB:$AB,"&gt;"&amp;N$9,операции!$L:$L,Q$9,операции!$P:$P,$F309)+SUMIFS(операции!$AF:$AF,операции!$T:$T,"&lt;="&amp;N$9,операции!$X:$X,"&gt;"&amp;N$9,операции!$AB:$AB,"&gt;"&amp;N$9,операции!$L:$L,Q$9,операции!$P:$P,$F309))/Q376)</f>
        <v>42306.127746277947</v>
      </c>
      <c r="R377" s="238"/>
      <c r="S377" s="193">
        <f>IF(S376=0,0,(SUMIFS(операции!$AF:$AF,операции!$T:$T,"&lt;="&amp;S$9,операции!$X:$X,"",операции!$AB:$AB,"",операции!$P:$P,$F309)+SUMIFS(операции!$AF:$AF,операции!$T:$T,"&lt;="&amp;S$9,операции!$X:$X,"&gt;"&amp;S$9,операции!$AB:$AB,"",операции!$P:$P,$F309)+SUMIFS(операции!$AF:$AF,операции!$T:$T,"&lt;="&amp;S$9,операции!$X:$X,"",операции!$AB:$AB,"&gt;"&amp;S$9,операции!$P:$P,$F309)+SUMIFS(операции!$AF:$AF,операции!$T:$T,"&lt;="&amp;S$9,операции!$X:$X,"&gt;"&amp;S$9,операции!$AB:$AB,"&gt;"&amp;S$9,операции!$P:$P,$F309))/S376)</f>
        <v>42315.786233433464</v>
      </c>
      <c r="T377" s="196"/>
      <c r="U377" s="193">
        <f>IF(U376=0,0,(SUMIFS(операции!$AF:$AF,операции!$T:$T,"&lt;="&amp;S$9,операции!$X:$X,"",операции!$AB:$AB,"",операции!$L:$L,U$9,операции!$P:$P,$F309)+SUMIFS(операции!$AF:$AF,операции!$T:$T,"&lt;="&amp;S$9,операции!$X:$X,"&gt;"&amp;S$9,операции!$AB:$AB,"",операции!$L:$L,U$9,операции!$P:$P,$F309)+SUMIFS(операции!$AF:$AF,операции!$T:$T,"&lt;="&amp;S$9,операции!$X:$X,"",операции!$AB:$AB,"&gt;"&amp;S$9,операции!$L:$L,U$9,операции!$P:$P,$F309)+SUMIFS(операции!$AF:$AF,операции!$T:$T,"&lt;="&amp;S$9,операции!$X:$X,"&gt;"&amp;S$9,операции!$AB:$AB,"&gt;"&amp;S$9,операции!$L:$L,U$9,операции!$P:$P,$F309))/U376)</f>
        <v>42177.637066258671</v>
      </c>
      <c r="V377" s="237">
        <f>IF(V376=0,0,(SUMIFS(операции!$AF:$AF,операции!$T:$T,"&lt;="&amp;S$9,операции!$X:$X,"",операции!$AB:$AB,"",операции!$L:$L,V$9,операции!$P:$P,$F309)+SUMIFS(операции!$AF:$AF,операции!$T:$T,"&lt;="&amp;S$9,операции!$X:$X,"&gt;"&amp;S$9,операции!$AB:$AB,"",операции!$L:$L,V$9,операции!$P:$P,$F309)+SUMIFS(операции!$AF:$AF,операции!$T:$T,"&lt;="&amp;S$9,операции!$X:$X,"",операции!$AB:$AB,"&gt;"&amp;S$9,операции!$L:$L,V$9,операции!$P:$P,$F309)+SUMIFS(операции!$AF:$AF,операции!$T:$T,"&lt;="&amp;S$9,операции!$X:$X,"&gt;"&amp;S$9,операции!$AB:$AB,"&gt;"&amp;S$9,операции!$L:$L,V$9,операции!$P:$P,$F309))/V376)</f>
        <v>42335.74328664683</v>
      </c>
      <c r="W377" s="238"/>
      <c r="X377" s="193">
        <f>IF(X376=0,0,(SUMIFS(операции!$AF:$AF,операции!$T:$T,"&lt;="&amp;X$9,операции!$X:$X,"",операции!$AB:$AB,"",операции!$P:$P,$F309)+SUMIFS(операции!$AF:$AF,операции!$T:$T,"&lt;="&amp;X$9,операции!$X:$X,"&gt;"&amp;X$9,операции!$AB:$AB,"",операции!$P:$P,$F309)+SUMIFS(операции!$AF:$AF,операции!$T:$T,"&lt;="&amp;X$9,операции!$X:$X,"",операции!$AB:$AB,"&gt;"&amp;X$9,операции!$P:$P,$F309)+SUMIFS(операции!$AF:$AF,операции!$T:$T,"&lt;="&amp;X$9,операции!$X:$X,"&gt;"&amp;X$9,операции!$AB:$AB,"&gt;"&amp;X$9,операции!$P:$P,$F309))/X376)</f>
        <v>42302.0081367647</v>
      </c>
      <c r="Y377" s="196"/>
      <c r="Z377" s="193">
        <f>IF(Z376=0,0,(SUMIFS(операции!$AF:$AF,операции!$T:$T,"&lt;="&amp;X$9,операции!$X:$X,"",операции!$AB:$AB,"",операции!$L:$L,Z$9,операции!$P:$P,$F309)+SUMIFS(операции!$AF:$AF,операции!$T:$T,"&lt;="&amp;X$9,операции!$X:$X,"&gt;"&amp;X$9,операции!$AB:$AB,"",операции!$L:$L,Z$9,операции!$P:$P,$F309)+SUMIFS(операции!$AF:$AF,операции!$T:$T,"&lt;="&amp;X$9,операции!$X:$X,"",операции!$AB:$AB,"&gt;"&amp;X$9,операции!$L:$L,Z$9,операции!$P:$P,$F309)+SUMIFS(операции!$AF:$AF,операции!$T:$T,"&lt;="&amp;X$9,операции!$X:$X,"&gt;"&amp;X$9,операции!$AB:$AB,"&gt;"&amp;X$9,операции!$L:$L,Z$9,операции!$P:$P,$F309))/Z376)</f>
        <v>42182.461827153034</v>
      </c>
      <c r="AA377" s="237">
        <f>IF(AA376=0,0,(SUMIFS(операции!$AF:$AF,операции!$T:$T,"&lt;="&amp;X$9,операции!$X:$X,"",операции!$AB:$AB,"",операции!$L:$L,AA$9,операции!$P:$P,$F309)+SUMIFS(операции!$AF:$AF,операции!$T:$T,"&lt;="&amp;X$9,операции!$X:$X,"&gt;"&amp;X$9,операции!$AB:$AB,"",операции!$L:$L,AA$9,операции!$P:$P,$F309)+SUMIFS(операции!$AF:$AF,операции!$T:$T,"&lt;="&amp;X$9,операции!$X:$X,"",операции!$AB:$AB,"&gt;"&amp;X$9,операции!$L:$L,AA$9,операции!$P:$P,$F309)+SUMIFS(операции!$AF:$AF,операции!$T:$T,"&lt;="&amp;X$9,операции!$X:$X,"&gt;"&amp;X$9,операции!$AB:$AB,"&gt;"&amp;X$9,операции!$L:$L,AA$9,операции!$P:$P,$F309))/AA376)</f>
        <v>42363.325766013273</v>
      </c>
      <c r="AB377" s="265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</row>
    <row r="378" spans="1:42" s="192" customFormat="1" ht="11.25">
      <c r="A378" s="37"/>
      <c r="B378" s="37"/>
      <c r="C378" s="37"/>
      <c r="D378" s="191"/>
      <c r="E378" s="191" t="s">
        <v>287</v>
      </c>
      <c r="F378" s="191" t="str">
        <f t="shared" ref="F378:F381" si="645">F377</f>
        <v>Товары для детей</v>
      </c>
      <c r="G378" s="191" t="s">
        <v>219</v>
      </c>
      <c r="H378" s="315"/>
      <c r="I378" s="329">
        <f>IF(I376=0,0,I$9-I377)</f>
        <v>66.991863235300116</v>
      </c>
      <c r="J378" s="317"/>
      <c r="K378" s="329">
        <f>IF(K376=0,0,I$9-K377)</f>
        <v>186.53817284696561</v>
      </c>
      <c r="L378" s="330">
        <f>IF(L376=0,0,I$9-L377)</f>
        <v>5.6742339867269038</v>
      </c>
      <c r="M378" s="274"/>
      <c r="N378" s="156">
        <f>IF(N376=0,0,N$9-N377)</f>
        <v>76.517975028669753</v>
      </c>
      <c r="O378" s="196"/>
      <c r="P378" s="156">
        <f>IF(P376=0,0,N$9-P377)</f>
        <v>99.023159385149484</v>
      </c>
      <c r="Q378" s="245">
        <f>IF(Q376=0,0,N$9-Q377)</f>
        <v>1.8722537220528466</v>
      </c>
      <c r="R378" s="238"/>
      <c r="S378" s="156">
        <f>IF(S376=0,0,S$9-S377)</f>
        <v>22.213766566535924</v>
      </c>
      <c r="T378" s="196"/>
      <c r="U378" s="156">
        <f>IF(U376=0,0,S$9-U377)</f>
        <v>160.36293374132947</v>
      </c>
      <c r="V378" s="245">
        <f>IF(V376=0,0,S$9-V377)</f>
        <v>2.2567133531701984</v>
      </c>
      <c r="W378" s="238"/>
      <c r="X378" s="156">
        <f>IF(X376=0,0,X$9-X377)</f>
        <v>66.991863235300116</v>
      </c>
      <c r="Y378" s="196"/>
      <c r="Z378" s="156">
        <f>IF(Z376=0,0,X$9-Z377)</f>
        <v>186.53817284696561</v>
      </c>
      <c r="AA378" s="245">
        <f>IF(AA376=0,0,X$9-AA377)</f>
        <v>5.6742339867269038</v>
      </c>
      <c r="AB378" s="265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</row>
    <row r="379" spans="1:42" s="192" customFormat="1" ht="11.25">
      <c r="A379" s="37"/>
      <c r="B379" s="37"/>
      <c r="C379" s="37"/>
      <c r="D379" s="191"/>
      <c r="E379" s="191" t="s">
        <v>311</v>
      </c>
      <c r="F379" s="191" t="str">
        <f t="shared" si="645"/>
        <v>Товары для детей</v>
      </c>
      <c r="G379" s="191" t="s">
        <v>262</v>
      </c>
      <c r="H379" s="315"/>
      <c r="I379" s="316">
        <f>I$9</f>
        <v>42369</v>
      </c>
      <c r="J379" s="317"/>
      <c r="K379" s="316">
        <f>I$9</f>
        <v>42369</v>
      </c>
      <c r="L379" s="318">
        <f>I$9</f>
        <v>42369</v>
      </c>
      <c r="M379" s="274"/>
      <c r="N379" s="193">
        <f>N$9</f>
        <v>42308</v>
      </c>
      <c r="O379" s="196"/>
      <c r="P379" s="193">
        <f>N$9</f>
        <v>42308</v>
      </c>
      <c r="Q379" s="237">
        <f>N$9</f>
        <v>42308</v>
      </c>
      <c r="R379" s="238"/>
      <c r="S379" s="193">
        <f>S$9</f>
        <v>42338</v>
      </c>
      <c r="T379" s="196"/>
      <c r="U379" s="193">
        <f>S$9</f>
        <v>42338</v>
      </c>
      <c r="V379" s="237">
        <f>S$9</f>
        <v>42338</v>
      </c>
      <c r="W379" s="238"/>
      <c r="X379" s="193">
        <f>X$9</f>
        <v>42369</v>
      </c>
      <c r="Y379" s="196"/>
      <c r="Z379" s="193">
        <f>X$9</f>
        <v>42369</v>
      </c>
      <c r="AA379" s="237">
        <f>X$9</f>
        <v>42369</v>
      </c>
      <c r="AB379" s="265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</row>
    <row r="380" spans="1:42" s="192" customFormat="1" ht="11.25">
      <c r="A380" s="37"/>
      <c r="B380" s="37"/>
      <c r="C380" s="37"/>
      <c r="D380" s="191"/>
      <c r="E380" s="191" t="s">
        <v>288</v>
      </c>
      <c r="F380" s="191" t="str">
        <f t="shared" si="645"/>
        <v>Товары для детей</v>
      </c>
      <c r="G380" s="191" t="s">
        <v>219</v>
      </c>
      <c r="H380" s="315"/>
      <c r="I380" s="329">
        <f>IF(I376=0,0,I379-I377)</f>
        <v>66.991863235300116</v>
      </c>
      <c r="J380" s="317"/>
      <c r="K380" s="329">
        <f>IF(K376=0,0,K379-K377)</f>
        <v>186.53817284696561</v>
      </c>
      <c r="L380" s="330">
        <f>IF(L376=0,0,L379-L377)</f>
        <v>5.6742339867269038</v>
      </c>
      <c r="M380" s="274"/>
      <c r="N380" s="156">
        <f>IF(N376=0,0,N379-N377)</f>
        <v>76.517975028669753</v>
      </c>
      <c r="O380" s="196"/>
      <c r="P380" s="156">
        <f>IF(P376=0,0,P379-P377)</f>
        <v>99.023159385149484</v>
      </c>
      <c r="Q380" s="245">
        <f>IF(Q376=0,0,Q379-Q377)</f>
        <v>1.8722537220528466</v>
      </c>
      <c r="R380" s="238"/>
      <c r="S380" s="156">
        <f>IF(S376=0,0,S379-S377)</f>
        <v>22.213766566535924</v>
      </c>
      <c r="T380" s="196"/>
      <c r="U380" s="156">
        <f>IF(U376=0,0,U379-U377)</f>
        <v>160.36293374132947</v>
      </c>
      <c r="V380" s="245">
        <f>IF(V376=0,0,V379-V377)</f>
        <v>2.2567133531701984</v>
      </c>
      <c r="W380" s="238"/>
      <c r="X380" s="156">
        <f>IF(X376=0,0,X379-X377)</f>
        <v>66.991863235300116</v>
      </c>
      <c r="Y380" s="196"/>
      <c r="Z380" s="156">
        <f>IF(Z376=0,0,Z379-Z377)</f>
        <v>186.53817284696561</v>
      </c>
      <c r="AA380" s="245">
        <f>IF(AA376=0,0,AA379-AA377)</f>
        <v>5.6742339867269038</v>
      </c>
      <c r="AB380" s="265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</row>
    <row r="381" spans="1:42" s="192" customFormat="1" ht="12" thickBot="1">
      <c r="A381" s="37"/>
      <c r="B381" s="37"/>
      <c r="C381" s="37"/>
      <c r="D381" s="297"/>
      <c r="E381" s="297" t="s">
        <v>289</v>
      </c>
      <c r="F381" s="297" t="str">
        <f t="shared" si="645"/>
        <v>Товары для детей</v>
      </c>
      <c r="G381" s="297" t="s">
        <v>219</v>
      </c>
      <c r="H381" s="377"/>
      <c r="I381" s="378">
        <f>I378-I380</f>
        <v>0</v>
      </c>
      <c r="J381" s="379"/>
      <c r="K381" s="378">
        <f>K378-K380</f>
        <v>0</v>
      </c>
      <c r="L381" s="380">
        <f>L378-L380</f>
        <v>0</v>
      </c>
      <c r="M381" s="300"/>
      <c r="N381" s="298">
        <f>N378-N380</f>
        <v>0</v>
      </c>
      <c r="O381" s="299"/>
      <c r="P381" s="298">
        <f>P378-P380</f>
        <v>0</v>
      </c>
      <c r="Q381" s="301">
        <f>Q378-Q380</f>
        <v>0</v>
      </c>
      <c r="R381" s="302"/>
      <c r="S381" s="298">
        <f>S378-S380</f>
        <v>0</v>
      </c>
      <c r="T381" s="299"/>
      <c r="U381" s="298">
        <f>U378-U380</f>
        <v>0</v>
      </c>
      <c r="V381" s="301">
        <f>V378-V380</f>
        <v>0</v>
      </c>
      <c r="W381" s="302"/>
      <c r="X381" s="298">
        <f>X378-X380</f>
        <v>0</v>
      </c>
      <c r="Y381" s="299"/>
      <c r="Z381" s="298">
        <f>Z378-Z380</f>
        <v>0</v>
      </c>
      <c r="AA381" s="301">
        <f>AA378-AA380</f>
        <v>0</v>
      </c>
      <c r="AB381" s="265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</row>
    <row r="382" spans="1:42" s="111" customFormat="1" ht="11.25">
      <c r="A382" s="108"/>
      <c r="B382" s="108"/>
      <c r="C382" s="108" t="s">
        <v>271</v>
      </c>
      <c r="D382" s="291"/>
      <c r="E382" s="291"/>
      <c r="F382" s="291" t="str">
        <f>F383</f>
        <v>Одежда и обувь</v>
      </c>
      <c r="G382" s="291"/>
      <c r="H382" s="373"/>
      <c r="I382" s="374">
        <f>I383-K383-L383</f>
        <v>0</v>
      </c>
      <c r="J382" s="375">
        <f>N382+N400+N438+SUM(O:O)+S382+S400+S438+SUM(T:T)+X382+X400+X438+SUM(Y:Y)</f>
        <v>3.7104683769939584E-9</v>
      </c>
      <c r="K382" s="373"/>
      <c r="L382" s="376"/>
      <c r="M382" s="293"/>
      <c r="N382" s="292">
        <f>N383-P383-Q383</f>
        <v>0</v>
      </c>
      <c r="O382" s="294"/>
      <c r="P382" s="291"/>
      <c r="Q382" s="295"/>
      <c r="R382" s="296"/>
      <c r="S382" s="292">
        <f>S383-U383-V383</f>
        <v>0</v>
      </c>
      <c r="T382" s="294"/>
      <c r="U382" s="291"/>
      <c r="V382" s="295"/>
      <c r="W382" s="296"/>
      <c r="X382" s="292">
        <f>X383-Z383-AA383</f>
        <v>0</v>
      </c>
      <c r="Y382" s="294"/>
      <c r="Z382" s="291"/>
      <c r="AA382" s="295"/>
      <c r="AB382" s="263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</row>
    <row r="383" spans="1:42" s="93" customFormat="1" ht="15">
      <c r="A383" s="92"/>
      <c r="B383" s="92"/>
      <c r="C383" s="92"/>
      <c r="D383" s="151" t="s">
        <v>256</v>
      </c>
      <c r="E383" s="151"/>
      <c r="F383" s="286" t="str">
        <f>микс!$H$50</f>
        <v>Одежда и обувь</v>
      </c>
      <c r="G383" s="151" t="s">
        <v>261</v>
      </c>
      <c r="H383" s="311"/>
      <c r="I383" s="312">
        <f>SUMIFS(операции!$V:$V,операции!$T:$T,"&lt;"&amp;I$8,операции!$X:$X,"",операции!$P:$P,$F383)+SUMIFS(операции!$V:$V,операции!$T:$T,"&lt;"&amp;I$8,операции!$X:$X,"&gt;="&amp;I$8,операции!$P:$P,$F383)</f>
        <v>172842.37</v>
      </c>
      <c r="J383" s="313">
        <f>I383-I388-I394</f>
        <v>0</v>
      </c>
      <c r="K383" s="312">
        <f>SUMIFS(операции!$V:$V,операции!$T:$T,"&lt;"&amp;I$8,операции!$X:$X,"",операции!$L:$L,K$9,операции!$P:$P,$F383)+SUMIFS(операции!$V:$V,операции!$T:$T,"&lt;"&amp;I$8,операции!$X:$X,"&gt;="&amp;I$8,операции!$L:$L,K$9,операции!$P:$P,$F383)</f>
        <v>172842.37</v>
      </c>
      <c r="L383" s="314">
        <f>SUMIFS(операции!$V:$V,операции!$T:$T,"&lt;"&amp;I$8,операции!$X:$X,"",операции!$L:$L,L$9,операции!$P:$P,$F383)+SUMIFS(операции!$V:$V,операции!$T:$T,"&lt;"&amp;I$8,операции!$X:$X,"&gt;="&amp;I$8,операции!$L:$L,L$9,операции!$P:$P,$F383)</f>
        <v>0</v>
      </c>
      <c r="M383" s="273"/>
      <c r="N383" s="152">
        <f>SUMIFS(операции!$V:$V,операции!$T:$T,"&lt;"&amp;N$8,операции!$X:$X,"",операции!$P:$P,$F383)+SUMIFS(операции!$V:$V,операции!$T:$T,"&lt;"&amp;N$8,операции!$X:$X,"&gt;="&amp;N$8,операции!$P:$P,$F383)</f>
        <v>172842.37</v>
      </c>
      <c r="O383" s="170">
        <f>N383-N388-N394</f>
        <v>0</v>
      </c>
      <c r="P383" s="152">
        <f>SUMIFS(операции!$V:$V,операции!$T:$T,"&lt;"&amp;N$8,операции!$X:$X,"",операции!$L:$L,P$9,операции!$P:$P,$F383)+SUMIFS(операции!$V:$V,операции!$T:$T,"&lt;"&amp;N$8,операции!$X:$X,"&gt;="&amp;N$8,операции!$L:$L,P$9,операции!$P:$P,$F383)</f>
        <v>172842.37</v>
      </c>
      <c r="Q383" s="235">
        <f>SUMIFS(операции!$V:$V,операции!$T:$T,"&lt;"&amp;N$8,операции!$X:$X,"",операции!$L:$L,Q$9,операции!$P:$P,$F383)+SUMIFS(операции!$V:$V,операции!$T:$T,"&lt;"&amp;N$8,операции!$X:$X,"&gt;="&amp;N$8,операции!$L:$L,Q$9,операции!$P:$P,$F383)</f>
        <v>0</v>
      </c>
      <c r="R383" s="236"/>
      <c r="S383" s="152">
        <f>SUMIFS(операции!$V:$V,операции!$T:$T,"&lt;"&amp;S$8,операции!$X:$X,"",операции!$P:$P,$F383)+SUMIFS(операции!$V:$V,операции!$T:$T,"&lt;"&amp;S$8,операции!$X:$X,"&gt;="&amp;S$8,операции!$P:$P,$F383)</f>
        <v>147808.37</v>
      </c>
      <c r="T383" s="170">
        <f>S383-S388-S394</f>
        <v>-2.0918378140777349E-11</v>
      </c>
      <c r="U383" s="152">
        <f>SUMIFS(операции!$V:$V,операции!$T:$T,"&lt;"&amp;S$8,операции!$X:$X,"",операции!$L:$L,U$9,операции!$P:$P,$F383)+SUMIFS(операции!$V:$V,операции!$T:$T,"&lt;"&amp;S$8,операции!$X:$X,"&gt;="&amp;S$8,операции!$L:$L,U$9,операции!$P:$P,$F383)</f>
        <v>147808.37</v>
      </c>
      <c r="V383" s="235">
        <f>SUMIFS(операции!$V:$V,операции!$T:$T,"&lt;"&amp;S$8,операции!$X:$X,"",операции!$L:$L,V$9,операции!$P:$P,$F383)+SUMIFS(операции!$V:$V,операции!$T:$T,"&lt;"&amp;S$8,операции!$X:$X,"&gt;="&amp;S$8,операции!$L:$L,V$9,операции!$P:$P,$F383)</f>
        <v>0</v>
      </c>
      <c r="W383" s="236"/>
      <c r="X383" s="152">
        <f>SUMIFS(операции!$V:$V,операции!$T:$T,"&lt;"&amp;X$8,операции!$X:$X,"",операции!$P:$P,$F383)+SUMIFS(операции!$V:$V,операции!$T:$T,"&lt;"&amp;X$8,операции!$X:$X,"&gt;="&amp;X$8,операции!$P:$P,$F383)</f>
        <v>99094.610000000015</v>
      </c>
      <c r="Y383" s="170">
        <f>X383-X388-X394</f>
        <v>8.1854523159563541E-12</v>
      </c>
      <c r="Z383" s="152">
        <f>SUMIFS(операции!$V:$V,операции!$T:$T,"&lt;"&amp;X$8,операции!$X:$X,"",операции!$L:$L,Z$9,операции!$P:$P,$F383)+SUMIFS(операции!$V:$V,операции!$T:$T,"&lt;"&amp;X$8,операции!$X:$X,"&gt;="&amp;X$8,операции!$L:$L,Z$9,операции!$P:$P,$F383)</f>
        <v>99094.610000000015</v>
      </c>
      <c r="AA383" s="235">
        <f>SUMIFS(операции!$V:$V,операции!$T:$T,"&lt;"&amp;X$8,операции!$X:$X,"",операции!$L:$L,AA$9,операции!$P:$P,$F383)+SUMIFS(операции!$V:$V,операции!$T:$T,"&lt;"&amp;X$8,операции!$X:$X,"&gt;="&amp;X$8,операции!$L:$L,AA$9,операции!$P:$P,$F383)</f>
        <v>0</v>
      </c>
      <c r="AB383" s="264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</row>
    <row r="384" spans="1:42" s="192" customFormat="1" ht="11.25">
      <c r="A384" s="37"/>
      <c r="B384" s="37"/>
      <c r="C384" s="37"/>
      <c r="D384" s="191" t="s">
        <v>255</v>
      </c>
      <c r="E384" s="191"/>
      <c r="F384" s="191" t="str">
        <f>F383</f>
        <v>Одежда и обувь</v>
      </c>
      <c r="G384" s="191" t="s">
        <v>262</v>
      </c>
      <c r="H384" s="315"/>
      <c r="I384" s="316">
        <f>IF(I383=0,0,(SUMIFS(операции!$AF:$AF,операции!$T:$T,"&lt;"&amp;I$8,операции!$X:$X,"",операции!$P:$P,$F383)+SUMIFS(операции!$AF:$AF,операции!$T:$T,"&lt;"&amp;I$8,операции!$X:$X,"&gt;="&amp;I$8,операции!$P:$P,$F383))/I383)</f>
        <v>42219.594959210524</v>
      </c>
      <c r="J384" s="317"/>
      <c r="K384" s="316">
        <f>IF(K383=0,0,(SUMIFS(операции!$AF:$AF,операции!$T:$T,"&lt;"&amp;I$8,операции!$X:$X,"",операции!$L:$L,K$9,операции!$P:$P,$F383)+SUMIFS(операции!$AF:$AF,операции!$T:$T,"&lt;"&amp;I$8,операции!$X:$X,"&gt;="&amp;I$8,операции!$L:$L,K$9,операции!$P:$P,$F383))/K383)</f>
        <v>42219.594959210524</v>
      </c>
      <c r="L384" s="318">
        <f>IF(L383=0,0,(SUMIFS(операции!$AF:$AF,операции!$T:$T,"&lt;"&amp;I$8,операции!$X:$X,"",операции!$L:$L,L$9,операции!$P:$P,$F383)+SUMIFS(операции!$AF:$AF,операции!$T:$T,"&lt;"&amp;I$8,операции!$X:$X,"&gt;="&amp;I$8,операции!$L:$L,L$9,операции!$P:$P,$F383))/L383)</f>
        <v>0</v>
      </c>
      <c r="M384" s="274"/>
      <c r="N384" s="193">
        <f>IF(N383=0,0,(SUMIFS(операции!$AF:$AF,операции!$T:$T,"&lt;"&amp;N$8,операции!$X:$X,"",операции!$P:$P,$F383)+SUMIFS(операции!$AF:$AF,операции!$T:$T,"&lt;"&amp;N$8,операции!$X:$X,"&gt;="&amp;N$8,операции!$P:$P,$F383))/N383)</f>
        <v>42219.594959210524</v>
      </c>
      <c r="O384" s="196"/>
      <c r="P384" s="193">
        <f>IF(P383=0,0,(SUMIFS(операции!$AF:$AF,операции!$T:$T,"&lt;"&amp;N$8,операции!$X:$X,"",операции!$L:$L,P$9,операции!$P:$P,$F383)+SUMIFS(операции!$AF:$AF,операции!$T:$T,"&lt;"&amp;N$8,операции!$X:$X,"&gt;="&amp;N$8,операции!$L:$L,P$9,операции!$P:$P,$F383))/P383)</f>
        <v>42219.594959210524</v>
      </c>
      <c r="Q384" s="237">
        <f>IF(Q383=0,0,(SUMIFS(операции!$AF:$AF,операции!$T:$T,"&lt;"&amp;N$8,операции!$X:$X,"",операции!$L:$L,Q$9,операции!$P:$P,$F383)+SUMIFS(операции!$AF:$AF,операции!$T:$T,"&lt;"&amp;N$8,операции!$X:$X,"&gt;="&amp;N$8,операции!$L:$L,Q$9,операции!$P:$P,$F383))/Q383)</f>
        <v>0</v>
      </c>
      <c r="R384" s="238"/>
      <c r="S384" s="193">
        <f>IF(S383=0,0,(SUMIFS(операции!$AF:$AF,операции!$T:$T,"&lt;"&amp;S$8,операции!$X:$X,"",операции!$P:$P,$F383)+SUMIFS(операции!$AF:$AF,операции!$T:$T,"&lt;"&amp;S$8,операции!$X:$X,"&gt;="&amp;S$8,операции!$P:$P,$F383))/S383)</f>
        <v>42220.507872389084</v>
      </c>
      <c r="T384" s="196"/>
      <c r="U384" s="193">
        <f>IF(U383=0,0,(SUMIFS(операции!$AF:$AF,операции!$T:$T,"&lt;"&amp;S$8,операции!$X:$X,"",операции!$L:$L,U$9,операции!$P:$P,$F383)+SUMIFS(операции!$AF:$AF,операции!$T:$T,"&lt;"&amp;S$8,операции!$X:$X,"&gt;="&amp;S$8,операции!$L:$L,U$9,операции!$P:$P,$F383))/U383)</f>
        <v>42220.507872389084</v>
      </c>
      <c r="V384" s="237">
        <f>IF(V383=0,0,(SUMIFS(операции!$AF:$AF,операции!$T:$T,"&lt;"&amp;S$8,операции!$X:$X,"",операции!$L:$L,V$9,операции!$P:$P,$F383)+SUMIFS(операции!$AF:$AF,операции!$T:$T,"&lt;"&amp;S$8,операции!$X:$X,"&gt;="&amp;S$8,операции!$L:$L,V$9,операции!$P:$P,$F383))/V383)</f>
        <v>0</v>
      </c>
      <c r="W384" s="238"/>
      <c r="X384" s="193">
        <f>IF(X383=0,0,(SUMIFS(операции!$AF:$AF,операции!$T:$T,"&lt;"&amp;X$8,операции!$X:$X,"",операции!$P:$P,$F383)+SUMIFS(операции!$AF:$AF,операции!$T:$T,"&lt;"&amp;X$8,операции!$X:$X,"&gt;="&amp;X$8,операции!$P:$P,$F383))/X383)</f>
        <v>42213.01128870681</v>
      </c>
      <c r="Y384" s="196"/>
      <c r="Z384" s="193">
        <f>IF(Z383=0,0,(SUMIFS(операции!$AF:$AF,операции!$T:$T,"&lt;"&amp;X$8,операции!$X:$X,"",операции!$L:$L,Z$9,операции!$P:$P,$F383)+SUMIFS(операции!$AF:$AF,операции!$T:$T,"&lt;"&amp;X$8,операции!$X:$X,"&gt;="&amp;X$8,операции!$L:$L,Z$9,операции!$P:$P,$F383))/Z383)</f>
        <v>42213.01128870681</v>
      </c>
      <c r="AA384" s="237">
        <f>IF(AA383=0,0,(SUMIFS(операции!$AF:$AF,операции!$T:$T,"&lt;"&amp;X$8,операции!$X:$X,"",операции!$L:$L,AA$9,операции!$P:$P,$F383)+SUMIFS(операции!$AF:$AF,операции!$T:$T,"&lt;"&amp;X$8,операции!$X:$X,"&gt;="&amp;X$8,операции!$L:$L,AA$9,операции!$P:$P,$F383))/AA383)</f>
        <v>0</v>
      </c>
      <c r="AB384" s="265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</row>
    <row r="385" spans="1:42" s="50" customFormat="1" ht="11.25">
      <c r="A385" s="48"/>
      <c r="B385" s="48"/>
      <c r="C385" s="48"/>
      <c r="D385" s="154" t="s">
        <v>257</v>
      </c>
      <c r="E385" s="154"/>
      <c r="F385" s="154" t="str">
        <f t="shared" ref="F385:F451" si="646">F384</f>
        <v>Одежда и обувь</v>
      </c>
      <c r="G385" s="154" t="s">
        <v>219</v>
      </c>
      <c r="H385" s="319"/>
      <c r="I385" s="320">
        <f>IF(I383=0,0,I$8-I384)</f>
        <v>58.405040789475606</v>
      </c>
      <c r="J385" s="321">
        <f>I385-IF(I383=0,0,(I388*I390+I394*I396)/I383)</f>
        <v>-4.4124703890702222E-12</v>
      </c>
      <c r="K385" s="320">
        <f>IF(K383=0,0,I$8-K384)</f>
        <v>58.405040789475606</v>
      </c>
      <c r="L385" s="322">
        <f>IF(L383=0,0,I$8-L384)</f>
        <v>0</v>
      </c>
      <c r="M385" s="275"/>
      <c r="N385" s="155">
        <f>IF(N383=0,0,N$8-N384)</f>
        <v>58.405040789475606</v>
      </c>
      <c r="O385" s="173">
        <f>N385-IF(N383=0,0,(N388*N390+N394*N396)/N383)</f>
        <v>-4.4124703890702222E-12</v>
      </c>
      <c r="P385" s="155">
        <f>IF(P383=0,0,N$8-P384)</f>
        <v>58.405040789475606</v>
      </c>
      <c r="Q385" s="239">
        <f>IF(Q383=0,0,N$8-Q384)</f>
        <v>0</v>
      </c>
      <c r="R385" s="240"/>
      <c r="S385" s="155">
        <f>IF(S383=0,0,S$8-S384)</f>
        <v>88.492127610916214</v>
      </c>
      <c r="T385" s="173">
        <f>S385-IF(S383=0,0,(S388*S390+S394*S396)/S383)</f>
        <v>7.4464878707658499E-12</v>
      </c>
      <c r="U385" s="155">
        <f>IF(U383=0,0,S$8-U384)</f>
        <v>88.492127610916214</v>
      </c>
      <c r="V385" s="239">
        <f>IF(V383=0,0,S$8-V384)</f>
        <v>0</v>
      </c>
      <c r="W385" s="240"/>
      <c r="X385" s="155">
        <f>IF(X383=0,0,X$8-X384)</f>
        <v>125.98871129319014</v>
      </c>
      <c r="Y385" s="173">
        <f>X385-IF(X383=0,0,(X388*X390+X394*X396)/X383)</f>
        <v>6.0254023992456496E-12</v>
      </c>
      <c r="Z385" s="155">
        <f>IF(Z383=0,0,X$8-Z384)</f>
        <v>125.98871129319014</v>
      </c>
      <c r="AA385" s="239">
        <f>IF(AA383=0,0,X$8-AA384)</f>
        <v>0</v>
      </c>
      <c r="AB385" s="230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</row>
    <row r="386" spans="1:42" s="93" customFormat="1" ht="15">
      <c r="A386" s="92"/>
      <c r="B386" s="92"/>
      <c r="C386" s="92"/>
      <c r="D386" s="198" t="s">
        <v>267</v>
      </c>
      <c r="E386" s="198"/>
      <c r="F386" s="198" t="str">
        <f t="shared" si="646"/>
        <v>Одежда и обувь</v>
      </c>
      <c r="G386" s="198" t="s">
        <v>219</v>
      </c>
      <c r="H386" s="323"/>
      <c r="I386" s="324">
        <f>IF(I383=0,0,(I388*I392+I394*I398)/I383)</f>
        <v>24.818560807745577</v>
      </c>
      <c r="J386" s="321"/>
      <c r="K386" s="324">
        <f t="shared" ref="K386" si="647">IF(K383=0,0,(K388*K392+K394*K398)/K383)</f>
        <v>24.818560807745577</v>
      </c>
      <c r="L386" s="325">
        <f>IF(L383=0,0,(L388*L392+L394*L398)/L383)</f>
        <v>0</v>
      </c>
      <c r="M386" s="276"/>
      <c r="N386" s="199">
        <f>IF(N383=0,0,(N388*N392+N394*N398)/N383)</f>
        <v>24.818560807745577</v>
      </c>
      <c r="O386" s="173"/>
      <c r="P386" s="199">
        <f t="shared" ref="P386" si="648">IF(P383=0,0,(P388*P392+P394*P398)/P383)</f>
        <v>24.818560807745577</v>
      </c>
      <c r="Q386" s="241">
        <f>IF(Q383=0,0,(Q388*Q392+Q394*Q398)/Q383)</f>
        <v>0</v>
      </c>
      <c r="R386" s="242"/>
      <c r="S386" s="199">
        <f>IF(S383=0,0,(S388*S392+S394*S398)/S383)</f>
        <v>27.278139323226544</v>
      </c>
      <c r="T386" s="173"/>
      <c r="U386" s="199">
        <f t="shared" ref="U386" si="649">IF(U383=0,0,(U388*U392+U394*U398)/U383)</f>
        <v>27.278139323226544</v>
      </c>
      <c r="V386" s="241">
        <f>IF(V383=0,0,(V388*V392+V394*V398)/V383)</f>
        <v>0</v>
      </c>
      <c r="W386" s="242"/>
      <c r="X386" s="199">
        <f>IF(X383=0,0,(X388*X392+X394*X398)/X383)</f>
        <v>25.305252324023716</v>
      </c>
      <c r="Y386" s="173"/>
      <c r="Z386" s="199">
        <f t="shared" ref="Z386" si="650">IF(Z383=0,0,(Z388*Z392+Z394*Z398)/Z383)</f>
        <v>25.305252324023716</v>
      </c>
      <c r="AA386" s="241">
        <f>IF(AA383=0,0,(AA388*AA392+AA394*AA398)/AA383)</f>
        <v>0</v>
      </c>
      <c r="AB386" s="264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</row>
    <row r="387" spans="1:42" s="50" customFormat="1" ht="11.25">
      <c r="A387" s="48"/>
      <c r="B387" s="48"/>
      <c r="C387" s="48"/>
      <c r="D387" s="154" t="s">
        <v>270</v>
      </c>
      <c r="E387" s="154"/>
      <c r="F387" s="154" t="str">
        <f t="shared" si="646"/>
        <v>Одежда и обувь</v>
      </c>
      <c r="G387" s="154" t="s">
        <v>219</v>
      </c>
      <c r="H387" s="319"/>
      <c r="I387" s="320">
        <f>I385-I386</f>
        <v>33.586479981730029</v>
      </c>
      <c r="J387" s="321"/>
      <c r="K387" s="320">
        <f t="shared" ref="K387" si="651">K385-K386</f>
        <v>33.586479981730029</v>
      </c>
      <c r="L387" s="322">
        <f t="shared" ref="L387" si="652">L385-L386</f>
        <v>0</v>
      </c>
      <c r="M387" s="275"/>
      <c r="N387" s="155">
        <f>N385-N386</f>
        <v>33.586479981730029</v>
      </c>
      <c r="O387" s="173"/>
      <c r="P387" s="155">
        <f t="shared" ref="P387" si="653">P385-P386</f>
        <v>33.586479981730029</v>
      </c>
      <c r="Q387" s="239">
        <f t="shared" ref="Q387" si="654">Q385-Q386</f>
        <v>0</v>
      </c>
      <c r="R387" s="240"/>
      <c r="S387" s="155">
        <f>S385-S386</f>
        <v>61.213988287689673</v>
      </c>
      <c r="T387" s="173"/>
      <c r="U387" s="155">
        <f t="shared" ref="U387" si="655">U385-U386</f>
        <v>61.213988287689673</v>
      </c>
      <c r="V387" s="239">
        <f t="shared" ref="V387" si="656">V385-V386</f>
        <v>0</v>
      </c>
      <c r="W387" s="240"/>
      <c r="X387" s="155">
        <f>X385-X386</f>
        <v>100.68345896916642</v>
      </c>
      <c r="Y387" s="173"/>
      <c r="Z387" s="155">
        <f t="shared" ref="Z387" si="657">Z385-Z386</f>
        <v>100.68345896916642</v>
      </c>
      <c r="AA387" s="239">
        <f t="shared" ref="AA387" si="658">AA385-AA386</f>
        <v>0</v>
      </c>
      <c r="AB387" s="230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</row>
    <row r="388" spans="1:42" s="5" customFormat="1">
      <c r="A388" s="1"/>
      <c r="B388" s="1"/>
      <c r="C388" s="1"/>
      <c r="D388" s="168"/>
      <c r="E388" s="168" t="s">
        <v>258</v>
      </c>
      <c r="F388" s="168" t="str">
        <f t="shared" si="646"/>
        <v>Одежда и обувь</v>
      </c>
      <c r="G388" s="168" t="s">
        <v>261</v>
      </c>
      <c r="H388" s="326"/>
      <c r="I388" s="327">
        <f>SUMIFS(операции!$V:$V,операции!$T:$T,"&lt;"&amp;I$8,операции!$X:$X,"",операции!$AB:$AB,"&lt;&gt;"&amp;"",операции!$AB:$AB,"&lt;"&amp;I$8,операции!$P:$P,$F383)+SUMIFS(операции!$V:$V,операции!$T:$T,"&lt;"&amp;I$8,операции!$X:$X,"&gt;="&amp;I$8,операции!$AB:$AB,"&lt;&gt;"&amp;"",операции!$AB:$AB,"&lt;"&amp;I$8,операции!$P:$P,$F383)</f>
        <v>113323.99</v>
      </c>
      <c r="J388" s="313">
        <f>I388-K388-L388</f>
        <v>0</v>
      </c>
      <c r="K388" s="327">
        <f>SUMIFS(операции!$V:$V,операции!$T:$T,"&lt;"&amp;I$8,операции!$X:$X,"",операции!$AB:$AB,"&lt;&gt;"&amp;"",операции!$AB:$AB,"&lt;"&amp;I$8,операции!$L:$L,K$9,операции!$P:$P,$F383)+SUMIFS(операции!$V:$V,операции!$T:$T,"&lt;"&amp;I$8,операции!$X:$X,"&gt;="&amp;I$8,операции!$AB:$AB,"&lt;&gt;"&amp;"",операции!$AB:$AB,"&lt;"&amp;I$8,операции!$L:$L,K$9,операции!$P:$P,$F383)</f>
        <v>113323.99</v>
      </c>
      <c r="L388" s="328">
        <f>SUMIFS(операции!$V:$V,операции!$T:$T,"&lt;"&amp;I$8,операции!$X:$X,"",операции!$AB:$AB,"&lt;&gt;"&amp;"",операции!$AB:$AB,"&lt;"&amp;I$8,операции!$L:$L,L$9,операции!$P:$P,$F383)+SUMIFS(операции!$V:$V,операции!$T:$T,"&lt;"&amp;I$8,операции!$X:$X,"&gt;="&amp;I$8,операции!$AB:$AB,"&lt;&gt;"&amp;"",операции!$AB:$AB,"&lt;"&amp;I$8,операции!$L:$L,L$9,операции!$P:$P,$F383)</f>
        <v>0</v>
      </c>
      <c r="M388" s="277"/>
      <c r="N388" s="169">
        <f>SUMIFS(операции!$V:$V,операции!$T:$T,"&lt;"&amp;N$8,операции!$X:$X,"",операции!$AB:$AB,"&lt;&gt;"&amp;"",операции!$AB:$AB,"&lt;"&amp;N$8,операции!$P:$P,$F383)+SUMIFS(операции!$V:$V,операции!$T:$T,"&lt;"&amp;N$8,операции!$X:$X,"&gt;="&amp;N$8,операции!$AB:$AB,"&lt;&gt;"&amp;"",операции!$AB:$AB,"&lt;"&amp;N$8,операции!$P:$P,$F383)</f>
        <v>113323.99</v>
      </c>
      <c r="O388" s="170">
        <f>N388-P388-Q388</f>
        <v>0</v>
      </c>
      <c r="P388" s="169">
        <f>SUMIFS(операции!$V:$V,операции!$T:$T,"&lt;"&amp;N$8,операции!$X:$X,"",операции!$AB:$AB,"&lt;&gt;"&amp;"",операции!$AB:$AB,"&lt;"&amp;N$8,операции!$L:$L,P$9,операции!$P:$P,$F383)+SUMIFS(операции!$V:$V,операции!$T:$T,"&lt;"&amp;N$8,операции!$X:$X,"&gt;="&amp;N$8,операции!$AB:$AB,"&lt;&gt;"&amp;"",операции!$AB:$AB,"&lt;"&amp;N$8,операции!$L:$L,P$9,операции!$P:$P,$F383)</f>
        <v>113323.99</v>
      </c>
      <c r="Q388" s="243">
        <f>SUMIFS(операции!$V:$V,операции!$T:$T,"&lt;"&amp;N$8,операции!$X:$X,"",операции!$AB:$AB,"&lt;&gt;"&amp;"",операции!$AB:$AB,"&lt;"&amp;N$8,операции!$L:$L,Q$9,операции!$P:$P,$F383)+SUMIFS(операции!$V:$V,операции!$T:$T,"&lt;"&amp;N$8,операции!$X:$X,"&gt;="&amp;N$8,операции!$AB:$AB,"&lt;&gt;"&amp;"",операции!$AB:$AB,"&lt;"&amp;N$8,операции!$L:$L,Q$9,операции!$P:$P,$F383)</f>
        <v>0</v>
      </c>
      <c r="R388" s="244"/>
      <c r="S388" s="169">
        <f>SUMIFS(операции!$V:$V,операции!$T:$T,"&lt;"&amp;S$8,операции!$X:$X,"",операции!$AB:$AB,"&lt;&gt;"&amp;"",операции!$AB:$AB,"&lt;"&amp;S$8,операции!$P:$P,$F383)+SUMIFS(операции!$V:$V,операции!$T:$T,"&lt;"&amp;S$8,операции!$X:$X,"&gt;="&amp;S$8,операции!$AB:$AB,"&lt;&gt;"&amp;"",операции!$AB:$AB,"&lt;"&amp;S$8,операции!$P:$P,$F383)</f>
        <v>146438.58000000002</v>
      </c>
      <c r="T388" s="170">
        <f>S388-U388-V388</f>
        <v>0</v>
      </c>
      <c r="U388" s="169">
        <f>SUMIFS(операции!$V:$V,операции!$T:$T,"&lt;"&amp;S$8,операции!$X:$X,"",операции!$AB:$AB,"&lt;&gt;"&amp;"",операции!$AB:$AB,"&lt;"&amp;S$8,операции!$L:$L,U$9,операции!$P:$P,$F383)+SUMIFS(операции!$V:$V,операции!$T:$T,"&lt;"&amp;S$8,операции!$X:$X,"&gt;="&amp;S$8,операции!$AB:$AB,"&lt;&gt;"&amp;"",операции!$AB:$AB,"&lt;"&amp;S$8,операции!$L:$L,U$9,операции!$P:$P,$F383)</f>
        <v>146438.58000000002</v>
      </c>
      <c r="V388" s="243">
        <f>SUMIFS(операции!$V:$V,операции!$T:$T,"&lt;"&amp;S$8,операции!$X:$X,"",операции!$AB:$AB,"&lt;&gt;"&amp;"",операции!$AB:$AB,"&lt;"&amp;S$8,операции!$L:$L,V$9,операции!$P:$P,$F383)+SUMIFS(операции!$V:$V,операции!$T:$T,"&lt;"&amp;S$8,операции!$X:$X,"&gt;="&amp;S$8,операции!$AB:$AB,"&lt;&gt;"&amp;"",операции!$AB:$AB,"&lt;"&amp;S$8,операции!$L:$L,V$9,операции!$P:$P,$F383)</f>
        <v>0</v>
      </c>
      <c r="W388" s="244"/>
      <c r="X388" s="169">
        <f>SUMIFS(операции!$V:$V,операции!$T:$T,"&lt;"&amp;X$8,операции!$X:$X,"",операции!$AB:$AB,"&lt;&gt;"&amp;"",операции!$AB:$AB,"&lt;"&amp;X$8,операции!$P:$P,$F383)+SUMIFS(операции!$V:$V,операции!$T:$T,"&lt;"&amp;X$8,операции!$X:$X,"&gt;="&amp;X$8,операции!$AB:$AB,"&lt;&gt;"&amp;"",операции!$AB:$AB,"&lt;"&amp;X$8,операции!$P:$P,$F383)</f>
        <v>97724.82</v>
      </c>
      <c r="Y388" s="170">
        <f>X388-Z388-AA388</f>
        <v>0</v>
      </c>
      <c r="Z388" s="169">
        <f>SUMIFS(операции!$V:$V,операции!$T:$T,"&lt;"&amp;X$8,операции!$X:$X,"",операции!$AB:$AB,"&lt;&gt;"&amp;"",операции!$AB:$AB,"&lt;"&amp;X$8,операции!$L:$L,Z$9,операции!$P:$P,$F383)+SUMIFS(операции!$V:$V,операции!$T:$T,"&lt;"&amp;X$8,операции!$X:$X,"&gt;="&amp;X$8,операции!$AB:$AB,"&lt;&gt;"&amp;"",операции!$AB:$AB,"&lt;"&amp;X$8,операции!$L:$L,Z$9,операции!$P:$P,$F383)</f>
        <v>97724.82</v>
      </c>
      <c r="AA388" s="243">
        <f>SUMIFS(операции!$V:$V,операции!$T:$T,"&lt;"&amp;X$8,операции!$X:$X,"",операции!$AB:$AB,"&lt;&gt;"&amp;"",операции!$AB:$AB,"&lt;"&amp;X$8,операции!$L:$L,AA$9,операции!$P:$P,$F383)+SUMIFS(операции!$V:$V,операции!$T:$T,"&lt;"&amp;X$8,операции!$X:$X,"&gt;="&amp;X$8,операции!$AB:$AB,"&lt;&gt;"&amp;"",операции!$AB:$AB,"&lt;"&amp;X$8,операции!$L:$L,AA$9,операции!$P:$P,$F383)</f>
        <v>0</v>
      </c>
      <c r="AB388" s="266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s="192" customFormat="1" ht="11.25">
      <c r="A389" s="37"/>
      <c r="B389" s="37"/>
      <c r="C389" s="37"/>
      <c r="D389" s="191"/>
      <c r="E389" s="191" t="s">
        <v>255</v>
      </c>
      <c r="F389" s="191" t="str">
        <f t="shared" si="646"/>
        <v>Одежда и обувь</v>
      </c>
      <c r="G389" s="191" t="s">
        <v>262</v>
      </c>
      <c r="H389" s="315"/>
      <c r="I389" s="316">
        <f>IF(I388=0,0,(SUMIFS(операции!$AF:$AF,операции!$T:$T,"&lt;"&amp;I$8,операции!$X:$X,"",операции!$AB:$AB,"&lt;&gt;"&amp;"",операции!$AB:$AB,"&lt;"&amp;I$8,операции!$P:$P,$F383)+SUMIFS(операции!$AF:$AF,операции!$T:$T,"&lt;"&amp;I$8,операции!$X:$X,"&gt;="&amp;I$8,операции!$AB:$AB,"&lt;&gt;"&amp;"",операции!$AB:$AB,"&lt;"&amp;I$8,операции!$P:$P,$F383))/I388)</f>
        <v>42206.552036245805</v>
      </c>
      <c r="J389" s="317"/>
      <c r="K389" s="316">
        <f>IF(K388=0,0,(SUMIFS(операции!$AF:$AF,операции!$T:$T,"&lt;"&amp;I$8,операции!$X:$X,"",операции!$AB:$AB,"&lt;&gt;"&amp;"",операции!$AB:$AB,"&lt;"&amp;I$8,операции!$L:$L,K$9,операции!$P:$P,$F383)+SUMIFS(операции!$AF:$AF,операции!$T:$T,"&lt;"&amp;I$8,операции!$X:$X,"&gt;="&amp;I$8,операции!$AB:$AB,"&lt;&gt;"&amp;"",операции!$AB:$AB,"&lt;"&amp;I$8,операции!$L:$L,K$9,операции!$P:$P,$F383))/K388)</f>
        <v>42206.552036245805</v>
      </c>
      <c r="L389" s="318">
        <f>IF(L388=0,0,(SUMIFS(операции!$AF:$AF,операции!$T:$T,"&lt;"&amp;I$8,операции!$X:$X,"",операции!$AB:$AB,"&lt;&gt;"&amp;"",операции!$AB:$AB,"&lt;"&amp;I$8,операции!$L:$L,L$9,операции!$P:$P,$F383)+SUMIFS(операции!$AF:$AF,операции!$T:$T,"&lt;"&amp;I$8,операции!$X:$X,"&gt;="&amp;I$8,операции!$AB:$AB,"&lt;&gt;"&amp;"",операции!$AB:$AB,"&lt;"&amp;I$8,операции!$L:$L,L$9,операции!$P:$P,$F383))/L388)</f>
        <v>0</v>
      </c>
      <c r="M389" s="274"/>
      <c r="N389" s="193">
        <f>IF(N388=0,0,(SUMIFS(операции!$AF:$AF,операции!$T:$T,"&lt;"&amp;N$8,операции!$X:$X,"",операции!$AB:$AB,"&lt;&gt;"&amp;"",операции!$AB:$AB,"&lt;"&amp;N$8,операции!$P:$P,$F383)+SUMIFS(операции!$AF:$AF,операции!$T:$T,"&lt;"&amp;N$8,операции!$X:$X,"&gt;="&amp;N$8,операции!$AB:$AB,"&lt;&gt;"&amp;"",операции!$AB:$AB,"&lt;"&amp;N$8,операции!$P:$P,$F383))/N388)</f>
        <v>42206.552036245805</v>
      </c>
      <c r="O389" s="196"/>
      <c r="P389" s="193">
        <f>IF(P388=0,0,(SUMIFS(операции!$AF:$AF,операции!$T:$T,"&lt;"&amp;N$8,операции!$X:$X,"",операции!$AB:$AB,"&lt;&gt;"&amp;"",операции!$AB:$AB,"&lt;"&amp;N$8,операции!$L:$L,P$9,операции!$P:$P,$F383)+SUMIFS(операции!$AF:$AF,операции!$T:$T,"&lt;"&amp;N$8,операции!$X:$X,"&gt;="&amp;N$8,операции!$AB:$AB,"&lt;&gt;"&amp;"",операции!$AB:$AB,"&lt;"&amp;N$8,операции!$L:$L,P$9,операции!$P:$P,$F383))/P388)</f>
        <v>42206.552036245805</v>
      </c>
      <c r="Q389" s="237">
        <f>IF(Q388=0,0,(SUMIFS(операции!$AF:$AF,операции!$T:$T,"&lt;"&amp;N$8,операции!$X:$X,"",операции!$AB:$AB,"&lt;&gt;"&amp;"",операции!$AB:$AB,"&lt;"&amp;N$8,операции!$L:$L,Q$9,операции!$P:$P,$F383)+SUMIFS(операции!$AF:$AF,операции!$T:$T,"&lt;"&amp;N$8,операции!$X:$X,"&gt;="&amp;N$8,операции!$AB:$AB,"&lt;&gt;"&amp;"",операции!$AB:$AB,"&lt;"&amp;N$8,операции!$L:$L,Q$9,операции!$P:$P,$F383))/Q388)</f>
        <v>0</v>
      </c>
      <c r="R389" s="238"/>
      <c r="S389" s="193">
        <f>IF(S388=0,0,(SUMIFS(операции!$AF:$AF,операции!$T:$T,"&lt;"&amp;S$8,операции!$X:$X,"",операции!$AB:$AB,"&lt;&gt;"&amp;"",операции!$AB:$AB,"&lt;"&amp;S$8,операции!$P:$P,$F383)+SUMIFS(операции!$AF:$AF,операции!$T:$T,"&lt;"&amp;S$8,операции!$X:$X,"&gt;="&amp;S$8,операции!$AB:$AB,"&lt;&gt;"&amp;"",операции!$AB:$AB,"&lt;"&amp;S$8,операции!$P:$P,$F383))/S388)</f>
        <v>42221.101926555144</v>
      </c>
      <c r="T389" s="196"/>
      <c r="U389" s="193">
        <f>IF(U388=0,0,(SUMIFS(операции!$AF:$AF,операции!$T:$T,"&lt;"&amp;S$8,операции!$X:$X,"",операции!$AB:$AB,"&lt;&gt;"&amp;"",операции!$AB:$AB,"&lt;"&amp;S$8,операции!$L:$L,U$9,операции!$P:$P,$F383)+SUMIFS(операции!$AF:$AF,операции!$T:$T,"&lt;"&amp;S$8,операции!$X:$X,"&gt;="&amp;S$8,операции!$AB:$AB,"&lt;&gt;"&amp;"",операции!$AB:$AB,"&lt;"&amp;S$8,операции!$L:$L,U$9,операции!$P:$P,$F383))/U388)</f>
        <v>42221.101926555144</v>
      </c>
      <c r="V389" s="237">
        <f>IF(V388=0,0,(SUMIFS(операции!$AF:$AF,операции!$T:$T,"&lt;"&amp;S$8,операции!$X:$X,"",операции!$AB:$AB,"&lt;&gt;"&amp;"",операции!$AB:$AB,"&lt;"&amp;S$8,операции!$L:$L,V$9,операции!$P:$P,$F383)+SUMIFS(операции!$AF:$AF,операции!$T:$T,"&lt;"&amp;S$8,операции!$X:$X,"&gt;="&amp;S$8,операции!$AB:$AB,"&lt;&gt;"&amp;"",операции!$AB:$AB,"&lt;"&amp;S$8,операции!$L:$L,V$9,операции!$P:$P,$F383))/V388)</f>
        <v>0</v>
      </c>
      <c r="W389" s="238"/>
      <c r="X389" s="193">
        <f>IF(X388=0,0,(SUMIFS(операции!$AF:$AF,операции!$T:$T,"&lt;"&amp;X$8,операции!$X:$X,"",операции!$AB:$AB,"&lt;&gt;"&amp;"",операции!$AB:$AB,"&lt;"&amp;X$8,операции!$P:$P,$F383)+SUMIFS(операции!$AF:$AF,операции!$T:$T,"&lt;"&amp;X$8,операции!$X:$X,"&gt;="&amp;X$8,операции!$AB:$AB,"&lt;&gt;"&amp;"",операции!$AB:$AB,"&lt;"&amp;X$8,операции!$P:$P,$F383))/X388)</f>
        <v>42213.796388164228</v>
      </c>
      <c r="Y389" s="196"/>
      <c r="Z389" s="193">
        <f>IF(Z388=0,0,(SUMIFS(операции!$AF:$AF,операции!$T:$T,"&lt;"&amp;X$8,операции!$X:$X,"",операции!$AB:$AB,"&lt;&gt;"&amp;"",операции!$AB:$AB,"&lt;"&amp;X$8,операции!$L:$L,Z$9,операции!$P:$P,$F383)+SUMIFS(операции!$AF:$AF,операции!$T:$T,"&lt;"&amp;X$8,операции!$X:$X,"&gt;="&amp;X$8,операции!$AB:$AB,"&lt;&gt;"&amp;"",операции!$AB:$AB,"&lt;"&amp;X$8,операции!$L:$L,Z$9,операции!$P:$P,$F383))/Z388)</f>
        <v>42213.796388164228</v>
      </c>
      <c r="AA389" s="237">
        <f>IF(AA388=0,0,(SUMIFS(операции!$AF:$AF,операции!$T:$T,"&lt;"&amp;X$8,операции!$X:$X,"",операции!$AB:$AB,"&lt;&gt;"&amp;"",операции!$AB:$AB,"&lt;"&amp;X$8,операции!$L:$L,AA$9,операции!$P:$P,$F383)+SUMIFS(операции!$AF:$AF,операции!$T:$T,"&lt;"&amp;X$8,операции!$X:$X,"&gt;="&amp;X$8,операции!$AB:$AB,"&lt;&gt;"&amp;"",операции!$AB:$AB,"&lt;"&amp;X$8,операции!$L:$L,AA$9,операции!$P:$P,$F383))/AA388)</f>
        <v>0</v>
      </c>
      <c r="AB389" s="265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</row>
    <row r="390" spans="1:42" s="192" customFormat="1" ht="11.25">
      <c r="A390" s="37"/>
      <c r="B390" s="37"/>
      <c r="C390" s="37"/>
      <c r="D390" s="191"/>
      <c r="E390" s="191" t="s">
        <v>260</v>
      </c>
      <c r="F390" s="191" t="str">
        <f t="shared" si="646"/>
        <v>Одежда и обувь</v>
      </c>
      <c r="G390" s="191" t="s">
        <v>219</v>
      </c>
      <c r="H390" s="315"/>
      <c r="I390" s="329">
        <f>IF(I388=0,0,I$8-I389)</f>
        <v>71.447963754195371</v>
      </c>
      <c r="J390" s="317"/>
      <c r="K390" s="329">
        <f>IF(K388=0,0,I$8-K389)</f>
        <v>71.447963754195371</v>
      </c>
      <c r="L390" s="330">
        <f>IF(L388=0,0,I$8-L389)</f>
        <v>0</v>
      </c>
      <c r="M390" s="274"/>
      <c r="N390" s="156">
        <f>IF(N388=0,0,N$8-N389)</f>
        <v>71.447963754195371</v>
      </c>
      <c r="O390" s="196"/>
      <c r="P390" s="156">
        <f>IF(P388=0,0,N$8-P389)</f>
        <v>71.447963754195371</v>
      </c>
      <c r="Q390" s="245">
        <f>IF(Q388=0,0,N$8-Q389)</f>
        <v>0</v>
      </c>
      <c r="R390" s="238"/>
      <c r="S390" s="156">
        <f>IF(S388=0,0,S$8-S389)</f>
        <v>87.898073444855982</v>
      </c>
      <c r="T390" s="196"/>
      <c r="U390" s="156">
        <f>IF(U388=0,0,S$8-U389)</f>
        <v>87.898073444855982</v>
      </c>
      <c r="V390" s="245">
        <f>IF(V388=0,0,S$8-V389)</f>
        <v>0</v>
      </c>
      <c r="W390" s="238"/>
      <c r="X390" s="156">
        <f>IF(X388=0,0,X$8-X389)</f>
        <v>125.20361183577188</v>
      </c>
      <c r="Y390" s="196"/>
      <c r="Z390" s="156">
        <f>IF(Z388=0,0,X$8-Z389)</f>
        <v>125.20361183577188</v>
      </c>
      <c r="AA390" s="245">
        <f>IF(AA388=0,0,X$8-AA389)</f>
        <v>0</v>
      </c>
      <c r="AB390" s="265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</row>
    <row r="391" spans="1:42" s="192" customFormat="1" ht="11.25">
      <c r="A391" s="37"/>
      <c r="B391" s="37"/>
      <c r="C391" s="37"/>
      <c r="D391" s="191"/>
      <c r="E391" s="191" t="s">
        <v>259</v>
      </c>
      <c r="F391" s="191" t="str">
        <f t="shared" si="646"/>
        <v>Одежда и обувь</v>
      </c>
      <c r="G391" s="191" t="s">
        <v>262</v>
      </c>
      <c r="H391" s="315"/>
      <c r="I391" s="316">
        <f>IF(I388=0,0,(SUMIFS(операции!$AH:$AH,операции!$T:$T,"&lt;"&amp;I$8,операции!$X:$X,"",операции!$AB:$AB,"&lt;&gt;"&amp;"",операции!$AB:$AB,"&lt;"&amp;I$8,операции!$P:$P,$F383)+SUMIFS(операции!$AH:$AH,операции!$T:$T,"&lt;"&amp;I$8,операции!$X:$X,"&gt;="&amp;I$8,операции!$AB:$AB,"&lt;&gt;"&amp;"",операции!$AB:$AB,"&lt;"&amp;I$8,операции!$P:$P,$F383))/I388)</f>
        <v>42226.773716844946</v>
      </c>
      <c r="J391" s="317"/>
      <c r="K391" s="316">
        <f>IF(K388=0,0,(SUMIFS(операции!$AH:$AH,операции!$T:$T,"&lt;"&amp;I$8,операции!$X:$X,"",операции!$AB:$AB,"&lt;&gt;"&amp;"",операции!$AB:$AB,"&lt;"&amp;I$8,операции!$L:$L,K$9,операции!$P:$P,$F383)+SUMIFS(операции!$AH:$AH,операции!$T:$T,"&lt;"&amp;I$8,операции!$X:$X,"&gt;="&amp;I$8,операции!$AB:$AB,"&lt;&gt;"&amp;"",операции!$AB:$AB,"&lt;"&amp;I$8,операции!$L:$L,K$9,операции!$P:$P,$F383))/K388)</f>
        <v>42226.773716844946</v>
      </c>
      <c r="L391" s="318">
        <f>IF(L388=0,0,(SUMIFS(операции!$AH:$AH,операции!$T:$T,"&lt;"&amp;I$8,операции!$X:$X,"",операции!$AB:$AB,"&lt;&gt;"&amp;"",операции!$AB:$AB,"&lt;"&amp;I$8,операции!$L:$L,L$9,операции!$P:$P,$F383)+SUMIFS(операции!$AH:$AH,операции!$T:$T,"&lt;"&amp;I$8,операции!$X:$X,"&gt;="&amp;I$8,операции!$AB:$AB,"&lt;&gt;"&amp;"",операции!$AB:$AB,"&lt;"&amp;I$8,операции!$L:$L,L$9,операции!$P:$P,$F383))/L388)</f>
        <v>0</v>
      </c>
      <c r="M391" s="274"/>
      <c r="N391" s="193">
        <f>IF(N388=0,0,(SUMIFS(операции!$AH:$AH,операции!$T:$T,"&lt;"&amp;N$8,операции!$X:$X,"",операции!$AB:$AB,"&lt;&gt;"&amp;"",операции!$AB:$AB,"&lt;"&amp;N$8,операции!$P:$P,$F383)+SUMIFS(операции!$AH:$AH,операции!$T:$T,"&lt;"&amp;N$8,операции!$X:$X,"&gt;="&amp;N$8,операции!$AB:$AB,"&lt;&gt;"&amp;"",операции!$AB:$AB,"&lt;"&amp;N$8,операции!$P:$P,$F383))/N388)</f>
        <v>42226.773716844946</v>
      </c>
      <c r="O391" s="196"/>
      <c r="P391" s="193">
        <f>IF(P388=0,0,(SUMIFS(операции!$AH:$AH,операции!$T:$T,"&lt;"&amp;N$8,операции!$X:$X,"",операции!$AB:$AB,"&lt;&gt;"&amp;"",операции!$AB:$AB,"&lt;"&amp;N$8,операции!$L:$L,P$9,операции!$P:$P,$F383)+SUMIFS(операции!$AH:$AH,операции!$T:$T,"&lt;"&amp;N$8,операции!$X:$X,"&gt;="&amp;N$8,операции!$AB:$AB,"&lt;&gt;"&amp;"",операции!$AB:$AB,"&lt;"&amp;N$8,операции!$L:$L,P$9,операции!$P:$P,$F383))/P388)</f>
        <v>42226.773716844946</v>
      </c>
      <c r="Q391" s="237">
        <f>IF(Q388=0,0,(SUMIFS(операции!$AH:$AH,операции!$T:$T,"&lt;"&amp;N$8,операции!$X:$X,"",операции!$AB:$AB,"&lt;&gt;"&amp;"",операции!$AB:$AB,"&lt;"&amp;N$8,операции!$L:$L,Q$9,операции!$P:$P,$F383)+SUMIFS(операции!$AH:$AH,операции!$T:$T,"&lt;"&amp;N$8,операции!$X:$X,"&gt;="&amp;N$8,операции!$AB:$AB,"&lt;&gt;"&amp;"",операции!$AB:$AB,"&lt;"&amp;N$8,операции!$L:$L,Q$9,операции!$P:$P,$F383))/Q388)</f>
        <v>0</v>
      </c>
      <c r="R391" s="238"/>
      <c r="S391" s="193">
        <f>IF(S388=0,0,(SUMIFS(операции!$AH:$AH,операции!$T:$T,"&lt;"&amp;S$8,операции!$X:$X,"",операции!$AB:$AB,"&lt;&gt;"&amp;"",операции!$AB:$AB,"&lt;"&amp;S$8,операции!$P:$P,$F383)+SUMIFS(операции!$AH:$AH,операции!$T:$T,"&lt;"&amp;S$8,операции!$X:$X,"&gt;="&amp;S$8,операции!$AB:$AB,"&lt;&gt;"&amp;"",операции!$AB:$AB,"&lt;"&amp;S$8,операции!$P:$P,$F383))/S388)</f>
        <v>42247.213414593331</v>
      </c>
      <c r="T391" s="196"/>
      <c r="U391" s="193">
        <f>IF(U388=0,0,(SUMIFS(операции!$AH:$AH,операции!$T:$T,"&lt;"&amp;S$8,операции!$X:$X,"",операции!$AB:$AB,"&lt;&gt;"&amp;"",операции!$AB:$AB,"&lt;"&amp;S$8,операции!$L:$L,U$9,операции!$P:$P,$F383)+SUMIFS(операции!$AH:$AH,операции!$T:$T,"&lt;"&amp;S$8,операции!$X:$X,"&gt;="&amp;S$8,операции!$AB:$AB,"&lt;&gt;"&amp;"",операции!$AB:$AB,"&lt;"&amp;S$8,операции!$L:$L,U$9,операции!$P:$P,$F383))/U388)</f>
        <v>42247.213414593331</v>
      </c>
      <c r="V391" s="237">
        <f>IF(V388=0,0,(SUMIFS(операции!$AH:$AH,операции!$T:$T,"&lt;"&amp;S$8,операции!$X:$X,"",операции!$AB:$AB,"&lt;&gt;"&amp;"",операции!$AB:$AB,"&lt;"&amp;S$8,операции!$L:$L,V$9,операции!$P:$P,$F383)+SUMIFS(операции!$AH:$AH,операции!$T:$T,"&lt;"&amp;S$8,операции!$X:$X,"&gt;="&amp;S$8,операции!$AB:$AB,"&lt;&gt;"&amp;"",операции!$AB:$AB,"&lt;"&amp;S$8,операции!$L:$L,V$9,операции!$P:$P,$F383))/V388)</f>
        <v>0</v>
      </c>
      <c r="W391" s="238"/>
      <c r="X391" s="193">
        <f>IF(X388=0,0,(SUMIFS(операции!$AH:$AH,операции!$T:$T,"&lt;"&amp;X$8,операции!$X:$X,"",операции!$AB:$AB,"&lt;&gt;"&amp;"",операции!$AB:$AB,"&lt;"&amp;X$8,операции!$P:$P,$F383)+SUMIFS(операции!$AH:$AH,операции!$T:$T,"&lt;"&amp;X$8,операции!$X:$X,"&gt;="&amp;X$8,операции!$AB:$AB,"&lt;&gt;"&amp;"",операции!$AB:$AB,"&lt;"&amp;X$8,операции!$P:$P,$F383))/X388)</f>
        <v>42236.905280357641</v>
      </c>
      <c r="Y391" s="196"/>
      <c r="Z391" s="193">
        <f>IF(Z388=0,0,(SUMIFS(операции!$AH:$AH,операции!$T:$T,"&lt;"&amp;X$8,операции!$X:$X,"",операции!$AB:$AB,"&lt;&gt;"&amp;"",операции!$AB:$AB,"&lt;"&amp;X$8,операции!$L:$L,Z$9,операции!$P:$P,$F383)+SUMIFS(операции!$AH:$AH,операции!$T:$T,"&lt;"&amp;X$8,операции!$X:$X,"&gt;="&amp;X$8,операции!$AB:$AB,"&lt;&gt;"&amp;"",операции!$AB:$AB,"&lt;"&amp;X$8,операции!$L:$L,Z$9,операции!$P:$P,$F383))/Z388)</f>
        <v>42236.905280357641</v>
      </c>
      <c r="AA391" s="237">
        <f>IF(AA388=0,0,(SUMIFS(операции!$AH:$AH,операции!$T:$T,"&lt;"&amp;X$8,операции!$X:$X,"",операции!$AB:$AB,"&lt;&gt;"&amp;"",операции!$AB:$AB,"&lt;"&amp;X$8,операции!$L:$L,AA$9,операции!$P:$P,$F383)+SUMIFS(операции!$AH:$AH,операции!$T:$T,"&lt;"&amp;X$8,операции!$X:$X,"&gt;="&amp;X$8,операции!$AB:$AB,"&lt;&gt;"&amp;"",операции!$AB:$AB,"&lt;"&amp;X$8,операции!$L:$L,AA$9,операции!$P:$P,$F383))/AA388)</f>
        <v>0</v>
      </c>
      <c r="AB391" s="265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</row>
    <row r="392" spans="1:42" s="192" customFormat="1" ht="11.25">
      <c r="A392" s="37"/>
      <c r="B392" s="37"/>
      <c r="C392" s="37"/>
      <c r="D392" s="191"/>
      <c r="E392" s="191" t="s">
        <v>265</v>
      </c>
      <c r="F392" s="191" t="str">
        <f t="shared" si="646"/>
        <v>Одежда и обувь</v>
      </c>
      <c r="G392" s="191" t="s">
        <v>219</v>
      </c>
      <c r="H392" s="315"/>
      <c r="I392" s="329">
        <f>I391-I389</f>
        <v>20.221680599141109</v>
      </c>
      <c r="J392" s="317"/>
      <c r="K392" s="329">
        <f t="shared" ref="K392" si="659">K391-K389</f>
        <v>20.221680599141109</v>
      </c>
      <c r="L392" s="330">
        <f>L391-L389</f>
        <v>0</v>
      </c>
      <c r="M392" s="274"/>
      <c r="N392" s="156">
        <f>N391-N389</f>
        <v>20.221680599141109</v>
      </c>
      <c r="O392" s="196"/>
      <c r="P392" s="156">
        <f t="shared" ref="P392" si="660">P391-P389</f>
        <v>20.221680599141109</v>
      </c>
      <c r="Q392" s="245">
        <f>Q391-Q389</f>
        <v>0</v>
      </c>
      <c r="R392" s="238"/>
      <c r="S392" s="156">
        <f>S391-S389</f>
        <v>26.111488038186508</v>
      </c>
      <c r="T392" s="196"/>
      <c r="U392" s="156">
        <f t="shared" ref="U392" si="661">U391-U389</f>
        <v>26.111488038186508</v>
      </c>
      <c r="V392" s="245">
        <f>V391-V389</f>
        <v>0</v>
      </c>
      <c r="W392" s="238"/>
      <c r="X392" s="156">
        <f>X391-X389</f>
        <v>23.10889219341334</v>
      </c>
      <c r="Y392" s="196"/>
      <c r="Z392" s="156">
        <f t="shared" ref="Z392" si="662">Z391-Z389</f>
        <v>23.10889219341334</v>
      </c>
      <c r="AA392" s="245">
        <f>AA391-AA389</f>
        <v>0</v>
      </c>
      <c r="AB392" s="265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</row>
    <row r="393" spans="1:42" s="192" customFormat="1" ht="11.25">
      <c r="A393" s="37"/>
      <c r="B393" s="37"/>
      <c r="C393" s="37"/>
      <c r="D393" s="191"/>
      <c r="E393" s="191" t="s">
        <v>268</v>
      </c>
      <c r="F393" s="191" t="str">
        <f t="shared" si="646"/>
        <v>Одежда и обувь</v>
      </c>
      <c r="G393" s="191" t="s">
        <v>219</v>
      </c>
      <c r="H393" s="315"/>
      <c r="I393" s="329">
        <f>I390-I392</f>
        <v>51.226283155054261</v>
      </c>
      <c r="J393" s="317"/>
      <c r="K393" s="329">
        <f t="shared" ref="K393" si="663">K390-K392</f>
        <v>51.226283155054261</v>
      </c>
      <c r="L393" s="330">
        <f t="shared" ref="L393" si="664">L390-L392</f>
        <v>0</v>
      </c>
      <c r="M393" s="274"/>
      <c r="N393" s="156">
        <f>N390-N392</f>
        <v>51.226283155054261</v>
      </c>
      <c r="O393" s="196"/>
      <c r="P393" s="156">
        <f t="shared" ref="P393" si="665">P390-P392</f>
        <v>51.226283155054261</v>
      </c>
      <c r="Q393" s="245">
        <f t="shared" ref="Q393" si="666">Q390-Q392</f>
        <v>0</v>
      </c>
      <c r="R393" s="238"/>
      <c r="S393" s="156">
        <f>S390-S392</f>
        <v>61.786585406669474</v>
      </c>
      <c r="T393" s="196"/>
      <c r="U393" s="156">
        <f t="shared" ref="U393" si="667">U390-U392</f>
        <v>61.786585406669474</v>
      </c>
      <c r="V393" s="245">
        <f t="shared" ref="V393" si="668">V390-V392</f>
        <v>0</v>
      </c>
      <c r="W393" s="238"/>
      <c r="X393" s="156">
        <f>X390-X392</f>
        <v>102.09471964235854</v>
      </c>
      <c r="Y393" s="196"/>
      <c r="Z393" s="156">
        <f t="shared" ref="Z393" si="669">Z390-Z392</f>
        <v>102.09471964235854</v>
      </c>
      <c r="AA393" s="245">
        <f t="shared" ref="AA393" si="670">AA390-AA392</f>
        <v>0</v>
      </c>
      <c r="AB393" s="265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</row>
    <row r="394" spans="1:42" s="5" customFormat="1">
      <c r="A394" s="1"/>
      <c r="B394" s="1"/>
      <c r="C394" s="1"/>
      <c r="D394" s="168"/>
      <c r="E394" s="168" t="s">
        <v>276</v>
      </c>
      <c r="F394" s="168" t="str">
        <f t="shared" si="646"/>
        <v>Одежда и обувь</v>
      </c>
      <c r="G394" s="168" t="s">
        <v>261</v>
      </c>
      <c r="H394" s="326"/>
      <c r="I394" s="327">
        <f>SUMIFS(операции!$V:$V,операции!$T:$T,"&lt;"&amp;I$8,операции!$X:$X,"",операции!$AB:$AB,"",операции!$P:$P,$F383)+SUMIFS(операции!$V:$V,операции!$T:$T,"&lt;"&amp;I$8,операции!$X:$X,"&gt;="&amp;I$8,операции!$AB:$AB,"",операции!$P:$P,$F383)+SUMIFS(операции!$V:$V,операции!$T:$T,"&lt;"&amp;I$8,операции!$X:$X,"",операции!$AB:$AB,"&gt;="&amp;I$8,операции!$P:$P,$F383)+SUMIFS(операции!$V:$V,операции!$T:$T,"&lt;"&amp;I$8,операции!$X:$X,"&gt;="&amp;I$8,операции!$AB:$AB,"&gt;="&amp;I$8,операции!$P:$P,$F383)</f>
        <v>59518.38</v>
      </c>
      <c r="J394" s="313">
        <f>I394-K394-L394</f>
        <v>0</v>
      </c>
      <c r="K394" s="327">
        <f>SUMIFS(операции!$V:$V,операции!$T:$T,"&lt;"&amp;I$8,операции!$X:$X,"",операции!$AB:$AB,"",операции!$L:$L,K$9,операции!$P:$P,$F383)+SUMIFS(операции!$V:$V,операции!$T:$T,"&lt;"&amp;I$8,операции!$X:$X,"&gt;="&amp;I$8,операции!$AB:$AB,"",операции!$L:$L,K$9,операции!$P:$P,$F383)+SUMIFS(операции!$V:$V,операции!$T:$T,"&lt;"&amp;I$8,операции!$X:$X,"",операции!$AB:$AB,"&gt;="&amp;I$8,операции!$L:$L,K$9,операции!$P:$P,$F383)+SUMIFS(операции!$V:$V,операции!$T:$T,"&lt;"&amp;I$8,операции!$X:$X,"&gt;="&amp;I$8,операции!$AB:$AB,"&gt;="&amp;I$8,операции!$L:$L,K$9,операции!$P:$P,$F383)</f>
        <v>59518.38</v>
      </c>
      <c r="L394" s="328">
        <f>SUMIFS(операции!$V:$V,операции!$T:$T,"&lt;"&amp;I$8,операции!$X:$X,"",операции!$AB:$AB,"",операции!$L:$L,L$9,операции!$P:$P,$F383)+SUMIFS(операции!$V:$V,операции!$T:$T,"&lt;"&amp;I$8,операции!$X:$X,"&gt;="&amp;I$8,операции!$AB:$AB,"",операции!$L:$L,L$9,операции!$P:$P,$F383)+SUMIFS(операции!$V:$V,операции!$T:$T,"&lt;"&amp;I$8,операции!$X:$X,"",операции!$AB:$AB,"&gt;="&amp;I$8,операции!$L:$L,L$9,операции!$P:$P,$F383)+SUMIFS(операции!$V:$V,операции!$T:$T,"&lt;"&amp;I$8,операции!$X:$X,"&gt;="&amp;I$8,операции!$AB:$AB,"&gt;="&amp;I$8,операции!$L:$L,L$9,операции!$P:$P,$F383)</f>
        <v>0</v>
      </c>
      <c r="M394" s="277"/>
      <c r="N394" s="169">
        <f>SUMIFS(операции!$V:$V,операции!$T:$T,"&lt;"&amp;N$8,операции!$X:$X,"",операции!$AB:$AB,"",операции!$P:$P,$F383)+SUMIFS(операции!$V:$V,операции!$T:$T,"&lt;"&amp;N$8,операции!$X:$X,"&gt;="&amp;N$8,операции!$AB:$AB,"",операции!$P:$P,$F383)+SUMIFS(операции!$V:$V,операции!$T:$T,"&lt;"&amp;N$8,операции!$X:$X,"",операции!$AB:$AB,"&gt;="&amp;N$8,операции!$P:$P,$F383)+SUMIFS(операции!$V:$V,операции!$T:$T,"&lt;"&amp;N$8,операции!$X:$X,"&gt;="&amp;N$8,операции!$AB:$AB,"&gt;="&amp;N$8,операции!$P:$P,$F383)</f>
        <v>59518.38</v>
      </c>
      <c r="O394" s="170">
        <f>N394-P394-Q394</f>
        <v>0</v>
      </c>
      <c r="P394" s="169">
        <f>SUMIFS(операции!$V:$V,операции!$T:$T,"&lt;"&amp;N$8,операции!$X:$X,"",операции!$AB:$AB,"",операции!$L:$L,P$9,операции!$P:$P,$F383)+SUMIFS(операции!$V:$V,операции!$T:$T,"&lt;"&amp;N$8,операции!$X:$X,"&gt;="&amp;N$8,операции!$AB:$AB,"",операции!$L:$L,P$9,операции!$P:$P,$F383)+SUMIFS(операции!$V:$V,операции!$T:$T,"&lt;"&amp;N$8,операции!$X:$X,"",операции!$AB:$AB,"&gt;="&amp;N$8,операции!$L:$L,P$9,операции!$P:$P,$F383)+SUMIFS(операции!$V:$V,операции!$T:$T,"&lt;"&amp;N$8,операции!$X:$X,"&gt;="&amp;N$8,операции!$AB:$AB,"&gt;="&amp;N$8,операции!$L:$L,P$9,операции!$P:$P,$F383)</f>
        <v>59518.38</v>
      </c>
      <c r="Q394" s="243">
        <f>SUMIFS(операции!$V:$V,операции!$T:$T,"&lt;"&amp;N$8,операции!$X:$X,"",операции!$AB:$AB,"",операции!$L:$L,Q$9,операции!$P:$P,$F383)+SUMIFS(операции!$V:$V,операции!$T:$T,"&lt;"&amp;N$8,операции!$X:$X,"&gt;="&amp;N$8,операции!$AB:$AB,"",операции!$L:$L,Q$9,операции!$P:$P,$F383)+SUMIFS(операции!$V:$V,операции!$T:$T,"&lt;"&amp;N$8,операции!$X:$X,"",операции!$AB:$AB,"&gt;="&amp;N$8,операции!$L:$L,Q$9,операции!$P:$P,$F383)+SUMIFS(операции!$V:$V,операции!$T:$T,"&lt;"&amp;N$8,операции!$X:$X,"&gt;="&amp;N$8,операции!$AB:$AB,"&gt;="&amp;N$8,операции!$L:$L,Q$9,операции!$P:$P,$F383)</f>
        <v>0</v>
      </c>
      <c r="R394" s="244"/>
      <c r="S394" s="169">
        <f>SUMIFS(операции!$V:$V,операции!$T:$T,"&lt;"&amp;S$8,операции!$X:$X,"",операции!$AB:$AB,"",операции!$P:$P,$F383)+SUMIFS(операции!$V:$V,операции!$T:$T,"&lt;"&amp;S$8,операции!$X:$X,"&gt;="&amp;S$8,операции!$AB:$AB,"",операции!$P:$P,$F383)+SUMIFS(операции!$V:$V,операции!$T:$T,"&lt;"&amp;S$8,операции!$X:$X,"",операции!$AB:$AB,"&gt;="&amp;S$8,операции!$P:$P,$F383)+SUMIFS(операции!$V:$V,операции!$T:$T,"&lt;"&amp;S$8,операции!$X:$X,"&gt;="&amp;S$8,операции!$AB:$AB,"&gt;="&amp;S$8,операции!$P:$P,$F383)</f>
        <v>1369.79</v>
      </c>
      <c r="T394" s="170">
        <f>S394-U394-V394</f>
        <v>0</v>
      </c>
      <c r="U394" s="169">
        <f>SUMIFS(операции!$V:$V,операции!$T:$T,"&lt;"&amp;S$8,операции!$X:$X,"",операции!$AB:$AB,"",операции!$L:$L,U$9,операции!$P:$P,$F383)+SUMIFS(операции!$V:$V,операции!$T:$T,"&lt;"&amp;S$8,операции!$X:$X,"&gt;="&amp;S$8,операции!$AB:$AB,"",операции!$L:$L,U$9,операции!$P:$P,$F383)+SUMIFS(операции!$V:$V,операции!$T:$T,"&lt;"&amp;S$8,операции!$X:$X,"",операции!$AB:$AB,"&gt;="&amp;S$8,операции!$L:$L,U$9,операции!$P:$P,$F383)+SUMIFS(операции!$V:$V,операции!$T:$T,"&lt;"&amp;S$8,операции!$X:$X,"&gt;="&amp;S$8,операции!$AB:$AB,"&gt;="&amp;S$8,операции!$L:$L,U$9,операции!$P:$P,$F383)</f>
        <v>1369.79</v>
      </c>
      <c r="V394" s="243">
        <f>SUMIFS(операции!$V:$V,операции!$T:$T,"&lt;"&amp;S$8,операции!$X:$X,"",операции!$AB:$AB,"",операции!$L:$L,V$9,операции!$P:$P,$F383)+SUMIFS(операции!$V:$V,операции!$T:$T,"&lt;"&amp;S$8,операции!$X:$X,"&gt;="&amp;S$8,операции!$AB:$AB,"",операции!$L:$L,V$9,операции!$P:$P,$F383)+SUMIFS(операции!$V:$V,операции!$T:$T,"&lt;"&amp;S$8,операции!$X:$X,"",операции!$AB:$AB,"&gt;="&amp;S$8,операции!$L:$L,V$9,операции!$P:$P,$F383)+SUMIFS(операции!$V:$V,операции!$T:$T,"&lt;"&amp;S$8,операции!$X:$X,"&gt;="&amp;S$8,операции!$AB:$AB,"&gt;="&amp;S$8,операции!$L:$L,V$9,операции!$P:$P,$F383)</f>
        <v>0</v>
      </c>
      <c r="W394" s="244"/>
      <c r="X394" s="169">
        <f>SUMIFS(операции!$V:$V,операции!$T:$T,"&lt;"&amp;X$8,операции!$X:$X,"",операции!$AB:$AB,"",операции!$P:$P,$F383)+SUMIFS(операции!$V:$V,операции!$T:$T,"&lt;"&amp;X$8,операции!$X:$X,"&gt;="&amp;X$8,операции!$AB:$AB,"",операции!$P:$P,$F383)+SUMIFS(операции!$V:$V,операции!$T:$T,"&lt;"&amp;X$8,операции!$X:$X,"",операции!$AB:$AB,"&gt;="&amp;X$8,операции!$P:$P,$F383)+SUMIFS(операции!$V:$V,операции!$T:$T,"&lt;"&amp;X$8,операции!$X:$X,"&gt;="&amp;X$8,операции!$AB:$AB,"&gt;="&amp;X$8,операции!$P:$P,$F383)</f>
        <v>1369.79</v>
      </c>
      <c r="Y394" s="170">
        <f>X394-Z394-AA394</f>
        <v>0</v>
      </c>
      <c r="Z394" s="169">
        <f>SUMIFS(операции!$V:$V,операции!$T:$T,"&lt;"&amp;X$8,операции!$X:$X,"",операции!$AB:$AB,"",операции!$L:$L,Z$9,операции!$P:$P,$F383)+SUMIFS(операции!$V:$V,операции!$T:$T,"&lt;"&amp;X$8,операции!$X:$X,"&gt;="&amp;X$8,операции!$AB:$AB,"",операции!$L:$L,Z$9,операции!$P:$P,$F383)+SUMIFS(операции!$V:$V,операции!$T:$T,"&lt;"&amp;X$8,операции!$X:$X,"",операции!$AB:$AB,"&gt;="&amp;X$8,операции!$L:$L,Z$9,операции!$P:$P,$F383)+SUMIFS(операции!$V:$V,операции!$T:$T,"&lt;"&amp;X$8,операции!$X:$X,"&gt;="&amp;X$8,операции!$AB:$AB,"&gt;="&amp;X$8,операции!$L:$L,Z$9,операции!$P:$P,$F383)</f>
        <v>1369.79</v>
      </c>
      <c r="AA394" s="243">
        <f>SUMIFS(операции!$V:$V,операции!$T:$T,"&lt;"&amp;X$8,операции!$X:$X,"",операции!$AB:$AB,"",операции!$L:$L,AA$9,операции!$P:$P,$F383)+SUMIFS(операции!$V:$V,операции!$T:$T,"&lt;"&amp;X$8,операции!$X:$X,"&gt;="&amp;X$8,операции!$AB:$AB,"",операции!$L:$L,AA$9,операции!$P:$P,$F383)+SUMIFS(операции!$V:$V,операции!$T:$T,"&lt;"&amp;X$8,операции!$X:$X,"",операции!$AB:$AB,"&gt;="&amp;X$8,операции!$L:$L,AA$9,операции!$P:$P,$F383)+SUMIFS(операции!$V:$V,операции!$T:$T,"&lt;"&amp;X$8,операции!$X:$X,"&gt;="&amp;X$8,операции!$AB:$AB,"&gt;="&amp;X$8,операции!$L:$L,AA$9,операции!$P:$P,$F383)</f>
        <v>0</v>
      </c>
      <c r="AB394" s="266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s="192" customFormat="1" ht="11.25">
      <c r="A395" s="37"/>
      <c r="B395" s="37"/>
      <c r="C395" s="37"/>
      <c r="D395" s="191"/>
      <c r="E395" s="191" t="s">
        <v>255</v>
      </c>
      <c r="F395" s="191" t="str">
        <f t="shared" si="646"/>
        <v>Одежда и обувь</v>
      </c>
      <c r="G395" s="191" t="s">
        <v>262</v>
      </c>
      <c r="H395" s="315"/>
      <c r="I395" s="316">
        <f>IF(I394=0,0,(SUMIFS(операции!$AF:$AF,операции!$T:$T,"&lt;"&amp;I$8,операции!$X:$X,"",операции!$AB:$AB,"",операции!$P:$P,$F383)+SUMIFS(операции!$AF:$AF,операции!$T:$T,"&lt;"&amp;I$8,операции!$X:$X,"&gt;="&amp;I$8,операции!$AB:$AB,"",операции!$P:$P,$F383)+SUMIFS(операции!$AF:$AF,операции!$T:$T,"&lt;"&amp;I$8,операции!$X:$X,"",операции!$AB:$AB,"&gt;="&amp;I$8,операции!$P:$P,$F383)+SUMIFS(операции!$AF:$AF,операции!$T:$T,"&lt;"&amp;I$8,операции!$X:$X,"&gt;="&amp;I$8,операции!$AB:$AB,"&gt;="&amp;I$8,операции!$P:$P,$F383))/I394)</f>
        <v>42244.428902466774</v>
      </c>
      <c r="J395" s="317"/>
      <c r="K395" s="316">
        <f>IF(K394=0,0,(SUMIFS(операции!$AF:$AF,операции!$T:$T,"&lt;"&amp;I$8,операции!$X:$X,"",операции!$AB:$AB,"",операции!$L:$L,K$9,операции!$P:$P,$F383)+SUMIFS(операции!$AF:$AF,операции!$T:$T,"&lt;"&amp;I$8,операции!$X:$X,"&gt;="&amp;I$8,операции!$AB:$AB,"",операции!$L:$L,K$9,операции!$P:$P,$F383)+SUMIFS(операции!$AF:$AF,операции!$T:$T,"&lt;"&amp;I$8,операции!$X:$X,"",операции!$AB:$AB,"&gt;="&amp;I$8,операции!$L:$L,K$9,операции!$P:$P,$F383)+SUMIFS(операции!$AF:$AF,операции!$T:$T,"&lt;"&amp;I$8,операции!$X:$X,"&gt;="&amp;I$8,операции!$AB:$AB,"&gt;="&amp;I$8,операции!$L:$L,K$9,операции!$P:$P,$F383))/K394)</f>
        <v>42244.428902466774</v>
      </c>
      <c r="L395" s="318">
        <f>IF(L394=0,0,(SUMIFS(операции!$AF:$AF,операции!$T:$T,"&lt;"&amp;I$8,операции!$X:$X,"",операции!$AB:$AB,"",операции!$L:$L,L$9,операции!$P:$P,$F383)+SUMIFS(операции!$AF:$AF,операции!$T:$T,"&lt;"&amp;I$8,операции!$X:$X,"&gt;="&amp;I$8,операции!$AB:$AB,"",операции!$L:$L,L$9,операции!$P:$P,$F383)+SUMIFS(операции!$AF:$AF,операции!$T:$T,"&lt;"&amp;I$8,операции!$X:$X,"",операции!$AB:$AB,"&gt;="&amp;I$8,операции!$L:$L,L$9,операции!$P:$P,$F383)+SUMIFS(операции!$AF:$AF,операции!$T:$T,"&lt;"&amp;I$8,операции!$X:$X,"&gt;="&amp;I$8,операции!$AB:$AB,"&gt;="&amp;I$8,операции!$L:$L,L$9,операции!$P:$P,$F383))/L394)</f>
        <v>0</v>
      </c>
      <c r="M395" s="274"/>
      <c r="N395" s="193">
        <f>IF(N394=0,0,(SUMIFS(операции!$AF:$AF,операции!$T:$T,"&lt;"&amp;N$8,операции!$X:$X,"",операции!$AB:$AB,"",операции!$P:$P,$F383)+SUMIFS(операции!$AF:$AF,операции!$T:$T,"&lt;"&amp;N$8,операции!$X:$X,"&gt;="&amp;N$8,операции!$AB:$AB,"",операции!$P:$P,$F383)+SUMIFS(операции!$AF:$AF,операции!$T:$T,"&lt;"&amp;N$8,операции!$X:$X,"",операции!$AB:$AB,"&gt;="&amp;N$8,операции!$P:$P,$F383)+SUMIFS(операции!$AF:$AF,операции!$T:$T,"&lt;"&amp;N$8,операции!$X:$X,"&gt;="&amp;N$8,операции!$AB:$AB,"&gt;="&amp;N$8,операции!$P:$P,$F383))/N394)</f>
        <v>42244.428902466774</v>
      </c>
      <c r="O395" s="196"/>
      <c r="P395" s="193">
        <f>IF(P394=0,0,(SUMIFS(операции!$AF:$AF,операции!$T:$T,"&lt;"&amp;N$8,операции!$X:$X,"",операции!$AB:$AB,"",операции!$L:$L,P$9,операции!$P:$P,$F383)+SUMIFS(операции!$AF:$AF,операции!$T:$T,"&lt;"&amp;N$8,операции!$X:$X,"&gt;="&amp;N$8,операции!$AB:$AB,"",операции!$L:$L,P$9,операции!$P:$P,$F383)+SUMIFS(операции!$AF:$AF,операции!$T:$T,"&lt;"&amp;N$8,операции!$X:$X,"",операции!$AB:$AB,"&gt;="&amp;N$8,операции!$L:$L,P$9,операции!$P:$P,$F383)+SUMIFS(операции!$AF:$AF,операции!$T:$T,"&lt;"&amp;N$8,операции!$X:$X,"&gt;="&amp;N$8,операции!$AB:$AB,"&gt;="&amp;N$8,операции!$L:$L,P$9,операции!$P:$P,$F383))/P394)</f>
        <v>42244.428902466774</v>
      </c>
      <c r="Q395" s="237">
        <f>IF(Q394=0,0,(SUMIFS(операции!$AF:$AF,операции!$T:$T,"&lt;"&amp;N$8,операции!$X:$X,"",операции!$AB:$AB,"",операции!$L:$L,Q$9,операции!$P:$P,$F383)+SUMIFS(операции!$AF:$AF,операции!$T:$T,"&lt;"&amp;N$8,операции!$X:$X,"&gt;="&amp;N$8,операции!$AB:$AB,"",операции!$L:$L,Q$9,операции!$P:$P,$F383)+SUMIFS(операции!$AF:$AF,операции!$T:$T,"&lt;"&amp;N$8,операции!$X:$X,"",операции!$AB:$AB,"&gt;="&amp;N$8,операции!$L:$L,Q$9,операции!$P:$P,$F383)+SUMIFS(операции!$AF:$AF,операции!$T:$T,"&lt;"&amp;N$8,операции!$X:$X,"&gt;="&amp;N$8,операции!$AB:$AB,"&gt;="&amp;N$8,операции!$L:$L,Q$9,операции!$P:$P,$F383))/Q394)</f>
        <v>0</v>
      </c>
      <c r="R395" s="238"/>
      <c r="S395" s="193">
        <f>IF(S394=0,0,(SUMIFS(операции!$AF:$AF,операции!$T:$T,"&lt;"&amp;S$8,операции!$X:$X,"",операции!$AB:$AB,"",операции!$P:$P,$F383)+SUMIFS(операции!$AF:$AF,операции!$T:$T,"&lt;"&amp;S$8,операции!$X:$X,"&gt;="&amp;S$8,операции!$AB:$AB,"",операции!$P:$P,$F383)+SUMIFS(операции!$AF:$AF,операции!$T:$T,"&lt;"&amp;S$8,операции!$X:$X,"",операции!$AB:$AB,"&gt;="&amp;S$8,операции!$P:$P,$F383)+SUMIFS(операции!$AF:$AF,операции!$T:$T,"&lt;"&amp;S$8,операции!$X:$X,"&gt;="&amp;S$8,операции!$AB:$AB,"&gt;="&amp;S$8,операции!$P:$P,$F383))/S394)</f>
        <v>42157</v>
      </c>
      <c r="T395" s="196"/>
      <c r="U395" s="193">
        <f>IF(U394=0,0,(SUMIFS(операции!$AF:$AF,операции!$T:$T,"&lt;"&amp;S$8,операции!$X:$X,"",операции!$AB:$AB,"",операции!$L:$L,U$9,операции!$P:$P,$F383)+SUMIFS(операции!$AF:$AF,операции!$T:$T,"&lt;"&amp;S$8,операции!$X:$X,"&gt;="&amp;S$8,операции!$AB:$AB,"",операции!$L:$L,U$9,операции!$P:$P,$F383)+SUMIFS(операции!$AF:$AF,операции!$T:$T,"&lt;"&amp;S$8,операции!$X:$X,"",операции!$AB:$AB,"&gt;="&amp;S$8,операции!$L:$L,U$9,операции!$P:$P,$F383)+SUMIFS(операции!$AF:$AF,операции!$T:$T,"&lt;"&amp;S$8,операции!$X:$X,"&gt;="&amp;S$8,операции!$AB:$AB,"&gt;="&amp;S$8,операции!$L:$L,U$9,операции!$P:$P,$F383))/U394)</f>
        <v>42157</v>
      </c>
      <c r="V395" s="237">
        <f>IF(V394=0,0,(SUMIFS(операции!$AF:$AF,операции!$T:$T,"&lt;"&amp;S$8,операции!$X:$X,"",операции!$AB:$AB,"",операции!$L:$L,V$9,операции!$P:$P,$F383)+SUMIFS(операции!$AF:$AF,операции!$T:$T,"&lt;"&amp;S$8,операции!$X:$X,"&gt;="&amp;S$8,операции!$AB:$AB,"",операции!$L:$L,V$9,операции!$P:$P,$F383)+SUMIFS(операции!$AF:$AF,операции!$T:$T,"&lt;"&amp;S$8,операции!$X:$X,"",операции!$AB:$AB,"&gt;="&amp;S$8,операции!$L:$L,V$9,операции!$P:$P,$F383)+SUMIFS(операции!$AF:$AF,операции!$T:$T,"&lt;"&amp;S$8,операции!$X:$X,"&gt;="&amp;S$8,операции!$AB:$AB,"&gt;="&amp;S$8,операции!$L:$L,V$9,операции!$P:$P,$F383))/V394)</f>
        <v>0</v>
      </c>
      <c r="W395" s="238"/>
      <c r="X395" s="193">
        <f>IF(X394=0,0,(SUMIFS(операции!$AF:$AF,операции!$T:$T,"&lt;"&amp;X$8,операции!$X:$X,"",операции!$AB:$AB,"",операции!$P:$P,$F383)+SUMIFS(операции!$AF:$AF,операции!$T:$T,"&lt;"&amp;X$8,операции!$X:$X,"&gt;="&amp;X$8,операции!$AB:$AB,"",операции!$P:$P,$F383)+SUMIFS(операции!$AF:$AF,операции!$T:$T,"&lt;"&amp;X$8,операции!$X:$X,"",операции!$AB:$AB,"&gt;="&amp;X$8,операции!$P:$P,$F383)+SUMIFS(операции!$AF:$AF,операции!$T:$T,"&lt;"&amp;X$8,операции!$X:$X,"&gt;="&amp;X$8,операции!$AB:$AB,"&gt;="&amp;X$8,операции!$P:$P,$F383))/X394)</f>
        <v>42157</v>
      </c>
      <c r="Y395" s="196"/>
      <c r="Z395" s="193">
        <f>IF(Z394=0,0,(SUMIFS(операции!$AF:$AF,операции!$T:$T,"&lt;"&amp;X$8,операции!$X:$X,"",операции!$AB:$AB,"",операции!$L:$L,Z$9,операции!$P:$P,$F383)+SUMIFS(операции!$AF:$AF,операции!$T:$T,"&lt;"&amp;X$8,операции!$X:$X,"&gt;="&amp;X$8,операции!$AB:$AB,"",операции!$L:$L,Z$9,операции!$P:$P,$F383)+SUMIFS(операции!$AF:$AF,операции!$T:$T,"&lt;"&amp;X$8,операции!$X:$X,"",операции!$AB:$AB,"&gt;="&amp;X$8,операции!$L:$L,Z$9,операции!$P:$P,$F383)+SUMIFS(операции!$AF:$AF,операции!$T:$T,"&lt;"&amp;X$8,операции!$X:$X,"&gt;="&amp;X$8,операции!$AB:$AB,"&gt;="&amp;X$8,операции!$L:$L,Z$9,операции!$P:$P,$F383))/Z394)</f>
        <v>42157</v>
      </c>
      <c r="AA395" s="237">
        <f>IF(AA394=0,0,(SUMIFS(операции!$AF:$AF,операции!$T:$T,"&lt;"&amp;X$8,операции!$X:$X,"",операции!$AB:$AB,"",операции!$L:$L,AA$9,операции!$P:$P,$F383)+SUMIFS(операции!$AF:$AF,операции!$T:$T,"&lt;"&amp;X$8,операции!$X:$X,"&gt;="&amp;X$8,операции!$AB:$AB,"",операции!$L:$L,AA$9,операции!$P:$P,$F383)+SUMIFS(операции!$AF:$AF,операции!$T:$T,"&lt;"&amp;X$8,операции!$X:$X,"",операции!$AB:$AB,"&gt;="&amp;X$8,операции!$L:$L,AA$9,операции!$P:$P,$F383)+SUMIFS(операции!$AF:$AF,операции!$T:$T,"&lt;"&amp;X$8,операции!$X:$X,"&gt;="&amp;X$8,операции!$AB:$AB,"&gt;="&amp;X$8,операции!$L:$L,AA$9,операции!$P:$P,$F383))/AA394)</f>
        <v>0</v>
      </c>
      <c r="AB395" s="265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</row>
    <row r="396" spans="1:42" s="192" customFormat="1" ht="11.25">
      <c r="A396" s="37"/>
      <c r="B396" s="37"/>
      <c r="C396" s="37"/>
      <c r="D396" s="191"/>
      <c r="E396" s="191" t="s">
        <v>263</v>
      </c>
      <c r="F396" s="191" t="str">
        <f t="shared" si="646"/>
        <v>Одежда и обувь</v>
      </c>
      <c r="G396" s="191" t="s">
        <v>219</v>
      </c>
      <c r="H396" s="315"/>
      <c r="I396" s="329">
        <f>IF(I394=0,0,I$8-I395)</f>
        <v>33.571097533225839</v>
      </c>
      <c r="J396" s="317"/>
      <c r="K396" s="329">
        <f>IF(K394=0,0,I$8-K395)</f>
        <v>33.571097533225839</v>
      </c>
      <c r="L396" s="330">
        <f>IF(L394=0,0,I$8-L395)</f>
        <v>0</v>
      </c>
      <c r="M396" s="274"/>
      <c r="N396" s="156">
        <f>IF(N394=0,0,N$8-N395)</f>
        <v>33.571097533225839</v>
      </c>
      <c r="O396" s="196"/>
      <c r="P396" s="156">
        <f>IF(P394=0,0,N$8-P395)</f>
        <v>33.571097533225839</v>
      </c>
      <c r="Q396" s="245">
        <f>IF(Q394=0,0,N$8-Q395)</f>
        <v>0</v>
      </c>
      <c r="R396" s="238"/>
      <c r="S396" s="156">
        <f>IF(S394=0,0,S$8-S395)</f>
        <v>152</v>
      </c>
      <c r="T396" s="196"/>
      <c r="U396" s="156">
        <f>IF(U394=0,0,S$8-U395)</f>
        <v>152</v>
      </c>
      <c r="V396" s="245">
        <f>IF(V394=0,0,S$8-V395)</f>
        <v>0</v>
      </c>
      <c r="W396" s="238"/>
      <c r="X396" s="156">
        <f>IF(X394=0,0,X$8-X395)</f>
        <v>182</v>
      </c>
      <c r="Y396" s="196"/>
      <c r="Z396" s="156">
        <f>IF(Z394=0,0,X$8-Z395)</f>
        <v>182</v>
      </c>
      <c r="AA396" s="245">
        <f>IF(AA394=0,0,X$8-AA395)</f>
        <v>0</v>
      </c>
      <c r="AB396" s="265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</row>
    <row r="397" spans="1:42" s="192" customFormat="1" ht="11.25">
      <c r="A397" s="37"/>
      <c r="B397" s="37"/>
      <c r="C397" s="37"/>
      <c r="D397" s="191"/>
      <c r="E397" s="191" t="s">
        <v>311</v>
      </c>
      <c r="F397" s="191" t="str">
        <f t="shared" si="646"/>
        <v>Одежда и обувь</v>
      </c>
      <c r="G397" s="191" t="s">
        <v>262</v>
      </c>
      <c r="H397" s="315"/>
      <c r="I397" s="316">
        <f>I$8</f>
        <v>42278</v>
      </c>
      <c r="J397" s="317"/>
      <c r="K397" s="316">
        <f>I$8</f>
        <v>42278</v>
      </c>
      <c r="L397" s="318">
        <f>I$8</f>
        <v>42278</v>
      </c>
      <c r="M397" s="274"/>
      <c r="N397" s="193">
        <f>N$8</f>
        <v>42278</v>
      </c>
      <c r="O397" s="196"/>
      <c r="P397" s="193">
        <f>N$8</f>
        <v>42278</v>
      </c>
      <c r="Q397" s="237">
        <f>N$8</f>
        <v>42278</v>
      </c>
      <c r="R397" s="238"/>
      <c r="S397" s="193">
        <f>S$8</f>
        <v>42309</v>
      </c>
      <c r="T397" s="196"/>
      <c r="U397" s="193">
        <f>S$8</f>
        <v>42309</v>
      </c>
      <c r="V397" s="237">
        <f>S$8</f>
        <v>42309</v>
      </c>
      <c r="W397" s="238"/>
      <c r="X397" s="193">
        <f>X$8</f>
        <v>42339</v>
      </c>
      <c r="Y397" s="196"/>
      <c r="Z397" s="193">
        <f>X$8</f>
        <v>42339</v>
      </c>
      <c r="AA397" s="237">
        <f>X$8</f>
        <v>42339</v>
      </c>
      <c r="AB397" s="265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</row>
    <row r="398" spans="1:42" s="192" customFormat="1" ht="11.25">
      <c r="A398" s="37"/>
      <c r="B398" s="37"/>
      <c r="C398" s="37"/>
      <c r="D398" s="191"/>
      <c r="E398" s="191" t="s">
        <v>264</v>
      </c>
      <c r="F398" s="191" t="str">
        <f t="shared" si="646"/>
        <v>Одежда и обувь</v>
      </c>
      <c r="G398" s="191" t="s">
        <v>219</v>
      </c>
      <c r="H398" s="315"/>
      <c r="I398" s="329">
        <f>IF(I394=0,0,I397-I395)</f>
        <v>33.571097533225839</v>
      </c>
      <c r="J398" s="317"/>
      <c r="K398" s="329">
        <f>IF(K394=0,0,K397-K395)</f>
        <v>33.571097533225839</v>
      </c>
      <c r="L398" s="330">
        <f>IF(L394=0,0,L397-L395)</f>
        <v>0</v>
      </c>
      <c r="M398" s="274"/>
      <c r="N398" s="156">
        <f>IF(N394=0,0,N397-N395)</f>
        <v>33.571097533225839</v>
      </c>
      <c r="O398" s="196"/>
      <c r="P398" s="156">
        <f>IF(P394=0,0,P397-P395)</f>
        <v>33.571097533225839</v>
      </c>
      <c r="Q398" s="245">
        <f>IF(Q394=0,0,Q397-Q395)</f>
        <v>0</v>
      </c>
      <c r="R398" s="238"/>
      <c r="S398" s="156">
        <f>IF(S394=0,0,S397-S395)</f>
        <v>152</v>
      </c>
      <c r="T398" s="196"/>
      <c r="U398" s="156">
        <f>IF(U394=0,0,U397-U395)</f>
        <v>152</v>
      </c>
      <c r="V398" s="245">
        <f>IF(V394=0,0,V397-V395)</f>
        <v>0</v>
      </c>
      <c r="W398" s="238"/>
      <c r="X398" s="156">
        <f>IF(X394=0,0,X397-X395)</f>
        <v>182</v>
      </c>
      <c r="Y398" s="196"/>
      <c r="Z398" s="156">
        <f>IF(Z394=0,0,Z397-Z395)</f>
        <v>182</v>
      </c>
      <c r="AA398" s="245">
        <f>IF(AA394=0,0,AA397-AA395)</f>
        <v>0</v>
      </c>
      <c r="AB398" s="265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</row>
    <row r="399" spans="1:42" s="192" customFormat="1" ht="11.25">
      <c r="A399" s="37"/>
      <c r="B399" s="37"/>
      <c r="C399" s="37"/>
      <c r="D399" s="207"/>
      <c r="E399" s="207" t="s">
        <v>269</v>
      </c>
      <c r="F399" s="207" t="str">
        <f t="shared" si="646"/>
        <v>Одежда и обувь</v>
      </c>
      <c r="G399" s="207" t="s">
        <v>219</v>
      </c>
      <c r="H399" s="331"/>
      <c r="I399" s="332">
        <f>I396-I398</f>
        <v>0</v>
      </c>
      <c r="J399" s="333"/>
      <c r="K399" s="332">
        <f t="shared" ref="K399" si="671">K396-K398</f>
        <v>0</v>
      </c>
      <c r="L399" s="334">
        <f>L396-L398</f>
        <v>0</v>
      </c>
      <c r="M399" s="278"/>
      <c r="N399" s="162">
        <f>N396-N398</f>
        <v>0</v>
      </c>
      <c r="O399" s="208"/>
      <c r="P399" s="162">
        <f t="shared" ref="P399" si="672">P396-P398</f>
        <v>0</v>
      </c>
      <c r="Q399" s="246">
        <f>Q396-Q398</f>
        <v>0</v>
      </c>
      <c r="R399" s="247"/>
      <c r="S399" s="162">
        <f>S396-S398</f>
        <v>0</v>
      </c>
      <c r="T399" s="208"/>
      <c r="U399" s="162">
        <f t="shared" ref="U399" si="673">U396-U398</f>
        <v>0</v>
      </c>
      <c r="V399" s="246">
        <f>V396-V398</f>
        <v>0</v>
      </c>
      <c r="W399" s="247"/>
      <c r="X399" s="162">
        <f>X396-X398</f>
        <v>0</v>
      </c>
      <c r="Y399" s="208"/>
      <c r="Z399" s="162">
        <f t="shared" ref="Z399" si="674">Z396-Z398</f>
        <v>0</v>
      </c>
      <c r="AA399" s="246">
        <f>AA396-AA398</f>
        <v>0</v>
      </c>
      <c r="AB399" s="265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</row>
    <row r="400" spans="1:42" s="111" customFormat="1" ht="11.25">
      <c r="A400" s="108"/>
      <c r="B400" s="108"/>
      <c r="C400" s="108" t="s">
        <v>272</v>
      </c>
      <c r="D400" s="109"/>
      <c r="E400" s="109"/>
      <c r="F400" s="109" t="str">
        <f t="shared" si="646"/>
        <v>Одежда и обувь</v>
      </c>
      <c r="G400" s="109"/>
      <c r="H400" s="307"/>
      <c r="I400" s="308">
        <f>I401-K401-L401</f>
        <v>0</v>
      </c>
      <c r="J400" s="335"/>
      <c r="K400" s="308"/>
      <c r="L400" s="336"/>
      <c r="M400" s="272"/>
      <c r="N400" s="110">
        <f>N401-P401-Q401</f>
        <v>0</v>
      </c>
      <c r="O400" s="105"/>
      <c r="P400" s="110"/>
      <c r="Q400" s="248"/>
      <c r="R400" s="234"/>
      <c r="S400" s="110">
        <f>S401-U401-V401</f>
        <v>0</v>
      </c>
      <c r="T400" s="105"/>
      <c r="U400" s="110"/>
      <c r="V400" s="248"/>
      <c r="W400" s="234"/>
      <c r="X400" s="110">
        <f>X401-Z401-AA401</f>
        <v>0</v>
      </c>
      <c r="Y400" s="105"/>
      <c r="Z400" s="110"/>
      <c r="AA400" s="248"/>
      <c r="AB400" s="263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</row>
    <row r="401" spans="1:42" s="5" customFormat="1">
      <c r="A401" s="1"/>
      <c r="B401" s="1"/>
      <c r="C401" s="1"/>
      <c r="D401" s="168" t="s">
        <v>273</v>
      </c>
      <c r="E401" s="168"/>
      <c r="F401" s="168" t="str">
        <f t="shared" si="646"/>
        <v>Одежда и обувь</v>
      </c>
      <c r="G401" s="168" t="s">
        <v>261</v>
      </c>
      <c r="H401" s="326"/>
      <c r="I401" s="327">
        <f>SUMIFS(операции!$V:$V,операции!$T:$T,"&gt;="&amp;I$8,операции!$T:$T,"&lt;="&amp;I$9,операции!$P:$P,$F383)</f>
        <v>0</v>
      </c>
      <c r="J401" s="313"/>
      <c r="K401" s="327">
        <f>SUMIFS(операции!$V:$V,операции!$T:$T,"&gt;="&amp;I$8,операции!$T:$T,"&lt;="&amp;I$9,операции!$L:$L,K$9,операции!$P:$P,$F383)</f>
        <v>0</v>
      </c>
      <c r="L401" s="328">
        <f>SUMIFS(операции!$V:$V,операции!$T:$T,"&gt;="&amp;I$8,операции!$T:$T,"&lt;="&amp;I$9,операции!$L:$L,L$9,операции!$P:$P,$F383)</f>
        <v>0</v>
      </c>
      <c r="M401" s="277"/>
      <c r="N401" s="169">
        <f>SUMIFS(операции!$V:$V,операции!$T:$T,"&gt;="&amp;N$8,операции!$T:$T,"&lt;="&amp;N$9,операции!$P:$P,$F383)</f>
        <v>0</v>
      </c>
      <c r="O401" s="170"/>
      <c r="P401" s="169">
        <f>SUMIFS(операции!$V:$V,операции!$T:$T,"&gt;="&amp;N$8,операции!$T:$T,"&lt;="&amp;N$9,операции!$L:$L,P$9,операции!$P:$P,$F383)</f>
        <v>0</v>
      </c>
      <c r="Q401" s="243">
        <f>SUMIFS(операции!$V:$V,операции!$T:$T,"&gt;="&amp;N$8,операции!$T:$T,"&lt;="&amp;N$9,операции!$L:$L,Q$9,операции!$P:$P,$F383)</f>
        <v>0</v>
      </c>
      <c r="R401" s="244"/>
      <c r="S401" s="169">
        <f>SUMIFS(операции!$V:$V,операции!$T:$T,"&gt;="&amp;S$8,операции!$T:$T,"&lt;="&amp;S$9,операции!$P:$P,$F383)</f>
        <v>0</v>
      </c>
      <c r="T401" s="170"/>
      <c r="U401" s="169">
        <f>SUMIFS(операции!$V:$V,операции!$T:$T,"&gt;="&amp;S$8,операции!$T:$T,"&lt;="&amp;S$9,операции!$L:$L,U$9,операции!$P:$P,$F383)</f>
        <v>0</v>
      </c>
      <c r="V401" s="243">
        <f>SUMIFS(операции!$V:$V,операции!$T:$T,"&gt;="&amp;S$8,операции!$T:$T,"&lt;="&amp;S$9,операции!$L:$L,V$9,операции!$P:$P,$F383)</f>
        <v>0</v>
      </c>
      <c r="W401" s="244"/>
      <c r="X401" s="169">
        <f>SUMIFS(операции!$V:$V,операции!$T:$T,"&gt;="&amp;X$8,операции!$T:$T,"&lt;="&amp;X$9,операции!$P:$P,$F383)</f>
        <v>0</v>
      </c>
      <c r="Y401" s="170"/>
      <c r="Z401" s="169">
        <f>SUMIFS(операции!$V:$V,операции!$T:$T,"&gt;="&amp;X$8,операции!$T:$T,"&lt;="&amp;X$9,операции!$L:$L,Z$9,операции!$P:$P,$F383)</f>
        <v>0</v>
      </c>
      <c r="AA401" s="243">
        <f>SUMIFS(операции!$V:$V,операции!$T:$T,"&gt;="&amp;X$8,операции!$T:$T,"&lt;="&amp;X$9,операции!$L:$L,AA$9,операции!$P:$P,$F383)</f>
        <v>0</v>
      </c>
      <c r="AB401" s="266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s="192" customFormat="1" ht="11.25">
      <c r="A402" s="37"/>
      <c r="B402" s="37"/>
      <c r="C402" s="37"/>
      <c r="D402" s="207" t="s">
        <v>255</v>
      </c>
      <c r="E402" s="207"/>
      <c r="F402" s="207" t="str">
        <f t="shared" si="646"/>
        <v>Одежда и обувь</v>
      </c>
      <c r="G402" s="207" t="s">
        <v>262</v>
      </c>
      <c r="H402" s="331"/>
      <c r="I402" s="337">
        <f>IF(I401=0,0,SUMIFS(операции!$AF:$AF,операции!$T:$T,"&gt;="&amp;I$8,операции!$T:$T,"&lt;="&amp;I$9,операции!$P:$P,$F383)/I401)</f>
        <v>0</v>
      </c>
      <c r="J402" s="333"/>
      <c r="K402" s="337">
        <f>IF(K401=0,0,SUMIFS(операции!$AF:$AF,операции!$T:$T,"&gt;="&amp;I$8,операции!$T:$T,"&lt;="&amp;I$9,операции!$L:$L,K$9,операции!$P:$P,$F383)/K401)</f>
        <v>0</v>
      </c>
      <c r="L402" s="338">
        <f>IF(L401=0,0,SUMIFS(операции!$AF:$AF,операции!$T:$T,"&gt;="&amp;I$8,операции!$T:$T,"&lt;="&amp;I$9,операции!$L:$L,L$9,операции!$P:$P,$F383)/L401)</f>
        <v>0</v>
      </c>
      <c r="M402" s="278"/>
      <c r="N402" s="217">
        <f>IF(N401=0,0,SUMIFS(операции!$AF:$AF,операции!$T:$T,"&gt;="&amp;N$8,операции!$T:$T,"&lt;="&amp;N$9,операции!$P:$P,$F383)/N401)</f>
        <v>0</v>
      </c>
      <c r="O402" s="208"/>
      <c r="P402" s="217">
        <f>IF(P401=0,0,SUMIFS(операции!$AF:$AF,операции!$T:$T,"&gt;="&amp;N$8,операции!$T:$T,"&lt;="&amp;N$9,операции!$L:$L,P$9,операции!$P:$P,$F383)/P401)</f>
        <v>0</v>
      </c>
      <c r="Q402" s="249">
        <f>IF(Q401=0,0,SUMIFS(операции!$AF:$AF,операции!$T:$T,"&gt;="&amp;N$8,операции!$T:$T,"&lt;="&amp;N$9,операции!$L:$L,Q$9,операции!$P:$P,$F383)/Q401)</f>
        <v>0</v>
      </c>
      <c r="R402" s="247"/>
      <c r="S402" s="217">
        <f>IF(S401=0,0,SUMIFS(операции!$AF:$AF,операции!$T:$T,"&gt;="&amp;S$8,операции!$T:$T,"&lt;="&amp;S$9,операции!$P:$P,$F383)/S401)</f>
        <v>0</v>
      </c>
      <c r="T402" s="208"/>
      <c r="U402" s="217">
        <f>IF(U401=0,0,SUMIFS(операции!$AF:$AF,операции!$T:$T,"&gt;="&amp;S$8,операции!$T:$T,"&lt;="&amp;S$9,операции!$L:$L,U$9,операции!$P:$P,$F383)/U401)</f>
        <v>0</v>
      </c>
      <c r="V402" s="249">
        <f>IF(V401=0,0,SUMIFS(операции!$AF:$AF,операции!$T:$T,"&gt;="&amp;S$8,операции!$T:$T,"&lt;="&amp;S$9,операции!$L:$L,V$9,операции!$P:$P,$F383)/V401)</f>
        <v>0</v>
      </c>
      <c r="W402" s="247"/>
      <c r="X402" s="217">
        <f>IF(X401=0,0,SUMIFS(операции!$AF:$AF,операции!$T:$T,"&gt;="&amp;X$8,операции!$T:$T,"&lt;="&amp;X$9,операции!$P:$P,$F383)/X401)</f>
        <v>0</v>
      </c>
      <c r="Y402" s="208"/>
      <c r="Z402" s="217">
        <f>IF(Z401=0,0,SUMIFS(операции!$AF:$AF,операции!$T:$T,"&gt;="&amp;X$8,операции!$T:$T,"&lt;="&amp;X$9,операции!$L:$L,Z$9,операции!$P:$P,$F383)/Z401)</f>
        <v>0</v>
      </c>
      <c r="AA402" s="249">
        <f>IF(AA401=0,0,SUMIFS(операции!$AF:$AF,операции!$T:$T,"&gt;="&amp;X$8,операции!$T:$T,"&lt;="&amp;X$9,операции!$L:$L,AA$9,операции!$P:$P,$F383)/AA401)</f>
        <v>0</v>
      </c>
      <c r="AB402" s="265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</row>
    <row r="403" spans="1:42" s="93" customFormat="1" ht="15">
      <c r="A403" s="92"/>
      <c r="B403" s="92"/>
      <c r="C403" s="92"/>
      <c r="D403" s="212" t="s">
        <v>274</v>
      </c>
      <c r="E403" s="212"/>
      <c r="F403" s="212" t="str">
        <f t="shared" si="646"/>
        <v>Одежда и обувь</v>
      </c>
      <c r="G403" s="212" t="s">
        <v>261</v>
      </c>
      <c r="H403" s="339"/>
      <c r="I403" s="340">
        <f>SUMIFS(операции!$Z:$Z,операции!$X:$X,"&gt;="&amp;I$8,операции!$X:$X,"&lt;="&amp;I$9,операции!$P:$P,$F383)</f>
        <v>132850</v>
      </c>
      <c r="J403" s="341">
        <f>I403-I416-I426</f>
        <v>0</v>
      </c>
      <c r="K403" s="340">
        <f>SUMIFS(операции!$Z:$Z,операции!$X:$X,"&gt;="&amp;I$8,операции!$X:$X,"&lt;="&amp;I$9,операции!$L:$L,K$9,операции!$P:$P,$F383)</f>
        <v>132850</v>
      </c>
      <c r="L403" s="342">
        <f>SUMIFS(операции!$Z:$Z,операции!$X:$X,"&gt;="&amp;I$8,операции!$X:$X,"&lt;="&amp;I$9,операции!$L:$L,L$9,операции!$P:$P,$F383)</f>
        <v>0</v>
      </c>
      <c r="M403" s="279"/>
      <c r="N403" s="213">
        <f>SUMIFS(операции!$Z:$Z,операции!$X:$X,"&gt;="&amp;N$8,операции!$X:$X,"&lt;="&amp;N$9,операции!$P:$P,$F383)</f>
        <v>28283</v>
      </c>
      <c r="O403" s="216">
        <f>N403-N416-N426</f>
        <v>0</v>
      </c>
      <c r="P403" s="213">
        <f>SUMIFS(операции!$Z:$Z,операции!$X:$X,"&gt;="&amp;N$8,операции!$X:$X,"&lt;="&amp;N$9,операции!$L:$L,P$9,операции!$P:$P,$F383)</f>
        <v>28283</v>
      </c>
      <c r="Q403" s="250">
        <f>SUMIFS(операции!$Z:$Z,операции!$X:$X,"&gt;="&amp;N$8,операции!$X:$X,"&lt;="&amp;N$9,операции!$L:$L,Q$9,операции!$P:$P,$F383)</f>
        <v>0</v>
      </c>
      <c r="R403" s="251"/>
      <c r="S403" s="213">
        <f>SUMIFS(операции!$Z:$Z,операции!$X:$X,"&gt;="&amp;S$8,операции!$X:$X,"&lt;="&amp;S$9,операции!$P:$P,$F383)</f>
        <v>78817</v>
      </c>
      <c r="T403" s="216">
        <f>S403-S416-S426</f>
        <v>0</v>
      </c>
      <c r="U403" s="213">
        <f>SUMIFS(операции!$Z:$Z,операции!$X:$X,"&gt;="&amp;S$8,операции!$X:$X,"&lt;="&amp;S$9,операции!$L:$L,U$9,операции!$P:$P,$F383)</f>
        <v>78817</v>
      </c>
      <c r="V403" s="250">
        <f>SUMIFS(операции!$Z:$Z,операции!$X:$X,"&gt;="&amp;S$8,операции!$X:$X,"&lt;="&amp;S$9,операции!$L:$L,V$9,операции!$P:$P,$F383)</f>
        <v>0</v>
      </c>
      <c r="W403" s="251"/>
      <c r="X403" s="213">
        <f>SUMIFS(операции!$Z:$Z,операции!$X:$X,"&gt;="&amp;X$8,операции!$X:$X,"&lt;="&amp;X$9,операции!$P:$P,$F383)</f>
        <v>25750</v>
      </c>
      <c r="Y403" s="216">
        <f>X403-X416-X426</f>
        <v>0</v>
      </c>
      <c r="Z403" s="213">
        <f>SUMIFS(операции!$Z:$Z,операции!$X:$X,"&gt;="&amp;X$8,операции!$X:$X,"&lt;="&amp;X$9,операции!$L:$L,Z$9,операции!$P:$P,$F383)</f>
        <v>25750</v>
      </c>
      <c r="AA403" s="250">
        <f>SUMIFS(операции!$Z:$Z,операции!$X:$X,"&gt;="&amp;X$8,операции!$X:$X,"&lt;="&amp;X$9,операции!$L:$L,AA$9,операции!$P:$P,$F383)</f>
        <v>0</v>
      </c>
      <c r="AB403" s="264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</row>
    <row r="404" spans="1:42" s="407" customFormat="1" ht="11.25">
      <c r="A404" s="404"/>
      <c r="B404" s="404"/>
      <c r="C404" s="404"/>
      <c r="D404" s="405" t="s">
        <v>332</v>
      </c>
      <c r="E404" s="405"/>
      <c r="F404" s="405" t="str">
        <f>F402</f>
        <v>Одежда и обувь</v>
      </c>
      <c r="G404" s="405" t="s">
        <v>218</v>
      </c>
      <c r="H404" s="408"/>
      <c r="I404" s="408">
        <f>IF(I$31=0,0,I403/I$31)</f>
        <v>3.5810787497681802E-2</v>
      </c>
      <c r="J404" s="409"/>
      <c r="K404" s="408">
        <f t="shared" ref="K404" si="675">IF(K$31=0,0,K403/K$31)</f>
        <v>0.10204520560361448</v>
      </c>
      <c r="L404" s="410">
        <f t="shared" ref="L404" si="676">IF(L$31=0,0,L403/L$31)</f>
        <v>0</v>
      </c>
      <c r="M404" s="411"/>
      <c r="N404" s="412">
        <f t="shared" ref="N404" si="677">IF(N$31=0,0,N403/N$31)</f>
        <v>3.6494052281087944E-2</v>
      </c>
      <c r="O404" s="413"/>
      <c r="P404" s="412">
        <f t="shared" ref="P404" si="678">IF(P$31=0,0,P403/P$31)</f>
        <v>5.6512200385233261E-2</v>
      </c>
      <c r="Q404" s="414">
        <f t="shared" ref="Q404" si="679">IF(Q$31=0,0,Q403/Q$31)</f>
        <v>0</v>
      </c>
      <c r="R404" s="415"/>
      <c r="S404" s="412">
        <f t="shared" ref="S404" si="680">IF(S$31=0,0,S403/S$31)</f>
        <v>4.4411574946680979E-2</v>
      </c>
      <c r="T404" s="413"/>
      <c r="U404" s="412">
        <f t="shared" ref="U404" si="681">IF(U$31=0,0,U403/U$31)</f>
        <v>0.12515502060325048</v>
      </c>
      <c r="V404" s="414">
        <f t="shared" ref="V404" si="682">IF(V$31=0,0,V403/V$31)</f>
        <v>0</v>
      </c>
      <c r="W404" s="415"/>
      <c r="X404" s="412">
        <f t="shared" ref="X404" si="683">IF(X$31=0,0,X403/X$31)</f>
        <v>2.2196783319742293E-2</v>
      </c>
      <c r="Y404" s="413"/>
      <c r="Z404" s="412">
        <f t="shared" ref="Z404" si="684">IF(Z$31=0,0,Z403/Z$31)</f>
        <v>0.15002068246301917</v>
      </c>
      <c r="AA404" s="414">
        <f t="shared" ref="AA404" si="685">IF(AA$31=0,0,AA403/AA$31)</f>
        <v>0</v>
      </c>
      <c r="AB404" s="406"/>
      <c r="AC404" s="404"/>
      <c r="AD404" s="404"/>
      <c r="AE404" s="404"/>
      <c r="AF404" s="404"/>
      <c r="AG404" s="404"/>
      <c r="AH404" s="404"/>
      <c r="AI404" s="404"/>
      <c r="AJ404" s="404"/>
      <c r="AK404" s="404"/>
      <c r="AL404" s="404"/>
      <c r="AM404" s="404"/>
      <c r="AN404" s="404"/>
      <c r="AO404" s="404"/>
      <c r="AP404" s="404"/>
    </row>
    <row r="405" spans="1:42" s="192" customFormat="1" ht="11.25">
      <c r="A405" s="37"/>
      <c r="B405" s="37"/>
      <c r="C405" s="37"/>
      <c r="D405" s="191" t="s">
        <v>331</v>
      </c>
      <c r="E405" s="191"/>
      <c r="F405" s="191" t="str">
        <f>F403</f>
        <v>Одежда и обувь</v>
      </c>
      <c r="G405" s="191" t="s">
        <v>334</v>
      </c>
      <c r="H405" s="315"/>
      <c r="I405" s="329">
        <f>SUMIFS(операции!$R:$R,операции!$X:$X,"&gt;="&amp;I$8,операции!$X:$X,"&lt;="&amp;I$9,операции!$P:$P,$F383)</f>
        <v>14</v>
      </c>
      <c r="J405" s="317">
        <f>I405-K405-L405</f>
        <v>0</v>
      </c>
      <c r="K405" s="329">
        <f>SUMIFS(операции!$R:$R,операции!$X:$X,"&gt;="&amp;I$8,операции!$X:$X,"&lt;="&amp;I$9,операции!$L:$L,K$9,операции!$P:$P,$F383)</f>
        <v>14</v>
      </c>
      <c r="L405" s="330">
        <f>SUMIFS(операции!$R:$R,операции!$X:$X,"&gt;="&amp;I$8,операции!$X:$X,"&lt;="&amp;I$9,операции!$L:$L,L$9,операции!$P:$P,$F383)</f>
        <v>0</v>
      </c>
      <c r="M405" s="402"/>
      <c r="N405" s="156">
        <f>SUMIFS(операции!$R:$R,операции!$X:$X,"&gt;="&amp;N$8,операции!$X:$X,"&lt;="&amp;N$9,операции!$P:$P,$F383)</f>
        <v>4</v>
      </c>
      <c r="O405" s="196">
        <f t="shared" ref="O405" si="686">N405-P405-Q405</f>
        <v>0</v>
      </c>
      <c r="P405" s="156">
        <f>SUMIFS(операции!$R:$R,операции!$X:$X,"&gt;="&amp;N$8,операции!$X:$X,"&lt;="&amp;N$9,операции!$L:$L,P$9,операции!$P:$P,$F383)</f>
        <v>4</v>
      </c>
      <c r="Q405" s="245">
        <f>SUMIFS(операции!$R:$R,операции!$X:$X,"&gt;="&amp;N$8,операции!$X:$X,"&lt;="&amp;N$9,операции!$L:$L,Q$9,операции!$P:$P,$F383)</f>
        <v>0</v>
      </c>
      <c r="R405" s="403"/>
      <c r="S405" s="156">
        <f>SUMIFS(операции!$R:$R,операции!$X:$X,"&gt;="&amp;S$8,операции!$X:$X,"&lt;="&amp;S$9,операции!$P:$P,$F383)</f>
        <v>6</v>
      </c>
      <c r="T405" s="196">
        <f t="shared" ref="T405" si="687">S405-U405-V405</f>
        <v>0</v>
      </c>
      <c r="U405" s="156">
        <f>SUMIFS(операции!$R:$R,операции!$X:$X,"&gt;="&amp;S$8,операции!$X:$X,"&lt;="&amp;S$9,операции!$L:$L,U$9,операции!$P:$P,$F383)</f>
        <v>6</v>
      </c>
      <c r="V405" s="245">
        <f>SUMIFS(операции!$R:$R,операции!$X:$X,"&gt;="&amp;S$8,операции!$X:$X,"&lt;="&amp;S$9,операции!$L:$L,V$9,операции!$P:$P,$F383)</f>
        <v>0</v>
      </c>
      <c r="W405" s="403"/>
      <c r="X405" s="156">
        <f>SUMIFS(операции!$R:$R,операции!$X:$X,"&gt;="&amp;X$8,операции!$X:$X,"&lt;="&amp;X$9,операции!$P:$P,$F383)</f>
        <v>4</v>
      </c>
      <c r="Y405" s="196">
        <f t="shared" ref="Y405" si="688">X405-Z405-AA405</f>
        <v>0</v>
      </c>
      <c r="Z405" s="156">
        <f>SUMIFS(операции!$R:$R,операции!$X:$X,"&gt;="&amp;X$8,операции!$X:$X,"&lt;="&amp;X$9,операции!$L:$L,Z$9,операции!$P:$P,$F383)</f>
        <v>4</v>
      </c>
      <c r="AA405" s="245">
        <f>SUMIFS(операции!$R:$R,операции!$X:$X,"&gt;="&amp;X$8,операции!$X:$X,"&lt;="&amp;X$9,операции!$L:$L,AA$9,операции!$P:$P,$F383)</f>
        <v>0</v>
      </c>
      <c r="AB405" s="265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</row>
    <row r="406" spans="1:42" s="192" customFormat="1" ht="11.25">
      <c r="A406" s="37"/>
      <c r="B406" s="37"/>
      <c r="C406" s="37"/>
      <c r="D406" s="191" t="s">
        <v>333</v>
      </c>
      <c r="E406" s="191"/>
      <c r="F406" s="191" t="str">
        <f t="shared" si="646"/>
        <v>Одежда и обувь</v>
      </c>
      <c r="G406" s="191" t="s">
        <v>261</v>
      </c>
      <c r="H406" s="315"/>
      <c r="I406" s="329">
        <f>IF(I405=0,0,I403/I405)</f>
        <v>9489.2857142857138</v>
      </c>
      <c r="J406" s="317"/>
      <c r="K406" s="329">
        <f t="shared" ref="K406" si="689">IF(K405=0,0,K403/K405)</f>
        <v>9489.2857142857138</v>
      </c>
      <c r="L406" s="330">
        <f t="shared" ref="L406" si="690">IF(L405=0,0,L403/L405)</f>
        <v>0</v>
      </c>
      <c r="M406" s="402"/>
      <c r="N406" s="156">
        <f>IF(N405=0,0,N403/N405)</f>
        <v>7070.75</v>
      </c>
      <c r="O406" s="196"/>
      <c r="P406" s="156">
        <f>IF(P405=0,0,P403/P405)</f>
        <v>7070.75</v>
      </c>
      <c r="Q406" s="245">
        <f>IF(Q405=0,0,Q403/Q405)</f>
        <v>0</v>
      </c>
      <c r="R406" s="403"/>
      <c r="S406" s="156">
        <f>IF(S405=0,0,S403/S405)</f>
        <v>13136.166666666666</v>
      </c>
      <c r="T406" s="196"/>
      <c r="U406" s="156">
        <f>IF(U405=0,0,U403/U405)</f>
        <v>13136.166666666666</v>
      </c>
      <c r="V406" s="245">
        <f>IF(V405=0,0,V403/V405)</f>
        <v>0</v>
      </c>
      <c r="W406" s="403"/>
      <c r="X406" s="156">
        <f>IF(X405=0,0,X403/X405)</f>
        <v>6437.5</v>
      </c>
      <c r="Y406" s="196"/>
      <c r="Z406" s="156">
        <f>IF(Z405=0,0,Z403/Z405)</f>
        <v>6437.5</v>
      </c>
      <c r="AA406" s="245">
        <f>IF(AA405=0,0,AA403/AA405)</f>
        <v>0</v>
      </c>
      <c r="AB406" s="265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</row>
    <row r="407" spans="1:42" s="192" customFormat="1" ht="11.25">
      <c r="A407" s="37"/>
      <c r="B407" s="37"/>
      <c r="C407" s="37"/>
      <c r="D407" s="191" t="s">
        <v>290</v>
      </c>
      <c r="E407" s="191"/>
      <c r="F407" s="191" t="str">
        <f>F403</f>
        <v>Одежда и обувь</v>
      </c>
      <c r="G407" s="191" t="s">
        <v>262</v>
      </c>
      <c r="H407" s="315"/>
      <c r="I407" s="316">
        <f>IF(I403=0,0,SUMIFS(операции!$AG:$AG,операции!$X:$X,"&gt;="&amp;I$8,операции!$X:$X,"&lt;="&amp;I$9,операции!$P:$P,$F383)/I403)</f>
        <v>42324.683786225069</v>
      </c>
      <c r="J407" s="317"/>
      <c r="K407" s="316">
        <f>IF(K403=0,0,SUMIFS(операции!$AG:$AG,операции!$X:$X,"&gt;="&amp;I$8,операции!$X:$X,"&lt;="&amp;I$9,операции!$L:$L,K$9,операции!$P:$P,$F383)/K403)</f>
        <v>42324.683786225069</v>
      </c>
      <c r="L407" s="318">
        <f>IF(L403=0,0,SUMIFS(операции!$AG:$AG,операции!$X:$X,"&gt;="&amp;I$8,операции!$X:$X,"&lt;="&amp;I$9,операции!$L:$L,L$9,операции!$P:$P,$F383)/L403)</f>
        <v>0</v>
      </c>
      <c r="M407" s="274"/>
      <c r="N407" s="193">
        <f>IF(N403=0,0,SUMIFS(операции!$AG:$AG,операции!$X:$X,"&gt;="&amp;N$8,операции!$X:$X,"&lt;="&amp;N$9,операции!$P:$P,$F383)/N403)</f>
        <v>42303.255701304668</v>
      </c>
      <c r="O407" s="196"/>
      <c r="P407" s="193">
        <f>IF(P403=0,0,SUMIFS(операции!$AG:$AG,операции!$X:$X,"&gt;="&amp;N$8,операции!$X:$X,"&lt;="&amp;N$9,операции!$L:$L,P$9,операции!$P:$P,$F383)/P403)</f>
        <v>42303.255701304668</v>
      </c>
      <c r="Q407" s="237">
        <f>IF(Q403=0,0,SUMIFS(операции!$AG:$AG,операции!$X:$X,"&gt;="&amp;N$8,операции!$X:$X,"&lt;="&amp;N$9,операции!$L:$L,Q$9,операции!$P:$P,$F383)/Q403)</f>
        <v>0</v>
      </c>
      <c r="R407" s="238"/>
      <c r="S407" s="193">
        <f>IF(S403=0,0,SUMIFS(операции!$AG:$AG,операции!$X:$X,"&gt;="&amp;S$8,операции!$X:$X,"&lt;="&amp;S$9,операции!$P:$P,$F383)/S403)</f>
        <v>42327.420670667496</v>
      </c>
      <c r="T407" s="196"/>
      <c r="U407" s="193">
        <f>IF(U403=0,0,SUMIFS(операции!$AG:$AG,операции!$X:$X,"&gt;="&amp;S$8,операции!$X:$X,"&lt;="&amp;S$9,операции!$L:$L,U$9,операции!$P:$P,$F383)/U403)</f>
        <v>42327.420670667496</v>
      </c>
      <c r="V407" s="237">
        <f>IF(V403=0,0,SUMIFS(операции!$AG:$AG,операции!$X:$X,"&gt;="&amp;S$8,операции!$X:$X,"&lt;="&amp;S$9,операции!$L:$L,V$9,операции!$P:$P,$F383)/V403)</f>
        <v>0</v>
      </c>
      <c r="W407" s="238"/>
      <c r="X407" s="193">
        <f>IF(X403=0,0,SUMIFS(операции!$AG:$AG,операции!$X:$X,"&gt;="&amp;X$8,операции!$X:$X,"&lt;="&amp;X$9,операции!$P:$P,$F383)/X403)</f>
        <v>42339.842524271844</v>
      </c>
      <c r="Y407" s="196"/>
      <c r="Z407" s="193">
        <f>IF(Z403=0,0,SUMIFS(операции!$AG:$AG,операции!$X:$X,"&gt;="&amp;X$8,операции!$X:$X,"&lt;="&amp;X$9,операции!$L:$L,Z$9,операции!$P:$P,$F383)/Z403)</f>
        <v>42339.842524271844</v>
      </c>
      <c r="AA407" s="237">
        <f>IF(AA403=0,0,SUMIFS(операции!$AG:$AG,операции!$X:$X,"&gt;="&amp;X$8,операции!$X:$X,"&lt;="&amp;X$9,операции!$L:$L,AA$9,операции!$P:$P,$F383)/AA403)</f>
        <v>0</v>
      </c>
      <c r="AB407" s="265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</row>
    <row r="408" spans="1:42" s="93" customFormat="1" ht="15">
      <c r="A408" s="92"/>
      <c r="B408" s="92"/>
      <c r="C408" s="92"/>
      <c r="D408" s="151" t="s">
        <v>275</v>
      </c>
      <c r="E408" s="151"/>
      <c r="F408" s="151" t="str">
        <f t="shared" si="646"/>
        <v>Одежда и обувь</v>
      </c>
      <c r="G408" s="151" t="s">
        <v>261</v>
      </c>
      <c r="H408" s="311"/>
      <c r="I408" s="312">
        <f>SUMIFS(операции!$V:$V,операции!$X:$X,"&gt;="&amp;I$8,операции!$X:$X,"&lt;="&amp;I$9,операции!$P:$P,$F383)</f>
        <v>90252.13</v>
      </c>
      <c r="J408" s="313">
        <f>I408-I418-I428</f>
        <v>0</v>
      </c>
      <c r="K408" s="312">
        <f>SUMIFS(операции!$V:$V,операции!$X:$X,"&gt;="&amp;I$8,операции!$X:$X,"&lt;="&amp;I$9,операции!$L:$L,K$9,операции!$P:$P,$F383)</f>
        <v>90252.13</v>
      </c>
      <c r="L408" s="314">
        <f>SUMIFS(операции!$V:$V,операции!$X:$X,"&gt;="&amp;I$8,операции!$X:$X,"&lt;="&amp;I$9,операции!$L:$L,L$9,операции!$P:$P,$F383)</f>
        <v>0</v>
      </c>
      <c r="M408" s="273"/>
      <c r="N408" s="152">
        <f>SUMIFS(операции!$V:$V,операции!$X:$X,"&gt;="&amp;N$8,операции!$X:$X,"&lt;="&amp;N$9,операции!$P:$P,$F383)</f>
        <v>25034</v>
      </c>
      <c r="O408" s="170">
        <f>N408-N418-N428</f>
        <v>0</v>
      </c>
      <c r="P408" s="152">
        <f>SUMIFS(операции!$V:$V,операции!$X:$X,"&gt;="&amp;N$8,операции!$X:$X,"&lt;="&amp;N$9,операции!$L:$L,P$9,операции!$P:$P,$F383)</f>
        <v>25034</v>
      </c>
      <c r="Q408" s="235">
        <f>SUMIFS(операции!$V:$V,операции!$X:$X,"&gt;="&amp;N$8,операции!$X:$X,"&lt;="&amp;N$9,операции!$L:$L,Q$9,операции!$P:$P,$F383)</f>
        <v>0</v>
      </c>
      <c r="R408" s="236"/>
      <c r="S408" s="152">
        <f>SUMIFS(операции!$V:$V,операции!$X:$X,"&gt;="&amp;S$8,операции!$X:$X,"&lt;="&amp;S$9,операции!$P:$P,$F383)</f>
        <v>48713.760000000002</v>
      </c>
      <c r="T408" s="170">
        <f>S408-S418-S428</f>
        <v>0</v>
      </c>
      <c r="U408" s="152">
        <f>SUMIFS(операции!$V:$V,операции!$X:$X,"&gt;="&amp;S$8,операции!$X:$X,"&lt;="&amp;S$9,операции!$L:$L,U$9,операции!$P:$P,$F383)</f>
        <v>48713.760000000002</v>
      </c>
      <c r="V408" s="235">
        <f>SUMIFS(операции!$V:$V,операции!$X:$X,"&gt;="&amp;S$8,операции!$X:$X,"&lt;="&amp;S$9,операции!$L:$L,V$9,операции!$P:$P,$F383)</f>
        <v>0</v>
      </c>
      <c r="W408" s="236"/>
      <c r="X408" s="152">
        <f>SUMIFS(операции!$V:$V,операции!$X:$X,"&gt;="&amp;X$8,операции!$X:$X,"&lt;="&amp;X$9,операции!$P:$P,$F383)</f>
        <v>16504.370000000003</v>
      </c>
      <c r="Y408" s="170">
        <f>X408-X418-X428</f>
        <v>0</v>
      </c>
      <c r="Z408" s="152">
        <f>SUMIFS(операции!$V:$V,операции!$X:$X,"&gt;="&amp;X$8,операции!$X:$X,"&lt;="&amp;X$9,операции!$L:$L,Z$9,операции!$P:$P,$F383)</f>
        <v>16504.370000000003</v>
      </c>
      <c r="AA408" s="235">
        <f>SUMIFS(операции!$V:$V,операции!$X:$X,"&gt;="&amp;X$8,операции!$X:$X,"&lt;="&amp;X$9,операции!$L:$L,AA$9,операции!$P:$P,$F383)</f>
        <v>0</v>
      </c>
      <c r="AB408" s="264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</row>
    <row r="409" spans="1:42" s="192" customFormat="1" ht="11.25">
      <c r="A409" s="37"/>
      <c r="B409" s="37"/>
      <c r="C409" s="37"/>
      <c r="D409" s="191" t="s">
        <v>291</v>
      </c>
      <c r="E409" s="191"/>
      <c r="F409" s="191" t="str">
        <f t="shared" si="646"/>
        <v>Одежда и обувь</v>
      </c>
      <c r="G409" s="191" t="s">
        <v>262</v>
      </c>
      <c r="H409" s="315"/>
      <c r="I409" s="316">
        <f>IF(I408=0,0,SUMIFS(операции!$AF:$AF,операции!$X:$X,"&gt;="&amp;I$8,операции!$X:$X,"&lt;="&amp;I$9,операции!$P:$P,$F383)/I408)</f>
        <v>42230.560702999472</v>
      </c>
      <c r="J409" s="317"/>
      <c r="K409" s="316">
        <f>IF(K408=0,0,SUMIFS(операции!$AF:$AF,операции!$X:$X,"&gt;="&amp;I$8,операции!$X:$X,"&lt;="&amp;I$9,операции!$L:$L,K$9,операции!$P:$P,$F383)/K408)</f>
        <v>42230.560702999472</v>
      </c>
      <c r="L409" s="318">
        <f>IF(L408=0,0,SUMIFS(операции!$AF:$AF,операции!$X:$X,"&gt;="&amp;I$8,операции!$X:$X,"&lt;="&amp;I$9,операции!$L:$L,L$9,операции!$P:$P,$F383)/L408)</f>
        <v>0</v>
      </c>
      <c r="M409" s="274"/>
      <c r="N409" s="193">
        <f>IF(N408=0,0,SUMIFS(операции!$AF:$AF,операции!$X:$X,"&gt;="&amp;N$8,операции!$X:$X,"&lt;="&amp;N$9,операции!$P:$P,$F383)/N408)</f>
        <v>42214.204841415674</v>
      </c>
      <c r="O409" s="196"/>
      <c r="P409" s="193">
        <f>IF(P408=0,0,SUMIFS(операции!$AF:$AF,операции!$X:$X,"&gt;="&amp;N$8,операции!$X:$X,"&lt;="&amp;N$9,операции!$L:$L,P$9,операции!$P:$P,$F383)/P408)</f>
        <v>42214.204841415674</v>
      </c>
      <c r="Q409" s="237">
        <f>IF(Q408=0,0,SUMIFS(операции!$AF:$AF,операции!$X:$X,"&gt;="&amp;N$8,операции!$X:$X,"&lt;="&amp;N$9,операции!$L:$L,Q$9,операции!$P:$P,$F383)/Q408)</f>
        <v>0</v>
      </c>
      <c r="R409" s="238"/>
      <c r="S409" s="193">
        <f>IF(S408=0,0,SUMIFS(операции!$AF:$AF,операции!$X:$X,"&gt;="&amp;S$8,операции!$X:$X,"&lt;="&amp;S$9,операции!$P:$P,$F383)/S408)</f>
        <v>42235.75758902618</v>
      </c>
      <c r="T409" s="196"/>
      <c r="U409" s="193">
        <f>IF(U408=0,0,SUMIFS(операции!$AF:$AF,операции!$X:$X,"&gt;="&amp;S$8,операции!$X:$X,"&lt;="&amp;S$9,операции!$L:$L,U$9,операции!$P:$P,$F383)/U408)</f>
        <v>42235.75758902618</v>
      </c>
      <c r="V409" s="237">
        <f>IF(V408=0,0,SUMIFS(операции!$AF:$AF,операции!$X:$X,"&gt;="&amp;S$8,операции!$X:$X,"&lt;="&amp;S$9,операции!$L:$L,V$9,операции!$P:$P,$F383)/V408)</f>
        <v>0</v>
      </c>
      <c r="W409" s="238"/>
      <c r="X409" s="193">
        <f>IF(X408=0,0,SUMIFS(операции!$AF:$AF,операции!$X:$X,"&gt;="&amp;X$8,операции!$X:$X,"&lt;="&amp;X$9,операции!$P:$P,$F383)/X408)</f>
        <v>42240.030484653449</v>
      </c>
      <c r="Y409" s="196"/>
      <c r="Z409" s="193">
        <f>IF(Z408=0,0,SUMIFS(операции!$AF:$AF,операции!$X:$X,"&gt;="&amp;X$8,операции!$X:$X,"&lt;="&amp;X$9,операции!$L:$L,Z$9,операции!$P:$P,$F383)/Z408)</f>
        <v>42240.030484653449</v>
      </c>
      <c r="AA409" s="237">
        <f>IF(AA408=0,0,SUMIFS(операции!$AF:$AF,операции!$X:$X,"&gt;="&amp;X$8,операции!$X:$X,"&lt;="&amp;X$9,операции!$L:$L,AA$9,операции!$P:$P,$F383)/AA408)</f>
        <v>0</v>
      </c>
      <c r="AB409" s="265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</row>
    <row r="410" spans="1:42" s="192" customFormat="1" ht="11.25">
      <c r="A410" s="37"/>
      <c r="B410" s="37"/>
      <c r="C410" s="37"/>
      <c r="D410" s="191" t="s">
        <v>308</v>
      </c>
      <c r="E410" s="191"/>
      <c r="F410" s="191" t="str">
        <f t="shared" si="646"/>
        <v>Одежда и обувь</v>
      </c>
      <c r="G410" s="191" t="s">
        <v>262</v>
      </c>
      <c r="H410" s="315"/>
      <c r="I410" s="316">
        <f>IF(I408=0,0,(I418*I420+I428*I430)/I408)</f>
        <v>42278.039962270137</v>
      </c>
      <c r="J410" s="317"/>
      <c r="K410" s="316">
        <f t="shared" ref="K410:L410" si="691">IF(K408=0,0,(K418*K420+K428*K430)/K408)</f>
        <v>42278.039962270137</v>
      </c>
      <c r="L410" s="318">
        <f t="shared" si="691"/>
        <v>0</v>
      </c>
      <c r="M410" s="274"/>
      <c r="N410" s="193">
        <f>IF(N408=0,0,(N418*N420+N428*N430)/N408)</f>
        <v>42260.169129983224</v>
      </c>
      <c r="O410" s="196"/>
      <c r="P410" s="193">
        <f t="shared" ref="P410:Q410" si="692">IF(P408=0,0,(P418*P420+P428*P430)/P408)</f>
        <v>42260.169129983224</v>
      </c>
      <c r="Q410" s="237">
        <f t="shared" si="692"/>
        <v>0</v>
      </c>
      <c r="R410" s="238"/>
      <c r="S410" s="193">
        <f>IF(S408=0,0,(S418*S420+S428*S430)/S408)</f>
        <v>42267.892593591627</v>
      </c>
      <c r="T410" s="196"/>
      <c r="U410" s="193">
        <f t="shared" ref="U410:V410" si="693">IF(U408=0,0,(U418*U420+U428*U430)/U408)</f>
        <v>42267.892593591627</v>
      </c>
      <c r="V410" s="237">
        <f t="shared" si="693"/>
        <v>0</v>
      </c>
      <c r="W410" s="238"/>
      <c r="X410" s="193">
        <f>IF(X408=0,0,(X418*X420+X428*X430)/X408)</f>
        <v>42289.285462577478</v>
      </c>
      <c r="Y410" s="196"/>
      <c r="Z410" s="193">
        <f t="shared" ref="Z410:AA410" si="694">IF(Z408=0,0,(Z418*Z420+Z428*Z430)/Z408)</f>
        <v>42289.285462577478</v>
      </c>
      <c r="AA410" s="237">
        <f t="shared" si="694"/>
        <v>0</v>
      </c>
      <c r="AB410" s="265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</row>
    <row r="411" spans="1:42" s="93" customFormat="1" ht="15">
      <c r="A411" s="92"/>
      <c r="B411" s="92"/>
      <c r="C411" s="92"/>
      <c r="D411" s="151" t="s">
        <v>278</v>
      </c>
      <c r="E411" s="151"/>
      <c r="F411" s="151" t="str">
        <f t="shared" si="646"/>
        <v>Одежда и обувь</v>
      </c>
      <c r="G411" s="151" t="s">
        <v>261</v>
      </c>
      <c r="H411" s="311"/>
      <c r="I411" s="312">
        <f>I403-I408</f>
        <v>42597.869999999995</v>
      </c>
      <c r="J411" s="313">
        <f>I411-K411-L411</f>
        <v>0</v>
      </c>
      <c r="K411" s="312">
        <f t="shared" ref="K411:L411" si="695">K403-K408</f>
        <v>42597.869999999995</v>
      </c>
      <c r="L411" s="314">
        <f t="shared" si="695"/>
        <v>0</v>
      </c>
      <c r="M411" s="273"/>
      <c r="N411" s="152">
        <f>N403-N408</f>
        <v>3249</v>
      </c>
      <c r="O411" s="170">
        <f>N411-P411-Q411</f>
        <v>0</v>
      </c>
      <c r="P411" s="152">
        <f t="shared" ref="P411:Q411" si="696">P403-P408</f>
        <v>3249</v>
      </c>
      <c r="Q411" s="235">
        <f t="shared" si="696"/>
        <v>0</v>
      </c>
      <c r="R411" s="236"/>
      <c r="S411" s="152">
        <f>S403-S408</f>
        <v>30103.239999999998</v>
      </c>
      <c r="T411" s="170">
        <f>S411-U411-V411</f>
        <v>0</v>
      </c>
      <c r="U411" s="152">
        <f t="shared" ref="U411:V411" si="697">U403-U408</f>
        <v>30103.239999999998</v>
      </c>
      <c r="V411" s="235">
        <f t="shared" si="697"/>
        <v>0</v>
      </c>
      <c r="W411" s="236"/>
      <c r="X411" s="152">
        <f>X403-X408</f>
        <v>9245.6299999999974</v>
      </c>
      <c r="Y411" s="170">
        <f>X411-Z411-AA411</f>
        <v>0</v>
      </c>
      <c r="Z411" s="152">
        <f t="shared" ref="Z411:AA411" si="698">Z403-Z408</f>
        <v>9245.6299999999974</v>
      </c>
      <c r="AA411" s="235">
        <f t="shared" si="698"/>
        <v>0</v>
      </c>
      <c r="AB411" s="264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</row>
    <row r="412" spans="1:42" s="211" customFormat="1">
      <c r="A412" s="210"/>
      <c r="B412" s="210"/>
      <c r="C412" s="210"/>
      <c r="D412" s="218" t="s">
        <v>277</v>
      </c>
      <c r="E412" s="218"/>
      <c r="F412" s="218" t="str">
        <f t="shared" si="646"/>
        <v>Одежда и обувь</v>
      </c>
      <c r="G412" s="218" t="s">
        <v>218</v>
      </c>
      <c r="H412" s="343"/>
      <c r="I412" s="344">
        <f>IF(I403=0,0,(I411/I403))</f>
        <v>0.32064636808430558</v>
      </c>
      <c r="J412" s="345"/>
      <c r="K412" s="344">
        <f t="shared" ref="K412" si="699">IF(K403=0,0,(K411/K403))</f>
        <v>0.32064636808430558</v>
      </c>
      <c r="L412" s="346">
        <f t="shared" ref="L412" si="700">IF(L403=0,0,(L411/L403))</f>
        <v>0</v>
      </c>
      <c r="M412" s="280"/>
      <c r="N412" s="219">
        <f>IF(N403=0,0,(N411/N403))</f>
        <v>0.11487465968956617</v>
      </c>
      <c r="O412" s="220"/>
      <c r="P412" s="219">
        <f t="shared" ref="P412" si="701">IF(P403=0,0,(P411/P403))</f>
        <v>0.11487465968956617</v>
      </c>
      <c r="Q412" s="252">
        <f t="shared" ref="Q412" si="702">IF(Q403=0,0,(Q411/Q403))</f>
        <v>0</v>
      </c>
      <c r="R412" s="253"/>
      <c r="S412" s="219">
        <f>IF(S403=0,0,(S411/S403))</f>
        <v>0.38193841430148318</v>
      </c>
      <c r="T412" s="220"/>
      <c r="U412" s="219">
        <f t="shared" ref="U412" si="703">IF(U403=0,0,(U411/U403))</f>
        <v>0.38193841430148318</v>
      </c>
      <c r="V412" s="252">
        <f t="shared" ref="V412" si="704">IF(V403=0,0,(V411/V403))</f>
        <v>0</v>
      </c>
      <c r="W412" s="253"/>
      <c r="X412" s="219">
        <f>IF(X403=0,0,(X411/X403))</f>
        <v>0.35905359223300959</v>
      </c>
      <c r="Y412" s="220"/>
      <c r="Z412" s="219">
        <f t="shared" ref="Z412" si="705">IF(Z403=0,0,(Z411/Z403))</f>
        <v>0.35905359223300959</v>
      </c>
      <c r="AA412" s="252">
        <f t="shared" ref="AA412" si="706">IF(AA403=0,0,(AA411/AA403))</f>
        <v>0</v>
      </c>
      <c r="AB412" s="267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</row>
    <row r="413" spans="1:42" s="93" customFormat="1" ht="15">
      <c r="A413" s="92"/>
      <c r="B413" s="92"/>
      <c r="C413" s="92"/>
      <c r="D413" s="198" t="s">
        <v>220</v>
      </c>
      <c r="E413" s="198"/>
      <c r="F413" s="198" t="str">
        <f t="shared" si="646"/>
        <v>Одежда и обувь</v>
      </c>
      <c r="G413" s="198" t="s">
        <v>219</v>
      </c>
      <c r="H413" s="323"/>
      <c r="I413" s="324">
        <f>I407-I409</f>
        <v>94.123083225596929</v>
      </c>
      <c r="J413" s="321">
        <f>I413-SUMIFS(ПОбТЗ!$I:$I,ПОбТЗ!$E:$E,$D413,ПОбТЗ!$F:$F,$F413)</f>
        <v>0</v>
      </c>
      <c r="K413" s="324">
        <f t="shared" ref="K413:L413" si="707">K407-K409</f>
        <v>94.123083225596929</v>
      </c>
      <c r="L413" s="325">
        <f t="shared" si="707"/>
        <v>0</v>
      </c>
      <c r="M413" s="276"/>
      <c r="N413" s="199">
        <f>N407-N409</f>
        <v>89.050859888993728</v>
      </c>
      <c r="O413" s="173">
        <f>N413-SUMIFS(ПОбТЗ_2!$J:$J,ПОбТЗ_2!$D:$D,$D413,ПОбТЗ_2!$E:$E,$F413)</f>
        <v>0</v>
      </c>
      <c r="P413" s="199">
        <f t="shared" ref="P413:Q413" si="708">P407-P409</f>
        <v>89.050859888993728</v>
      </c>
      <c r="Q413" s="241">
        <f t="shared" si="708"/>
        <v>0</v>
      </c>
      <c r="R413" s="242"/>
      <c r="S413" s="199">
        <f>S407-S409</f>
        <v>91.663081641316239</v>
      </c>
      <c r="T413" s="173">
        <f>S413-SUMIFS(ПОбТЗ_2!$K:$K,ПОбТЗ_2!$D:$D,$D413,ПОбТЗ_2!$E:$E,$F413)</f>
        <v>0</v>
      </c>
      <c r="U413" s="199">
        <f t="shared" ref="U413:V413" si="709">U407-U409</f>
        <v>91.663081641316239</v>
      </c>
      <c r="V413" s="241">
        <f t="shared" si="709"/>
        <v>0</v>
      </c>
      <c r="W413" s="242"/>
      <c r="X413" s="199">
        <f>X407-X409</f>
        <v>99.81203961839492</v>
      </c>
      <c r="Y413" s="173">
        <f>X413-SUMIFS(ПОбТЗ_2!$L:$L,ПОбТЗ_2!$D:$D,$D413,ПОбТЗ_2!$E:$E,$F413)</f>
        <v>0</v>
      </c>
      <c r="Z413" s="199">
        <f t="shared" ref="Z413:AA413" si="710">Z407-Z409</f>
        <v>99.81203961839492</v>
      </c>
      <c r="AA413" s="241">
        <f t="shared" si="710"/>
        <v>0</v>
      </c>
      <c r="AB413" s="264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</row>
    <row r="414" spans="1:42" s="5" customFormat="1">
      <c r="A414" s="1"/>
      <c r="B414" s="1"/>
      <c r="C414" s="1"/>
      <c r="D414" s="227" t="s">
        <v>309</v>
      </c>
      <c r="E414" s="227"/>
      <c r="F414" s="227" t="str">
        <f t="shared" si="646"/>
        <v>Одежда и обувь</v>
      </c>
      <c r="G414" s="227" t="s">
        <v>219</v>
      </c>
      <c r="H414" s="347"/>
      <c r="I414" s="348">
        <f>I410-I409</f>
        <v>47.479259270665352</v>
      </c>
      <c r="J414" s="321"/>
      <c r="K414" s="348">
        <f t="shared" ref="K414:L414" si="711">K410-K409</f>
        <v>47.479259270665352</v>
      </c>
      <c r="L414" s="349">
        <f t="shared" si="711"/>
        <v>0</v>
      </c>
      <c r="M414" s="281"/>
      <c r="N414" s="228">
        <f>N410-N409</f>
        <v>45.964288567549374</v>
      </c>
      <c r="O414" s="173"/>
      <c r="P414" s="228">
        <f t="shared" ref="P414:Q414" si="712">P410-P409</f>
        <v>45.964288567549374</v>
      </c>
      <c r="Q414" s="254">
        <f t="shared" si="712"/>
        <v>0</v>
      </c>
      <c r="R414" s="255"/>
      <c r="S414" s="228">
        <f>S410-S409</f>
        <v>32.135004565447161</v>
      </c>
      <c r="T414" s="173"/>
      <c r="U414" s="228">
        <f t="shared" ref="U414:V414" si="713">U410-U409</f>
        <v>32.135004565447161</v>
      </c>
      <c r="V414" s="254">
        <f t="shared" si="713"/>
        <v>0</v>
      </c>
      <c r="W414" s="255"/>
      <c r="X414" s="228">
        <f>X410-X409</f>
        <v>49.254977924028935</v>
      </c>
      <c r="Y414" s="173"/>
      <c r="Z414" s="228">
        <f t="shared" ref="Z414:AA414" si="714">Z410-Z409</f>
        <v>49.254977924028935</v>
      </c>
      <c r="AA414" s="254">
        <f t="shared" si="714"/>
        <v>0</v>
      </c>
      <c r="AB414" s="266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s="5" customFormat="1">
      <c r="A415" s="1"/>
      <c r="B415" s="1"/>
      <c r="C415" s="1"/>
      <c r="D415" s="225" t="s">
        <v>310</v>
      </c>
      <c r="E415" s="225"/>
      <c r="F415" s="225" t="str">
        <f t="shared" si="646"/>
        <v>Одежда и обувь</v>
      </c>
      <c r="G415" s="225" t="s">
        <v>219</v>
      </c>
      <c r="H415" s="350"/>
      <c r="I415" s="351">
        <f>I413-I414</f>
        <v>46.643823954931577</v>
      </c>
      <c r="J415" s="352"/>
      <c r="K415" s="351">
        <f t="shared" ref="K415" si="715">K413-K414</f>
        <v>46.643823954931577</v>
      </c>
      <c r="L415" s="353">
        <f t="shared" ref="L415" si="716">L413-L414</f>
        <v>0</v>
      </c>
      <c r="M415" s="282"/>
      <c r="N415" s="226">
        <f>N413-N414</f>
        <v>43.086571321444353</v>
      </c>
      <c r="O415" s="181"/>
      <c r="P415" s="226">
        <f t="shared" ref="P415" si="717">P413-P414</f>
        <v>43.086571321444353</v>
      </c>
      <c r="Q415" s="256">
        <f t="shared" ref="Q415" si="718">Q413-Q414</f>
        <v>0</v>
      </c>
      <c r="R415" s="257"/>
      <c r="S415" s="226">
        <f>S413-S414</f>
        <v>59.528077075869078</v>
      </c>
      <c r="T415" s="181"/>
      <c r="U415" s="226">
        <f t="shared" ref="U415" si="719">U413-U414</f>
        <v>59.528077075869078</v>
      </c>
      <c r="V415" s="256">
        <f t="shared" ref="V415" si="720">V413-V414</f>
        <v>0</v>
      </c>
      <c r="W415" s="257"/>
      <c r="X415" s="226">
        <f>X413-X414</f>
        <v>50.557061694365984</v>
      </c>
      <c r="Y415" s="181"/>
      <c r="Z415" s="226">
        <f t="shared" ref="Z415" si="721">Z413-Z414</f>
        <v>50.557061694365984</v>
      </c>
      <c r="AA415" s="256">
        <f t="shared" ref="AA415" si="722">AA413-AA414</f>
        <v>0</v>
      </c>
      <c r="AB415" s="266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s="5" customFormat="1">
      <c r="A416" s="1"/>
      <c r="B416" s="1"/>
      <c r="C416" s="1"/>
      <c r="D416" s="223"/>
      <c r="E416" s="223" t="s">
        <v>293</v>
      </c>
      <c r="F416" s="223" t="str">
        <f t="shared" si="646"/>
        <v>Одежда и обувь</v>
      </c>
      <c r="G416" s="223" t="s">
        <v>261</v>
      </c>
      <c r="H416" s="354"/>
      <c r="I416" s="355">
        <f>SUMIFS(операции!$Z:$Z,операции!$X:$X,"&gt;="&amp;I$8,операции!$X:$X,"&lt;="&amp;I$9,операции!$AB:$AB,"&lt;&gt;"&amp;"",операции!$P:$P,$F383)</f>
        <v>119087</v>
      </c>
      <c r="J416" s="341">
        <f>I416-K416-L416</f>
        <v>0</v>
      </c>
      <c r="K416" s="355">
        <f>SUMIFS(операции!$Z:$Z,операции!$X:$X,"&gt;="&amp;I$8,операции!$X:$X,"&lt;="&amp;I$9,операции!$AB:$AB,"&lt;&gt;"&amp;"",операции!$L:$L,K$9,операции!$P:$P,$F383)</f>
        <v>119087</v>
      </c>
      <c r="L416" s="356">
        <f>SUMIFS(операции!$Z:$Z,операции!$X:$X,"&gt;="&amp;I$8,операции!$X:$X,"&lt;="&amp;I$9,операции!$AB:$AB,"&lt;&gt;"&amp;"",операции!$L:$L,L$9,операции!$P:$P,$F383)</f>
        <v>0</v>
      </c>
      <c r="M416" s="283"/>
      <c r="N416" s="224">
        <f>SUMIFS(операции!$Z:$Z,операции!$X:$X,"&gt;="&amp;N$8,операции!$X:$X,"&lt;="&amp;N$9,операции!$AB:$AB,"&lt;&gt;"&amp;"",операции!$P:$P,$F383)</f>
        <v>16383</v>
      </c>
      <c r="O416" s="216">
        <f>N416-P416-Q416</f>
        <v>0</v>
      </c>
      <c r="P416" s="224">
        <f>SUMIFS(операции!$Z:$Z,операции!$X:$X,"&gt;="&amp;N$8,операции!$X:$X,"&lt;="&amp;N$9,операции!$AB:$AB,"&lt;&gt;"&amp;"",операции!$L:$L,P$9,операции!$P:$P,$F383)</f>
        <v>16383</v>
      </c>
      <c r="Q416" s="258">
        <f>SUMIFS(операции!$Z:$Z,операции!$X:$X,"&gt;="&amp;N$8,операции!$X:$X,"&lt;="&amp;N$9,операции!$AB:$AB,"&lt;&gt;"&amp;"",операции!$L:$L,Q$9,операции!$P:$P,$F383)</f>
        <v>0</v>
      </c>
      <c r="R416" s="259"/>
      <c r="S416" s="224">
        <f>SUMIFS(операции!$Z:$Z,операции!$X:$X,"&gt;="&amp;S$8,операции!$X:$X,"&lt;="&amp;S$9,операции!$AB:$AB,"&lt;&gt;"&amp;"",операции!$P:$P,$F383)</f>
        <v>78817</v>
      </c>
      <c r="T416" s="216">
        <f>S416-U416-V416</f>
        <v>0</v>
      </c>
      <c r="U416" s="224">
        <f>SUMIFS(операции!$Z:$Z,операции!$X:$X,"&gt;="&amp;S$8,операции!$X:$X,"&lt;="&amp;S$9,операции!$AB:$AB,"&lt;&gt;"&amp;"",операции!$L:$L,U$9,операции!$P:$P,$F383)</f>
        <v>78817</v>
      </c>
      <c r="V416" s="258">
        <f>SUMIFS(операции!$Z:$Z,операции!$X:$X,"&gt;="&amp;S$8,операции!$X:$X,"&lt;="&amp;S$9,операции!$AB:$AB,"&lt;&gt;"&amp;"",операции!$L:$L,V$9,операции!$P:$P,$F383)</f>
        <v>0</v>
      </c>
      <c r="W416" s="259"/>
      <c r="X416" s="224">
        <f>SUMIFS(операции!$Z:$Z,операции!$X:$X,"&gt;="&amp;X$8,операции!$X:$X,"&lt;="&amp;X$9,операции!$AB:$AB,"&lt;&gt;"&amp;"",операции!$P:$P,$F383)</f>
        <v>23887</v>
      </c>
      <c r="Y416" s="216">
        <f>X416-Z416-AA416</f>
        <v>0</v>
      </c>
      <c r="Z416" s="224">
        <f>SUMIFS(операции!$Z:$Z,операции!$X:$X,"&gt;="&amp;X$8,операции!$X:$X,"&lt;="&amp;X$9,операции!$AB:$AB,"&lt;&gt;"&amp;"",операции!$L:$L,Z$9,операции!$P:$P,$F383)</f>
        <v>23887</v>
      </c>
      <c r="AA416" s="258">
        <f>SUMIFS(операции!$Z:$Z,операции!$X:$X,"&gt;="&amp;X$8,операции!$X:$X,"&lt;="&amp;X$9,операции!$AB:$AB,"&lt;&gt;"&amp;"",операции!$L:$L,AA$9,операции!$P:$P,$F383)</f>
        <v>0</v>
      </c>
      <c r="AB416" s="266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s="192" customFormat="1" ht="11.25">
      <c r="A417" s="37"/>
      <c r="B417" s="37"/>
      <c r="C417" s="37"/>
      <c r="D417" s="191"/>
      <c r="E417" s="191" t="s">
        <v>295</v>
      </c>
      <c r="F417" s="191" t="str">
        <f t="shared" si="646"/>
        <v>Одежда и обувь</v>
      </c>
      <c r="G417" s="191" t="s">
        <v>262</v>
      </c>
      <c r="H417" s="315"/>
      <c r="I417" s="316">
        <f>IF(I416=0,0,SUMIFS(операции!$AG:$AG,операции!$X:$X,"&gt;="&amp;I$8,операции!$X:$X,"&lt;="&amp;I$9,операции!$AB:$AB,"&lt;&gt;"&amp;"",операции!$P:$P,$F383)/I416)</f>
        <v>42327.126252235757</v>
      </c>
      <c r="J417" s="317"/>
      <c r="K417" s="316">
        <f>IF(K416=0,0,SUMIFS(операции!$AG:$AG,операции!$X:$X,"&gt;="&amp;I$8,операции!$X:$X,"&lt;="&amp;I$9,операции!$AB:$AB,"&lt;&gt;"&amp;"",операции!$L:$L,K$9,операции!$P:$P,$F383)/K416)</f>
        <v>42327.126252235757</v>
      </c>
      <c r="L417" s="318">
        <f>IF(L416=0,0,SUMIFS(операции!$AG:$AG,операции!$X:$X,"&gt;="&amp;I$8,операции!$X:$X,"&lt;="&amp;I$9,операции!$AB:$AB,"&lt;&gt;"&amp;"",операции!$L:$L,L$9,операции!$P:$P,$F383)/L416)</f>
        <v>0</v>
      </c>
      <c r="M417" s="274"/>
      <c r="N417" s="193">
        <f>IF(N416=0,0,SUMIFS(операции!$AG:$AG,операции!$X:$X,"&gt;="&amp;N$8,операции!$X:$X,"&lt;="&amp;N$9,операции!$AB:$AB,"&lt;&gt;"&amp;"",операции!$P:$P,$F383)/N416)</f>
        <v>42307.073246658125</v>
      </c>
      <c r="O417" s="196"/>
      <c r="P417" s="193">
        <f>IF(P416=0,0,SUMIFS(операции!$AG:$AG,операции!$X:$X,"&gt;="&amp;N$8,операции!$X:$X,"&lt;="&amp;N$9,операции!$AB:$AB,"&lt;&gt;"&amp;"",операции!$L:$L,P$9,операции!$P:$P,$F383)/P416)</f>
        <v>42307.073246658125</v>
      </c>
      <c r="Q417" s="237">
        <f>IF(Q416=0,0,SUMIFS(операции!$AG:$AG,операции!$X:$X,"&gt;="&amp;N$8,операции!$X:$X,"&lt;="&amp;N$9,операции!$AB:$AB,"&lt;&gt;"&amp;"",операции!$L:$L,Q$9,операции!$P:$P,$F383)/Q416)</f>
        <v>0</v>
      </c>
      <c r="R417" s="238"/>
      <c r="S417" s="193">
        <f>IF(S416=0,0,SUMIFS(операции!$AG:$AG,операции!$X:$X,"&gt;="&amp;S$8,операции!$X:$X,"&lt;="&amp;S$9,операции!$AB:$AB,"&lt;&gt;"&amp;"",операции!$P:$P,$F383)/S416)</f>
        <v>42327.420670667496</v>
      </c>
      <c r="T417" s="196"/>
      <c r="U417" s="193">
        <f>IF(U416=0,0,SUMIFS(операции!$AG:$AG,операции!$X:$X,"&gt;="&amp;S$8,операции!$X:$X,"&lt;="&amp;S$9,операции!$AB:$AB,"&lt;&gt;"&amp;"",операции!$L:$L,U$9,операции!$P:$P,$F383)/U416)</f>
        <v>42327.420670667496</v>
      </c>
      <c r="V417" s="237">
        <f>IF(V416=0,0,SUMIFS(операции!$AG:$AG,операции!$X:$X,"&gt;="&amp;S$8,операции!$X:$X,"&lt;="&amp;S$9,операции!$AB:$AB,"&lt;&gt;"&amp;"",операции!$L:$L,V$9,операции!$P:$P,$F383)/V416)</f>
        <v>0</v>
      </c>
      <c r="W417" s="238"/>
      <c r="X417" s="193">
        <f>IF(X416=0,0,SUMIFS(операции!$AG:$AG,операции!$X:$X,"&gt;="&amp;X$8,операции!$X:$X,"&lt;="&amp;X$9,операции!$AB:$AB,"&lt;&gt;"&amp;"",операции!$P:$P,$F383)/X416)</f>
        <v>42339.908234604598</v>
      </c>
      <c r="Y417" s="196"/>
      <c r="Z417" s="193">
        <f>IF(Z416=0,0,SUMIFS(операции!$AG:$AG,операции!$X:$X,"&gt;="&amp;X$8,операции!$X:$X,"&lt;="&amp;X$9,операции!$AB:$AB,"&lt;&gt;"&amp;"",операции!$L:$L,Z$9,операции!$P:$P,$F383)/Z416)</f>
        <v>42339.908234604598</v>
      </c>
      <c r="AA417" s="237">
        <f>IF(AA416=0,0,SUMIFS(операции!$AG:$AG,операции!$X:$X,"&gt;="&amp;X$8,операции!$X:$X,"&lt;="&amp;X$9,операции!$AB:$AB,"&lt;&gt;"&amp;"",операции!$L:$L,AA$9,операции!$P:$P,$F383)/AA416)</f>
        <v>0</v>
      </c>
      <c r="AB417" s="265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</row>
    <row r="418" spans="1:42" s="93" customFormat="1" ht="15">
      <c r="A418" s="92"/>
      <c r="B418" s="92"/>
      <c r="C418" s="92"/>
      <c r="D418" s="151"/>
      <c r="E418" s="151" t="s">
        <v>292</v>
      </c>
      <c r="F418" s="151" t="str">
        <f t="shared" si="646"/>
        <v>Одежда и обувь</v>
      </c>
      <c r="G418" s="151" t="s">
        <v>261</v>
      </c>
      <c r="H418" s="311"/>
      <c r="I418" s="312">
        <f>SUMIFS(операции!$V:$V,операции!$X:$X,"&gt;="&amp;I$8,операции!$X:$X,"&lt;="&amp;I$9,операции!$AB:$AB,"&lt;&gt;"&amp;"",операции!$P:$P,$F383)</f>
        <v>76487.34</v>
      </c>
      <c r="J418" s="313">
        <f>I418-K418-L418</f>
        <v>0</v>
      </c>
      <c r="K418" s="312">
        <f>SUMIFS(операции!$V:$V,операции!$X:$X,"&gt;="&amp;I$8,операции!$X:$X,"&lt;="&amp;I$9,операции!$AB:$AB,"&lt;&gt;"&amp;"",операции!$L:$L,K$9,операции!$P:$P,$F383)</f>
        <v>76487.34</v>
      </c>
      <c r="L418" s="314">
        <f>SUMIFS(операции!$V:$V,операции!$X:$X,"&gt;="&amp;I$8,операции!$X:$X,"&lt;="&amp;I$9,операции!$AB:$AB,"&lt;&gt;"&amp;"",операции!$L:$L,L$9,операции!$P:$P,$F383)</f>
        <v>0</v>
      </c>
      <c r="M418" s="273"/>
      <c r="N418" s="152">
        <f>SUMIFS(операции!$V:$V,операции!$X:$X,"&gt;="&amp;N$8,операции!$X:$X,"&lt;="&amp;N$9,операции!$AB:$AB,"&lt;&gt;"&amp;"",операции!$P:$P,$F383)</f>
        <v>12639</v>
      </c>
      <c r="O418" s="170">
        <f>N418-P418-Q418</f>
        <v>0</v>
      </c>
      <c r="P418" s="152">
        <f>SUMIFS(операции!$V:$V,операции!$X:$X,"&gt;="&amp;N$8,операции!$X:$X,"&lt;="&amp;N$9,операции!$AB:$AB,"&lt;&gt;"&amp;"",операции!$L:$L,P$9,операции!$P:$P,$F383)</f>
        <v>12639</v>
      </c>
      <c r="Q418" s="235">
        <f>SUMIFS(операции!$V:$V,операции!$X:$X,"&gt;="&amp;N$8,операции!$X:$X,"&lt;="&amp;N$9,операции!$AB:$AB,"&lt;&gt;"&amp;"",операции!$L:$L,Q$9,операции!$P:$P,$F383)</f>
        <v>0</v>
      </c>
      <c r="R418" s="236"/>
      <c r="S418" s="152">
        <f>SUMIFS(операции!$V:$V,операции!$X:$X,"&gt;="&amp;S$8,операции!$X:$X,"&lt;="&amp;S$9,операции!$AB:$AB,"&lt;&gt;"&amp;"",операции!$P:$P,$F383)</f>
        <v>48713.760000000002</v>
      </c>
      <c r="T418" s="170">
        <f>S418-U418-V418</f>
        <v>0</v>
      </c>
      <c r="U418" s="152">
        <f>SUMIFS(операции!$V:$V,операции!$X:$X,"&gt;="&amp;S$8,операции!$X:$X,"&lt;="&amp;S$9,операции!$AB:$AB,"&lt;&gt;"&amp;"",операции!$L:$L,U$9,операции!$P:$P,$F383)</f>
        <v>48713.760000000002</v>
      </c>
      <c r="V418" s="235">
        <f>SUMIFS(операции!$V:$V,операции!$X:$X,"&gt;="&amp;S$8,операции!$X:$X,"&lt;="&amp;S$9,операции!$AB:$AB,"&lt;&gt;"&amp;"",операции!$L:$L,V$9,операции!$P:$P,$F383)</f>
        <v>0</v>
      </c>
      <c r="W418" s="236"/>
      <c r="X418" s="152">
        <f>SUMIFS(операции!$V:$V,операции!$X:$X,"&gt;="&amp;X$8,операции!$X:$X,"&lt;="&amp;X$9,операции!$AB:$AB,"&lt;&gt;"&amp;"",операции!$P:$P,$F383)</f>
        <v>15134.580000000002</v>
      </c>
      <c r="Y418" s="170">
        <f>X418-Z418-AA418</f>
        <v>0</v>
      </c>
      <c r="Z418" s="152">
        <f>SUMIFS(операции!$V:$V,операции!$X:$X,"&gt;="&amp;X$8,операции!$X:$X,"&lt;="&amp;X$9,операции!$AB:$AB,"&lt;&gt;"&amp;"",операции!$L:$L,Z$9,операции!$P:$P,$F383)</f>
        <v>15134.580000000002</v>
      </c>
      <c r="AA418" s="235">
        <f>SUMIFS(операции!$V:$V,операции!$X:$X,"&gt;="&amp;X$8,операции!$X:$X,"&lt;="&amp;X$9,операции!$AB:$AB,"&lt;&gt;"&amp;"",операции!$L:$L,AA$9,операции!$P:$P,$F383)</f>
        <v>0</v>
      </c>
      <c r="AB418" s="264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</row>
    <row r="419" spans="1:42" s="192" customFormat="1" ht="11.25">
      <c r="A419" s="37"/>
      <c r="B419" s="37"/>
      <c r="C419" s="37"/>
      <c r="D419" s="191"/>
      <c r="E419" s="191" t="s">
        <v>294</v>
      </c>
      <c r="F419" s="191" t="str">
        <f t="shared" si="646"/>
        <v>Одежда и обувь</v>
      </c>
      <c r="G419" s="191" t="s">
        <v>262</v>
      </c>
      <c r="H419" s="315"/>
      <c r="I419" s="316">
        <f>IF(I418=0,0,SUMIFS(операции!$AF:$AF,операции!$X:$X,"&gt;="&amp;I$8,операции!$X:$X,"&lt;="&amp;I$9,операции!$AB:$AB,"&lt;&gt;"&amp;"",операции!$P:$P,$F383)/I418)</f>
        <v>42231.968944272347</v>
      </c>
      <c r="J419" s="317"/>
      <c r="K419" s="316">
        <f>IF(K418=0,0,SUMIFS(операции!$AF:$AF,операции!$X:$X,"&gt;="&amp;I$8,операции!$X:$X,"&lt;="&amp;I$9,операции!$AB:$AB,"&lt;&gt;"&amp;"",операции!$L:$L,K$9,операции!$P:$P,$F383)/K418)</f>
        <v>42231.968944272347</v>
      </c>
      <c r="L419" s="318">
        <f>IF(L418=0,0,SUMIFS(операции!$AF:$AF,операции!$X:$X,"&gt;="&amp;I$8,операции!$X:$X,"&lt;="&amp;I$9,операции!$AB:$AB,"&lt;&gt;"&amp;"",операции!$L:$L,L$9,операции!$P:$P,$F383)/L418)</f>
        <v>0</v>
      </c>
      <c r="M419" s="274"/>
      <c r="N419" s="193">
        <f>IF(N418=0,0,SUMIFS(операции!$AF:$AF,операции!$X:$X,"&gt;="&amp;N$8,операции!$X:$X,"&lt;="&amp;N$9,операции!$AB:$AB,"&lt;&gt;"&amp;"",операции!$P:$P,$F383)/N418)</f>
        <v>42198.714613497905</v>
      </c>
      <c r="O419" s="196"/>
      <c r="P419" s="193">
        <f>IF(P418=0,0,SUMIFS(операции!$AF:$AF,операции!$X:$X,"&gt;="&amp;N$8,операции!$X:$X,"&lt;="&amp;N$9,операции!$AB:$AB,"&lt;&gt;"&amp;"",операции!$L:$L,P$9,операции!$P:$P,$F383)/P418)</f>
        <v>42198.714613497905</v>
      </c>
      <c r="Q419" s="237">
        <f>IF(Q418=0,0,SUMIFS(операции!$AF:$AF,операции!$X:$X,"&gt;="&amp;N$8,операции!$X:$X,"&lt;="&amp;N$9,операции!$AB:$AB,"&lt;&gt;"&amp;"",операции!$L:$L,Q$9,операции!$P:$P,$F383)/Q418)</f>
        <v>0</v>
      </c>
      <c r="R419" s="238"/>
      <c r="S419" s="193">
        <f>IF(S418=0,0,SUMIFS(операции!$AF:$AF,операции!$X:$X,"&gt;="&amp;S$8,операции!$X:$X,"&lt;="&amp;S$9,операции!$AB:$AB,"&lt;&gt;"&amp;"",операции!$P:$P,$F383)/S418)</f>
        <v>42235.75758902618</v>
      </c>
      <c r="T419" s="196"/>
      <c r="U419" s="193">
        <f>IF(U418=0,0,SUMIFS(операции!$AF:$AF,операции!$X:$X,"&gt;="&amp;S$8,операции!$X:$X,"&lt;="&amp;S$9,операции!$AB:$AB,"&lt;&gt;"&amp;"",операции!$L:$L,U$9,операции!$P:$P,$F383)/U418)</f>
        <v>42235.75758902618</v>
      </c>
      <c r="V419" s="237">
        <f>IF(V418=0,0,SUMIFS(операции!$AF:$AF,операции!$X:$X,"&gt;="&amp;S$8,операции!$X:$X,"&lt;="&amp;S$9,операции!$AB:$AB,"&lt;&gt;"&amp;"",операции!$L:$L,V$9,операции!$P:$P,$F383)/V418)</f>
        <v>0</v>
      </c>
      <c r="W419" s="238"/>
      <c r="X419" s="193">
        <f>IF(X418=0,0,SUMIFS(операции!$AF:$AF,операции!$X:$X,"&gt;="&amp;X$8,операции!$X:$X,"&lt;="&amp;X$9,операции!$AB:$AB,"&lt;&gt;"&amp;"",операции!$P:$P,$F383)/X418)</f>
        <v>42247.545349788357</v>
      </c>
      <c r="Y419" s="196"/>
      <c r="Z419" s="193">
        <f>IF(Z418=0,0,SUMIFS(операции!$AF:$AF,операции!$X:$X,"&gt;="&amp;X$8,операции!$X:$X,"&lt;="&amp;X$9,операции!$AB:$AB,"&lt;&gt;"&amp;"",операции!$L:$L,Z$9,операции!$P:$P,$F383)/Z418)</f>
        <v>42247.545349788357</v>
      </c>
      <c r="AA419" s="237">
        <f>IF(AA418=0,0,SUMIFS(операции!$AF:$AF,операции!$X:$X,"&gt;="&amp;X$8,операции!$X:$X,"&lt;="&amp;X$9,операции!$AB:$AB,"&lt;&gt;"&amp;"",операции!$L:$L,AA$9,операции!$P:$P,$F383)/AA418)</f>
        <v>0</v>
      </c>
      <c r="AB419" s="265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</row>
    <row r="420" spans="1:42" s="192" customFormat="1" ht="11.25">
      <c r="A420" s="37"/>
      <c r="B420" s="37"/>
      <c r="C420" s="37"/>
      <c r="D420" s="191"/>
      <c r="E420" s="191" t="s">
        <v>299</v>
      </c>
      <c r="F420" s="191" t="str">
        <f t="shared" si="646"/>
        <v>Одежда и обувь</v>
      </c>
      <c r="G420" s="191" t="s">
        <v>262</v>
      </c>
      <c r="H420" s="315"/>
      <c r="I420" s="316">
        <f>IF(I418=0,0,SUMIFS(операции!$AH:$AH,операции!$X:$X,"&gt;="&amp;I$8,операции!$X:$X,"&lt;="&amp;I$9,операции!$AB:$AB,"&lt;&gt;"&amp;"",операции!$P:$P,$F383)/I418)</f>
        <v>42261.670641311357</v>
      </c>
      <c r="J420" s="317"/>
      <c r="K420" s="316">
        <f>IF(K418=0,0,SUMIFS(операции!$AH:$AH,операции!$X:$X,"&gt;="&amp;I$8,операции!$X:$X,"&lt;="&amp;I$9,операции!$AB:$AB,"&lt;&gt;"&amp;"",операции!$L:$L,K$9,операции!$P:$P,$F383)/K418)</f>
        <v>42261.670641311357</v>
      </c>
      <c r="L420" s="318">
        <f>IF(L418=0,0,SUMIFS(операции!$AH:$AH,операции!$X:$X,"&gt;="&amp;I$8,операции!$X:$X,"&lt;="&amp;I$9,операции!$AB:$AB,"&lt;&gt;"&amp;"",операции!$L:$L,L$9,операции!$P:$P,$F383)/L418)</f>
        <v>0</v>
      </c>
      <c r="M420" s="274"/>
      <c r="N420" s="193">
        <f>IF(N418=0,0,SUMIFS(операции!$AH:$AH,операции!$X:$X,"&gt;="&amp;N$8,операции!$X:$X,"&lt;="&amp;N$9,операции!$AB:$AB,"&lt;&gt;"&amp;"",операции!$P:$P,$F383)/N418)</f>
        <v>42213.261650447028</v>
      </c>
      <c r="O420" s="196"/>
      <c r="P420" s="193">
        <f>IF(P418=0,0,SUMIFS(операции!$AH:$AH,операции!$X:$X,"&gt;="&amp;N$8,операции!$X:$X,"&lt;="&amp;N$9,операции!$AB:$AB,"&lt;&gt;"&amp;"",операции!$L:$L,P$9,операции!$P:$P,$F383)/P418)</f>
        <v>42213.261650447028</v>
      </c>
      <c r="Q420" s="237">
        <f>IF(Q418=0,0,SUMIFS(операции!$AH:$AH,операции!$X:$X,"&gt;="&amp;N$8,операции!$X:$X,"&lt;="&amp;N$9,операции!$AB:$AB,"&lt;&gt;"&amp;"",операции!$L:$L,Q$9,операции!$P:$P,$F383)/Q418)</f>
        <v>0</v>
      </c>
      <c r="R420" s="238"/>
      <c r="S420" s="193">
        <f>IF(S418=0,0,SUMIFS(операции!$AH:$AH,операции!$X:$X,"&gt;="&amp;S$8,операции!$X:$X,"&lt;="&amp;S$9,операции!$AB:$AB,"&lt;&gt;"&amp;"",операции!$P:$P,$F383)/S418)</f>
        <v>42267.892593591627</v>
      </c>
      <c r="T420" s="196"/>
      <c r="U420" s="193">
        <f>IF(U418=0,0,SUMIFS(операции!$AH:$AH,операции!$X:$X,"&gt;="&amp;S$8,операции!$X:$X,"&lt;="&amp;S$9,операции!$AB:$AB,"&lt;&gt;"&amp;"",операции!$L:$L,U$9,операции!$P:$P,$F383)/U418)</f>
        <v>42267.892593591627</v>
      </c>
      <c r="V420" s="237">
        <f>IF(V418=0,0,SUMIFS(операции!$AH:$AH,операции!$X:$X,"&gt;="&amp;S$8,операции!$X:$X,"&lt;="&amp;S$9,операции!$AB:$AB,"&lt;&gt;"&amp;"",операции!$L:$L,V$9,операции!$P:$P,$F383)/V418)</f>
        <v>0</v>
      </c>
      <c r="W420" s="238"/>
      <c r="X420" s="193">
        <f>IF(X418=0,0,SUMIFS(операции!$AH:$AH,операции!$X:$X,"&gt;="&amp;X$8,операции!$X:$X,"&lt;="&amp;X$9,операции!$AB:$AB,"&lt;&gt;"&amp;"",операции!$P:$P,$F383)/X418)</f>
        <v>42282.070714879424</v>
      </c>
      <c r="Y420" s="196"/>
      <c r="Z420" s="193">
        <f>IF(Z418=0,0,SUMIFS(операции!$AH:$AH,операции!$X:$X,"&gt;="&amp;X$8,операции!$X:$X,"&lt;="&amp;X$9,операции!$AB:$AB,"&lt;&gt;"&amp;"",операции!$L:$L,Z$9,операции!$P:$P,$F383)/Z418)</f>
        <v>42282.070714879424</v>
      </c>
      <c r="AA420" s="237">
        <f>IF(AA418=0,0,SUMIFS(операции!$AH:$AH,операции!$X:$X,"&gt;="&amp;X$8,операции!$X:$X,"&lt;="&amp;X$9,операции!$AB:$AB,"&lt;&gt;"&amp;"",операции!$L:$L,AA$9,операции!$P:$P,$F383)/AA418)</f>
        <v>0</v>
      </c>
      <c r="AB420" s="265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</row>
    <row r="421" spans="1:42" s="5" customFormat="1">
      <c r="A421" s="1"/>
      <c r="B421" s="1"/>
      <c r="C421" s="1"/>
      <c r="D421" s="168"/>
      <c r="E421" s="168" t="s">
        <v>296</v>
      </c>
      <c r="F421" s="168" t="str">
        <f t="shared" si="646"/>
        <v>Одежда и обувь</v>
      </c>
      <c r="G421" s="168" t="s">
        <v>261</v>
      </c>
      <c r="H421" s="326"/>
      <c r="I421" s="327">
        <f>I416-I418</f>
        <v>42599.66</v>
      </c>
      <c r="J421" s="313">
        <f>I421-K421-L421</f>
        <v>0</v>
      </c>
      <c r="K421" s="327">
        <f t="shared" ref="K421:L421" si="723">K416-K418</f>
        <v>42599.66</v>
      </c>
      <c r="L421" s="328">
        <f t="shared" si="723"/>
        <v>0</v>
      </c>
      <c r="M421" s="277"/>
      <c r="N421" s="169">
        <f>N416-N418</f>
        <v>3744</v>
      </c>
      <c r="O421" s="170">
        <f>N421-P421-Q421</f>
        <v>0</v>
      </c>
      <c r="P421" s="169">
        <f t="shared" ref="P421:Q421" si="724">P416-P418</f>
        <v>3744</v>
      </c>
      <c r="Q421" s="243">
        <f t="shared" si="724"/>
        <v>0</v>
      </c>
      <c r="R421" s="244"/>
      <c r="S421" s="169">
        <f>S416-S418</f>
        <v>30103.239999999998</v>
      </c>
      <c r="T421" s="170">
        <f>S421-U421-V421</f>
        <v>0</v>
      </c>
      <c r="U421" s="169">
        <f t="shared" ref="U421:V421" si="725">U416-U418</f>
        <v>30103.239999999998</v>
      </c>
      <c r="V421" s="243">
        <f t="shared" si="725"/>
        <v>0</v>
      </c>
      <c r="W421" s="244"/>
      <c r="X421" s="169">
        <f>X416-X418</f>
        <v>8752.4199999999983</v>
      </c>
      <c r="Y421" s="170">
        <f>X421-Z421-AA421</f>
        <v>0</v>
      </c>
      <c r="Z421" s="169">
        <f t="shared" ref="Z421:AA421" si="726">Z416-Z418</f>
        <v>8752.4199999999983</v>
      </c>
      <c r="AA421" s="243">
        <f t="shared" si="726"/>
        <v>0</v>
      </c>
      <c r="AB421" s="266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s="211" customFormat="1">
      <c r="A422" s="210"/>
      <c r="B422" s="210"/>
      <c r="C422" s="210"/>
      <c r="D422" s="218"/>
      <c r="E422" s="218" t="s">
        <v>297</v>
      </c>
      <c r="F422" s="218" t="str">
        <f t="shared" si="646"/>
        <v>Одежда и обувь</v>
      </c>
      <c r="G422" s="218" t="s">
        <v>218</v>
      </c>
      <c r="H422" s="343"/>
      <c r="I422" s="344">
        <f>IF(I416=0,0,(I421/I416))</f>
        <v>0.35771881061744776</v>
      </c>
      <c r="J422" s="345"/>
      <c r="K422" s="344">
        <f t="shared" ref="K422" si="727">IF(K416=0,0,(K421/K416))</f>
        <v>0.35771881061744776</v>
      </c>
      <c r="L422" s="346">
        <f t="shared" ref="L422" si="728">IF(L416=0,0,(L421/L416))</f>
        <v>0</v>
      </c>
      <c r="M422" s="280"/>
      <c r="N422" s="219">
        <f>IF(N416=0,0,(N421/N416))</f>
        <v>0.22852957333821644</v>
      </c>
      <c r="O422" s="220"/>
      <c r="P422" s="219">
        <f t="shared" ref="P422" si="729">IF(P416=0,0,(P421/P416))</f>
        <v>0.22852957333821644</v>
      </c>
      <c r="Q422" s="252">
        <f t="shared" ref="Q422" si="730">IF(Q416=0,0,(Q421/Q416))</f>
        <v>0</v>
      </c>
      <c r="R422" s="253"/>
      <c r="S422" s="219">
        <f>IF(S416=0,0,(S421/S416))</f>
        <v>0.38193841430148318</v>
      </c>
      <c r="T422" s="220"/>
      <c r="U422" s="219">
        <f t="shared" ref="U422" si="731">IF(U416=0,0,(U421/U416))</f>
        <v>0.38193841430148318</v>
      </c>
      <c r="V422" s="252">
        <f t="shared" ref="V422" si="732">IF(V416=0,0,(V421/V416))</f>
        <v>0</v>
      </c>
      <c r="W422" s="253"/>
      <c r="X422" s="219">
        <f>IF(X416=0,0,(X421/X416))</f>
        <v>0.36640934399464137</v>
      </c>
      <c r="Y422" s="220"/>
      <c r="Z422" s="219">
        <f t="shared" ref="Z422" si="733">IF(Z416=0,0,(Z421/Z416))</f>
        <v>0.36640934399464137</v>
      </c>
      <c r="AA422" s="252">
        <f t="shared" ref="AA422" si="734">IF(AA416=0,0,(AA421/AA416))</f>
        <v>0</v>
      </c>
      <c r="AB422" s="267"/>
      <c r="AC422" s="210"/>
      <c r="AD422" s="210"/>
      <c r="AE422" s="210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0"/>
    </row>
    <row r="423" spans="1:42" s="5" customFormat="1">
      <c r="A423" s="1"/>
      <c r="B423" s="1"/>
      <c r="C423" s="1"/>
      <c r="D423" s="227"/>
      <c r="E423" s="227" t="s">
        <v>298</v>
      </c>
      <c r="F423" s="227" t="str">
        <f t="shared" si="646"/>
        <v>Одежда и обувь</v>
      </c>
      <c r="G423" s="227" t="s">
        <v>219</v>
      </c>
      <c r="H423" s="347"/>
      <c r="I423" s="348">
        <f>I417-I419</f>
        <v>95.157307963410858</v>
      </c>
      <c r="J423" s="321"/>
      <c r="K423" s="348">
        <f t="shared" ref="K423:L423" si="735">K417-K419</f>
        <v>95.157307963410858</v>
      </c>
      <c r="L423" s="349">
        <f t="shared" si="735"/>
        <v>0</v>
      </c>
      <c r="M423" s="281"/>
      <c r="N423" s="228">
        <f>N417-N419</f>
        <v>108.35863316022005</v>
      </c>
      <c r="O423" s="173"/>
      <c r="P423" s="228">
        <f t="shared" ref="P423:Q423" si="736">P417-P419</f>
        <v>108.35863316022005</v>
      </c>
      <c r="Q423" s="254">
        <f t="shared" si="736"/>
        <v>0</v>
      </c>
      <c r="R423" s="255"/>
      <c r="S423" s="228">
        <f>S417-S419</f>
        <v>91.663081641316239</v>
      </c>
      <c r="T423" s="173"/>
      <c r="U423" s="228">
        <f t="shared" ref="U423:V423" si="737">U417-U419</f>
        <v>91.663081641316239</v>
      </c>
      <c r="V423" s="254">
        <f t="shared" si="737"/>
        <v>0</v>
      </c>
      <c r="W423" s="255"/>
      <c r="X423" s="228">
        <f>X417-X419</f>
        <v>92.362884816240694</v>
      </c>
      <c r="Y423" s="173"/>
      <c r="Z423" s="228">
        <f t="shared" ref="Z423:AA423" si="738">Z417-Z419</f>
        <v>92.362884816240694</v>
      </c>
      <c r="AA423" s="254">
        <f t="shared" si="738"/>
        <v>0</v>
      </c>
      <c r="AB423" s="266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s="5" customFormat="1">
      <c r="A424" s="1"/>
      <c r="B424" s="1"/>
      <c r="C424" s="1"/>
      <c r="D424" s="227"/>
      <c r="E424" s="227" t="s">
        <v>300</v>
      </c>
      <c r="F424" s="227" t="str">
        <f t="shared" si="646"/>
        <v>Одежда и обувь</v>
      </c>
      <c r="G424" s="227" t="s">
        <v>219</v>
      </c>
      <c r="H424" s="347"/>
      <c r="I424" s="348">
        <f>I420-I419</f>
        <v>29.701697039010469</v>
      </c>
      <c r="J424" s="321"/>
      <c r="K424" s="348">
        <f t="shared" ref="K424:L424" si="739">K420-K419</f>
        <v>29.701697039010469</v>
      </c>
      <c r="L424" s="349">
        <f t="shared" si="739"/>
        <v>0</v>
      </c>
      <c r="M424" s="281"/>
      <c r="N424" s="228">
        <f>N420-N419</f>
        <v>14.547036949123139</v>
      </c>
      <c r="O424" s="173"/>
      <c r="P424" s="228">
        <f t="shared" ref="P424:Q424" si="740">P420-P419</f>
        <v>14.547036949123139</v>
      </c>
      <c r="Q424" s="254">
        <f t="shared" si="740"/>
        <v>0</v>
      </c>
      <c r="R424" s="255"/>
      <c r="S424" s="228">
        <f>S420-S419</f>
        <v>32.135004565447161</v>
      </c>
      <c r="T424" s="173"/>
      <c r="U424" s="228">
        <f t="shared" ref="U424:V424" si="741">U420-U419</f>
        <v>32.135004565447161</v>
      </c>
      <c r="V424" s="254">
        <f t="shared" si="741"/>
        <v>0</v>
      </c>
      <c r="W424" s="255"/>
      <c r="X424" s="228">
        <f>X420-X419</f>
        <v>34.525365091067215</v>
      </c>
      <c r="Y424" s="173"/>
      <c r="Z424" s="228">
        <f t="shared" ref="Z424:AA424" si="742">Z420-Z419</f>
        <v>34.525365091067215</v>
      </c>
      <c r="AA424" s="254">
        <f t="shared" si="742"/>
        <v>0</v>
      </c>
      <c r="AB424" s="266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s="93" customFormat="1" ht="15">
      <c r="A425" s="92"/>
      <c r="B425" s="92"/>
      <c r="C425" s="92"/>
      <c r="D425" s="221"/>
      <c r="E425" s="221" t="s">
        <v>301</v>
      </c>
      <c r="F425" s="221" t="str">
        <f t="shared" si="646"/>
        <v>Одежда и обувь</v>
      </c>
      <c r="G425" s="221" t="s">
        <v>219</v>
      </c>
      <c r="H425" s="357"/>
      <c r="I425" s="358">
        <f>I423-I424</f>
        <v>65.455610924400389</v>
      </c>
      <c r="J425" s="352"/>
      <c r="K425" s="358">
        <f t="shared" ref="K425" si="743">K423-K424</f>
        <v>65.455610924400389</v>
      </c>
      <c r="L425" s="359">
        <f t="shared" ref="L425" si="744">L423-L424</f>
        <v>0</v>
      </c>
      <c r="M425" s="284"/>
      <c r="N425" s="222">
        <f>N423-N424</f>
        <v>93.811596211096912</v>
      </c>
      <c r="O425" s="181"/>
      <c r="P425" s="222">
        <f t="shared" ref="P425" si="745">P423-P424</f>
        <v>93.811596211096912</v>
      </c>
      <c r="Q425" s="260">
        <f t="shared" ref="Q425" si="746">Q423-Q424</f>
        <v>0</v>
      </c>
      <c r="R425" s="261"/>
      <c r="S425" s="222">
        <f>S423-S424</f>
        <v>59.528077075869078</v>
      </c>
      <c r="T425" s="181"/>
      <c r="U425" s="222">
        <f t="shared" ref="U425" si="747">U423-U424</f>
        <v>59.528077075869078</v>
      </c>
      <c r="V425" s="260">
        <f t="shared" ref="V425" si="748">V423-V424</f>
        <v>0</v>
      </c>
      <c r="W425" s="261"/>
      <c r="X425" s="222">
        <f>X423-X424</f>
        <v>57.837519725173479</v>
      </c>
      <c r="Y425" s="181"/>
      <c r="Z425" s="222">
        <f t="shared" ref="Z425" si="749">Z423-Z424</f>
        <v>57.837519725173479</v>
      </c>
      <c r="AA425" s="260">
        <f t="shared" ref="AA425" si="750">AA423-AA424</f>
        <v>0</v>
      </c>
      <c r="AB425" s="264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</row>
    <row r="426" spans="1:42" s="5" customFormat="1">
      <c r="A426" s="1"/>
      <c r="B426" s="1"/>
      <c r="C426" s="1"/>
      <c r="D426" s="223"/>
      <c r="E426" s="223" t="s">
        <v>302</v>
      </c>
      <c r="F426" s="223" t="str">
        <f t="shared" si="646"/>
        <v>Одежда и обувь</v>
      </c>
      <c r="G426" s="223" t="s">
        <v>261</v>
      </c>
      <c r="H426" s="354"/>
      <c r="I426" s="355">
        <f>SUMIFS(операции!$Z:$Z,операции!$X:$X,"&gt;="&amp;I$8,операции!$X:$X,"&lt;="&amp;I$9,операции!$AB:$AB,"",операции!$P:$P,$F383)</f>
        <v>13763</v>
      </c>
      <c r="J426" s="341">
        <f>I426-K426-L426</f>
        <v>0</v>
      </c>
      <c r="K426" s="355">
        <f>SUMIFS(операции!$Z:$Z,операции!$X:$X,"&gt;="&amp;I$8,операции!$X:$X,"&lt;="&amp;I$9,операции!$AB:$AB,"",операции!$L:$L,K$9,операции!$P:$P,$F383)</f>
        <v>13763</v>
      </c>
      <c r="L426" s="356">
        <f>SUMIFS(операции!$Z:$Z,операции!$X:$X,"&gt;="&amp;I$8,операции!$X:$X,"&lt;="&amp;I$9,операции!$AB:$AB,"",операции!$L:$L,L$9,операции!$P:$P,$F383)</f>
        <v>0</v>
      </c>
      <c r="M426" s="283"/>
      <c r="N426" s="224">
        <f>SUMIFS(операции!$Z:$Z,операции!$X:$X,"&gt;="&amp;N$8,операции!$X:$X,"&lt;="&amp;N$9,операции!$AB:$AB,"",операции!$P:$P,$F383)</f>
        <v>11900</v>
      </c>
      <c r="O426" s="216">
        <f>N426-P426-Q426</f>
        <v>0</v>
      </c>
      <c r="P426" s="224">
        <f>SUMIFS(операции!$Z:$Z,операции!$X:$X,"&gt;="&amp;N$8,операции!$X:$X,"&lt;="&amp;N$9,операции!$AB:$AB,"",операции!$L:$L,P$9,операции!$P:$P,$F383)</f>
        <v>11900</v>
      </c>
      <c r="Q426" s="258">
        <f>SUMIFS(операции!$Z:$Z,операции!$X:$X,"&gt;="&amp;N$8,операции!$X:$X,"&lt;="&amp;N$9,операции!$AB:$AB,"",операции!$L:$L,Q$9,операции!$P:$P,$F383)</f>
        <v>0</v>
      </c>
      <c r="R426" s="259"/>
      <c r="S426" s="224">
        <f>SUMIFS(операции!$Z:$Z,операции!$X:$X,"&gt;="&amp;S$8,операции!$X:$X,"&lt;="&amp;S$9,операции!$AB:$AB,"",операции!$P:$P,$F383)</f>
        <v>0</v>
      </c>
      <c r="T426" s="216">
        <f>S426-U426-V426</f>
        <v>0</v>
      </c>
      <c r="U426" s="224">
        <f>SUMIFS(операции!$Z:$Z,операции!$X:$X,"&gt;="&amp;S$8,операции!$X:$X,"&lt;="&amp;S$9,операции!$AB:$AB,"",операции!$L:$L,U$9,операции!$P:$P,$F383)</f>
        <v>0</v>
      </c>
      <c r="V426" s="258">
        <f>SUMIFS(операции!$Z:$Z,операции!$X:$X,"&gt;="&amp;S$8,операции!$X:$X,"&lt;="&amp;S$9,операции!$AB:$AB,"",операции!$L:$L,V$9,операции!$P:$P,$F383)</f>
        <v>0</v>
      </c>
      <c r="W426" s="259"/>
      <c r="X426" s="224">
        <f>SUMIFS(операции!$Z:$Z,операции!$X:$X,"&gt;="&amp;X$8,операции!$X:$X,"&lt;="&amp;X$9,операции!$AB:$AB,"",операции!$P:$P,$F383)</f>
        <v>1863</v>
      </c>
      <c r="Y426" s="216">
        <f>X426-Z426-AA426</f>
        <v>0</v>
      </c>
      <c r="Z426" s="224">
        <f>SUMIFS(операции!$Z:$Z,операции!$X:$X,"&gt;="&amp;X$8,операции!$X:$X,"&lt;="&amp;X$9,операции!$AB:$AB,"",операции!$L:$L,Z$9,операции!$P:$P,$F383)</f>
        <v>1863</v>
      </c>
      <c r="AA426" s="258">
        <f>SUMIFS(операции!$Z:$Z,операции!$X:$X,"&gt;="&amp;X$8,операции!$X:$X,"&lt;="&amp;X$9,операции!$AB:$AB,"",операции!$L:$L,AA$9,операции!$P:$P,$F383)</f>
        <v>0</v>
      </c>
      <c r="AB426" s="266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s="192" customFormat="1" ht="11.25">
      <c r="A427" s="37"/>
      <c r="B427" s="37"/>
      <c r="C427" s="37"/>
      <c r="D427" s="191"/>
      <c r="E427" s="191" t="s">
        <v>303</v>
      </c>
      <c r="F427" s="191" t="str">
        <f t="shared" si="646"/>
        <v>Одежда и обувь</v>
      </c>
      <c r="G427" s="191" t="s">
        <v>262</v>
      </c>
      <c r="H427" s="315"/>
      <c r="I427" s="316">
        <f>IF(I426=0,0,SUMIFS(операции!$AG:$AG,операции!$X:$X,"&gt;="&amp;I$8,операции!$X:$X,"&lt;="&amp;I$9,операции!$AB:$AB,"",операции!$P:$P,$F383)/I426)</f>
        <v>42303.549880113351</v>
      </c>
      <c r="J427" s="317"/>
      <c r="K427" s="316">
        <f>IF(K426=0,0,SUMIFS(операции!$AG:$AG,операции!$X:$X,"&gt;="&amp;I$8,операции!$X:$X,"&lt;="&amp;I$9,операции!$AB:$AB,"",операции!$L:$L,K$9,операции!$P:$P,$F383)/K426)</f>
        <v>42303.549880113351</v>
      </c>
      <c r="L427" s="318">
        <f>IF(L426=0,0,SUMIFS(операции!$AG:$AG,операции!$X:$X,"&gt;="&amp;I$8,операции!$X:$X,"&lt;="&amp;I$9,операции!$AB:$AB,"",операции!$L:$L,L$9,операции!$P:$P,$F383)/L426)</f>
        <v>0</v>
      </c>
      <c r="M427" s="274"/>
      <c r="N427" s="193">
        <f>IF(N426=0,0,SUMIFS(операции!$AG:$AG,операции!$X:$X,"&gt;="&amp;N$8,операции!$X:$X,"&lt;="&amp;N$9,операции!$AB:$AB,"",операции!$P:$P,$F383)/N426)</f>
        <v>42298</v>
      </c>
      <c r="O427" s="196"/>
      <c r="P427" s="193">
        <f>IF(P426=0,0,SUMIFS(операции!$AG:$AG,операции!$X:$X,"&gt;="&amp;N$8,операции!$X:$X,"&lt;="&amp;N$9,операции!$AB:$AB,"",операции!$L:$L,P$9,операции!$P:$P,$F383)/P426)</f>
        <v>42298</v>
      </c>
      <c r="Q427" s="237">
        <f>IF(Q426=0,0,SUMIFS(операции!$AG:$AG,операции!$X:$X,"&gt;="&amp;N$8,операции!$X:$X,"&lt;="&amp;N$9,операции!$AB:$AB,"",операции!$L:$L,Q$9,операции!$P:$P,$F383)/Q426)</f>
        <v>0</v>
      </c>
      <c r="R427" s="238"/>
      <c r="S427" s="193">
        <f>IF(S426=0,0,SUMIFS(операции!$AG:$AG,операции!$X:$X,"&gt;="&amp;S$8,операции!$X:$X,"&lt;="&amp;S$9,операции!$AB:$AB,"",операции!$P:$P,$F383)/S426)</f>
        <v>0</v>
      </c>
      <c r="T427" s="196"/>
      <c r="U427" s="193">
        <f>IF(U426=0,0,SUMIFS(операции!$AG:$AG,операции!$X:$X,"&gt;="&amp;S$8,операции!$X:$X,"&lt;="&amp;S$9,операции!$AB:$AB,"",операции!$L:$L,U$9,операции!$P:$P,$F383)/U426)</f>
        <v>0</v>
      </c>
      <c r="V427" s="237">
        <f>IF(V426=0,0,SUMIFS(операции!$AG:$AG,операции!$X:$X,"&gt;="&amp;S$8,операции!$X:$X,"&lt;="&amp;S$9,операции!$AB:$AB,"",операции!$L:$L,V$9,операции!$P:$P,$F383)/V426)</f>
        <v>0</v>
      </c>
      <c r="W427" s="238"/>
      <c r="X427" s="193">
        <f>IF(X426=0,0,SUMIFS(операции!$AG:$AG,операции!$X:$X,"&gt;="&amp;X$8,операции!$X:$X,"&lt;="&amp;X$9,операции!$AB:$AB,"",операции!$P:$P,$F383)/X426)</f>
        <v>42339</v>
      </c>
      <c r="Y427" s="196"/>
      <c r="Z427" s="193">
        <f>IF(Z426=0,0,SUMIFS(операции!$AG:$AG,операции!$X:$X,"&gt;="&amp;X$8,операции!$X:$X,"&lt;="&amp;X$9,операции!$AB:$AB,"",операции!$L:$L,Z$9,операции!$P:$P,$F383)/Z426)</f>
        <v>42339</v>
      </c>
      <c r="AA427" s="237">
        <f>IF(AA426=0,0,SUMIFS(операции!$AG:$AG,операции!$X:$X,"&gt;="&amp;X$8,операции!$X:$X,"&lt;="&amp;X$9,операции!$AB:$AB,"",операции!$L:$L,AA$9,операции!$P:$P,$F383)/AA426)</f>
        <v>0</v>
      </c>
      <c r="AB427" s="265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</row>
    <row r="428" spans="1:42" s="5" customFormat="1">
      <c r="A428" s="1"/>
      <c r="B428" s="1"/>
      <c r="C428" s="1"/>
      <c r="D428" s="168"/>
      <c r="E428" s="168" t="s">
        <v>304</v>
      </c>
      <c r="F428" s="168" t="str">
        <f t="shared" si="646"/>
        <v>Одежда и обувь</v>
      </c>
      <c r="G428" s="168" t="s">
        <v>261</v>
      </c>
      <c r="H428" s="326"/>
      <c r="I428" s="327">
        <f>SUMIFS(операции!$V:$V,операции!$X:$X,"&gt;="&amp;I$8,операции!$X:$X,"&lt;="&amp;I$9,операции!$AB:$AB,"",операции!$P:$P,$F383)</f>
        <v>13764.79</v>
      </c>
      <c r="J428" s="313">
        <f>I428-K428-L428</f>
        <v>0</v>
      </c>
      <c r="K428" s="327">
        <f>SUMIFS(операции!$V:$V,операции!$X:$X,"&gt;="&amp;I$8,операции!$X:$X,"&lt;="&amp;I$9,операции!$AB:$AB,"",операции!$L:$L,K$9,операции!$P:$P,$F383)</f>
        <v>13764.79</v>
      </c>
      <c r="L428" s="328">
        <f>SUMIFS(операции!$V:$V,операции!$X:$X,"&gt;="&amp;I$8,операции!$X:$X,"&lt;="&amp;I$9,операции!$AB:$AB,"",операции!$L:$L,L$9,операции!$P:$P,$F383)</f>
        <v>0</v>
      </c>
      <c r="M428" s="277"/>
      <c r="N428" s="169">
        <f>SUMIFS(операции!$V:$V,операции!$X:$X,"&gt;="&amp;N$8,операции!$X:$X,"&lt;="&amp;N$9,операции!$AB:$AB,"",операции!$P:$P,$F383)</f>
        <v>12395</v>
      </c>
      <c r="O428" s="170">
        <f>N428-P428-Q428</f>
        <v>0</v>
      </c>
      <c r="P428" s="169">
        <f>SUMIFS(операции!$V:$V,операции!$X:$X,"&gt;="&amp;N$8,операции!$X:$X,"&lt;="&amp;N$9,операции!$AB:$AB,"",операции!$L:$L,P$9,операции!$P:$P,$F383)</f>
        <v>12395</v>
      </c>
      <c r="Q428" s="243">
        <f>SUMIFS(операции!$V:$V,операции!$X:$X,"&gt;="&amp;N$8,операции!$X:$X,"&lt;="&amp;N$9,операции!$AB:$AB,"",операции!$L:$L,Q$9,операции!$P:$P,$F383)</f>
        <v>0</v>
      </c>
      <c r="R428" s="244"/>
      <c r="S428" s="169">
        <f>SUMIFS(операции!$V:$V,операции!$X:$X,"&gt;="&amp;S$8,операции!$X:$X,"&lt;="&amp;S$9,операции!$AB:$AB,"",операции!$P:$P,$F383)</f>
        <v>0</v>
      </c>
      <c r="T428" s="170">
        <f>S428-U428-V428</f>
        <v>0</v>
      </c>
      <c r="U428" s="169">
        <f>SUMIFS(операции!$V:$V,операции!$X:$X,"&gt;="&amp;S$8,операции!$X:$X,"&lt;="&amp;S$9,операции!$AB:$AB,"",операции!$L:$L,U$9,операции!$P:$P,$F383)</f>
        <v>0</v>
      </c>
      <c r="V428" s="243">
        <f>SUMIFS(операции!$V:$V,операции!$X:$X,"&gt;="&amp;S$8,операции!$X:$X,"&lt;="&amp;S$9,операции!$AB:$AB,"",операции!$L:$L,V$9,операции!$P:$P,$F383)</f>
        <v>0</v>
      </c>
      <c r="W428" s="244"/>
      <c r="X428" s="169">
        <f>SUMIFS(операции!$V:$V,операции!$X:$X,"&gt;="&amp;X$8,операции!$X:$X,"&lt;="&amp;X$9,операции!$AB:$AB,"",операции!$P:$P,$F383)</f>
        <v>1369.79</v>
      </c>
      <c r="Y428" s="170">
        <f>X428-Z428-AA428</f>
        <v>0</v>
      </c>
      <c r="Z428" s="169">
        <f>SUMIFS(операции!$V:$V,операции!$X:$X,"&gt;="&amp;X$8,операции!$X:$X,"&lt;="&amp;X$9,операции!$AB:$AB,"",операции!$L:$L,Z$9,операции!$P:$P,$F383)</f>
        <v>1369.79</v>
      </c>
      <c r="AA428" s="243">
        <f>SUMIFS(операции!$V:$V,операции!$X:$X,"&gt;="&amp;X$8,операции!$X:$X,"&lt;="&amp;X$9,операции!$AB:$AB,"",операции!$L:$L,AA$9,операции!$P:$P,$F383)</f>
        <v>0</v>
      </c>
      <c r="AB428" s="266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s="192" customFormat="1" ht="11.25">
      <c r="A429" s="37"/>
      <c r="B429" s="37"/>
      <c r="C429" s="37"/>
      <c r="D429" s="191"/>
      <c r="E429" s="191" t="s">
        <v>305</v>
      </c>
      <c r="F429" s="191" t="str">
        <f t="shared" si="646"/>
        <v>Одежда и обувь</v>
      </c>
      <c r="G429" s="191" t="s">
        <v>262</v>
      </c>
      <c r="H429" s="315"/>
      <c r="I429" s="316">
        <f>IF(I428=0,0,SUMIFS(операции!$AF:$AF,операции!$X:$X,"&gt;="&amp;I$8,операции!$X:$X,"&lt;="&amp;I$9,операции!$AB:$AB,"",операции!$P:$P,$F383)/I428)</f>
        <v>42222.735474351583</v>
      </c>
      <c r="J429" s="317"/>
      <c r="K429" s="316">
        <f>IF(K428=0,0,SUMIFS(операции!$AF:$AF,операции!$X:$X,"&gt;="&amp;I$8,операции!$X:$X,"&lt;="&amp;I$9,операции!$AB:$AB,"",операции!$L:$L,K$9,операции!$P:$P,$F383)/K428)</f>
        <v>42222.735474351583</v>
      </c>
      <c r="L429" s="318">
        <f>IF(L428=0,0,SUMIFS(операции!$AF:$AF,операции!$X:$X,"&gt;="&amp;I$8,операции!$X:$X,"&lt;="&amp;I$9,операции!$AB:$AB,"",операции!$L:$L,L$9,операции!$P:$P,$F383)/L428)</f>
        <v>0</v>
      </c>
      <c r="M429" s="274"/>
      <c r="N429" s="193">
        <f>IF(N428=0,0,SUMIFS(операции!$AF:$AF,операции!$X:$X,"&gt;="&amp;N$8,операции!$X:$X,"&lt;="&amp;N$9,операции!$AB:$AB,"",операции!$P:$P,$F383)/N428)</f>
        <v>42230</v>
      </c>
      <c r="O429" s="196"/>
      <c r="P429" s="193">
        <f>IF(P428=0,0,SUMIFS(операции!$AF:$AF,операции!$X:$X,"&gt;="&amp;N$8,операции!$X:$X,"&lt;="&amp;N$9,операции!$AB:$AB,"",операции!$L:$L,P$9,операции!$P:$P,$F383)/P428)</f>
        <v>42230</v>
      </c>
      <c r="Q429" s="237">
        <f>IF(Q428=0,0,SUMIFS(операции!$AF:$AF,операции!$X:$X,"&gt;="&amp;N$8,операции!$X:$X,"&lt;="&amp;N$9,операции!$AB:$AB,"",операции!$L:$L,Q$9,операции!$P:$P,$F383)/Q428)</f>
        <v>0</v>
      </c>
      <c r="R429" s="238"/>
      <c r="S429" s="193">
        <f>IF(S428=0,0,SUMIFS(операции!$AF:$AF,операции!$X:$X,"&gt;="&amp;S$8,операции!$X:$X,"&lt;="&amp;S$9,операции!$AB:$AB,"",операции!$P:$P,$F383)/S428)</f>
        <v>0</v>
      </c>
      <c r="T429" s="196"/>
      <c r="U429" s="193">
        <f>IF(U428=0,0,SUMIFS(операции!$AF:$AF,операции!$X:$X,"&gt;="&amp;S$8,операции!$X:$X,"&lt;="&amp;S$9,операции!$AB:$AB,"",операции!$L:$L,U$9,операции!$P:$P,$F383)/U428)</f>
        <v>0</v>
      </c>
      <c r="V429" s="237">
        <f>IF(V428=0,0,SUMIFS(операции!$AF:$AF,операции!$X:$X,"&gt;="&amp;S$8,операции!$X:$X,"&lt;="&amp;S$9,операции!$AB:$AB,"",операции!$L:$L,V$9,операции!$P:$P,$F383)/V428)</f>
        <v>0</v>
      </c>
      <c r="W429" s="238"/>
      <c r="X429" s="193">
        <f>IF(X428=0,0,SUMIFS(операции!$AF:$AF,операции!$X:$X,"&gt;="&amp;X$8,операции!$X:$X,"&lt;="&amp;X$9,операции!$AB:$AB,"",операции!$P:$P,$F383)/X428)</f>
        <v>42157</v>
      </c>
      <c r="Y429" s="196"/>
      <c r="Z429" s="193">
        <f>IF(Z428=0,0,SUMIFS(операции!$AF:$AF,операции!$X:$X,"&gt;="&amp;X$8,операции!$X:$X,"&lt;="&amp;X$9,операции!$AB:$AB,"",операции!$L:$L,Z$9,операции!$P:$P,$F383)/Z428)</f>
        <v>42157</v>
      </c>
      <c r="AA429" s="237">
        <f>IF(AA428=0,0,SUMIFS(операции!$AF:$AF,операции!$X:$X,"&gt;="&amp;X$8,операции!$X:$X,"&lt;="&amp;X$9,операции!$AB:$AB,"",операции!$L:$L,AA$9,операции!$P:$P,$F383)/AA428)</f>
        <v>0</v>
      </c>
      <c r="AB429" s="265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</row>
    <row r="430" spans="1:42" s="192" customFormat="1" ht="11.25">
      <c r="A430" s="37"/>
      <c r="B430" s="37"/>
      <c r="C430" s="37"/>
      <c r="D430" s="191"/>
      <c r="E430" s="191" t="s">
        <v>307</v>
      </c>
      <c r="F430" s="191" t="str">
        <f t="shared" si="646"/>
        <v>Одежда и обувь</v>
      </c>
      <c r="G430" s="191" t="s">
        <v>262</v>
      </c>
      <c r="H430" s="315"/>
      <c r="I430" s="316">
        <f>I$9</f>
        <v>42369</v>
      </c>
      <c r="J430" s="317"/>
      <c r="K430" s="316">
        <f>I$9</f>
        <v>42369</v>
      </c>
      <c r="L430" s="318">
        <f>I$9</f>
        <v>42369</v>
      </c>
      <c r="M430" s="274"/>
      <c r="N430" s="193">
        <f>N$9</f>
        <v>42308</v>
      </c>
      <c r="O430" s="196"/>
      <c r="P430" s="193">
        <f>N$9</f>
        <v>42308</v>
      </c>
      <c r="Q430" s="237">
        <f>N$9</f>
        <v>42308</v>
      </c>
      <c r="R430" s="238"/>
      <c r="S430" s="193">
        <f>S$9</f>
        <v>42338</v>
      </c>
      <c r="T430" s="196"/>
      <c r="U430" s="193">
        <f>S$9</f>
        <v>42338</v>
      </c>
      <c r="V430" s="237">
        <f>S$9</f>
        <v>42338</v>
      </c>
      <c r="W430" s="238"/>
      <c r="X430" s="193">
        <f>X$9</f>
        <v>42369</v>
      </c>
      <c r="Y430" s="196"/>
      <c r="Z430" s="193">
        <f>X$9</f>
        <v>42369</v>
      </c>
      <c r="AA430" s="237">
        <f>X$9</f>
        <v>42369</v>
      </c>
      <c r="AB430" s="265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</row>
    <row r="431" spans="1:42" s="5" customFormat="1">
      <c r="A431" s="1"/>
      <c r="B431" s="1"/>
      <c r="C431" s="1"/>
      <c r="D431" s="168"/>
      <c r="E431" s="168" t="s">
        <v>380</v>
      </c>
      <c r="F431" s="168" t="str">
        <f t="shared" si="646"/>
        <v>Одежда и обувь</v>
      </c>
      <c r="G431" s="168" t="s">
        <v>261</v>
      </c>
      <c r="H431" s="326"/>
      <c r="I431" s="327">
        <f>I426-I428</f>
        <v>-1.7900000000008731</v>
      </c>
      <c r="J431" s="313">
        <f>I431-K431-L431</f>
        <v>0</v>
      </c>
      <c r="K431" s="327">
        <f t="shared" ref="K431:L431" si="751">K426-K428</f>
        <v>-1.7900000000008731</v>
      </c>
      <c r="L431" s="328">
        <f t="shared" si="751"/>
        <v>0</v>
      </c>
      <c r="M431" s="277"/>
      <c r="N431" s="169">
        <f>N426-N428</f>
        <v>-495</v>
      </c>
      <c r="O431" s="170">
        <f>N431-P431-Q431</f>
        <v>0</v>
      </c>
      <c r="P431" s="169">
        <f t="shared" ref="P431:Q431" si="752">P426-P428</f>
        <v>-495</v>
      </c>
      <c r="Q431" s="243">
        <f t="shared" si="752"/>
        <v>0</v>
      </c>
      <c r="R431" s="244"/>
      <c r="S431" s="169">
        <f>S426-S428</f>
        <v>0</v>
      </c>
      <c r="T431" s="170">
        <f>S431-U431-V431</f>
        <v>0</v>
      </c>
      <c r="U431" s="169">
        <f t="shared" ref="U431:V431" si="753">U426-U428</f>
        <v>0</v>
      </c>
      <c r="V431" s="243">
        <f t="shared" si="753"/>
        <v>0</v>
      </c>
      <c r="W431" s="244"/>
      <c r="X431" s="169">
        <f>X426-X428</f>
        <v>493.21000000000004</v>
      </c>
      <c r="Y431" s="170">
        <f>X431-Z431-AA431</f>
        <v>0</v>
      </c>
      <c r="Z431" s="169">
        <f t="shared" ref="Z431:AA431" si="754">Z426-Z428</f>
        <v>493.21000000000004</v>
      </c>
      <c r="AA431" s="243">
        <f t="shared" si="754"/>
        <v>0</v>
      </c>
      <c r="AB431" s="266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s="211" customFormat="1">
      <c r="A432" s="210"/>
      <c r="B432" s="210"/>
      <c r="C432" s="210"/>
      <c r="D432" s="218"/>
      <c r="E432" s="218" t="s">
        <v>381</v>
      </c>
      <c r="F432" s="218" t="str">
        <f t="shared" si="646"/>
        <v>Одежда и обувь</v>
      </c>
      <c r="G432" s="218" t="s">
        <v>218</v>
      </c>
      <c r="H432" s="343"/>
      <c r="I432" s="344">
        <f>IF(I426=0,0,(I431/I426))</f>
        <v>-1.3005885344771293E-4</v>
      </c>
      <c r="J432" s="345"/>
      <c r="K432" s="344">
        <f t="shared" ref="K432" si="755">IF(K426=0,0,(K431/K426))</f>
        <v>-1.3005885344771293E-4</v>
      </c>
      <c r="L432" s="346">
        <f t="shared" ref="L432" si="756">IF(L426=0,0,(L431/L426))</f>
        <v>0</v>
      </c>
      <c r="M432" s="280"/>
      <c r="N432" s="219">
        <f>IF(N426=0,0,(N431/N426))</f>
        <v>-4.1596638655462183E-2</v>
      </c>
      <c r="O432" s="220"/>
      <c r="P432" s="219">
        <f t="shared" ref="P432" si="757">IF(P426=0,0,(P431/P426))</f>
        <v>-4.1596638655462183E-2</v>
      </c>
      <c r="Q432" s="252">
        <f t="shared" ref="Q432" si="758">IF(Q426=0,0,(Q431/Q426))</f>
        <v>0</v>
      </c>
      <c r="R432" s="253"/>
      <c r="S432" s="219">
        <f>IF(S426=0,0,(S431/S426))</f>
        <v>0</v>
      </c>
      <c r="T432" s="220"/>
      <c r="U432" s="219">
        <f t="shared" ref="U432" si="759">IF(U426=0,0,(U431/U426))</f>
        <v>0</v>
      </c>
      <c r="V432" s="252">
        <f t="shared" ref="V432" si="760">IF(V426=0,0,(V431/V426))</f>
        <v>0</v>
      </c>
      <c r="W432" s="253"/>
      <c r="X432" s="219">
        <f>IF(X426=0,0,(X431/X426))</f>
        <v>0.26473966720343534</v>
      </c>
      <c r="Y432" s="220"/>
      <c r="Z432" s="219">
        <f t="shared" ref="Z432" si="761">IF(Z426=0,0,(Z431/Z426))</f>
        <v>0.26473966720343534</v>
      </c>
      <c r="AA432" s="252">
        <f t="shared" ref="AA432" si="762">IF(AA426=0,0,(AA431/AA426))</f>
        <v>0</v>
      </c>
      <c r="AB432" s="267"/>
      <c r="AC432" s="210"/>
      <c r="AD432" s="210"/>
      <c r="AE432" s="210"/>
      <c r="AF432" s="210"/>
      <c r="AG432" s="210"/>
      <c r="AH432" s="210"/>
      <c r="AI432" s="210"/>
      <c r="AJ432" s="210"/>
      <c r="AK432" s="210"/>
      <c r="AL432" s="210"/>
      <c r="AM432" s="210"/>
      <c r="AN432" s="210"/>
      <c r="AO432" s="210"/>
      <c r="AP432" s="210"/>
    </row>
    <row r="433" spans="1:42" s="5" customFormat="1">
      <c r="A433" s="1"/>
      <c r="B433" s="1"/>
      <c r="C433" s="1"/>
      <c r="D433" s="227"/>
      <c r="E433" s="227" t="s">
        <v>306</v>
      </c>
      <c r="F433" s="227" t="str">
        <f t="shared" si="646"/>
        <v>Одежда и обувь</v>
      </c>
      <c r="G433" s="227" t="s">
        <v>219</v>
      </c>
      <c r="H433" s="347"/>
      <c r="I433" s="348">
        <f>I427-I429</f>
        <v>80.814405761768285</v>
      </c>
      <c r="J433" s="321"/>
      <c r="K433" s="348">
        <f t="shared" ref="K433:L433" si="763">K427-K429</f>
        <v>80.814405761768285</v>
      </c>
      <c r="L433" s="349">
        <f t="shared" si="763"/>
        <v>0</v>
      </c>
      <c r="M433" s="281"/>
      <c r="N433" s="228">
        <f>N427-N429</f>
        <v>68</v>
      </c>
      <c r="O433" s="173"/>
      <c r="P433" s="228">
        <f t="shared" ref="P433:Q433" si="764">P427-P429</f>
        <v>68</v>
      </c>
      <c r="Q433" s="254">
        <f t="shared" si="764"/>
        <v>0</v>
      </c>
      <c r="R433" s="255"/>
      <c r="S433" s="228">
        <f>S427-S429</f>
        <v>0</v>
      </c>
      <c r="T433" s="173"/>
      <c r="U433" s="228">
        <f t="shared" ref="U433:V433" si="765">U427-U429</f>
        <v>0</v>
      </c>
      <c r="V433" s="254">
        <f t="shared" si="765"/>
        <v>0</v>
      </c>
      <c r="W433" s="255"/>
      <c r="X433" s="228">
        <f>X427-X429</f>
        <v>182</v>
      </c>
      <c r="Y433" s="173"/>
      <c r="Z433" s="228">
        <f t="shared" ref="Z433:AA433" si="766">Z427-Z429</f>
        <v>182</v>
      </c>
      <c r="AA433" s="254">
        <f t="shared" si="766"/>
        <v>0</v>
      </c>
      <c r="AB433" s="266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s="5" customFormat="1">
      <c r="A434" s="1"/>
      <c r="B434" s="1"/>
      <c r="C434" s="1"/>
      <c r="D434" s="227"/>
      <c r="E434" s="227" t="s">
        <v>382</v>
      </c>
      <c r="F434" s="227" t="str">
        <f t="shared" si="646"/>
        <v>Одежда и обувь</v>
      </c>
      <c r="G434" s="227" t="s">
        <v>219</v>
      </c>
      <c r="H434" s="347"/>
      <c r="I434" s="348">
        <f>I430-I429</f>
        <v>146.26452564841748</v>
      </c>
      <c r="J434" s="321"/>
      <c r="K434" s="348">
        <f t="shared" ref="K434:L434" si="767">K430-K429</f>
        <v>146.26452564841748</v>
      </c>
      <c r="L434" s="349">
        <f t="shared" si="767"/>
        <v>42369</v>
      </c>
      <c r="M434" s="281"/>
      <c r="N434" s="228">
        <f>N430-N429</f>
        <v>78</v>
      </c>
      <c r="O434" s="173"/>
      <c r="P434" s="228">
        <f t="shared" ref="P434:Q434" si="768">P430-P429</f>
        <v>78</v>
      </c>
      <c r="Q434" s="254">
        <f t="shared" si="768"/>
        <v>42308</v>
      </c>
      <c r="R434" s="255"/>
      <c r="S434" s="228">
        <f>S430-S429</f>
        <v>42338</v>
      </c>
      <c r="T434" s="173"/>
      <c r="U434" s="228">
        <f t="shared" ref="U434:V434" si="769">U430-U429</f>
        <v>42338</v>
      </c>
      <c r="V434" s="254">
        <f t="shared" si="769"/>
        <v>42338</v>
      </c>
      <c r="W434" s="255"/>
      <c r="X434" s="228">
        <f>X430-X429</f>
        <v>212</v>
      </c>
      <c r="Y434" s="173"/>
      <c r="Z434" s="228">
        <f t="shared" ref="Z434:AA434" si="770">Z430-Z429</f>
        <v>212</v>
      </c>
      <c r="AA434" s="254">
        <f t="shared" si="770"/>
        <v>42369</v>
      </c>
      <c r="AB434" s="266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s="5" customFormat="1">
      <c r="A435" s="1"/>
      <c r="B435" s="1"/>
      <c r="C435" s="1"/>
      <c r="D435" s="225"/>
      <c r="E435" s="225" t="s">
        <v>383</v>
      </c>
      <c r="F435" s="225" t="str">
        <f t="shared" si="646"/>
        <v>Одежда и обувь</v>
      </c>
      <c r="G435" s="225" t="s">
        <v>219</v>
      </c>
      <c r="H435" s="350"/>
      <c r="I435" s="351">
        <f>I433-I434</f>
        <v>-65.45011988664919</v>
      </c>
      <c r="J435" s="352"/>
      <c r="K435" s="351">
        <f t="shared" ref="K435" si="771">K433-K434</f>
        <v>-65.45011988664919</v>
      </c>
      <c r="L435" s="353">
        <f t="shared" ref="L435" si="772">L433-L434</f>
        <v>-42369</v>
      </c>
      <c r="M435" s="282"/>
      <c r="N435" s="226">
        <f>N433-N434</f>
        <v>-10</v>
      </c>
      <c r="O435" s="181"/>
      <c r="P435" s="226">
        <f t="shared" ref="P435" si="773">P433-P434</f>
        <v>-10</v>
      </c>
      <c r="Q435" s="256">
        <f t="shared" ref="Q435" si="774">Q433-Q434</f>
        <v>-42308</v>
      </c>
      <c r="R435" s="257"/>
      <c r="S435" s="226">
        <f>S433-S434</f>
        <v>-42338</v>
      </c>
      <c r="T435" s="181"/>
      <c r="U435" s="226">
        <f t="shared" ref="U435" si="775">U433-U434</f>
        <v>-42338</v>
      </c>
      <c r="V435" s="256">
        <f t="shared" ref="V435" si="776">V433-V434</f>
        <v>-42338</v>
      </c>
      <c r="W435" s="257"/>
      <c r="X435" s="226">
        <f>X433-X434</f>
        <v>-30</v>
      </c>
      <c r="Y435" s="181"/>
      <c r="Z435" s="226">
        <f t="shared" ref="Z435" si="777">Z433-Z434</f>
        <v>-30</v>
      </c>
      <c r="AA435" s="256">
        <f t="shared" ref="AA435" si="778">AA433-AA434</f>
        <v>-42369</v>
      </c>
      <c r="AB435" s="266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s="5" customFormat="1">
      <c r="A436" s="1"/>
      <c r="B436" s="1"/>
      <c r="C436" s="1"/>
      <c r="D436" s="168" t="s">
        <v>312</v>
      </c>
      <c r="E436" s="168"/>
      <c r="F436" s="168" t="str">
        <f t="shared" si="646"/>
        <v>Одежда и обувь</v>
      </c>
      <c r="G436" s="168" t="s">
        <v>261</v>
      </c>
      <c r="H436" s="326"/>
      <c r="I436" s="327">
        <f>SUMIFS(операции!$AC:$AC,операции!$AB:$AB,"&gt;="&amp;I$8,операции!$AB:$AB,"&lt;="&amp;I$9,операции!$P:$P,$F383)</f>
        <v>45753.59</v>
      </c>
      <c r="J436" s="313">
        <f>I436-K436-L436</f>
        <v>0</v>
      </c>
      <c r="K436" s="327">
        <f>SUMIFS(операции!$AC:$AC,операции!$AB:$AB,"&gt;="&amp;I$8,операции!$AB:$AB,"&lt;="&amp;I$9,операции!$L:$L,K$9,операции!$P:$P,$F383)</f>
        <v>45753.59</v>
      </c>
      <c r="L436" s="328">
        <f>SUMIFS(операции!$AC:$AC,операции!$AB:$AB,"&gt;="&amp;I$8,операции!$AB:$AB,"&lt;="&amp;I$9,операции!$L:$L,L$9,операции!$P:$P,$F383)</f>
        <v>0</v>
      </c>
      <c r="M436" s="277"/>
      <c r="N436" s="169">
        <f>SUMIFS(операции!$AC:$AC,операции!$AB:$AB,"&gt;="&amp;N$8,операции!$AB:$AB,"&lt;="&amp;N$9,операции!$P:$P,$F383)</f>
        <v>45753.59</v>
      </c>
      <c r="O436" s="170">
        <f>N436-P436-Q436</f>
        <v>0</v>
      </c>
      <c r="P436" s="169">
        <f>SUMIFS(операции!$AC:$AC,операции!$AB:$AB,"&gt;="&amp;N$8,операции!$AB:$AB,"&lt;="&amp;N$9,операции!$L:$L,P$9,операции!$P:$P,$F383)</f>
        <v>45753.59</v>
      </c>
      <c r="Q436" s="243">
        <f>SUMIFS(операции!$AC:$AC,операции!$AB:$AB,"&gt;="&amp;N$8,операции!$AB:$AB,"&lt;="&amp;N$9,операции!$L:$L,Q$9,операции!$P:$P,$F383)</f>
        <v>0</v>
      </c>
      <c r="R436" s="244"/>
      <c r="S436" s="169">
        <f>SUMIFS(операции!$AC:$AC,операции!$AB:$AB,"&gt;="&amp;S$8,операции!$AB:$AB,"&lt;="&amp;S$9,операции!$P:$P,$F383)</f>
        <v>0</v>
      </c>
      <c r="T436" s="170">
        <f>S436-U436-V436</f>
        <v>0</v>
      </c>
      <c r="U436" s="169">
        <f>SUMIFS(операции!$AC:$AC,операции!$AB:$AB,"&gt;="&amp;S$8,операции!$AB:$AB,"&lt;="&amp;S$9,операции!$L:$L,U$9,операции!$P:$P,$F383)</f>
        <v>0</v>
      </c>
      <c r="V436" s="243">
        <f>SUMIFS(операции!$AC:$AC,операции!$AB:$AB,"&gt;="&amp;S$8,операции!$AB:$AB,"&lt;="&amp;S$9,операции!$L:$L,V$9,операции!$P:$P,$F383)</f>
        <v>0</v>
      </c>
      <c r="W436" s="244"/>
      <c r="X436" s="169">
        <f>SUMIFS(операции!$AC:$AC,операции!$AB:$AB,"&gt;="&amp;X$8,операции!$AB:$AB,"&lt;="&amp;X$9,операции!$P:$P,$F383)</f>
        <v>0</v>
      </c>
      <c r="Y436" s="170">
        <f>X436-Z436-AA436</f>
        <v>0</v>
      </c>
      <c r="Z436" s="169">
        <f>SUMIFS(операции!$AC:$AC,операции!$AB:$AB,"&gt;="&amp;X$8,операции!$AB:$AB,"&lt;="&amp;X$9,операции!$L:$L,Z$9,операции!$P:$P,$F383)</f>
        <v>0</v>
      </c>
      <c r="AA436" s="243">
        <f>SUMIFS(операции!$AC:$AC,операции!$AB:$AB,"&gt;="&amp;X$8,операции!$AB:$AB,"&lt;="&amp;X$9,операции!$L:$L,AA$9,операции!$P:$P,$F383)</f>
        <v>0</v>
      </c>
      <c r="AB436" s="266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s="192" customFormat="1" ht="11.25">
      <c r="A437" s="37"/>
      <c r="B437" s="37"/>
      <c r="C437" s="37"/>
      <c r="D437" s="207" t="s">
        <v>255</v>
      </c>
      <c r="E437" s="207"/>
      <c r="F437" s="207" t="str">
        <f t="shared" si="646"/>
        <v>Одежда и обувь</v>
      </c>
      <c r="G437" s="207" t="s">
        <v>262</v>
      </c>
      <c r="H437" s="331"/>
      <c r="I437" s="337">
        <f>IF(I436=0,0,SUMIFS(операции!$AH:$AH,операции!$AB:$AB,"&gt;="&amp;I$8,операции!$AB:$AB,"&lt;="&amp;I$9,операции!$P:$P,$F383)/I436)</f>
        <v>42288.46027098639</v>
      </c>
      <c r="J437" s="333"/>
      <c r="K437" s="337">
        <f>IF(K436=0,0,SUMIFS(операции!$AH:$AH,операции!$AB:$AB,"&gt;="&amp;I$8,операции!$AB:$AB,"&lt;="&amp;I$9,операции!$L:$L,K$9,операции!$P:$P,$F383)/K436)</f>
        <v>42288.46027098639</v>
      </c>
      <c r="L437" s="338">
        <f>IF(L436=0,0,SUMIFS(операции!$AH:$AH,операции!$AB:$AB,"&gt;="&amp;I$8,операции!$AB:$AB,"&lt;="&amp;I$9,операции!$L:$L,L$9,операции!$P:$P,$F383)/L436)</f>
        <v>0</v>
      </c>
      <c r="M437" s="278"/>
      <c r="N437" s="217">
        <f>IF(N436=0,0,SUMIFS(операции!$AH:$AH,операции!$AB:$AB,"&gt;="&amp;N$8,операции!$AB:$AB,"&lt;="&amp;N$9,операции!$P:$P,$F383)/N436)</f>
        <v>42288.46027098639</v>
      </c>
      <c r="O437" s="208"/>
      <c r="P437" s="217">
        <f>IF(P436=0,0,SUMIFS(операции!$AH:$AH,операции!$AB:$AB,"&gt;="&amp;N$8,операции!$AB:$AB,"&lt;="&amp;N$9,операции!$L:$L,P$9,операции!$P:$P,$F383)/P436)</f>
        <v>42288.46027098639</v>
      </c>
      <c r="Q437" s="249">
        <f>IF(Q436=0,0,SUMIFS(операции!$AH:$AH,операции!$AB:$AB,"&gt;="&amp;N$8,операции!$AB:$AB,"&lt;="&amp;N$9,операции!$L:$L,Q$9,операции!$P:$P,$F383)/Q436)</f>
        <v>0</v>
      </c>
      <c r="R437" s="247"/>
      <c r="S437" s="217">
        <f>IF(S436=0,0,SUMIFS(операции!$AH:$AH,операции!$AB:$AB,"&gt;="&amp;S$8,операции!$AB:$AB,"&lt;="&amp;S$9,операции!$P:$P,$F383)/S436)</f>
        <v>0</v>
      </c>
      <c r="T437" s="208"/>
      <c r="U437" s="217">
        <f>IF(U436=0,0,SUMIFS(операции!$AH:$AH,операции!$AB:$AB,"&gt;="&amp;S$8,операции!$AB:$AB,"&lt;="&amp;S$9,операции!$L:$L,U$9,операции!$P:$P,$F383)/U436)</f>
        <v>0</v>
      </c>
      <c r="V437" s="249">
        <f>IF(V436=0,0,SUMIFS(операции!$AH:$AH,операции!$AB:$AB,"&gt;="&amp;S$8,операции!$AB:$AB,"&lt;="&amp;S$9,операции!$L:$L,V$9,операции!$P:$P,$F383)/V436)</f>
        <v>0</v>
      </c>
      <c r="W437" s="247"/>
      <c r="X437" s="217">
        <f>IF(X436=0,0,SUMIFS(операции!$AH:$AH,операции!$AB:$AB,"&gt;="&amp;X$8,операции!$AB:$AB,"&lt;="&amp;X$9,операции!$P:$P,$F383)/X436)</f>
        <v>0</v>
      </c>
      <c r="Y437" s="208"/>
      <c r="Z437" s="217">
        <f>IF(Z436=0,0,SUMIFS(операции!$AH:$AH,операции!$AB:$AB,"&gt;="&amp;X$8,операции!$AB:$AB,"&lt;="&amp;X$9,операции!$L:$L,Z$9,операции!$P:$P,$F383)/Z436)</f>
        <v>0</v>
      </c>
      <c r="AA437" s="249">
        <f>IF(AA436=0,0,SUMIFS(операции!$AH:$AH,операции!$AB:$AB,"&gt;="&amp;X$8,операции!$AB:$AB,"&lt;="&amp;X$9,операции!$L:$L,AA$9,операции!$P:$P,$F383)/AA436)</f>
        <v>0</v>
      </c>
      <c r="AB437" s="265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</row>
    <row r="438" spans="1:42" s="111" customFormat="1" ht="11.25">
      <c r="A438" s="108"/>
      <c r="B438" s="108"/>
      <c r="C438" s="209" t="s">
        <v>279</v>
      </c>
      <c r="D438" s="109"/>
      <c r="E438" s="109"/>
      <c r="F438" s="109" t="str">
        <f t="shared" si="646"/>
        <v>Одежда и обувь</v>
      </c>
      <c r="G438" s="109"/>
      <c r="H438" s="307"/>
      <c r="I438" s="308">
        <f>I439-K439-L439+K438+L438</f>
        <v>0</v>
      </c>
      <c r="J438" s="309">
        <f>I383+I401-I408-I439</f>
        <v>0</v>
      </c>
      <c r="K438" s="308">
        <f>K383+K401-K408-K439</f>
        <v>0</v>
      </c>
      <c r="L438" s="336">
        <f>L383+L401-L408-L439</f>
        <v>0</v>
      </c>
      <c r="M438" s="272"/>
      <c r="N438" s="110">
        <f>N439-P439-Q439</f>
        <v>0</v>
      </c>
      <c r="O438" s="215">
        <f>N383+N401-N408-N439</f>
        <v>0</v>
      </c>
      <c r="P438" s="110">
        <f>P383+P401-P408-P439</f>
        <v>0</v>
      </c>
      <c r="Q438" s="248">
        <f>Q383+Q401-Q408-Q439</f>
        <v>0</v>
      </c>
      <c r="R438" s="234"/>
      <c r="S438" s="110">
        <f>S439-U439-V439</f>
        <v>0</v>
      </c>
      <c r="T438" s="215">
        <f>S383+S401-S408-S439</f>
        <v>0</v>
      </c>
      <c r="U438" s="110">
        <f>U383+U401-U408-U439</f>
        <v>0</v>
      </c>
      <c r="V438" s="248">
        <f>V383+V401-V408-V439</f>
        <v>0</v>
      </c>
      <c r="W438" s="234"/>
      <c r="X438" s="110">
        <f>X439-Z439-AA439</f>
        <v>0</v>
      </c>
      <c r="Y438" s="215">
        <f>X383+X401-X408-X439</f>
        <v>0</v>
      </c>
      <c r="Z438" s="110">
        <f>Z383+Z401-Z408-Z439</f>
        <v>0</v>
      </c>
      <c r="AA438" s="248">
        <f>AA383+AA401-AA408-AA439</f>
        <v>0</v>
      </c>
      <c r="AB438" s="263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</row>
    <row r="439" spans="1:42" s="93" customFormat="1" ht="15">
      <c r="A439" s="92"/>
      <c r="B439" s="92"/>
      <c r="C439" s="214"/>
      <c r="D439" s="151" t="s">
        <v>238</v>
      </c>
      <c r="E439" s="151"/>
      <c r="F439" s="151" t="str">
        <f t="shared" si="646"/>
        <v>Одежда и обувь</v>
      </c>
      <c r="G439" s="151" t="s">
        <v>261</v>
      </c>
      <c r="H439" s="311"/>
      <c r="I439" s="312">
        <f>SUMIFS(операции!$V:$V,операции!$T:$T,"&lt;="&amp;I$9,операции!$X:$X,"",операции!$P:$P,$F383)+SUMIFS(операции!$V:$V,операции!$T:$T,"&lt;="&amp;I$9,операции!$X:$X,"&gt;"&amp;I$9,операции!$P:$P,$F383)</f>
        <v>82590.240000000005</v>
      </c>
      <c r="J439" s="313">
        <f>I439-I444-I450</f>
        <v>0</v>
      </c>
      <c r="K439" s="312">
        <f>SUMIFS(операции!$V:$V,операции!$T:$T,"&lt;="&amp;I$9,операции!$X:$X,"",операции!$L:$L,K$9,операции!$P:$P,$F383)+SUMIFS(операции!$V:$V,операции!$T:$T,"&lt;="&amp;I$9,операции!$X:$X,"&gt;"&amp;I$9,операции!$L:$L,K$9,операции!$P:$P,$F383)</f>
        <v>82590.240000000005</v>
      </c>
      <c r="L439" s="314">
        <f>SUMIFS(операции!$V:$V,операции!$T:$T,"&lt;="&amp;I$9,операции!$X:$X,"",операции!$L:$L,L$9,операции!$P:$P,$F383)+SUMIFS(операции!$V:$V,операции!$T:$T,"&lt;="&amp;I$9,операции!$X:$X,"&gt;"&amp;I$9,операции!$L:$L,L$9,операции!$P:$P,$F383)</f>
        <v>0</v>
      </c>
      <c r="M439" s="273"/>
      <c r="N439" s="152">
        <f>SUMIFS(операции!$V:$V,операции!$T:$T,"&lt;="&amp;N$9,операции!$X:$X,"",операции!$P:$P,$F383)+SUMIFS(операции!$V:$V,операции!$T:$T,"&lt;="&amp;N$9,операции!$X:$X,"&gt;"&amp;N$9,операции!$P:$P,$F383)</f>
        <v>147808.37</v>
      </c>
      <c r="O439" s="170">
        <f>N439-N444-N450</f>
        <v>-2.0918378140777349E-11</v>
      </c>
      <c r="P439" s="152">
        <f>SUMIFS(операции!$V:$V,операции!$T:$T,"&lt;="&amp;N$9,операции!$X:$X,"",операции!$L:$L,P$9,операции!$P:$P,$F383)+SUMIFS(операции!$V:$V,операции!$T:$T,"&lt;="&amp;N$9,операции!$X:$X,"&gt;"&amp;N$9,операции!$L:$L,P$9,операции!$P:$P,$F383)</f>
        <v>147808.37</v>
      </c>
      <c r="Q439" s="235">
        <f>SUMIFS(операции!$V:$V,операции!$T:$T,"&lt;="&amp;N$9,операции!$X:$X,"",операции!$L:$L,Q$9,операции!$P:$P,$F383)+SUMIFS(операции!$V:$V,операции!$T:$T,"&lt;="&amp;N$9,операции!$X:$X,"&gt;"&amp;N$9,операции!$L:$L,Q$9,операции!$P:$P,$F383)</f>
        <v>0</v>
      </c>
      <c r="R439" s="236"/>
      <c r="S439" s="152">
        <f>SUMIFS(операции!$V:$V,операции!$T:$T,"&lt;="&amp;S$9,операции!$X:$X,"",операции!$P:$P,$F383)+SUMIFS(операции!$V:$V,операции!$T:$T,"&lt;="&amp;S$9,операции!$X:$X,"&gt;"&amp;S$9,операции!$P:$P,$F383)</f>
        <v>99094.610000000015</v>
      </c>
      <c r="T439" s="170">
        <f>S439-S444-S450</f>
        <v>8.1854523159563541E-12</v>
      </c>
      <c r="U439" s="152">
        <f>SUMIFS(операции!$V:$V,операции!$T:$T,"&lt;="&amp;S$9,операции!$X:$X,"",операции!$L:$L,U$9,операции!$P:$P,$F383)+SUMIFS(операции!$V:$V,операции!$T:$T,"&lt;="&amp;S$9,операции!$X:$X,"&gt;"&amp;S$9,операции!$L:$L,U$9,операции!$P:$P,$F383)</f>
        <v>99094.610000000015</v>
      </c>
      <c r="V439" s="235">
        <f>SUMIFS(операции!$V:$V,операции!$T:$T,"&lt;="&amp;S$9,операции!$X:$X,"",операции!$L:$L,V$9,операции!$P:$P,$F383)+SUMIFS(операции!$V:$V,операции!$T:$T,"&lt;="&amp;S$9,операции!$X:$X,"&gt;"&amp;S$9,операции!$L:$L,V$9,операции!$P:$P,$F383)</f>
        <v>0</v>
      </c>
      <c r="W439" s="236"/>
      <c r="X439" s="152">
        <f>SUMIFS(операции!$V:$V,операции!$T:$T,"&lt;="&amp;X$9,операции!$X:$X,"",операции!$P:$P,$F383)+SUMIFS(операции!$V:$V,операции!$T:$T,"&lt;="&amp;X$9,операции!$X:$X,"&gt;"&amp;X$9,операции!$P:$P,$F383)</f>
        <v>82590.240000000005</v>
      </c>
      <c r="Y439" s="170">
        <f>X439-X444-X450</f>
        <v>0</v>
      </c>
      <c r="Z439" s="152">
        <f>SUMIFS(операции!$V:$V,операции!$T:$T,"&lt;="&amp;X$9,операции!$X:$X,"",операции!$L:$L,Z$9,операции!$P:$P,$F383)+SUMIFS(операции!$V:$V,операции!$T:$T,"&lt;="&amp;X$9,операции!$X:$X,"&gt;"&amp;X$9,операции!$L:$L,Z$9,операции!$P:$P,$F383)</f>
        <v>82590.240000000005</v>
      </c>
      <c r="AA439" s="235">
        <f>SUMIFS(операции!$V:$V,операции!$T:$T,"&lt;="&amp;X$9,операции!$X:$X,"",операции!$L:$L,AA$9,операции!$P:$P,$F383)+SUMIFS(операции!$V:$V,операции!$T:$T,"&lt;="&amp;X$9,операции!$X:$X,"&gt;"&amp;X$9,операции!$L:$L,AA$9,операции!$P:$P,$F383)</f>
        <v>0</v>
      </c>
      <c r="AB439" s="264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</row>
    <row r="440" spans="1:42" s="192" customFormat="1" ht="11.25">
      <c r="A440" s="37"/>
      <c r="B440" s="37"/>
      <c r="C440" s="37"/>
      <c r="D440" s="191" t="s">
        <v>255</v>
      </c>
      <c r="E440" s="191"/>
      <c r="F440" s="191" t="str">
        <f t="shared" si="646"/>
        <v>Одежда и обувь</v>
      </c>
      <c r="G440" s="191" t="s">
        <v>262</v>
      </c>
      <c r="H440" s="315"/>
      <c r="I440" s="316">
        <f>IF(I439=0,0,(SUMIFS(операции!$AF:$AF,операции!$T:$T,"&lt;="&amp;I$9,операции!$X:$X,"",операции!$P:$P,$F383)+SUMIFS(операции!$AF:$AF,операции!$T:$T,"&lt;="&amp;I$9,операции!$X:$X,"&gt;"&amp;I$9,операции!$P:$P,$F383))/I439)</f>
        <v>42207.611924241886</v>
      </c>
      <c r="J440" s="317"/>
      <c r="K440" s="316">
        <f>IF(K439=0,0,(SUMIFS(операции!$AF:$AF,операции!$T:$T,"&lt;="&amp;I$9,операции!$X:$X,"",операции!$L:$L,K$9,операции!$P:$P,$F383)+SUMIFS(операции!$AF:$AF,операции!$T:$T,"&lt;="&amp;I$9,операции!$X:$X,"&gt;"&amp;I$9,операции!$L:$L,K$9,операции!$P:$P,$F383))/K439)</f>
        <v>42207.611924241886</v>
      </c>
      <c r="L440" s="318">
        <f>IF(L439=0,0,(SUMIFS(операции!$AF:$AF,операции!$T:$T,"&lt;="&amp;I$9,операции!$X:$X,"",операции!$L:$L,L$9,операции!$P:$P,$F383)+SUMIFS(операции!$AF:$AF,операции!$T:$T,"&lt;="&amp;I$9,операции!$X:$X,"&gt;"&amp;I$9,операции!$L:$L,L$9,операции!$P:$P,$F383))/L439)</f>
        <v>0</v>
      </c>
      <c r="M440" s="274"/>
      <c r="N440" s="193">
        <f>IF(N439=0,0,(SUMIFS(операции!$AF:$AF,операции!$T:$T,"&lt;="&amp;N$9,операции!$X:$X,"",операции!$P:$P,$F383)+SUMIFS(операции!$AF:$AF,операции!$T:$T,"&lt;="&amp;N$9,операции!$X:$X,"&gt;"&amp;N$9,операции!$P:$P,$F383))/N439)</f>
        <v>42220.507872389084</v>
      </c>
      <c r="O440" s="196"/>
      <c r="P440" s="193">
        <f>IF(P439=0,0,(SUMIFS(операции!$AF:$AF,операции!$T:$T,"&lt;="&amp;N$9,операции!$X:$X,"",операции!$L:$L,P$9,операции!$P:$P,$F383)+SUMIFS(операции!$AF:$AF,операции!$T:$T,"&lt;="&amp;N$9,операции!$X:$X,"&gt;"&amp;N$9,операции!$L:$L,P$9,операции!$P:$P,$F383))/P439)</f>
        <v>42220.507872389084</v>
      </c>
      <c r="Q440" s="237">
        <f>IF(Q439=0,0,(SUMIFS(операции!$AF:$AF,операции!$T:$T,"&lt;="&amp;N$9,операции!$X:$X,"",операции!$L:$L,Q$9,операции!$P:$P,$F383)+SUMIFS(операции!$AF:$AF,операции!$T:$T,"&lt;="&amp;N$9,операции!$X:$X,"&gt;"&amp;N$9,операции!$L:$L,Q$9,операции!$P:$P,$F383))/Q439)</f>
        <v>0</v>
      </c>
      <c r="R440" s="238"/>
      <c r="S440" s="193">
        <f>IF(S439=0,0,(SUMIFS(операции!$AF:$AF,операции!$T:$T,"&lt;="&amp;S$9,операции!$X:$X,"",операции!$P:$P,$F383)+SUMIFS(операции!$AF:$AF,операции!$T:$T,"&lt;="&amp;S$9,операции!$X:$X,"&gt;"&amp;S$9,операции!$P:$P,$F383))/S439)</f>
        <v>42213.01128870681</v>
      </c>
      <c r="T440" s="196"/>
      <c r="U440" s="193">
        <f>IF(U439=0,0,(SUMIFS(операции!$AF:$AF,операции!$T:$T,"&lt;="&amp;S$9,операции!$X:$X,"",операции!$L:$L,U$9,операции!$P:$P,$F383)+SUMIFS(операции!$AF:$AF,операции!$T:$T,"&lt;="&amp;S$9,операции!$X:$X,"&gt;"&amp;S$9,операции!$L:$L,U$9,операции!$P:$P,$F383))/U439)</f>
        <v>42213.01128870681</v>
      </c>
      <c r="V440" s="237">
        <f>IF(V439=0,0,(SUMIFS(операции!$AF:$AF,операции!$T:$T,"&lt;="&amp;S$9,операции!$X:$X,"",операции!$L:$L,V$9,операции!$P:$P,$F383)+SUMIFS(операции!$AF:$AF,операции!$T:$T,"&lt;="&amp;S$9,операции!$X:$X,"&gt;"&amp;S$9,операции!$L:$L,V$9,операции!$P:$P,$F383))/V439)</f>
        <v>0</v>
      </c>
      <c r="W440" s="238"/>
      <c r="X440" s="193">
        <f>IF(X439=0,0,(SUMIFS(операции!$AF:$AF,операции!$T:$T,"&lt;="&amp;X$9,операции!$X:$X,"",операции!$P:$P,$F383)+SUMIFS(операции!$AF:$AF,операции!$T:$T,"&lt;="&amp;X$9,операции!$X:$X,"&gt;"&amp;X$9,операции!$P:$P,$F383))/X439)</f>
        <v>42207.611924241886</v>
      </c>
      <c r="Y440" s="196"/>
      <c r="Z440" s="193">
        <f>IF(Z439=0,0,(SUMIFS(операции!$AF:$AF,операции!$T:$T,"&lt;="&amp;X$9,операции!$X:$X,"",операции!$L:$L,Z$9,операции!$P:$P,$F383)+SUMIFS(операции!$AF:$AF,операции!$T:$T,"&lt;="&amp;X$9,операции!$X:$X,"&gt;"&amp;X$9,операции!$L:$L,Z$9,операции!$P:$P,$F383))/Z439)</f>
        <v>42207.611924241886</v>
      </c>
      <c r="AA440" s="237">
        <f>IF(AA439=0,0,(SUMIFS(операции!$AF:$AF,операции!$T:$T,"&lt;="&amp;X$9,операции!$X:$X,"",операции!$L:$L,AA$9,операции!$P:$P,$F383)+SUMIFS(операции!$AF:$AF,операции!$T:$T,"&lt;="&amp;X$9,операции!$X:$X,"&gt;"&amp;X$9,операции!$L:$L,AA$9,операции!$P:$P,$F383))/AA439)</f>
        <v>0</v>
      </c>
      <c r="AB440" s="265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</row>
    <row r="441" spans="1:42" s="50" customFormat="1" ht="11.25">
      <c r="A441" s="48"/>
      <c r="B441" s="48"/>
      <c r="C441" s="48"/>
      <c r="D441" s="154" t="s">
        <v>239</v>
      </c>
      <c r="E441" s="154"/>
      <c r="F441" s="154" t="str">
        <f t="shared" si="646"/>
        <v>Одежда и обувь</v>
      </c>
      <c r="G441" s="154" t="s">
        <v>219</v>
      </c>
      <c r="H441" s="319"/>
      <c r="I441" s="320">
        <f>IF(I439=0,0,I$9-I440)</f>
        <v>161.3880757581137</v>
      </c>
      <c r="J441" s="321">
        <f>I441-SUMIFS(ПОбТЗ!$I:$I,ПОбТЗ!$E:$E,$D441,ПОбТЗ!$F:$F,$F441)</f>
        <v>0</v>
      </c>
      <c r="K441" s="320">
        <f>IF(K439=0,0,I$9-K440)</f>
        <v>161.3880757581137</v>
      </c>
      <c r="L441" s="322">
        <f>IF(L439=0,0,I$9-L440)</f>
        <v>0</v>
      </c>
      <c r="M441" s="275"/>
      <c r="N441" s="155">
        <f>IF(N439=0,0,N$9-N440)</f>
        <v>87.492127610916214</v>
      </c>
      <c r="O441" s="173">
        <f>N441-SUMIFS(ПОбТЗ_2!$J:$J,ПОбТЗ_2!$D:$D,$D441,ПОбТЗ_2!$E:$E,$F441)</f>
        <v>0</v>
      </c>
      <c r="P441" s="155">
        <f>IF(P439=0,0,N$9-P440)</f>
        <v>87.492127610916214</v>
      </c>
      <c r="Q441" s="239">
        <f>IF(Q439=0,0,N$9-Q440)</f>
        <v>0</v>
      </c>
      <c r="R441" s="240"/>
      <c r="S441" s="155">
        <f>IF(S439=0,0,S$9-S440)</f>
        <v>124.98871129319014</v>
      </c>
      <c r="T441" s="173">
        <f>S441-SUMIFS(ПОбТЗ_2!$K:$K,ПОбТЗ_2!$D:$D,$D441,ПОбТЗ_2!$E:$E,$F441)</f>
        <v>0</v>
      </c>
      <c r="U441" s="155">
        <f>IF(U439=0,0,S$9-U440)</f>
        <v>124.98871129319014</v>
      </c>
      <c r="V441" s="239">
        <f>IF(V439=0,0,S$9-V440)</f>
        <v>0</v>
      </c>
      <c r="W441" s="240"/>
      <c r="X441" s="155">
        <f>IF(X439=0,0,X$9-X440)</f>
        <v>161.3880757581137</v>
      </c>
      <c r="Y441" s="173">
        <f>X441-SUMIFS(ПОбТЗ_2!$L:$L,ПОбТЗ_2!$D:$D,$D441,ПОбТЗ_2!$E:$E,$F441)</f>
        <v>0</v>
      </c>
      <c r="Z441" s="155">
        <f>IF(Z439=0,0,X$9-Z440)</f>
        <v>161.3880757581137</v>
      </c>
      <c r="AA441" s="239">
        <f>IF(AA439=0,0,X$9-AA440)</f>
        <v>0</v>
      </c>
      <c r="AB441" s="230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</row>
    <row r="442" spans="1:42" s="93" customFormat="1" ht="15">
      <c r="A442" s="92"/>
      <c r="B442" s="92"/>
      <c r="C442" s="92"/>
      <c r="D442" s="198" t="s">
        <v>280</v>
      </c>
      <c r="E442" s="198"/>
      <c r="F442" s="198" t="str">
        <f t="shared" si="646"/>
        <v>Одежда и обувь</v>
      </c>
      <c r="G442" s="198" t="s">
        <v>219</v>
      </c>
      <c r="H442" s="323"/>
      <c r="I442" s="324">
        <f>IF(I439=0,0,(I444*I448+I450*I454)/I439)</f>
        <v>21.016834797919728</v>
      </c>
      <c r="J442" s="321"/>
      <c r="K442" s="324">
        <f>IF(K439=0,0,(K444*K448+K450*K454)/K439)</f>
        <v>21.016834797919728</v>
      </c>
      <c r="L442" s="325">
        <f>IF(L439=0,0,(L444*L448+L450*L454)/L439)</f>
        <v>0</v>
      </c>
      <c r="M442" s="276"/>
      <c r="N442" s="199">
        <f>IF(N439=0,0,(N444*N448+N450*N454)/N439)</f>
        <v>27.268871986065598</v>
      </c>
      <c r="O442" s="173"/>
      <c r="P442" s="199">
        <f>IF(P439=0,0,(P444*P448+P450*P454)/P439)</f>
        <v>27.268871986065598</v>
      </c>
      <c r="Q442" s="241">
        <f>IF(Q439=0,0,(Q444*Q448+Q450*Q454)/Q439)</f>
        <v>0</v>
      </c>
      <c r="R442" s="242"/>
      <c r="S442" s="199">
        <f>IF(S439=0,0,(S444*S448+S450*S454)/S439)</f>
        <v>25.291429271488365</v>
      </c>
      <c r="T442" s="173"/>
      <c r="U442" s="199">
        <f>IF(U439=0,0,(U444*U448+U450*U454)/U439)</f>
        <v>25.291429271488365</v>
      </c>
      <c r="V442" s="241">
        <f>IF(V439=0,0,(V444*V448+V450*V454)/V439)</f>
        <v>0</v>
      </c>
      <c r="W442" s="242"/>
      <c r="X442" s="199">
        <f>IF(X439=0,0,(X444*X448+X450*X454)/X439)</f>
        <v>21.016834797919728</v>
      </c>
      <c r="Y442" s="173"/>
      <c r="Z442" s="199">
        <f>IF(Z439=0,0,(Z444*Z448+Z450*Z454)/Z439)</f>
        <v>21.016834797919728</v>
      </c>
      <c r="AA442" s="241">
        <f>IF(AA439=0,0,(AA444*AA448+AA450*AA454)/AA439)</f>
        <v>0</v>
      </c>
      <c r="AB442" s="264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</row>
    <row r="443" spans="1:42" s="50" customFormat="1" ht="11.25">
      <c r="A443" s="48"/>
      <c r="B443" s="48"/>
      <c r="C443" s="48"/>
      <c r="D443" s="154" t="s">
        <v>281</v>
      </c>
      <c r="E443" s="154"/>
      <c r="F443" s="154" t="str">
        <f t="shared" si="646"/>
        <v>Одежда и обувь</v>
      </c>
      <c r="G443" s="154" t="s">
        <v>219</v>
      </c>
      <c r="H443" s="319"/>
      <c r="I443" s="320">
        <f>I441-I442</f>
        <v>140.37124096019397</v>
      </c>
      <c r="J443" s="321"/>
      <c r="K443" s="320">
        <f>K441-K442</f>
        <v>140.37124096019397</v>
      </c>
      <c r="L443" s="322">
        <f>L441-L442</f>
        <v>0</v>
      </c>
      <c r="M443" s="275"/>
      <c r="N443" s="155">
        <f>N441-N442</f>
        <v>60.223255624850616</v>
      </c>
      <c r="O443" s="173"/>
      <c r="P443" s="155">
        <f>P441-P442</f>
        <v>60.223255624850616</v>
      </c>
      <c r="Q443" s="239">
        <f>Q441-Q442</f>
        <v>0</v>
      </c>
      <c r="R443" s="240"/>
      <c r="S443" s="155">
        <f>S441-S442</f>
        <v>99.697282021701767</v>
      </c>
      <c r="T443" s="173"/>
      <c r="U443" s="155">
        <f>U441-U442</f>
        <v>99.697282021701767</v>
      </c>
      <c r="V443" s="239">
        <f>V441-V442</f>
        <v>0</v>
      </c>
      <c r="W443" s="240"/>
      <c r="X443" s="155">
        <f>X441-X442</f>
        <v>140.37124096019397</v>
      </c>
      <c r="Y443" s="173"/>
      <c r="Z443" s="155">
        <f>Z441-Z442</f>
        <v>140.37124096019397</v>
      </c>
      <c r="AA443" s="239">
        <f>AA441-AA442</f>
        <v>0</v>
      </c>
      <c r="AB443" s="230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</row>
    <row r="444" spans="1:42" s="5" customFormat="1">
      <c r="A444" s="1"/>
      <c r="B444" s="1"/>
      <c r="C444" s="1"/>
      <c r="D444" s="168"/>
      <c r="E444" s="168" t="s">
        <v>282</v>
      </c>
      <c r="F444" s="168" t="str">
        <f t="shared" si="646"/>
        <v>Одежда и обувь</v>
      </c>
      <c r="G444" s="168" t="s">
        <v>261</v>
      </c>
      <c r="H444" s="326"/>
      <c r="I444" s="327">
        <f>SUMIFS(операции!$V:$V,операции!$T:$T,"&lt;="&amp;I$9,операции!$X:$X,"",операции!$AB:$AB,"&lt;&gt;"&amp;"",операции!$AB:$AB,"&lt;="&amp;I$9,операции!$P:$P,$F383)+SUMIFS(операции!$V:$V,операции!$T:$T,"&lt;="&amp;I$9,операции!$X:$X,"&gt;"&amp;I$9,операции!$AB:$AB,"&lt;&gt;"&amp;"",операции!$AB:$AB,"&lt;="&amp;I$9,операции!$P:$P,$F383)</f>
        <v>82590.240000000005</v>
      </c>
      <c r="J444" s="313">
        <f>I444-K444-L444</f>
        <v>0</v>
      </c>
      <c r="K444" s="327">
        <f>SUMIFS(операции!$V:$V,операции!$T:$T,"&lt;="&amp;I$9,операции!$X:$X,"",операции!$AB:$AB,"&lt;&gt;"&amp;"",операции!$AB:$AB,"&lt;="&amp;I$9,операции!$L:$L,K$9,операции!$P:$P,$F383)+SUMIFS(операции!$V:$V,операции!$T:$T,"&lt;="&amp;I$9,операции!$X:$X,"&gt;"&amp;I$9,операции!$AB:$AB,"&lt;&gt;"&amp;"",операции!$AB:$AB,"&lt;="&amp;I$9,операции!$L:$L,K$9,операции!$P:$P,$F383)</f>
        <v>82590.240000000005</v>
      </c>
      <c r="L444" s="328">
        <f>SUMIFS(операции!$V:$V,операции!$T:$T,"&lt;="&amp;I$9,операции!$X:$X,"",операции!$AB:$AB,"&lt;&gt;"&amp;"",операции!$AB:$AB,"&lt;="&amp;I$9,операции!$L:$L,L$9,операции!$P:$P,$F383)+SUMIFS(операции!$V:$V,операции!$T:$T,"&lt;="&amp;I$9,операции!$X:$X,"&gt;"&amp;I$9,операции!$AB:$AB,"&lt;&gt;"&amp;"",операции!$AB:$AB,"&lt;="&amp;I$9,операции!$L:$L,L$9,операции!$P:$P,$F383)</f>
        <v>0</v>
      </c>
      <c r="M444" s="277"/>
      <c r="N444" s="169">
        <f>SUMIFS(операции!$V:$V,операции!$T:$T,"&lt;="&amp;N$9,операции!$X:$X,"",операции!$AB:$AB,"&lt;&gt;"&amp;"",операции!$AB:$AB,"&lt;="&amp;N$9,операции!$P:$P,$F383)+SUMIFS(операции!$V:$V,операции!$T:$T,"&lt;="&amp;N$9,операции!$X:$X,"&gt;"&amp;N$9,операции!$AB:$AB,"&lt;&gt;"&amp;"",операции!$AB:$AB,"&lt;="&amp;N$9,операции!$P:$P,$F383)</f>
        <v>146438.58000000002</v>
      </c>
      <c r="O444" s="170">
        <f>N444-P444-Q444</f>
        <v>0</v>
      </c>
      <c r="P444" s="169">
        <f>SUMIFS(операции!$V:$V,операции!$T:$T,"&lt;="&amp;N$9,операции!$X:$X,"",операции!$AB:$AB,"&lt;&gt;"&amp;"",операции!$AB:$AB,"&lt;="&amp;N$9,операции!$L:$L,P$9,операции!$P:$P,$F383)+SUMIFS(операции!$V:$V,операции!$T:$T,"&lt;="&amp;N$9,операции!$X:$X,"&gt;"&amp;N$9,операции!$AB:$AB,"&lt;&gt;"&amp;"",операции!$AB:$AB,"&lt;="&amp;N$9,операции!$L:$L,P$9,операции!$P:$P,$F383)</f>
        <v>146438.58000000002</v>
      </c>
      <c r="Q444" s="243">
        <f>SUMIFS(операции!$V:$V,операции!$T:$T,"&lt;="&amp;N$9,операции!$X:$X,"",операции!$AB:$AB,"&lt;&gt;"&amp;"",операции!$AB:$AB,"&lt;="&amp;N$9,операции!$L:$L,Q$9,операции!$P:$P,$F383)+SUMIFS(операции!$V:$V,операции!$T:$T,"&lt;="&amp;N$9,операции!$X:$X,"&gt;"&amp;N$9,операции!$AB:$AB,"&lt;&gt;"&amp;"",операции!$AB:$AB,"&lt;="&amp;N$9,операции!$L:$L,Q$9,операции!$P:$P,$F383)</f>
        <v>0</v>
      </c>
      <c r="R444" s="244"/>
      <c r="S444" s="169">
        <f>SUMIFS(операции!$V:$V,операции!$T:$T,"&lt;="&amp;S$9,операции!$X:$X,"",операции!$AB:$AB,"&lt;&gt;"&amp;"",операции!$AB:$AB,"&lt;="&amp;S$9,операции!$P:$P,$F383)+SUMIFS(операции!$V:$V,операции!$T:$T,"&lt;="&amp;S$9,операции!$X:$X,"&gt;"&amp;S$9,операции!$AB:$AB,"&lt;&gt;"&amp;"",операции!$AB:$AB,"&lt;="&amp;S$9,операции!$P:$P,$F383)</f>
        <v>97724.82</v>
      </c>
      <c r="T444" s="170">
        <f>S444-U444-V444</f>
        <v>0</v>
      </c>
      <c r="U444" s="169">
        <f>SUMIFS(операции!$V:$V,операции!$T:$T,"&lt;="&amp;S$9,операции!$X:$X,"",операции!$AB:$AB,"&lt;&gt;"&amp;"",операции!$AB:$AB,"&lt;="&amp;S$9,операции!$L:$L,U$9,операции!$P:$P,$F383)+SUMIFS(операции!$V:$V,операции!$T:$T,"&lt;="&amp;S$9,операции!$X:$X,"&gt;"&amp;S$9,операции!$AB:$AB,"&lt;&gt;"&amp;"",операции!$AB:$AB,"&lt;="&amp;S$9,операции!$L:$L,U$9,операции!$P:$P,$F383)</f>
        <v>97724.82</v>
      </c>
      <c r="V444" s="243">
        <f>SUMIFS(операции!$V:$V,операции!$T:$T,"&lt;="&amp;S$9,операции!$X:$X,"",операции!$AB:$AB,"&lt;&gt;"&amp;"",операции!$AB:$AB,"&lt;="&amp;S$9,операции!$L:$L,V$9,операции!$P:$P,$F383)+SUMIFS(операции!$V:$V,операции!$T:$T,"&lt;="&amp;S$9,операции!$X:$X,"&gt;"&amp;S$9,операции!$AB:$AB,"&lt;&gt;"&amp;"",операции!$AB:$AB,"&lt;="&amp;S$9,операции!$L:$L,V$9,операции!$P:$P,$F383)</f>
        <v>0</v>
      </c>
      <c r="W444" s="244"/>
      <c r="X444" s="169">
        <f>SUMIFS(операции!$V:$V,операции!$T:$T,"&lt;="&amp;X$9,операции!$X:$X,"",операции!$AB:$AB,"&lt;&gt;"&amp;"",операции!$AB:$AB,"&lt;="&amp;X$9,операции!$P:$P,$F383)+SUMIFS(операции!$V:$V,операции!$T:$T,"&lt;="&amp;X$9,операции!$X:$X,"&gt;"&amp;X$9,операции!$AB:$AB,"&lt;&gt;"&amp;"",операции!$AB:$AB,"&lt;="&amp;X$9,операции!$P:$P,$F383)</f>
        <v>82590.240000000005</v>
      </c>
      <c r="Y444" s="170">
        <f>X444-Z444-AA444</f>
        <v>0</v>
      </c>
      <c r="Z444" s="169">
        <f>SUMIFS(операции!$V:$V,операции!$T:$T,"&lt;="&amp;X$9,операции!$X:$X,"",операции!$AB:$AB,"&lt;&gt;"&amp;"",операции!$AB:$AB,"&lt;="&amp;X$9,операции!$L:$L,Z$9,операции!$P:$P,$F383)+SUMIFS(операции!$V:$V,операции!$T:$T,"&lt;="&amp;X$9,операции!$X:$X,"&gt;"&amp;X$9,операции!$AB:$AB,"&lt;&gt;"&amp;"",операции!$AB:$AB,"&lt;="&amp;X$9,операции!$L:$L,Z$9,операции!$P:$P,$F383)</f>
        <v>82590.240000000005</v>
      </c>
      <c r="AA444" s="243">
        <f>SUMIFS(операции!$V:$V,операции!$T:$T,"&lt;="&amp;X$9,операции!$X:$X,"",операции!$AB:$AB,"&lt;&gt;"&amp;"",операции!$AB:$AB,"&lt;="&amp;X$9,операции!$L:$L,AA$9,операции!$P:$P,$F383)+SUMIFS(операции!$V:$V,операции!$T:$T,"&lt;="&amp;X$9,операции!$X:$X,"&gt;"&amp;X$9,операции!$AB:$AB,"&lt;&gt;"&amp;"",операции!$AB:$AB,"&lt;="&amp;X$9,операции!$L:$L,AA$9,операции!$P:$P,$F383)</f>
        <v>0</v>
      </c>
      <c r="AB444" s="266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s="192" customFormat="1" ht="11.25">
      <c r="A445" s="37"/>
      <c r="B445" s="37"/>
      <c r="C445" s="37"/>
      <c r="D445" s="191"/>
      <c r="E445" s="191" t="s">
        <v>255</v>
      </c>
      <c r="F445" s="191" t="str">
        <f t="shared" si="646"/>
        <v>Одежда и обувь</v>
      </c>
      <c r="G445" s="191" t="s">
        <v>262</v>
      </c>
      <c r="H445" s="315"/>
      <c r="I445" s="316">
        <f>IF(I444=0,0,(SUMIFS(операции!$AF:$AF,операции!$T:$T,"&lt;="&amp;I$9,операции!$X:$X,"",операции!$AB:$AB,"&lt;&gt;"&amp;"",операции!$AB:$AB,"&lt;="&amp;I$9,операции!$P:$P,$F383)+SUMIFS(операции!$AF:$AF,операции!$T:$T,"&lt;="&amp;I$9,операции!$X:$X,"&gt;"&amp;I$9,операции!$AB:$AB,"&lt;&gt;"&amp;"",операции!$AB:$AB,"&lt;="&amp;I$9,операции!$P:$P,$F383))/I444)</f>
        <v>42207.611924241886</v>
      </c>
      <c r="J445" s="317"/>
      <c r="K445" s="316">
        <f>IF(K444=0,0,(SUMIFS(операции!$AF:$AF,операции!$T:$T,"&lt;="&amp;I$9,операции!$X:$X,"",операции!$AB:$AB,"&lt;&gt;"&amp;"",операции!$AB:$AB,"&lt;="&amp;I$9,операции!$L:$L,K$9,операции!$P:$P,$F383)+SUMIFS(операции!$AF:$AF,операции!$T:$T,"&lt;="&amp;I$9,операции!$X:$X,"&gt;"&amp;I$9,операции!$AB:$AB,"&lt;&gt;"&amp;"",операции!$AB:$AB,"&lt;="&amp;I$9,операции!$L:$L,K$9,операции!$P:$P,$F383))/K444)</f>
        <v>42207.611924241886</v>
      </c>
      <c r="L445" s="318">
        <f>IF(L444=0,0,(SUMIFS(операции!$AF:$AF,операции!$T:$T,"&lt;="&amp;I$9,операции!$X:$X,"",операции!$AB:$AB,"&lt;&gt;"&amp;"",операции!$AB:$AB,"&lt;="&amp;I$9,операции!$L:$L,L$9,операции!$P:$P,$F383)+SUMIFS(операции!$AF:$AF,операции!$T:$T,"&lt;="&amp;I$9,операции!$X:$X,"&gt;"&amp;I$9,операции!$AB:$AB,"&lt;&gt;"&amp;"",операции!$AB:$AB,"&lt;="&amp;I$9,операции!$L:$L,L$9,операции!$P:$P,$F383))/L444)</f>
        <v>0</v>
      </c>
      <c r="M445" s="274"/>
      <c r="N445" s="193">
        <f>IF(N444=0,0,(SUMIFS(операции!$AF:$AF,операции!$T:$T,"&lt;="&amp;N$9,операции!$X:$X,"",операции!$AB:$AB,"&lt;&gt;"&amp;"",операции!$AB:$AB,"&lt;="&amp;N$9,операции!$P:$P,$F383)+SUMIFS(операции!$AF:$AF,операции!$T:$T,"&lt;="&amp;N$9,операции!$X:$X,"&gt;"&amp;N$9,операции!$AB:$AB,"&lt;&gt;"&amp;"",операции!$AB:$AB,"&lt;="&amp;N$9,операции!$P:$P,$F383))/N444)</f>
        <v>42221.101926555144</v>
      </c>
      <c r="O445" s="196"/>
      <c r="P445" s="193">
        <f>IF(P444=0,0,(SUMIFS(операции!$AF:$AF,операции!$T:$T,"&lt;="&amp;N$9,операции!$X:$X,"",операции!$AB:$AB,"&lt;&gt;"&amp;"",операции!$AB:$AB,"&lt;="&amp;N$9,операции!$L:$L,P$9,операции!$P:$P,$F383)+SUMIFS(операции!$AF:$AF,операции!$T:$T,"&lt;="&amp;N$9,операции!$X:$X,"&gt;"&amp;N$9,операции!$AB:$AB,"&lt;&gt;"&amp;"",операции!$AB:$AB,"&lt;="&amp;N$9,операции!$L:$L,P$9,операции!$P:$P,$F383))/P444)</f>
        <v>42221.101926555144</v>
      </c>
      <c r="Q445" s="237">
        <f>IF(Q444=0,0,(SUMIFS(операции!$AF:$AF,операции!$T:$T,"&lt;="&amp;N$9,операции!$X:$X,"",операции!$AB:$AB,"&lt;&gt;"&amp;"",операции!$AB:$AB,"&lt;="&amp;N$9,операции!$L:$L,Q$9,операции!$P:$P,$F383)+SUMIFS(операции!$AF:$AF,операции!$T:$T,"&lt;="&amp;N$9,операции!$X:$X,"&gt;"&amp;N$9,операции!$AB:$AB,"&lt;&gt;"&amp;"",операции!$AB:$AB,"&lt;="&amp;N$9,операции!$L:$L,Q$9,операции!$P:$P,$F383))/Q444)</f>
        <v>0</v>
      </c>
      <c r="R445" s="238"/>
      <c r="S445" s="193">
        <f>IF(S444=0,0,(SUMIFS(операции!$AF:$AF,операции!$T:$T,"&lt;="&amp;S$9,операции!$X:$X,"",операции!$AB:$AB,"&lt;&gt;"&amp;"",операции!$AB:$AB,"&lt;="&amp;S$9,операции!$P:$P,$F383)+SUMIFS(операции!$AF:$AF,операции!$T:$T,"&lt;="&amp;S$9,операции!$X:$X,"&gt;"&amp;S$9,операции!$AB:$AB,"&lt;&gt;"&amp;"",операции!$AB:$AB,"&lt;="&amp;S$9,операции!$P:$P,$F383))/S444)</f>
        <v>42213.796388164228</v>
      </c>
      <c r="T445" s="196"/>
      <c r="U445" s="193">
        <f>IF(U444=0,0,(SUMIFS(операции!$AF:$AF,операции!$T:$T,"&lt;="&amp;S$9,операции!$X:$X,"",операции!$AB:$AB,"&lt;&gt;"&amp;"",операции!$AB:$AB,"&lt;="&amp;S$9,операции!$L:$L,U$9,операции!$P:$P,$F383)+SUMIFS(операции!$AF:$AF,операции!$T:$T,"&lt;="&amp;S$9,операции!$X:$X,"&gt;"&amp;S$9,операции!$AB:$AB,"&lt;&gt;"&amp;"",операции!$AB:$AB,"&lt;="&amp;S$9,операции!$L:$L,U$9,операции!$P:$P,$F383))/U444)</f>
        <v>42213.796388164228</v>
      </c>
      <c r="V445" s="237">
        <f>IF(V444=0,0,(SUMIFS(операции!$AF:$AF,операции!$T:$T,"&lt;="&amp;S$9,операции!$X:$X,"",операции!$AB:$AB,"&lt;&gt;"&amp;"",операции!$AB:$AB,"&lt;="&amp;S$9,операции!$L:$L,V$9,операции!$P:$P,$F383)+SUMIFS(операции!$AF:$AF,операции!$T:$T,"&lt;="&amp;S$9,операции!$X:$X,"&gt;"&amp;S$9,операции!$AB:$AB,"&lt;&gt;"&amp;"",операции!$AB:$AB,"&lt;="&amp;S$9,операции!$L:$L,V$9,операции!$P:$P,$F383))/V444)</f>
        <v>0</v>
      </c>
      <c r="W445" s="238"/>
      <c r="X445" s="193">
        <f>IF(X444=0,0,(SUMIFS(операции!$AF:$AF,операции!$T:$T,"&lt;="&amp;X$9,операции!$X:$X,"",операции!$AB:$AB,"&lt;&gt;"&amp;"",операции!$AB:$AB,"&lt;="&amp;X$9,операции!$P:$P,$F383)+SUMIFS(операции!$AF:$AF,операции!$T:$T,"&lt;="&amp;X$9,операции!$X:$X,"&gt;"&amp;X$9,операции!$AB:$AB,"&lt;&gt;"&amp;"",операции!$AB:$AB,"&lt;="&amp;X$9,операции!$P:$P,$F383))/X444)</f>
        <v>42207.611924241886</v>
      </c>
      <c r="Y445" s="196"/>
      <c r="Z445" s="193">
        <f>IF(Z444=0,0,(SUMIFS(операции!$AF:$AF,операции!$T:$T,"&lt;="&amp;X$9,операции!$X:$X,"",операции!$AB:$AB,"&lt;&gt;"&amp;"",операции!$AB:$AB,"&lt;="&amp;X$9,операции!$L:$L,Z$9,операции!$P:$P,$F383)+SUMIFS(операции!$AF:$AF,операции!$T:$T,"&lt;="&amp;X$9,операции!$X:$X,"&gt;"&amp;X$9,операции!$AB:$AB,"&lt;&gt;"&amp;"",операции!$AB:$AB,"&lt;="&amp;X$9,операции!$L:$L,Z$9,операции!$P:$P,$F383))/Z444)</f>
        <v>42207.611924241886</v>
      </c>
      <c r="AA445" s="237">
        <f>IF(AA444=0,0,(SUMIFS(операции!$AF:$AF,операции!$T:$T,"&lt;="&amp;X$9,операции!$X:$X,"",операции!$AB:$AB,"&lt;&gt;"&amp;"",операции!$AB:$AB,"&lt;="&amp;X$9,операции!$L:$L,AA$9,операции!$P:$P,$F383)+SUMIFS(операции!$AF:$AF,операции!$T:$T,"&lt;="&amp;X$9,операции!$X:$X,"&gt;"&amp;X$9,операции!$AB:$AB,"&lt;&gt;"&amp;"",операции!$AB:$AB,"&lt;="&amp;X$9,операции!$L:$L,AA$9,операции!$P:$P,$F383))/AA444)</f>
        <v>0</v>
      </c>
      <c r="AB445" s="265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</row>
    <row r="446" spans="1:42" s="192" customFormat="1" ht="11.25">
      <c r="A446" s="37"/>
      <c r="B446" s="37"/>
      <c r="C446" s="37"/>
      <c r="D446" s="191"/>
      <c r="E446" s="191" t="s">
        <v>283</v>
      </c>
      <c r="F446" s="191" t="str">
        <f t="shared" si="646"/>
        <v>Одежда и обувь</v>
      </c>
      <c r="G446" s="191" t="s">
        <v>219</v>
      </c>
      <c r="H446" s="315"/>
      <c r="I446" s="329">
        <f>IF(I444=0,0,I$9-I445)</f>
        <v>161.3880757581137</v>
      </c>
      <c r="J446" s="317"/>
      <c r="K446" s="329">
        <f>IF(K444=0,0,I$9-K445)</f>
        <v>161.3880757581137</v>
      </c>
      <c r="L446" s="330">
        <f>IF(L444=0,0,I$9-L445)</f>
        <v>0</v>
      </c>
      <c r="M446" s="274"/>
      <c r="N446" s="156">
        <f>IF(N444=0,0,N$9-N445)</f>
        <v>86.898073444855982</v>
      </c>
      <c r="O446" s="196"/>
      <c r="P446" s="156">
        <f>IF(P444=0,0,N$9-P445)</f>
        <v>86.898073444855982</v>
      </c>
      <c r="Q446" s="245">
        <f>IF(Q444=0,0,N$9-Q445)</f>
        <v>0</v>
      </c>
      <c r="R446" s="238"/>
      <c r="S446" s="156">
        <f>IF(S444=0,0,S$9-S445)</f>
        <v>124.20361183577188</v>
      </c>
      <c r="T446" s="196"/>
      <c r="U446" s="156">
        <f>IF(U444=0,0,S$9-U445)</f>
        <v>124.20361183577188</v>
      </c>
      <c r="V446" s="245">
        <f>IF(V444=0,0,S$9-V445)</f>
        <v>0</v>
      </c>
      <c r="W446" s="238"/>
      <c r="X446" s="156">
        <f>IF(X444=0,0,X$9-X445)</f>
        <v>161.3880757581137</v>
      </c>
      <c r="Y446" s="196"/>
      <c r="Z446" s="156">
        <f>IF(Z444=0,0,X$9-Z445)</f>
        <v>161.3880757581137</v>
      </c>
      <c r="AA446" s="245">
        <f>IF(AA444=0,0,X$9-AA445)</f>
        <v>0</v>
      </c>
      <c r="AB446" s="265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</row>
    <row r="447" spans="1:42" s="192" customFormat="1" ht="11.25">
      <c r="A447" s="37"/>
      <c r="B447" s="37"/>
      <c r="C447" s="37"/>
      <c r="D447" s="191"/>
      <c r="E447" s="191" t="s">
        <v>259</v>
      </c>
      <c r="F447" s="191" t="str">
        <f t="shared" si="646"/>
        <v>Одежда и обувь</v>
      </c>
      <c r="G447" s="191" t="s">
        <v>262</v>
      </c>
      <c r="H447" s="315"/>
      <c r="I447" s="316">
        <f>IF(I444=0,0,(SUMIFS(операции!$AH:$AH,операции!$T:$T,"&lt;="&amp;I$9,операции!$X:$X,"",операции!$AB:$AB,"&lt;&gt;"&amp;"",операции!$AB:$AB,"&lt;="&amp;I$9,операции!$P:$P,$F383)+SUMIFS(операции!$AH:$AH,операции!$T:$T,"&lt;="&amp;I$9,операции!$X:$X,"&gt;"&amp;I$9,операции!$AB:$AB,"&lt;&gt;"&amp;"",операции!$AB:$AB,"&lt;="&amp;I$9,операции!$P:$P,$F383))/I444)</f>
        <v>42228.628759039806</v>
      </c>
      <c r="J447" s="317"/>
      <c r="K447" s="316">
        <f>IF(K444=0,0,(SUMIFS(операции!$AH:$AH,операции!$T:$T,"&lt;="&amp;I$9,операции!$X:$X,"",операции!$AB:$AB,"&lt;&gt;"&amp;"",операции!$AB:$AB,"&lt;="&amp;I$9,операции!$L:$L,K$9,операции!$P:$P,$F383)+SUMIFS(операции!$AH:$AH,операции!$T:$T,"&lt;="&amp;I$9,операции!$X:$X,"&gt;"&amp;I$9,операции!$AB:$AB,"&lt;&gt;"&amp;"",операции!$AB:$AB,"&lt;="&amp;I$9,операции!$L:$L,K$9,операции!$P:$P,$F383))/K444)</f>
        <v>42228.628759039806</v>
      </c>
      <c r="L447" s="318">
        <f>IF(L444=0,0,(SUMIFS(операции!$AH:$AH,операции!$T:$T,"&lt;="&amp;I$9,операции!$X:$X,"",операции!$AB:$AB,"&lt;&gt;"&amp;"",операции!$AB:$AB,"&lt;="&amp;I$9,операции!$L:$L,L$9,операции!$P:$P,$F383)+SUMIFS(операции!$AH:$AH,операции!$T:$T,"&lt;="&amp;I$9,операции!$X:$X,"&gt;"&amp;I$9,операции!$AB:$AB,"&lt;&gt;"&amp;"",операции!$AB:$AB,"&lt;="&amp;I$9,операции!$L:$L,L$9,операции!$P:$P,$F383))/L444)</f>
        <v>0</v>
      </c>
      <c r="M447" s="274"/>
      <c r="N447" s="193">
        <f>IF(N444=0,0,(SUMIFS(операции!$AH:$AH,операции!$T:$T,"&lt;="&amp;N$9,операции!$X:$X,"",операции!$AB:$AB,"&lt;&gt;"&amp;"",операции!$AB:$AB,"&lt;="&amp;N$9,операции!$P:$P,$F383)+SUMIFS(операции!$AH:$AH,операции!$T:$T,"&lt;="&amp;N$9,операции!$X:$X,"&gt;"&amp;N$9,операции!$AB:$AB,"&lt;&gt;"&amp;"",операции!$AB:$AB,"&lt;="&amp;N$9,операции!$P:$P,$F383))/N444)</f>
        <v>42247.213414593331</v>
      </c>
      <c r="O447" s="196"/>
      <c r="P447" s="193">
        <f>IF(P444=0,0,(SUMIFS(операции!$AH:$AH,операции!$T:$T,"&lt;="&amp;N$9,операции!$X:$X,"",операции!$AB:$AB,"&lt;&gt;"&amp;"",операции!$AB:$AB,"&lt;="&amp;N$9,операции!$L:$L,P$9,операции!$P:$P,$F383)+SUMIFS(операции!$AH:$AH,операции!$T:$T,"&lt;="&amp;N$9,операции!$X:$X,"&gt;"&amp;N$9,операции!$AB:$AB,"&lt;&gt;"&amp;"",операции!$AB:$AB,"&lt;="&amp;N$9,операции!$L:$L,P$9,операции!$P:$P,$F383))/P444)</f>
        <v>42247.213414593331</v>
      </c>
      <c r="Q447" s="237">
        <f>IF(Q444=0,0,(SUMIFS(операции!$AH:$AH,операции!$T:$T,"&lt;="&amp;N$9,операции!$X:$X,"",операции!$AB:$AB,"&lt;&gt;"&amp;"",операции!$AB:$AB,"&lt;="&amp;N$9,операции!$L:$L,Q$9,операции!$P:$P,$F383)+SUMIFS(операции!$AH:$AH,операции!$T:$T,"&lt;="&amp;N$9,операции!$X:$X,"&gt;"&amp;N$9,операции!$AB:$AB,"&lt;&gt;"&amp;"",операции!$AB:$AB,"&lt;="&amp;N$9,операции!$L:$L,Q$9,операции!$P:$P,$F383))/Q444)</f>
        <v>0</v>
      </c>
      <c r="R447" s="238"/>
      <c r="S447" s="193">
        <f>IF(S444=0,0,(SUMIFS(операции!$AH:$AH,операции!$T:$T,"&lt;="&amp;S$9,операции!$X:$X,"",операции!$AB:$AB,"&lt;&gt;"&amp;"",операции!$AB:$AB,"&lt;="&amp;S$9,операции!$P:$P,$F383)+SUMIFS(операции!$AH:$AH,операции!$T:$T,"&lt;="&amp;S$9,операции!$X:$X,"&gt;"&amp;S$9,операции!$AB:$AB,"&lt;&gt;"&amp;"",операции!$AB:$AB,"&lt;="&amp;S$9,операции!$P:$P,$F383))/S444)</f>
        <v>42236.905280357641</v>
      </c>
      <c r="T447" s="196"/>
      <c r="U447" s="193">
        <f>IF(U444=0,0,(SUMIFS(операции!$AH:$AH,операции!$T:$T,"&lt;="&amp;S$9,операции!$X:$X,"",операции!$AB:$AB,"&lt;&gt;"&amp;"",операции!$AB:$AB,"&lt;="&amp;S$9,операции!$L:$L,U$9,операции!$P:$P,$F383)+SUMIFS(операции!$AH:$AH,операции!$T:$T,"&lt;="&amp;S$9,операции!$X:$X,"&gt;"&amp;S$9,операции!$AB:$AB,"&lt;&gt;"&amp;"",операции!$AB:$AB,"&lt;="&amp;S$9,операции!$L:$L,U$9,операции!$P:$P,$F383))/U444)</f>
        <v>42236.905280357641</v>
      </c>
      <c r="V447" s="237">
        <f>IF(V444=0,0,(SUMIFS(операции!$AH:$AH,операции!$T:$T,"&lt;="&amp;S$9,операции!$X:$X,"",операции!$AB:$AB,"&lt;&gt;"&amp;"",операции!$AB:$AB,"&lt;="&amp;S$9,операции!$L:$L,V$9,операции!$P:$P,$F383)+SUMIFS(операции!$AH:$AH,операции!$T:$T,"&lt;="&amp;S$9,операции!$X:$X,"&gt;"&amp;S$9,операции!$AB:$AB,"&lt;&gt;"&amp;"",операции!$AB:$AB,"&lt;="&amp;S$9,операции!$L:$L,V$9,операции!$P:$P,$F383))/V444)</f>
        <v>0</v>
      </c>
      <c r="W447" s="238"/>
      <c r="X447" s="193">
        <f>IF(X444=0,0,(SUMIFS(операции!$AH:$AH,операции!$T:$T,"&lt;="&amp;X$9,операции!$X:$X,"",операции!$AB:$AB,"&lt;&gt;"&amp;"",операции!$AB:$AB,"&lt;="&amp;X$9,операции!$P:$P,$F383)+SUMIFS(операции!$AH:$AH,операции!$T:$T,"&lt;="&amp;X$9,операции!$X:$X,"&gt;"&amp;X$9,операции!$AB:$AB,"&lt;&gt;"&amp;"",операции!$AB:$AB,"&lt;="&amp;X$9,операции!$P:$P,$F383))/X444)</f>
        <v>42228.628759039806</v>
      </c>
      <c r="Y447" s="196"/>
      <c r="Z447" s="193">
        <f>IF(Z444=0,0,(SUMIFS(операции!$AH:$AH,операции!$T:$T,"&lt;="&amp;X$9,операции!$X:$X,"",операции!$AB:$AB,"&lt;&gt;"&amp;"",операции!$AB:$AB,"&lt;="&amp;X$9,операции!$L:$L,Z$9,операции!$P:$P,$F383)+SUMIFS(операции!$AH:$AH,операции!$T:$T,"&lt;="&amp;X$9,операции!$X:$X,"&gt;"&amp;X$9,операции!$AB:$AB,"&lt;&gt;"&amp;"",операции!$AB:$AB,"&lt;="&amp;X$9,операции!$L:$L,Z$9,операции!$P:$P,$F383))/Z444)</f>
        <v>42228.628759039806</v>
      </c>
      <c r="AA447" s="237">
        <f>IF(AA444=0,0,(SUMIFS(операции!$AH:$AH,операции!$T:$T,"&lt;="&amp;X$9,операции!$X:$X,"",операции!$AB:$AB,"&lt;&gt;"&amp;"",операции!$AB:$AB,"&lt;="&amp;X$9,операции!$L:$L,AA$9,операции!$P:$P,$F383)+SUMIFS(операции!$AH:$AH,операции!$T:$T,"&lt;="&amp;X$9,операции!$X:$X,"&gt;"&amp;X$9,операции!$AB:$AB,"&lt;&gt;"&amp;"",операции!$AB:$AB,"&lt;="&amp;X$9,операции!$L:$L,AA$9,операции!$P:$P,$F383))/AA444)</f>
        <v>0</v>
      </c>
      <c r="AB447" s="265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</row>
    <row r="448" spans="1:42" s="192" customFormat="1" ht="11.25">
      <c r="A448" s="37"/>
      <c r="B448" s="37"/>
      <c r="C448" s="37"/>
      <c r="D448" s="191"/>
      <c r="E448" s="191" t="s">
        <v>284</v>
      </c>
      <c r="F448" s="191" t="str">
        <f t="shared" si="646"/>
        <v>Одежда и обувь</v>
      </c>
      <c r="G448" s="191" t="s">
        <v>219</v>
      </c>
      <c r="H448" s="315"/>
      <c r="I448" s="329">
        <f>I447-I445</f>
        <v>21.016834797919728</v>
      </c>
      <c r="J448" s="317"/>
      <c r="K448" s="329">
        <f>K447-K445</f>
        <v>21.016834797919728</v>
      </c>
      <c r="L448" s="330">
        <f>L447-L445</f>
        <v>0</v>
      </c>
      <c r="M448" s="274"/>
      <c r="N448" s="156">
        <f>N447-N445</f>
        <v>26.111488038186508</v>
      </c>
      <c r="O448" s="196"/>
      <c r="P448" s="156">
        <f>P447-P445</f>
        <v>26.111488038186508</v>
      </c>
      <c r="Q448" s="245">
        <f>Q447-Q445</f>
        <v>0</v>
      </c>
      <c r="R448" s="238"/>
      <c r="S448" s="156">
        <f>S447-S445</f>
        <v>23.10889219341334</v>
      </c>
      <c r="T448" s="196"/>
      <c r="U448" s="156">
        <f>U447-U445</f>
        <v>23.10889219341334</v>
      </c>
      <c r="V448" s="245">
        <f>V447-V445</f>
        <v>0</v>
      </c>
      <c r="W448" s="238"/>
      <c r="X448" s="156">
        <f>X447-X445</f>
        <v>21.016834797919728</v>
      </c>
      <c r="Y448" s="196"/>
      <c r="Z448" s="156">
        <f>Z447-Z445</f>
        <v>21.016834797919728</v>
      </c>
      <c r="AA448" s="245">
        <f>AA447-AA445</f>
        <v>0</v>
      </c>
      <c r="AB448" s="265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</row>
    <row r="449" spans="1:42" s="192" customFormat="1" ht="11.25">
      <c r="A449" s="37"/>
      <c r="B449" s="37"/>
      <c r="C449" s="37"/>
      <c r="D449" s="191"/>
      <c r="E449" s="191" t="s">
        <v>285</v>
      </c>
      <c r="F449" s="191" t="str">
        <f t="shared" si="646"/>
        <v>Одежда и обувь</v>
      </c>
      <c r="G449" s="191" t="s">
        <v>219</v>
      </c>
      <c r="H449" s="315"/>
      <c r="I449" s="329">
        <f>I446-I448</f>
        <v>140.37124096019397</v>
      </c>
      <c r="J449" s="317"/>
      <c r="K449" s="329">
        <f>K446-K448</f>
        <v>140.37124096019397</v>
      </c>
      <c r="L449" s="330">
        <f>L446-L448</f>
        <v>0</v>
      </c>
      <c r="M449" s="274"/>
      <c r="N449" s="156">
        <f>N446-N448</f>
        <v>60.786585406669474</v>
      </c>
      <c r="O449" s="196"/>
      <c r="P449" s="156">
        <f>P446-P448</f>
        <v>60.786585406669474</v>
      </c>
      <c r="Q449" s="245">
        <f>Q446-Q448</f>
        <v>0</v>
      </c>
      <c r="R449" s="238"/>
      <c r="S449" s="156">
        <f>S446-S448</f>
        <v>101.09471964235854</v>
      </c>
      <c r="T449" s="196"/>
      <c r="U449" s="156">
        <f>U446-U448</f>
        <v>101.09471964235854</v>
      </c>
      <c r="V449" s="245">
        <f>V446-V448</f>
        <v>0</v>
      </c>
      <c r="W449" s="238"/>
      <c r="X449" s="156">
        <f>X446-X448</f>
        <v>140.37124096019397</v>
      </c>
      <c r="Y449" s="196"/>
      <c r="Z449" s="156">
        <f>Z446-Z448</f>
        <v>140.37124096019397</v>
      </c>
      <c r="AA449" s="245">
        <f>AA446-AA448</f>
        <v>0</v>
      </c>
      <c r="AB449" s="265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</row>
    <row r="450" spans="1:42" s="5" customFormat="1">
      <c r="A450" s="1"/>
      <c r="B450" s="1"/>
      <c r="C450" s="1"/>
      <c r="D450" s="168"/>
      <c r="E450" s="168" t="s">
        <v>286</v>
      </c>
      <c r="F450" s="168" t="str">
        <f t="shared" si="646"/>
        <v>Одежда и обувь</v>
      </c>
      <c r="G450" s="168" t="s">
        <v>261</v>
      </c>
      <c r="H450" s="326"/>
      <c r="I450" s="327">
        <f>SUMIFS(операции!$V:$V,операции!$T:$T,"&lt;="&amp;I$9,операции!$X:$X,"",операции!$AB:$AB,"",операции!$P:$P,$F383)+SUMIFS(операции!$V:$V,операции!$T:$T,"&lt;="&amp;I$9,операции!$X:$X,"&gt;"&amp;I$9,операции!$AB:$AB,"",операции!$P:$P,$F383)+SUMIFS(операции!$V:$V,операции!$T:$T,"&lt;="&amp;I$9,операции!$X:$X,"",операции!$AB:$AB,"&gt;"&amp;I$9,операции!$P:$P,$F383)+SUMIFS(операции!$V:$V,операции!$T:$T,"&lt;="&amp;I$9,операции!$X:$X,"&gt;"&amp;I$9,операции!$AB:$AB,"&gt;"&amp;I$9,операции!$P:$P,$F383)</f>
        <v>0</v>
      </c>
      <c r="J450" s="313">
        <f>I450-K450-L450</f>
        <v>0</v>
      </c>
      <c r="K450" s="327">
        <f>SUMIFS(операции!$V:$V,операции!$T:$T,"&lt;="&amp;I$9,операции!$X:$X,"",операции!$AB:$AB,"",операции!$L:$L,K$9,операции!$P:$P,$F383)+SUMIFS(операции!$V:$V,операции!$T:$T,"&lt;="&amp;I$9,операции!$X:$X,"&gt;"&amp;I$9,операции!$AB:$AB,"",операции!$L:$L,K$9,операции!$P:$P,$F383)+SUMIFS(операции!$V:$V,операции!$T:$T,"&lt;="&amp;I$9,операции!$X:$X,"",операции!$AB:$AB,"&gt;"&amp;I$9,операции!$L:$L,K$9,операции!$P:$P,$F383)+SUMIFS(операции!$V:$V,операции!$T:$T,"&lt;="&amp;I$9,операции!$X:$X,"&gt;"&amp;I$9,операции!$AB:$AB,"&gt;"&amp;I$9,операции!$L:$L,K$9,операции!$P:$P,$F383)</f>
        <v>0</v>
      </c>
      <c r="L450" s="328">
        <f>SUMIFS(операции!$V:$V,операции!$T:$T,"&lt;="&amp;I$9,операции!$X:$X,"",операции!$AB:$AB,"",операции!$L:$L,L$9,операции!$P:$P,$F383)+SUMIFS(операции!$V:$V,операции!$T:$T,"&lt;="&amp;I$9,операции!$X:$X,"&gt;"&amp;I$9,операции!$AB:$AB,"",операции!$L:$L,L$9,операции!$P:$P,$F383)+SUMIFS(операции!$V:$V,операции!$T:$T,"&lt;="&amp;I$9,операции!$X:$X,"",операции!$AB:$AB,"&gt;"&amp;I$9,операции!$L:$L,L$9,операции!$P:$P,$F383)+SUMIFS(операции!$V:$V,операции!$T:$T,"&lt;="&amp;I$9,операции!$X:$X,"&gt;"&amp;I$9,операции!$AB:$AB,"&gt;"&amp;I$9,операции!$L:$L,L$9,операции!$P:$P,$F383)</f>
        <v>0</v>
      </c>
      <c r="M450" s="277"/>
      <c r="N450" s="169">
        <f>SUMIFS(операции!$V:$V,операции!$T:$T,"&lt;="&amp;N$9,операции!$X:$X,"",операции!$AB:$AB,"",операции!$P:$P,$F383)+SUMIFS(операции!$V:$V,операции!$T:$T,"&lt;="&amp;N$9,операции!$X:$X,"&gt;"&amp;N$9,операции!$AB:$AB,"",операции!$P:$P,$F383)+SUMIFS(операции!$V:$V,операции!$T:$T,"&lt;="&amp;N$9,операции!$X:$X,"",операции!$AB:$AB,"&gt;"&amp;N$9,операции!$P:$P,$F383)+SUMIFS(операции!$V:$V,операции!$T:$T,"&lt;="&amp;N$9,операции!$X:$X,"&gt;"&amp;N$9,операции!$AB:$AB,"&gt;"&amp;N$9,операции!$P:$P,$F383)</f>
        <v>1369.79</v>
      </c>
      <c r="O450" s="170">
        <f>N450-P450-Q450</f>
        <v>0</v>
      </c>
      <c r="P450" s="169">
        <f>SUMIFS(операции!$V:$V,операции!$T:$T,"&lt;="&amp;N$9,операции!$X:$X,"",операции!$AB:$AB,"",операции!$L:$L,P$9,операции!$P:$P,$F383)+SUMIFS(операции!$V:$V,операции!$T:$T,"&lt;="&amp;N$9,операции!$X:$X,"&gt;"&amp;N$9,операции!$AB:$AB,"",операции!$L:$L,P$9,операции!$P:$P,$F383)+SUMIFS(операции!$V:$V,операции!$T:$T,"&lt;="&amp;N$9,операции!$X:$X,"",операции!$AB:$AB,"&gt;"&amp;N$9,операции!$L:$L,P$9,операции!$P:$P,$F383)+SUMIFS(операции!$V:$V,операции!$T:$T,"&lt;="&amp;N$9,операции!$X:$X,"&gt;"&amp;N$9,операции!$AB:$AB,"&gt;"&amp;N$9,операции!$L:$L,P$9,операции!$P:$P,$F383)</f>
        <v>1369.79</v>
      </c>
      <c r="Q450" s="243">
        <f>SUMIFS(операции!$V:$V,операции!$T:$T,"&lt;="&amp;N$9,операции!$X:$X,"",операции!$AB:$AB,"",операции!$L:$L,Q$9,операции!$P:$P,$F383)+SUMIFS(операции!$V:$V,операции!$T:$T,"&lt;="&amp;N$9,операции!$X:$X,"&gt;"&amp;N$9,операции!$AB:$AB,"",операции!$L:$L,Q$9,операции!$P:$P,$F383)+SUMIFS(операции!$V:$V,операции!$T:$T,"&lt;="&amp;N$9,операции!$X:$X,"",операции!$AB:$AB,"&gt;"&amp;N$9,операции!$L:$L,Q$9,операции!$P:$P,$F383)+SUMIFS(операции!$V:$V,операции!$T:$T,"&lt;="&amp;N$9,операции!$X:$X,"&gt;"&amp;N$9,операции!$AB:$AB,"&gt;"&amp;N$9,операции!$L:$L,Q$9,операции!$P:$P,$F383)</f>
        <v>0</v>
      </c>
      <c r="R450" s="244"/>
      <c r="S450" s="169">
        <f>SUMIFS(операции!$V:$V,операции!$T:$T,"&lt;="&amp;S$9,операции!$X:$X,"",операции!$AB:$AB,"",операции!$P:$P,$F383)+SUMIFS(операции!$V:$V,операции!$T:$T,"&lt;="&amp;S$9,операции!$X:$X,"&gt;"&amp;S$9,операции!$AB:$AB,"",операции!$P:$P,$F383)+SUMIFS(операции!$V:$V,операции!$T:$T,"&lt;="&amp;S$9,операции!$X:$X,"",операции!$AB:$AB,"&gt;"&amp;S$9,операции!$P:$P,$F383)+SUMIFS(операции!$V:$V,операции!$T:$T,"&lt;="&amp;S$9,операции!$X:$X,"&gt;"&amp;S$9,операции!$AB:$AB,"&gt;"&amp;S$9,операции!$P:$P,$F383)</f>
        <v>1369.79</v>
      </c>
      <c r="T450" s="170">
        <f>S450-U450-V450</f>
        <v>0</v>
      </c>
      <c r="U450" s="169">
        <f>SUMIFS(операции!$V:$V,операции!$T:$T,"&lt;="&amp;S$9,операции!$X:$X,"",операции!$AB:$AB,"",операции!$L:$L,U$9,операции!$P:$P,$F383)+SUMIFS(операции!$V:$V,операции!$T:$T,"&lt;="&amp;S$9,операции!$X:$X,"&gt;"&amp;S$9,операции!$AB:$AB,"",операции!$L:$L,U$9,операции!$P:$P,$F383)+SUMIFS(операции!$V:$V,операции!$T:$T,"&lt;="&amp;S$9,операции!$X:$X,"",операции!$AB:$AB,"&gt;"&amp;S$9,операции!$L:$L,U$9,операции!$P:$P,$F383)+SUMIFS(операции!$V:$V,операции!$T:$T,"&lt;="&amp;S$9,операции!$X:$X,"&gt;"&amp;S$9,операции!$AB:$AB,"&gt;"&amp;S$9,операции!$L:$L,U$9,операции!$P:$P,$F383)</f>
        <v>1369.79</v>
      </c>
      <c r="V450" s="243">
        <f>SUMIFS(операции!$V:$V,операции!$T:$T,"&lt;="&amp;S$9,операции!$X:$X,"",операции!$AB:$AB,"",операции!$L:$L,V$9,операции!$P:$P,$F383)+SUMIFS(операции!$V:$V,операции!$T:$T,"&lt;="&amp;S$9,операции!$X:$X,"&gt;"&amp;S$9,операции!$AB:$AB,"",операции!$L:$L,V$9,операции!$P:$P,$F383)+SUMIFS(операции!$V:$V,операции!$T:$T,"&lt;="&amp;S$9,операции!$X:$X,"",операции!$AB:$AB,"&gt;"&amp;S$9,операции!$L:$L,V$9,операции!$P:$P,$F383)+SUMIFS(операции!$V:$V,операции!$T:$T,"&lt;="&amp;S$9,операции!$X:$X,"&gt;"&amp;S$9,операции!$AB:$AB,"&gt;"&amp;S$9,операции!$L:$L,V$9,операции!$P:$P,$F383)</f>
        <v>0</v>
      </c>
      <c r="W450" s="244"/>
      <c r="X450" s="169">
        <f>SUMIFS(операции!$V:$V,операции!$T:$T,"&lt;="&amp;X$9,операции!$X:$X,"",операции!$AB:$AB,"",операции!$P:$P,$F383)+SUMIFS(операции!$V:$V,операции!$T:$T,"&lt;="&amp;X$9,операции!$X:$X,"&gt;"&amp;X$9,операции!$AB:$AB,"",операции!$P:$P,$F383)+SUMIFS(операции!$V:$V,операции!$T:$T,"&lt;="&amp;X$9,операции!$X:$X,"",операции!$AB:$AB,"&gt;"&amp;X$9,операции!$P:$P,$F383)+SUMIFS(операции!$V:$V,операции!$T:$T,"&lt;="&amp;X$9,операции!$X:$X,"&gt;"&amp;X$9,операции!$AB:$AB,"&gt;"&amp;X$9,операции!$P:$P,$F383)</f>
        <v>0</v>
      </c>
      <c r="Y450" s="170">
        <f>X450-Z450-AA450</f>
        <v>0</v>
      </c>
      <c r="Z450" s="169">
        <f>SUMIFS(операции!$V:$V,операции!$T:$T,"&lt;="&amp;X$9,операции!$X:$X,"",операции!$AB:$AB,"",операции!$L:$L,Z$9,операции!$P:$P,$F383)+SUMIFS(операции!$V:$V,операции!$T:$T,"&lt;="&amp;X$9,операции!$X:$X,"&gt;"&amp;X$9,операции!$AB:$AB,"",операции!$L:$L,Z$9,операции!$P:$P,$F383)+SUMIFS(операции!$V:$V,операции!$T:$T,"&lt;="&amp;X$9,операции!$X:$X,"",операции!$AB:$AB,"&gt;"&amp;X$9,операции!$L:$L,Z$9,операции!$P:$P,$F383)+SUMIFS(операции!$V:$V,операции!$T:$T,"&lt;="&amp;X$9,операции!$X:$X,"&gt;"&amp;X$9,операции!$AB:$AB,"&gt;"&amp;X$9,операции!$L:$L,Z$9,операции!$P:$P,$F383)</f>
        <v>0</v>
      </c>
      <c r="AA450" s="243">
        <f>SUMIFS(операции!$V:$V,операции!$T:$T,"&lt;="&amp;X$9,операции!$X:$X,"",операции!$AB:$AB,"",операции!$L:$L,AA$9,операции!$P:$P,$F383)+SUMIFS(операции!$V:$V,операции!$T:$T,"&lt;="&amp;X$9,операции!$X:$X,"&gt;"&amp;X$9,операции!$AB:$AB,"",операции!$L:$L,AA$9,операции!$P:$P,$F383)+SUMIFS(операции!$V:$V,операции!$T:$T,"&lt;="&amp;X$9,операции!$X:$X,"",операции!$AB:$AB,"&gt;"&amp;X$9,операции!$L:$L,AA$9,операции!$P:$P,$F383)+SUMIFS(операции!$V:$V,операции!$T:$T,"&lt;="&amp;X$9,операции!$X:$X,"&gt;"&amp;X$9,операции!$AB:$AB,"&gt;"&amp;X$9,операции!$L:$L,AA$9,операции!$P:$P,$F383)</f>
        <v>0</v>
      </c>
      <c r="AB450" s="266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s="192" customFormat="1" ht="11.25">
      <c r="A451" s="37"/>
      <c r="B451" s="37"/>
      <c r="C451" s="37"/>
      <c r="D451" s="191"/>
      <c r="E451" s="191" t="s">
        <v>255</v>
      </c>
      <c r="F451" s="191" t="str">
        <f t="shared" si="646"/>
        <v>Одежда и обувь</v>
      </c>
      <c r="G451" s="191" t="s">
        <v>262</v>
      </c>
      <c r="H451" s="315"/>
      <c r="I451" s="316">
        <f>IF(I450=0,0,(SUMIFS(операции!$AF:$AF,операции!$T:$T,"&lt;="&amp;I$9,операции!$X:$X,"",операции!$AB:$AB,"",операции!$P:$P,$F383)+SUMIFS(операции!$AF:$AF,операции!$T:$T,"&lt;="&amp;I$9,операции!$X:$X,"&gt;"&amp;I$9,операции!$AB:$AB,"",операции!$P:$P,$F383)+SUMIFS(операции!$AF:$AF,операции!$T:$T,"&lt;="&amp;I$9,операции!$X:$X,"",операции!$AB:$AB,"&gt;"&amp;I$9,операции!$P:$P,$F383)+SUMIFS(операции!$AF:$AF,операции!$T:$T,"&lt;="&amp;I$9,операции!$X:$X,"&gt;"&amp;I$9,операции!$AB:$AB,"&gt;"&amp;I$9,операции!$P:$P,$F383))/I450)</f>
        <v>0</v>
      </c>
      <c r="J451" s="317"/>
      <c r="K451" s="316">
        <f>IF(K450=0,0,(SUMIFS(операции!$AF:$AF,операции!$T:$T,"&lt;="&amp;I$9,операции!$X:$X,"",операции!$AB:$AB,"",операции!$L:$L,K$9,операции!$P:$P,$F383)+SUMIFS(операции!$AF:$AF,операции!$T:$T,"&lt;="&amp;I$9,операции!$X:$X,"&gt;"&amp;I$9,операции!$AB:$AB,"",операции!$L:$L,K$9,операции!$P:$P,$F383)+SUMIFS(операции!$AF:$AF,операции!$T:$T,"&lt;="&amp;I$9,операции!$X:$X,"",операции!$AB:$AB,"&gt;"&amp;I$9,операции!$L:$L,K$9,операции!$P:$P,$F383)+SUMIFS(операции!$AF:$AF,операции!$T:$T,"&lt;="&amp;I$9,операции!$X:$X,"&gt;"&amp;I$9,операции!$AB:$AB,"&gt;"&amp;I$9,операции!$L:$L,K$9,операции!$P:$P,$F383))/K450)</f>
        <v>0</v>
      </c>
      <c r="L451" s="318">
        <f>IF(L450=0,0,(SUMIFS(операции!$AF:$AF,операции!$T:$T,"&lt;="&amp;I$9,операции!$X:$X,"",операции!$AB:$AB,"",операции!$L:$L,L$9,операции!$P:$P,$F383)+SUMIFS(операции!$AF:$AF,операции!$T:$T,"&lt;="&amp;I$9,операции!$X:$X,"&gt;"&amp;I$9,операции!$AB:$AB,"",операции!$L:$L,L$9,операции!$P:$P,$F383)+SUMIFS(операции!$AF:$AF,операции!$T:$T,"&lt;="&amp;I$9,операции!$X:$X,"",операции!$AB:$AB,"&gt;"&amp;I$9,операции!$L:$L,L$9,операции!$P:$P,$F383)+SUMIFS(операции!$AF:$AF,операции!$T:$T,"&lt;="&amp;I$9,операции!$X:$X,"&gt;"&amp;I$9,операции!$AB:$AB,"&gt;"&amp;I$9,операции!$L:$L,L$9,операции!$P:$P,$F383))/L450)</f>
        <v>0</v>
      </c>
      <c r="M451" s="274"/>
      <c r="N451" s="193">
        <f>IF(N450=0,0,(SUMIFS(операции!$AF:$AF,операции!$T:$T,"&lt;="&amp;N$9,операции!$X:$X,"",операции!$AB:$AB,"",операции!$P:$P,$F383)+SUMIFS(операции!$AF:$AF,операции!$T:$T,"&lt;="&amp;N$9,операции!$X:$X,"&gt;"&amp;N$9,операции!$AB:$AB,"",операции!$P:$P,$F383)+SUMIFS(операции!$AF:$AF,операции!$T:$T,"&lt;="&amp;N$9,операции!$X:$X,"",операции!$AB:$AB,"&gt;"&amp;N$9,операции!$P:$P,$F383)+SUMIFS(операции!$AF:$AF,операции!$T:$T,"&lt;="&amp;N$9,операции!$X:$X,"&gt;"&amp;N$9,операции!$AB:$AB,"&gt;"&amp;N$9,операции!$P:$P,$F383))/N450)</f>
        <v>42157</v>
      </c>
      <c r="O451" s="196"/>
      <c r="P451" s="193">
        <f>IF(P450=0,0,(SUMIFS(операции!$AF:$AF,операции!$T:$T,"&lt;="&amp;N$9,операции!$X:$X,"",операции!$AB:$AB,"",операции!$L:$L,P$9,операции!$P:$P,$F383)+SUMIFS(операции!$AF:$AF,операции!$T:$T,"&lt;="&amp;N$9,операции!$X:$X,"&gt;"&amp;N$9,операции!$AB:$AB,"",операции!$L:$L,P$9,операции!$P:$P,$F383)+SUMIFS(операции!$AF:$AF,операции!$T:$T,"&lt;="&amp;N$9,операции!$X:$X,"",операции!$AB:$AB,"&gt;"&amp;N$9,операции!$L:$L,P$9,операции!$P:$P,$F383)+SUMIFS(операции!$AF:$AF,операции!$T:$T,"&lt;="&amp;N$9,операции!$X:$X,"&gt;"&amp;N$9,операции!$AB:$AB,"&gt;"&amp;N$9,операции!$L:$L,P$9,операции!$P:$P,$F383))/P450)</f>
        <v>42157</v>
      </c>
      <c r="Q451" s="237">
        <f>IF(Q450=0,0,(SUMIFS(операции!$AF:$AF,операции!$T:$T,"&lt;="&amp;N$9,операции!$X:$X,"",операции!$AB:$AB,"",операции!$L:$L,Q$9,операции!$P:$P,$F383)+SUMIFS(операции!$AF:$AF,операции!$T:$T,"&lt;="&amp;N$9,операции!$X:$X,"&gt;"&amp;N$9,операции!$AB:$AB,"",операции!$L:$L,Q$9,операции!$P:$P,$F383)+SUMIFS(операции!$AF:$AF,операции!$T:$T,"&lt;="&amp;N$9,операции!$X:$X,"",операции!$AB:$AB,"&gt;"&amp;N$9,операции!$L:$L,Q$9,операции!$P:$P,$F383)+SUMIFS(операции!$AF:$AF,операции!$T:$T,"&lt;="&amp;N$9,операции!$X:$X,"&gt;"&amp;N$9,операции!$AB:$AB,"&gt;"&amp;N$9,операции!$L:$L,Q$9,операции!$P:$P,$F383))/Q450)</f>
        <v>0</v>
      </c>
      <c r="R451" s="238"/>
      <c r="S451" s="193">
        <f>IF(S450=0,0,(SUMIFS(операции!$AF:$AF,операции!$T:$T,"&lt;="&amp;S$9,операции!$X:$X,"",операции!$AB:$AB,"",операции!$P:$P,$F383)+SUMIFS(операции!$AF:$AF,операции!$T:$T,"&lt;="&amp;S$9,операции!$X:$X,"&gt;"&amp;S$9,операции!$AB:$AB,"",операции!$P:$P,$F383)+SUMIFS(операции!$AF:$AF,операции!$T:$T,"&lt;="&amp;S$9,операции!$X:$X,"",операции!$AB:$AB,"&gt;"&amp;S$9,операции!$P:$P,$F383)+SUMIFS(операции!$AF:$AF,операции!$T:$T,"&lt;="&amp;S$9,операции!$X:$X,"&gt;"&amp;S$9,операции!$AB:$AB,"&gt;"&amp;S$9,операции!$P:$P,$F383))/S450)</f>
        <v>42157</v>
      </c>
      <c r="T451" s="196"/>
      <c r="U451" s="193">
        <f>IF(U450=0,0,(SUMIFS(операции!$AF:$AF,операции!$T:$T,"&lt;="&amp;S$9,операции!$X:$X,"",операции!$AB:$AB,"",операции!$L:$L,U$9,операции!$P:$P,$F383)+SUMIFS(операции!$AF:$AF,операции!$T:$T,"&lt;="&amp;S$9,операции!$X:$X,"&gt;"&amp;S$9,операции!$AB:$AB,"",операции!$L:$L,U$9,операции!$P:$P,$F383)+SUMIFS(операции!$AF:$AF,операции!$T:$T,"&lt;="&amp;S$9,операции!$X:$X,"",операции!$AB:$AB,"&gt;"&amp;S$9,операции!$L:$L,U$9,операции!$P:$P,$F383)+SUMIFS(операции!$AF:$AF,операции!$T:$T,"&lt;="&amp;S$9,операции!$X:$X,"&gt;"&amp;S$9,операции!$AB:$AB,"&gt;"&amp;S$9,операции!$L:$L,U$9,операции!$P:$P,$F383))/U450)</f>
        <v>42157</v>
      </c>
      <c r="V451" s="237">
        <f>IF(V450=0,0,(SUMIFS(операции!$AF:$AF,операции!$T:$T,"&lt;="&amp;S$9,операции!$X:$X,"",операции!$AB:$AB,"",операции!$L:$L,V$9,операции!$P:$P,$F383)+SUMIFS(операции!$AF:$AF,операции!$T:$T,"&lt;="&amp;S$9,операции!$X:$X,"&gt;"&amp;S$9,операции!$AB:$AB,"",операции!$L:$L,V$9,операции!$P:$P,$F383)+SUMIFS(операции!$AF:$AF,операции!$T:$T,"&lt;="&amp;S$9,операции!$X:$X,"",операции!$AB:$AB,"&gt;"&amp;S$9,операции!$L:$L,V$9,операции!$P:$P,$F383)+SUMIFS(операции!$AF:$AF,операции!$T:$T,"&lt;="&amp;S$9,операции!$X:$X,"&gt;"&amp;S$9,операции!$AB:$AB,"&gt;"&amp;S$9,операции!$L:$L,V$9,операции!$P:$P,$F383))/V450)</f>
        <v>0</v>
      </c>
      <c r="W451" s="238"/>
      <c r="X451" s="193">
        <f>IF(X450=0,0,(SUMIFS(операции!$AF:$AF,операции!$T:$T,"&lt;="&amp;X$9,операции!$X:$X,"",операции!$AB:$AB,"",операции!$P:$P,$F383)+SUMIFS(операции!$AF:$AF,операции!$T:$T,"&lt;="&amp;X$9,операции!$X:$X,"&gt;"&amp;X$9,операции!$AB:$AB,"",операции!$P:$P,$F383)+SUMIFS(операции!$AF:$AF,операции!$T:$T,"&lt;="&amp;X$9,операции!$X:$X,"",операции!$AB:$AB,"&gt;"&amp;X$9,операции!$P:$P,$F383)+SUMIFS(операции!$AF:$AF,операции!$T:$T,"&lt;="&amp;X$9,операции!$X:$X,"&gt;"&amp;X$9,операции!$AB:$AB,"&gt;"&amp;X$9,операции!$P:$P,$F383))/X450)</f>
        <v>0</v>
      </c>
      <c r="Y451" s="196"/>
      <c r="Z451" s="193">
        <f>IF(Z450=0,0,(SUMIFS(операции!$AF:$AF,операции!$T:$T,"&lt;="&amp;X$9,операции!$X:$X,"",операции!$AB:$AB,"",операции!$L:$L,Z$9,операции!$P:$P,$F383)+SUMIFS(операции!$AF:$AF,операции!$T:$T,"&lt;="&amp;X$9,операции!$X:$X,"&gt;"&amp;X$9,операции!$AB:$AB,"",операции!$L:$L,Z$9,операции!$P:$P,$F383)+SUMIFS(операции!$AF:$AF,операции!$T:$T,"&lt;="&amp;X$9,операции!$X:$X,"",операции!$AB:$AB,"&gt;"&amp;X$9,операции!$L:$L,Z$9,операции!$P:$P,$F383)+SUMIFS(операции!$AF:$AF,операции!$T:$T,"&lt;="&amp;X$9,операции!$X:$X,"&gt;"&amp;X$9,операции!$AB:$AB,"&gt;"&amp;X$9,операции!$L:$L,Z$9,операции!$P:$P,$F383))/Z450)</f>
        <v>0</v>
      </c>
      <c r="AA451" s="237">
        <f>IF(AA450=0,0,(SUMIFS(операции!$AF:$AF,операции!$T:$T,"&lt;="&amp;X$9,операции!$X:$X,"",операции!$AB:$AB,"",операции!$L:$L,AA$9,операции!$P:$P,$F383)+SUMIFS(операции!$AF:$AF,операции!$T:$T,"&lt;="&amp;X$9,операции!$X:$X,"&gt;"&amp;X$9,операции!$AB:$AB,"",операции!$L:$L,AA$9,операции!$P:$P,$F383)+SUMIFS(операции!$AF:$AF,операции!$T:$T,"&lt;="&amp;X$9,операции!$X:$X,"",операции!$AB:$AB,"&gt;"&amp;X$9,операции!$L:$L,AA$9,операции!$P:$P,$F383)+SUMIFS(операции!$AF:$AF,операции!$T:$T,"&lt;="&amp;X$9,операции!$X:$X,"&gt;"&amp;X$9,операции!$AB:$AB,"&gt;"&amp;X$9,операции!$L:$L,AA$9,операции!$P:$P,$F383))/AA450)</f>
        <v>0</v>
      </c>
      <c r="AB451" s="265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</row>
    <row r="452" spans="1:42" s="192" customFormat="1" ht="11.25">
      <c r="A452" s="37"/>
      <c r="B452" s="37"/>
      <c r="C452" s="37"/>
      <c r="D452" s="191"/>
      <c r="E452" s="191" t="s">
        <v>287</v>
      </c>
      <c r="F452" s="191" t="str">
        <f t="shared" ref="F452:F455" si="779">F451</f>
        <v>Одежда и обувь</v>
      </c>
      <c r="G452" s="191" t="s">
        <v>219</v>
      </c>
      <c r="H452" s="315"/>
      <c r="I452" s="329">
        <f>IF(I450=0,0,I$9-I451)</f>
        <v>0</v>
      </c>
      <c r="J452" s="317"/>
      <c r="K452" s="329">
        <f>IF(K450=0,0,I$9-K451)</f>
        <v>0</v>
      </c>
      <c r="L452" s="330">
        <f>IF(L450=0,0,I$9-L451)</f>
        <v>0</v>
      </c>
      <c r="M452" s="274"/>
      <c r="N452" s="156">
        <f>IF(N450=0,0,N$9-N451)</f>
        <v>151</v>
      </c>
      <c r="O452" s="196"/>
      <c r="P452" s="156">
        <f>IF(P450=0,0,N$9-P451)</f>
        <v>151</v>
      </c>
      <c r="Q452" s="245">
        <f>IF(Q450=0,0,N$9-Q451)</f>
        <v>0</v>
      </c>
      <c r="R452" s="238"/>
      <c r="S452" s="156">
        <f>IF(S450=0,0,S$9-S451)</f>
        <v>181</v>
      </c>
      <c r="T452" s="196"/>
      <c r="U452" s="156">
        <f>IF(U450=0,0,S$9-U451)</f>
        <v>181</v>
      </c>
      <c r="V452" s="245">
        <f>IF(V450=0,0,S$9-V451)</f>
        <v>0</v>
      </c>
      <c r="W452" s="238"/>
      <c r="X452" s="156">
        <f>IF(X450=0,0,X$9-X451)</f>
        <v>0</v>
      </c>
      <c r="Y452" s="196"/>
      <c r="Z452" s="156">
        <f>IF(Z450=0,0,X$9-Z451)</f>
        <v>0</v>
      </c>
      <c r="AA452" s="245">
        <f>IF(AA450=0,0,X$9-AA451)</f>
        <v>0</v>
      </c>
      <c r="AB452" s="265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</row>
    <row r="453" spans="1:42" s="192" customFormat="1" ht="11.25">
      <c r="A453" s="37"/>
      <c r="B453" s="37"/>
      <c r="C453" s="37"/>
      <c r="D453" s="191"/>
      <c r="E453" s="191" t="s">
        <v>311</v>
      </c>
      <c r="F453" s="191" t="str">
        <f t="shared" si="779"/>
        <v>Одежда и обувь</v>
      </c>
      <c r="G453" s="191" t="s">
        <v>262</v>
      </c>
      <c r="H453" s="315"/>
      <c r="I453" s="316">
        <f>I$9</f>
        <v>42369</v>
      </c>
      <c r="J453" s="317"/>
      <c r="K453" s="316">
        <f>I$9</f>
        <v>42369</v>
      </c>
      <c r="L453" s="318">
        <f>I$9</f>
        <v>42369</v>
      </c>
      <c r="M453" s="274"/>
      <c r="N453" s="193">
        <f>N$9</f>
        <v>42308</v>
      </c>
      <c r="O453" s="196"/>
      <c r="P453" s="193">
        <f>N$9</f>
        <v>42308</v>
      </c>
      <c r="Q453" s="237">
        <f>N$9</f>
        <v>42308</v>
      </c>
      <c r="R453" s="238"/>
      <c r="S453" s="193">
        <f>S$9</f>
        <v>42338</v>
      </c>
      <c r="T453" s="196"/>
      <c r="U453" s="193">
        <f>S$9</f>
        <v>42338</v>
      </c>
      <c r="V453" s="237">
        <f>S$9</f>
        <v>42338</v>
      </c>
      <c r="W453" s="238"/>
      <c r="X453" s="193">
        <f>X$9</f>
        <v>42369</v>
      </c>
      <c r="Y453" s="196"/>
      <c r="Z453" s="193">
        <f>X$9</f>
        <v>42369</v>
      </c>
      <c r="AA453" s="237">
        <f>X$9</f>
        <v>42369</v>
      </c>
      <c r="AB453" s="265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</row>
    <row r="454" spans="1:42" s="192" customFormat="1" ht="11.25">
      <c r="A454" s="37"/>
      <c r="B454" s="37"/>
      <c r="C454" s="37"/>
      <c r="D454" s="191"/>
      <c r="E454" s="191" t="s">
        <v>288</v>
      </c>
      <c r="F454" s="191" t="str">
        <f t="shared" si="779"/>
        <v>Одежда и обувь</v>
      </c>
      <c r="G454" s="191" t="s">
        <v>219</v>
      </c>
      <c r="H454" s="315"/>
      <c r="I454" s="329">
        <f>IF(I450=0,0,I453-I451)</f>
        <v>0</v>
      </c>
      <c r="J454" s="317"/>
      <c r="K454" s="329">
        <f>IF(K450=0,0,K453-K451)</f>
        <v>0</v>
      </c>
      <c r="L454" s="330">
        <f>IF(L450=0,0,L453-L451)</f>
        <v>0</v>
      </c>
      <c r="M454" s="274"/>
      <c r="N454" s="156">
        <f>IF(N450=0,0,N453-N451)</f>
        <v>151</v>
      </c>
      <c r="O454" s="196"/>
      <c r="P454" s="156">
        <f>IF(P450=0,0,P453-P451)</f>
        <v>151</v>
      </c>
      <c r="Q454" s="245">
        <f>IF(Q450=0,0,Q453-Q451)</f>
        <v>0</v>
      </c>
      <c r="R454" s="238"/>
      <c r="S454" s="156">
        <f>IF(S450=0,0,S453-S451)</f>
        <v>181</v>
      </c>
      <c r="T454" s="196"/>
      <c r="U454" s="156">
        <f>IF(U450=0,0,U453-U451)</f>
        <v>181</v>
      </c>
      <c r="V454" s="245">
        <f>IF(V450=0,0,V453-V451)</f>
        <v>0</v>
      </c>
      <c r="W454" s="238"/>
      <c r="X454" s="156">
        <f>IF(X450=0,0,X453-X451)</f>
        <v>0</v>
      </c>
      <c r="Y454" s="196"/>
      <c r="Z454" s="156">
        <f>IF(Z450=0,0,Z453-Z451)</f>
        <v>0</v>
      </c>
      <c r="AA454" s="245">
        <f>IF(AA450=0,0,AA453-AA451)</f>
        <v>0</v>
      </c>
      <c r="AB454" s="265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</row>
    <row r="455" spans="1:42" s="192" customFormat="1" ht="12" thickBot="1">
      <c r="A455" s="37"/>
      <c r="B455" s="37"/>
      <c r="C455" s="37"/>
      <c r="D455" s="297"/>
      <c r="E455" s="297" t="s">
        <v>289</v>
      </c>
      <c r="F455" s="297" t="str">
        <f t="shared" si="779"/>
        <v>Одежда и обувь</v>
      </c>
      <c r="G455" s="297" t="s">
        <v>219</v>
      </c>
      <c r="H455" s="377"/>
      <c r="I455" s="378">
        <f>I452-I454</f>
        <v>0</v>
      </c>
      <c r="J455" s="379"/>
      <c r="K455" s="378">
        <f>K452-K454</f>
        <v>0</v>
      </c>
      <c r="L455" s="380">
        <f>L452-L454</f>
        <v>0</v>
      </c>
      <c r="M455" s="300"/>
      <c r="N455" s="298">
        <f>N452-N454</f>
        <v>0</v>
      </c>
      <c r="O455" s="299"/>
      <c r="P455" s="298">
        <f>P452-P454</f>
        <v>0</v>
      </c>
      <c r="Q455" s="301">
        <f>Q452-Q454</f>
        <v>0</v>
      </c>
      <c r="R455" s="302"/>
      <c r="S455" s="298">
        <f>S452-S454</f>
        <v>0</v>
      </c>
      <c r="T455" s="299"/>
      <c r="U455" s="298">
        <f>U452-U454</f>
        <v>0</v>
      </c>
      <c r="V455" s="301">
        <f>V452-V454</f>
        <v>0</v>
      </c>
      <c r="W455" s="302"/>
      <c r="X455" s="298">
        <f>X452-X454</f>
        <v>0</v>
      </c>
      <c r="Y455" s="299"/>
      <c r="Z455" s="298">
        <f>Z452-Z454</f>
        <v>0</v>
      </c>
      <c r="AA455" s="301">
        <f>AA452-AA454</f>
        <v>0</v>
      </c>
      <c r="AB455" s="265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</row>
    <row r="456" spans="1:42" s="111" customFormat="1" ht="11.25">
      <c r="A456" s="108"/>
      <c r="B456" s="108"/>
      <c r="C456" s="108" t="s">
        <v>271</v>
      </c>
      <c r="D456" s="291"/>
      <c r="E456" s="291"/>
      <c r="F456" s="291" t="str">
        <f>F457</f>
        <v>Авто</v>
      </c>
      <c r="G456" s="291"/>
      <c r="H456" s="373"/>
      <c r="I456" s="374">
        <f>I457-K457-L457</f>
        <v>0</v>
      </c>
      <c r="J456" s="375">
        <f>N456+N474+N512+SUM(O:O)+S456+S474+S512+SUM(T:T)+X456+X474+X512+SUM(Y:Y)</f>
        <v>3.7104683769939584E-9</v>
      </c>
      <c r="K456" s="373"/>
      <c r="L456" s="376"/>
      <c r="M456" s="293"/>
      <c r="N456" s="292">
        <f>N457-P457-Q457</f>
        <v>0</v>
      </c>
      <c r="O456" s="294"/>
      <c r="P456" s="291"/>
      <c r="Q456" s="295"/>
      <c r="R456" s="296"/>
      <c r="S456" s="292">
        <f>S457-U457-V457</f>
        <v>0</v>
      </c>
      <c r="T456" s="294"/>
      <c r="U456" s="291"/>
      <c r="V456" s="295"/>
      <c r="W456" s="296"/>
      <c r="X456" s="292">
        <f>X457-Z457-AA457</f>
        <v>0</v>
      </c>
      <c r="Y456" s="294"/>
      <c r="Z456" s="291"/>
      <c r="AA456" s="295"/>
      <c r="AB456" s="263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</row>
    <row r="457" spans="1:42" s="93" customFormat="1" ht="15">
      <c r="A457" s="92"/>
      <c r="B457" s="92"/>
      <c r="C457" s="92"/>
      <c r="D457" s="151" t="s">
        <v>256</v>
      </c>
      <c r="E457" s="151"/>
      <c r="F457" s="286" t="str">
        <f>микс!$H$51</f>
        <v>Авто</v>
      </c>
      <c r="G457" s="151" t="s">
        <v>261</v>
      </c>
      <c r="H457" s="311"/>
      <c r="I457" s="312">
        <f>SUMIFS(операции!$V:$V,операции!$T:$T,"&lt;"&amp;I$8,операции!$X:$X,"",операции!$P:$P,$F457)+SUMIFS(операции!$V:$V,операции!$T:$T,"&lt;"&amp;I$8,операции!$X:$X,"&gt;="&amp;I$8,операции!$P:$P,$F457)</f>
        <v>15300</v>
      </c>
      <c r="J457" s="313">
        <f>I457-I462-I468</f>
        <v>0</v>
      </c>
      <c r="K457" s="312">
        <f>SUMIFS(операции!$V:$V,операции!$T:$T,"&lt;"&amp;I$8,операции!$X:$X,"",операции!$L:$L,K$9,операции!$P:$P,$F457)+SUMIFS(операции!$V:$V,операции!$T:$T,"&lt;"&amp;I$8,операции!$X:$X,"&gt;="&amp;I$8,операции!$L:$L,K$9,операции!$P:$P,$F457)</f>
        <v>15300</v>
      </c>
      <c r="L457" s="314">
        <f>SUMIFS(операции!$V:$V,операции!$T:$T,"&lt;"&amp;I$8,операции!$X:$X,"",операции!$L:$L,L$9,операции!$P:$P,$F457)+SUMIFS(операции!$V:$V,операции!$T:$T,"&lt;"&amp;I$8,операции!$X:$X,"&gt;="&amp;I$8,операции!$L:$L,L$9,операции!$P:$P,$F457)</f>
        <v>0</v>
      </c>
      <c r="M457" s="273"/>
      <c r="N457" s="152">
        <f>SUMIFS(операции!$V:$V,операции!$T:$T,"&lt;"&amp;N$8,операции!$X:$X,"",операции!$P:$P,$F457)+SUMIFS(операции!$V:$V,операции!$T:$T,"&lt;"&amp;N$8,операции!$X:$X,"&gt;="&amp;N$8,операции!$P:$P,$F457)</f>
        <v>15300</v>
      </c>
      <c r="O457" s="170">
        <f>N457-N462-N468</f>
        <v>0</v>
      </c>
      <c r="P457" s="152">
        <f>SUMIFS(операции!$V:$V,операции!$T:$T,"&lt;"&amp;N$8,операции!$X:$X,"",операции!$L:$L,P$9,операции!$P:$P,$F457)+SUMIFS(операции!$V:$V,операции!$T:$T,"&lt;"&amp;N$8,операции!$X:$X,"&gt;="&amp;N$8,операции!$L:$L,P$9,операции!$P:$P,$F457)</f>
        <v>15300</v>
      </c>
      <c r="Q457" s="235">
        <f>SUMIFS(операции!$V:$V,операции!$T:$T,"&lt;"&amp;N$8,операции!$X:$X,"",операции!$L:$L,Q$9,операции!$P:$P,$F457)+SUMIFS(операции!$V:$V,операции!$T:$T,"&lt;"&amp;N$8,операции!$X:$X,"&gt;="&amp;N$8,операции!$L:$L,Q$9,операции!$P:$P,$F457)</f>
        <v>0</v>
      </c>
      <c r="R457" s="236"/>
      <c r="S457" s="152">
        <f>SUMIFS(операции!$V:$V,операции!$T:$T,"&lt;"&amp;S$8,операции!$X:$X,"",операции!$P:$P,$F457)+SUMIFS(операции!$V:$V,операции!$T:$T,"&lt;"&amp;S$8,операции!$X:$X,"&gt;="&amp;S$8,операции!$P:$P,$F457)</f>
        <v>5100</v>
      </c>
      <c r="T457" s="170">
        <f>S457-S462-S468</f>
        <v>0</v>
      </c>
      <c r="U457" s="152">
        <f>SUMIFS(операции!$V:$V,операции!$T:$T,"&lt;"&amp;S$8,операции!$X:$X,"",операции!$L:$L,U$9,операции!$P:$P,$F457)+SUMIFS(операции!$V:$V,операции!$T:$T,"&lt;"&amp;S$8,операции!$X:$X,"&gt;="&amp;S$8,операции!$L:$L,U$9,операции!$P:$P,$F457)</f>
        <v>5100</v>
      </c>
      <c r="V457" s="235">
        <f>SUMIFS(операции!$V:$V,операции!$T:$T,"&lt;"&amp;S$8,операции!$X:$X,"",операции!$L:$L,V$9,операции!$P:$P,$F457)+SUMIFS(операции!$V:$V,операции!$T:$T,"&lt;"&amp;S$8,операции!$X:$X,"&gt;="&amp;S$8,операции!$L:$L,V$9,операции!$P:$P,$F457)</f>
        <v>0</v>
      </c>
      <c r="W457" s="236"/>
      <c r="X457" s="152">
        <f>SUMIFS(операции!$V:$V,операции!$T:$T,"&lt;"&amp;X$8,операции!$X:$X,"",операции!$P:$P,$F457)+SUMIFS(операции!$V:$V,операции!$T:$T,"&lt;"&amp;X$8,операции!$X:$X,"&gt;="&amp;X$8,операции!$P:$P,$F457)</f>
        <v>0</v>
      </c>
      <c r="Y457" s="170">
        <f>X457-X462-X468</f>
        <v>0</v>
      </c>
      <c r="Z457" s="152">
        <f>SUMIFS(операции!$V:$V,операции!$T:$T,"&lt;"&amp;X$8,операции!$X:$X,"",операции!$L:$L,Z$9,операции!$P:$P,$F457)+SUMIFS(операции!$V:$V,операции!$T:$T,"&lt;"&amp;X$8,операции!$X:$X,"&gt;="&amp;X$8,операции!$L:$L,Z$9,операции!$P:$P,$F457)</f>
        <v>0</v>
      </c>
      <c r="AA457" s="235">
        <f>SUMIFS(операции!$V:$V,операции!$T:$T,"&lt;"&amp;X$8,операции!$X:$X,"",операции!$L:$L,AA$9,операции!$P:$P,$F457)+SUMIFS(операции!$V:$V,операции!$T:$T,"&lt;"&amp;X$8,операции!$X:$X,"&gt;="&amp;X$8,операции!$L:$L,AA$9,операции!$P:$P,$F457)</f>
        <v>0</v>
      </c>
      <c r="AB457" s="264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</row>
    <row r="458" spans="1:42" s="192" customFormat="1" ht="11.25">
      <c r="A458" s="37"/>
      <c r="B458" s="37"/>
      <c r="C458" s="37"/>
      <c r="D458" s="191" t="s">
        <v>255</v>
      </c>
      <c r="E458" s="191"/>
      <c r="F458" s="191" t="str">
        <f>F457</f>
        <v>Авто</v>
      </c>
      <c r="G458" s="191" t="s">
        <v>262</v>
      </c>
      <c r="H458" s="315"/>
      <c r="I458" s="316">
        <f>IF(I457=0,0,(SUMIFS(операции!$AF:$AF,операции!$T:$T,"&lt;"&amp;I$8,операции!$X:$X,"",операции!$P:$P,$F457)+SUMIFS(операции!$AF:$AF,операции!$T:$T,"&lt;"&amp;I$8,операции!$X:$X,"&gt;="&amp;I$8,операции!$P:$P,$F457))/I457)</f>
        <v>42147.333333333336</v>
      </c>
      <c r="J458" s="317"/>
      <c r="K458" s="316">
        <f>IF(K457=0,0,(SUMIFS(операции!$AF:$AF,операции!$T:$T,"&lt;"&amp;I$8,операции!$X:$X,"",операции!$L:$L,K$9,операции!$P:$P,$F457)+SUMIFS(операции!$AF:$AF,операции!$T:$T,"&lt;"&amp;I$8,операции!$X:$X,"&gt;="&amp;I$8,операции!$L:$L,K$9,операции!$P:$P,$F457))/K457)</f>
        <v>42147.333333333336</v>
      </c>
      <c r="L458" s="318">
        <f>IF(L457=0,0,(SUMIFS(операции!$AF:$AF,операции!$T:$T,"&lt;"&amp;I$8,операции!$X:$X,"",операции!$L:$L,L$9,операции!$P:$P,$F457)+SUMIFS(операции!$AF:$AF,операции!$T:$T,"&lt;"&amp;I$8,операции!$X:$X,"&gt;="&amp;I$8,операции!$L:$L,L$9,операции!$P:$P,$F457))/L457)</f>
        <v>0</v>
      </c>
      <c r="M458" s="274"/>
      <c r="N458" s="193">
        <f>IF(N457=0,0,(SUMIFS(операции!$AF:$AF,операции!$T:$T,"&lt;"&amp;N$8,операции!$X:$X,"",операции!$P:$P,$F457)+SUMIFS(операции!$AF:$AF,операции!$T:$T,"&lt;"&amp;N$8,операции!$X:$X,"&gt;="&amp;N$8,операции!$P:$P,$F457))/N457)</f>
        <v>42147.333333333336</v>
      </c>
      <c r="O458" s="196"/>
      <c r="P458" s="193">
        <f>IF(P457=0,0,(SUMIFS(операции!$AF:$AF,операции!$T:$T,"&lt;"&amp;N$8,операции!$X:$X,"",операции!$L:$L,P$9,операции!$P:$P,$F457)+SUMIFS(операции!$AF:$AF,операции!$T:$T,"&lt;"&amp;N$8,операции!$X:$X,"&gt;="&amp;N$8,операции!$L:$L,P$9,операции!$P:$P,$F457))/P457)</f>
        <v>42147.333333333336</v>
      </c>
      <c r="Q458" s="237">
        <f>IF(Q457=0,0,(SUMIFS(операции!$AF:$AF,операции!$T:$T,"&lt;"&amp;N$8,операции!$X:$X,"",операции!$L:$L,Q$9,операции!$P:$P,$F457)+SUMIFS(операции!$AF:$AF,операции!$T:$T,"&lt;"&amp;N$8,операции!$X:$X,"&gt;="&amp;N$8,операции!$L:$L,Q$9,операции!$P:$P,$F457))/Q457)</f>
        <v>0</v>
      </c>
      <c r="R458" s="238"/>
      <c r="S458" s="193">
        <f>IF(S457=0,0,(SUMIFS(операции!$AF:$AF,операции!$T:$T,"&lt;"&amp;S$8,операции!$X:$X,"",операции!$P:$P,$F457)+SUMIFS(операции!$AF:$AF,операции!$T:$T,"&lt;"&amp;S$8,операции!$X:$X,"&gt;="&amp;S$8,операции!$P:$P,$F457))/S457)</f>
        <v>42151</v>
      </c>
      <c r="T458" s="196"/>
      <c r="U458" s="193">
        <f>IF(U457=0,0,(SUMIFS(операции!$AF:$AF,операции!$T:$T,"&lt;"&amp;S$8,операции!$X:$X,"",операции!$L:$L,U$9,операции!$P:$P,$F457)+SUMIFS(операции!$AF:$AF,операции!$T:$T,"&lt;"&amp;S$8,операции!$X:$X,"&gt;="&amp;S$8,операции!$L:$L,U$9,операции!$P:$P,$F457))/U457)</f>
        <v>42151</v>
      </c>
      <c r="V458" s="237">
        <f>IF(V457=0,0,(SUMIFS(операции!$AF:$AF,операции!$T:$T,"&lt;"&amp;S$8,операции!$X:$X,"",операции!$L:$L,V$9,операции!$P:$P,$F457)+SUMIFS(операции!$AF:$AF,операции!$T:$T,"&lt;"&amp;S$8,операции!$X:$X,"&gt;="&amp;S$8,операции!$L:$L,V$9,операции!$P:$P,$F457))/V457)</f>
        <v>0</v>
      </c>
      <c r="W458" s="238"/>
      <c r="X458" s="193">
        <f>IF(X457=0,0,(SUMIFS(операции!$AF:$AF,операции!$T:$T,"&lt;"&amp;X$8,операции!$X:$X,"",операции!$P:$P,$F457)+SUMIFS(операции!$AF:$AF,операции!$T:$T,"&lt;"&amp;X$8,операции!$X:$X,"&gt;="&amp;X$8,операции!$P:$P,$F457))/X457)</f>
        <v>0</v>
      </c>
      <c r="Y458" s="196"/>
      <c r="Z458" s="193">
        <f>IF(Z457=0,0,(SUMIFS(операции!$AF:$AF,операции!$T:$T,"&lt;"&amp;X$8,операции!$X:$X,"",операции!$L:$L,Z$9,операции!$P:$P,$F457)+SUMIFS(операции!$AF:$AF,операции!$T:$T,"&lt;"&amp;X$8,операции!$X:$X,"&gt;="&amp;X$8,операции!$L:$L,Z$9,операции!$P:$P,$F457))/Z457)</f>
        <v>0</v>
      </c>
      <c r="AA458" s="237">
        <f>IF(AA457=0,0,(SUMIFS(операции!$AF:$AF,операции!$T:$T,"&lt;"&amp;X$8,операции!$X:$X,"",операции!$L:$L,AA$9,операции!$P:$P,$F457)+SUMIFS(операции!$AF:$AF,операции!$T:$T,"&lt;"&amp;X$8,операции!$X:$X,"&gt;="&amp;X$8,операции!$L:$L,AA$9,операции!$P:$P,$F457))/AA457)</f>
        <v>0</v>
      </c>
      <c r="AB458" s="265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</row>
    <row r="459" spans="1:42" s="50" customFormat="1" ht="11.25">
      <c r="A459" s="48"/>
      <c r="B459" s="48"/>
      <c r="C459" s="48"/>
      <c r="D459" s="154" t="s">
        <v>257</v>
      </c>
      <c r="E459" s="154"/>
      <c r="F459" s="154" t="str">
        <f t="shared" ref="F459:F525" si="780">F458</f>
        <v>Авто</v>
      </c>
      <c r="G459" s="154" t="s">
        <v>219</v>
      </c>
      <c r="H459" s="319"/>
      <c r="I459" s="320">
        <f>IF(I457=0,0,I$8-I458)</f>
        <v>130.66666666666424</v>
      </c>
      <c r="J459" s="321">
        <f>I459-IF(I457=0,0,(I462*I464+I468*I470)/I457)</f>
        <v>0</v>
      </c>
      <c r="K459" s="320">
        <f>IF(K457=0,0,I$8-K458)</f>
        <v>130.66666666666424</v>
      </c>
      <c r="L459" s="322">
        <f>IF(L457=0,0,I$8-L458)</f>
        <v>0</v>
      </c>
      <c r="M459" s="275"/>
      <c r="N459" s="155">
        <f>IF(N457=0,0,N$8-N458)</f>
        <v>130.66666666666424</v>
      </c>
      <c r="O459" s="173">
        <f>N459-IF(N457=0,0,(N462*N464+N468*N470)/N457)</f>
        <v>0</v>
      </c>
      <c r="P459" s="155">
        <f>IF(P457=0,0,N$8-P458)</f>
        <v>130.66666666666424</v>
      </c>
      <c r="Q459" s="239">
        <f>IF(Q457=0,0,N$8-Q458)</f>
        <v>0</v>
      </c>
      <c r="R459" s="240"/>
      <c r="S459" s="155">
        <f>IF(S457=0,0,S$8-S458)</f>
        <v>158</v>
      </c>
      <c r="T459" s="173">
        <f>S459-IF(S457=0,0,(S462*S464+S468*S470)/S457)</f>
        <v>0</v>
      </c>
      <c r="U459" s="155">
        <f>IF(U457=0,0,S$8-U458)</f>
        <v>158</v>
      </c>
      <c r="V459" s="239">
        <f>IF(V457=0,0,S$8-V458)</f>
        <v>0</v>
      </c>
      <c r="W459" s="240"/>
      <c r="X459" s="155">
        <f>IF(X457=0,0,X$8-X458)</f>
        <v>0</v>
      </c>
      <c r="Y459" s="173">
        <f>X459-IF(X457=0,0,(X462*X464+X468*X470)/X457)</f>
        <v>0</v>
      </c>
      <c r="Z459" s="155">
        <f>IF(Z457=0,0,X$8-Z458)</f>
        <v>0</v>
      </c>
      <c r="AA459" s="239">
        <f>IF(AA457=0,0,X$8-AA458)</f>
        <v>0</v>
      </c>
      <c r="AB459" s="230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</row>
    <row r="460" spans="1:42" s="93" customFormat="1" ht="15">
      <c r="A460" s="92"/>
      <c r="B460" s="92"/>
      <c r="C460" s="92"/>
      <c r="D460" s="198" t="s">
        <v>267</v>
      </c>
      <c r="E460" s="198"/>
      <c r="F460" s="198" t="str">
        <f t="shared" si="780"/>
        <v>Авто</v>
      </c>
      <c r="G460" s="198" t="s">
        <v>219</v>
      </c>
      <c r="H460" s="323"/>
      <c r="I460" s="324">
        <f>IF(I457=0,0,(I462*I466+I468*I472)/I457)</f>
        <v>26.666666666664238</v>
      </c>
      <c r="J460" s="321"/>
      <c r="K460" s="324">
        <f t="shared" ref="K460" si="781">IF(K457=0,0,(K462*K466+K468*K472)/K457)</f>
        <v>26.666666666664238</v>
      </c>
      <c r="L460" s="325">
        <f>IF(L457=0,0,(L462*L466+L468*L472)/L457)</f>
        <v>0</v>
      </c>
      <c r="M460" s="276"/>
      <c r="N460" s="199">
        <f>IF(N457=0,0,(N462*N466+N468*N472)/N457)</f>
        <v>26.666666666664238</v>
      </c>
      <c r="O460" s="173"/>
      <c r="P460" s="199">
        <f t="shared" ref="P460" si="782">IF(P457=0,0,(P462*P466+P468*P472)/P457)</f>
        <v>26.666666666664238</v>
      </c>
      <c r="Q460" s="241">
        <f>IF(Q457=0,0,(Q462*Q466+Q468*Q472)/Q457)</f>
        <v>0</v>
      </c>
      <c r="R460" s="242"/>
      <c r="S460" s="199">
        <f>IF(S457=0,0,(S462*S466+S468*S472)/S457)</f>
        <v>30</v>
      </c>
      <c r="T460" s="173"/>
      <c r="U460" s="199">
        <f t="shared" ref="U460" si="783">IF(U457=0,0,(U462*U466+U468*U472)/U457)</f>
        <v>30</v>
      </c>
      <c r="V460" s="241">
        <f>IF(V457=0,0,(V462*V466+V468*V472)/V457)</f>
        <v>0</v>
      </c>
      <c r="W460" s="242"/>
      <c r="X460" s="199">
        <f>IF(X457=0,0,(X462*X466+X468*X472)/X457)</f>
        <v>0</v>
      </c>
      <c r="Y460" s="173"/>
      <c r="Z460" s="199">
        <f t="shared" ref="Z460" si="784">IF(Z457=0,0,(Z462*Z466+Z468*Z472)/Z457)</f>
        <v>0</v>
      </c>
      <c r="AA460" s="241">
        <f>IF(AA457=0,0,(AA462*AA466+AA468*AA472)/AA457)</f>
        <v>0</v>
      </c>
      <c r="AB460" s="264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</row>
    <row r="461" spans="1:42" s="50" customFormat="1" ht="11.25">
      <c r="A461" s="48"/>
      <c r="B461" s="48"/>
      <c r="C461" s="48"/>
      <c r="D461" s="154" t="s">
        <v>270</v>
      </c>
      <c r="E461" s="154"/>
      <c r="F461" s="154" t="str">
        <f t="shared" si="780"/>
        <v>Авто</v>
      </c>
      <c r="G461" s="154" t="s">
        <v>219</v>
      </c>
      <c r="H461" s="319"/>
      <c r="I461" s="320">
        <f>I459-I460</f>
        <v>104</v>
      </c>
      <c r="J461" s="321"/>
      <c r="K461" s="320">
        <f t="shared" ref="K461" si="785">K459-K460</f>
        <v>104</v>
      </c>
      <c r="L461" s="322">
        <f t="shared" ref="L461" si="786">L459-L460</f>
        <v>0</v>
      </c>
      <c r="M461" s="275"/>
      <c r="N461" s="155">
        <f>N459-N460</f>
        <v>104</v>
      </c>
      <c r="O461" s="173"/>
      <c r="P461" s="155">
        <f t="shared" ref="P461" si="787">P459-P460</f>
        <v>104</v>
      </c>
      <c r="Q461" s="239">
        <f t="shared" ref="Q461" si="788">Q459-Q460</f>
        <v>0</v>
      </c>
      <c r="R461" s="240"/>
      <c r="S461" s="155">
        <f>S459-S460</f>
        <v>128</v>
      </c>
      <c r="T461" s="173"/>
      <c r="U461" s="155">
        <f t="shared" ref="U461" si="789">U459-U460</f>
        <v>128</v>
      </c>
      <c r="V461" s="239">
        <f t="shared" ref="V461" si="790">V459-V460</f>
        <v>0</v>
      </c>
      <c r="W461" s="240"/>
      <c r="X461" s="155">
        <f>X459-X460</f>
        <v>0</v>
      </c>
      <c r="Y461" s="173"/>
      <c r="Z461" s="155">
        <f t="shared" ref="Z461" si="791">Z459-Z460</f>
        <v>0</v>
      </c>
      <c r="AA461" s="239">
        <f t="shared" ref="AA461" si="792">AA459-AA460</f>
        <v>0</v>
      </c>
      <c r="AB461" s="230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</row>
    <row r="462" spans="1:42" s="5" customFormat="1">
      <c r="A462" s="1"/>
      <c r="B462" s="1"/>
      <c r="C462" s="1"/>
      <c r="D462" s="168"/>
      <c r="E462" s="168" t="s">
        <v>258</v>
      </c>
      <c r="F462" s="168" t="str">
        <f t="shared" si="780"/>
        <v>Авто</v>
      </c>
      <c r="G462" s="168" t="s">
        <v>261</v>
      </c>
      <c r="H462" s="326"/>
      <c r="I462" s="327">
        <f>SUMIFS(операции!$V:$V,операции!$T:$T,"&lt;"&amp;I$8,операции!$X:$X,"",операции!$AB:$AB,"&lt;&gt;"&amp;"",операции!$AB:$AB,"&lt;"&amp;I$8,операции!$P:$P,$F457)+SUMIFS(операции!$V:$V,операции!$T:$T,"&lt;"&amp;I$8,операции!$X:$X,"&gt;="&amp;I$8,операции!$AB:$AB,"&lt;&gt;"&amp;"",операции!$AB:$AB,"&lt;"&amp;I$8,операции!$P:$P,$F457)</f>
        <v>15300</v>
      </c>
      <c r="J462" s="313">
        <f>I462-K462-L462</f>
        <v>0</v>
      </c>
      <c r="K462" s="327">
        <f>SUMIFS(операции!$V:$V,операции!$T:$T,"&lt;"&amp;I$8,операции!$X:$X,"",операции!$AB:$AB,"&lt;&gt;"&amp;"",операции!$AB:$AB,"&lt;"&amp;I$8,операции!$L:$L,K$9,операции!$P:$P,$F457)+SUMIFS(операции!$V:$V,операции!$T:$T,"&lt;"&amp;I$8,операции!$X:$X,"&gt;="&amp;I$8,операции!$AB:$AB,"&lt;&gt;"&amp;"",операции!$AB:$AB,"&lt;"&amp;I$8,операции!$L:$L,K$9,операции!$P:$P,$F457)</f>
        <v>15300</v>
      </c>
      <c r="L462" s="328">
        <f>SUMIFS(операции!$V:$V,операции!$T:$T,"&lt;"&amp;I$8,операции!$X:$X,"",операции!$AB:$AB,"&lt;&gt;"&amp;"",операции!$AB:$AB,"&lt;"&amp;I$8,операции!$L:$L,L$9,операции!$P:$P,$F457)+SUMIFS(операции!$V:$V,операции!$T:$T,"&lt;"&amp;I$8,операции!$X:$X,"&gt;="&amp;I$8,операции!$AB:$AB,"&lt;&gt;"&amp;"",операции!$AB:$AB,"&lt;"&amp;I$8,операции!$L:$L,L$9,операции!$P:$P,$F457)</f>
        <v>0</v>
      </c>
      <c r="M462" s="277"/>
      <c r="N462" s="169">
        <f>SUMIFS(операции!$V:$V,операции!$T:$T,"&lt;"&amp;N$8,операции!$X:$X,"",операции!$AB:$AB,"&lt;&gt;"&amp;"",операции!$AB:$AB,"&lt;"&amp;N$8,операции!$P:$P,$F457)+SUMIFS(операции!$V:$V,операции!$T:$T,"&lt;"&amp;N$8,операции!$X:$X,"&gt;="&amp;N$8,операции!$AB:$AB,"&lt;&gt;"&amp;"",операции!$AB:$AB,"&lt;"&amp;N$8,операции!$P:$P,$F457)</f>
        <v>15300</v>
      </c>
      <c r="O462" s="170">
        <f>N462-P462-Q462</f>
        <v>0</v>
      </c>
      <c r="P462" s="169">
        <f>SUMIFS(операции!$V:$V,операции!$T:$T,"&lt;"&amp;N$8,операции!$X:$X,"",операции!$AB:$AB,"&lt;&gt;"&amp;"",операции!$AB:$AB,"&lt;"&amp;N$8,операции!$L:$L,P$9,операции!$P:$P,$F457)+SUMIFS(операции!$V:$V,операции!$T:$T,"&lt;"&amp;N$8,операции!$X:$X,"&gt;="&amp;N$8,операции!$AB:$AB,"&lt;&gt;"&amp;"",операции!$AB:$AB,"&lt;"&amp;N$8,операции!$L:$L,P$9,операции!$P:$P,$F457)</f>
        <v>15300</v>
      </c>
      <c r="Q462" s="243">
        <f>SUMIFS(операции!$V:$V,операции!$T:$T,"&lt;"&amp;N$8,операции!$X:$X,"",операции!$AB:$AB,"&lt;&gt;"&amp;"",операции!$AB:$AB,"&lt;"&amp;N$8,операции!$L:$L,Q$9,операции!$P:$P,$F457)+SUMIFS(операции!$V:$V,операции!$T:$T,"&lt;"&amp;N$8,операции!$X:$X,"&gt;="&amp;N$8,операции!$AB:$AB,"&lt;&gt;"&amp;"",операции!$AB:$AB,"&lt;"&amp;N$8,операции!$L:$L,Q$9,операции!$P:$P,$F457)</f>
        <v>0</v>
      </c>
      <c r="R462" s="244"/>
      <c r="S462" s="169">
        <f>SUMIFS(операции!$V:$V,операции!$T:$T,"&lt;"&amp;S$8,операции!$X:$X,"",операции!$AB:$AB,"&lt;&gt;"&amp;"",операции!$AB:$AB,"&lt;"&amp;S$8,операции!$P:$P,$F457)+SUMIFS(операции!$V:$V,операции!$T:$T,"&lt;"&amp;S$8,операции!$X:$X,"&gt;="&amp;S$8,операции!$AB:$AB,"&lt;&gt;"&amp;"",операции!$AB:$AB,"&lt;"&amp;S$8,операции!$P:$P,$F457)</f>
        <v>5100</v>
      </c>
      <c r="T462" s="170">
        <f>S462-U462-V462</f>
        <v>0</v>
      </c>
      <c r="U462" s="169">
        <f>SUMIFS(операции!$V:$V,операции!$T:$T,"&lt;"&amp;S$8,операции!$X:$X,"",операции!$AB:$AB,"&lt;&gt;"&amp;"",операции!$AB:$AB,"&lt;"&amp;S$8,операции!$L:$L,U$9,операции!$P:$P,$F457)+SUMIFS(операции!$V:$V,операции!$T:$T,"&lt;"&amp;S$8,операции!$X:$X,"&gt;="&amp;S$8,операции!$AB:$AB,"&lt;&gt;"&amp;"",операции!$AB:$AB,"&lt;"&amp;S$8,операции!$L:$L,U$9,операции!$P:$P,$F457)</f>
        <v>5100</v>
      </c>
      <c r="V462" s="243">
        <f>SUMIFS(операции!$V:$V,операции!$T:$T,"&lt;"&amp;S$8,операции!$X:$X,"",операции!$AB:$AB,"&lt;&gt;"&amp;"",операции!$AB:$AB,"&lt;"&amp;S$8,операции!$L:$L,V$9,операции!$P:$P,$F457)+SUMIFS(операции!$V:$V,операции!$T:$T,"&lt;"&amp;S$8,операции!$X:$X,"&gt;="&amp;S$8,операции!$AB:$AB,"&lt;&gt;"&amp;"",операции!$AB:$AB,"&lt;"&amp;S$8,операции!$L:$L,V$9,операции!$P:$P,$F457)</f>
        <v>0</v>
      </c>
      <c r="W462" s="244"/>
      <c r="X462" s="169">
        <f>SUMIFS(операции!$V:$V,операции!$T:$T,"&lt;"&amp;X$8,операции!$X:$X,"",операции!$AB:$AB,"&lt;&gt;"&amp;"",операции!$AB:$AB,"&lt;"&amp;X$8,операции!$P:$P,$F457)+SUMIFS(операции!$V:$V,операции!$T:$T,"&lt;"&amp;X$8,операции!$X:$X,"&gt;="&amp;X$8,операции!$AB:$AB,"&lt;&gt;"&amp;"",операции!$AB:$AB,"&lt;"&amp;X$8,операции!$P:$P,$F457)</f>
        <v>0</v>
      </c>
      <c r="Y462" s="170">
        <f>X462-Z462-AA462</f>
        <v>0</v>
      </c>
      <c r="Z462" s="169">
        <f>SUMIFS(операции!$V:$V,операции!$T:$T,"&lt;"&amp;X$8,операции!$X:$X,"",операции!$AB:$AB,"&lt;&gt;"&amp;"",операции!$AB:$AB,"&lt;"&amp;X$8,операции!$L:$L,Z$9,операции!$P:$P,$F457)+SUMIFS(операции!$V:$V,операции!$T:$T,"&lt;"&amp;X$8,операции!$X:$X,"&gt;="&amp;X$8,операции!$AB:$AB,"&lt;&gt;"&amp;"",операции!$AB:$AB,"&lt;"&amp;X$8,операции!$L:$L,Z$9,операции!$P:$P,$F457)</f>
        <v>0</v>
      </c>
      <c r="AA462" s="243">
        <f>SUMIFS(операции!$V:$V,операции!$T:$T,"&lt;"&amp;X$8,операции!$X:$X,"",операции!$AB:$AB,"&lt;&gt;"&amp;"",операции!$AB:$AB,"&lt;"&amp;X$8,операции!$L:$L,AA$9,операции!$P:$P,$F457)+SUMIFS(операции!$V:$V,операции!$T:$T,"&lt;"&amp;X$8,операции!$X:$X,"&gt;="&amp;X$8,операции!$AB:$AB,"&lt;&gt;"&amp;"",операции!$AB:$AB,"&lt;"&amp;X$8,операции!$L:$L,AA$9,операции!$P:$P,$F457)</f>
        <v>0</v>
      </c>
      <c r="AB462" s="266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s="192" customFormat="1" ht="11.25">
      <c r="A463" s="37"/>
      <c r="B463" s="37"/>
      <c r="C463" s="37"/>
      <c r="D463" s="191"/>
      <c r="E463" s="191" t="s">
        <v>255</v>
      </c>
      <c r="F463" s="191" t="str">
        <f t="shared" si="780"/>
        <v>Авто</v>
      </c>
      <c r="G463" s="191" t="s">
        <v>262</v>
      </c>
      <c r="H463" s="315"/>
      <c r="I463" s="316">
        <f>IF(I462=0,0,(SUMIFS(операции!$AF:$AF,операции!$T:$T,"&lt;"&amp;I$8,операции!$X:$X,"",операции!$AB:$AB,"&lt;&gt;"&amp;"",операции!$AB:$AB,"&lt;"&amp;I$8,операции!$P:$P,$F457)+SUMIFS(операции!$AF:$AF,операции!$T:$T,"&lt;"&amp;I$8,операции!$X:$X,"&gt;="&amp;I$8,операции!$AB:$AB,"&lt;&gt;"&amp;"",операции!$AB:$AB,"&lt;"&amp;I$8,операции!$P:$P,$F457))/I462)</f>
        <v>42147.333333333336</v>
      </c>
      <c r="J463" s="317"/>
      <c r="K463" s="316">
        <f>IF(K462=0,0,(SUMIFS(операции!$AF:$AF,операции!$T:$T,"&lt;"&amp;I$8,операции!$X:$X,"",операции!$AB:$AB,"&lt;&gt;"&amp;"",операции!$AB:$AB,"&lt;"&amp;I$8,операции!$L:$L,K$9,операции!$P:$P,$F457)+SUMIFS(операции!$AF:$AF,операции!$T:$T,"&lt;"&amp;I$8,операции!$X:$X,"&gt;="&amp;I$8,операции!$AB:$AB,"&lt;&gt;"&amp;"",операции!$AB:$AB,"&lt;"&amp;I$8,операции!$L:$L,K$9,операции!$P:$P,$F457))/K462)</f>
        <v>42147.333333333336</v>
      </c>
      <c r="L463" s="318">
        <f>IF(L462=0,0,(SUMIFS(операции!$AF:$AF,операции!$T:$T,"&lt;"&amp;I$8,операции!$X:$X,"",операции!$AB:$AB,"&lt;&gt;"&amp;"",операции!$AB:$AB,"&lt;"&amp;I$8,операции!$L:$L,L$9,операции!$P:$P,$F457)+SUMIFS(операции!$AF:$AF,операции!$T:$T,"&lt;"&amp;I$8,операции!$X:$X,"&gt;="&amp;I$8,операции!$AB:$AB,"&lt;&gt;"&amp;"",операции!$AB:$AB,"&lt;"&amp;I$8,операции!$L:$L,L$9,операции!$P:$P,$F457))/L462)</f>
        <v>0</v>
      </c>
      <c r="M463" s="274"/>
      <c r="N463" s="193">
        <f>IF(N462=0,0,(SUMIFS(операции!$AF:$AF,операции!$T:$T,"&lt;"&amp;N$8,операции!$X:$X,"",операции!$AB:$AB,"&lt;&gt;"&amp;"",операции!$AB:$AB,"&lt;"&amp;N$8,операции!$P:$P,$F457)+SUMIFS(операции!$AF:$AF,операции!$T:$T,"&lt;"&amp;N$8,операции!$X:$X,"&gt;="&amp;N$8,операции!$AB:$AB,"&lt;&gt;"&amp;"",операции!$AB:$AB,"&lt;"&amp;N$8,операции!$P:$P,$F457))/N462)</f>
        <v>42147.333333333336</v>
      </c>
      <c r="O463" s="196"/>
      <c r="P463" s="193">
        <f>IF(P462=0,0,(SUMIFS(операции!$AF:$AF,операции!$T:$T,"&lt;"&amp;N$8,операции!$X:$X,"",операции!$AB:$AB,"&lt;&gt;"&amp;"",операции!$AB:$AB,"&lt;"&amp;N$8,операции!$L:$L,P$9,операции!$P:$P,$F457)+SUMIFS(операции!$AF:$AF,операции!$T:$T,"&lt;"&amp;N$8,операции!$X:$X,"&gt;="&amp;N$8,операции!$AB:$AB,"&lt;&gt;"&amp;"",операции!$AB:$AB,"&lt;"&amp;N$8,операции!$L:$L,P$9,операции!$P:$P,$F457))/P462)</f>
        <v>42147.333333333336</v>
      </c>
      <c r="Q463" s="237">
        <f>IF(Q462=0,0,(SUMIFS(операции!$AF:$AF,операции!$T:$T,"&lt;"&amp;N$8,операции!$X:$X,"",операции!$AB:$AB,"&lt;&gt;"&amp;"",операции!$AB:$AB,"&lt;"&amp;N$8,операции!$L:$L,Q$9,операции!$P:$P,$F457)+SUMIFS(операции!$AF:$AF,операции!$T:$T,"&lt;"&amp;N$8,операции!$X:$X,"&gt;="&amp;N$8,операции!$AB:$AB,"&lt;&gt;"&amp;"",операции!$AB:$AB,"&lt;"&amp;N$8,операции!$L:$L,Q$9,операции!$P:$P,$F457))/Q462)</f>
        <v>0</v>
      </c>
      <c r="R463" s="238"/>
      <c r="S463" s="193">
        <f>IF(S462=0,0,(SUMIFS(операции!$AF:$AF,операции!$T:$T,"&lt;"&amp;S$8,операции!$X:$X,"",операции!$AB:$AB,"&lt;&gt;"&amp;"",операции!$AB:$AB,"&lt;"&amp;S$8,операции!$P:$P,$F457)+SUMIFS(операции!$AF:$AF,операции!$T:$T,"&lt;"&amp;S$8,операции!$X:$X,"&gt;="&amp;S$8,операции!$AB:$AB,"&lt;&gt;"&amp;"",операции!$AB:$AB,"&lt;"&amp;S$8,операции!$P:$P,$F457))/S462)</f>
        <v>42151</v>
      </c>
      <c r="T463" s="196"/>
      <c r="U463" s="193">
        <f>IF(U462=0,0,(SUMIFS(операции!$AF:$AF,операции!$T:$T,"&lt;"&amp;S$8,операции!$X:$X,"",операции!$AB:$AB,"&lt;&gt;"&amp;"",операции!$AB:$AB,"&lt;"&amp;S$8,операции!$L:$L,U$9,операции!$P:$P,$F457)+SUMIFS(операции!$AF:$AF,операции!$T:$T,"&lt;"&amp;S$8,операции!$X:$X,"&gt;="&amp;S$8,операции!$AB:$AB,"&lt;&gt;"&amp;"",операции!$AB:$AB,"&lt;"&amp;S$8,операции!$L:$L,U$9,операции!$P:$P,$F457))/U462)</f>
        <v>42151</v>
      </c>
      <c r="V463" s="237">
        <f>IF(V462=0,0,(SUMIFS(операции!$AF:$AF,операции!$T:$T,"&lt;"&amp;S$8,операции!$X:$X,"",операции!$AB:$AB,"&lt;&gt;"&amp;"",операции!$AB:$AB,"&lt;"&amp;S$8,операции!$L:$L,V$9,операции!$P:$P,$F457)+SUMIFS(операции!$AF:$AF,операции!$T:$T,"&lt;"&amp;S$8,операции!$X:$X,"&gt;="&amp;S$8,операции!$AB:$AB,"&lt;&gt;"&amp;"",операции!$AB:$AB,"&lt;"&amp;S$8,операции!$L:$L,V$9,операции!$P:$P,$F457))/V462)</f>
        <v>0</v>
      </c>
      <c r="W463" s="238"/>
      <c r="X463" s="193">
        <f>IF(X462=0,0,(SUMIFS(операции!$AF:$AF,операции!$T:$T,"&lt;"&amp;X$8,операции!$X:$X,"",операции!$AB:$AB,"&lt;&gt;"&amp;"",операции!$AB:$AB,"&lt;"&amp;X$8,операции!$P:$P,$F457)+SUMIFS(операции!$AF:$AF,операции!$T:$T,"&lt;"&amp;X$8,операции!$X:$X,"&gt;="&amp;X$8,операции!$AB:$AB,"&lt;&gt;"&amp;"",операции!$AB:$AB,"&lt;"&amp;X$8,операции!$P:$P,$F457))/X462)</f>
        <v>0</v>
      </c>
      <c r="Y463" s="196"/>
      <c r="Z463" s="193">
        <f>IF(Z462=0,0,(SUMIFS(операции!$AF:$AF,операции!$T:$T,"&lt;"&amp;X$8,операции!$X:$X,"",операции!$AB:$AB,"&lt;&gt;"&amp;"",операции!$AB:$AB,"&lt;"&amp;X$8,операции!$L:$L,Z$9,операции!$P:$P,$F457)+SUMIFS(операции!$AF:$AF,операции!$T:$T,"&lt;"&amp;X$8,операции!$X:$X,"&gt;="&amp;X$8,операции!$AB:$AB,"&lt;&gt;"&amp;"",операции!$AB:$AB,"&lt;"&amp;X$8,операции!$L:$L,Z$9,операции!$P:$P,$F457))/Z462)</f>
        <v>0</v>
      </c>
      <c r="AA463" s="237">
        <f>IF(AA462=0,0,(SUMIFS(операции!$AF:$AF,операции!$T:$T,"&lt;"&amp;X$8,операции!$X:$X,"",операции!$AB:$AB,"&lt;&gt;"&amp;"",операции!$AB:$AB,"&lt;"&amp;X$8,операции!$L:$L,AA$9,операции!$P:$P,$F457)+SUMIFS(операции!$AF:$AF,операции!$T:$T,"&lt;"&amp;X$8,операции!$X:$X,"&gt;="&amp;X$8,операции!$AB:$AB,"&lt;&gt;"&amp;"",операции!$AB:$AB,"&lt;"&amp;X$8,операции!$L:$L,AA$9,операции!$P:$P,$F457))/AA462)</f>
        <v>0</v>
      </c>
      <c r="AB463" s="265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</row>
    <row r="464" spans="1:42" s="192" customFormat="1" ht="11.25">
      <c r="A464" s="37"/>
      <c r="B464" s="37"/>
      <c r="C464" s="37"/>
      <c r="D464" s="191"/>
      <c r="E464" s="191" t="s">
        <v>260</v>
      </c>
      <c r="F464" s="191" t="str">
        <f t="shared" si="780"/>
        <v>Авто</v>
      </c>
      <c r="G464" s="191" t="s">
        <v>219</v>
      </c>
      <c r="H464" s="315"/>
      <c r="I464" s="329">
        <f>IF(I462=0,0,I$8-I463)</f>
        <v>130.66666666666424</v>
      </c>
      <c r="J464" s="317"/>
      <c r="K464" s="329">
        <f>IF(K462=0,0,I$8-K463)</f>
        <v>130.66666666666424</v>
      </c>
      <c r="L464" s="330">
        <f>IF(L462=0,0,I$8-L463)</f>
        <v>0</v>
      </c>
      <c r="M464" s="274"/>
      <c r="N464" s="156">
        <f>IF(N462=0,0,N$8-N463)</f>
        <v>130.66666666666424</v>
      </c>
      <c r="O464" s="196"/>
      <c r="P464" s="156">
        <f>IF(P462=0,0,N$8-P463)</f>
        <v>130.66666666666424</v>
      </c>
      <c r="Q464" s="245">
        <f>IF(Q462=0,0,N$8-Q463)</f>
        <v>0</v>
      </c>
      <c r="R464" s="238"/>
      <c r="S464" s="156">
        <f>IF(S462=0,0,S$8-S463)</f>
        <v>158</v>
      </c>
      <c r="T464" s="196"/>
      <c r="U464" s="156">
        <f>IF(U462=0,0,S$8-U463)</f>
        <v>158</v>
      </c>
      <c r="V464" s="245">
        <f>IF(V462=0,0,S$8-V463)</f>
        <v>0</v>
      </c>
      <c r="W464" s="238"/>
      <c r="X464" s="156">
        <f>IF(X462=0,0,X$8-X463)</f>
        <v>0</v>
      </c>
      <c r="Y464" s="196"/>
      <c r="Z464" s="156">
        <f>IF(Z462=0,0,X$8-Z463)</f>
        <v>0</v>
      </c>
      <c r="AA464" s="245">
        <f>IF(AA462=0,0,X$8-AA463)</f>
        <v>0</v>
      </c>
      <c r="AB464" s="265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</row>
    <row r="465" spans="1:42" s="192" customFormat="1" ht="11.25">
      <c r="A465" s="37"/>
      <c r="B465" s="37"/>
      <c r="C465" s="37"/>
      <c r="D465" s="191"/>
      <c r="E465" s="191" t="s">
        <v>259</v>
      </c>
      <c r="F465" s="191" t="str">
        <f t="shared" si="780"/>
        <v>Авто</v>
      </c>
      <c r="G465" s="191" t="s">
        <v>262</v>
      </c>
      <c r="H465" s="315"/>
      <c r="I465" s="316">
        <f>IF(I462=0,0,(SUMIFS(операции!$AH:$AH,операции!$T:$T,"&lt;"&amp;I$8,операции!$X:$X,"",операции!$AB:$AB,"&lt;&gt;"&amp;"",операции!$AB:$AB,"&lt;"&amp;I$8,операции!$P:$P,$F457)+SUMIFS(операции!$AH:$AH,операции!$T:$T,"&lt;"&amp;I$8,операции!$X:$X,"&gt;="&amp;I$8,операции!$AB:$AB,"&lt;&gt;"&amp;"",операции!$AB:$AB,"&lt;"&amp;I$8,операции!$P:$P,$F457))/I462)</f>
        <v>42174</v>
      </c>
      <c r="J465" s="317"/>
      <c r="K465" s="316">
        <f>IF(K462=0,0,(SUMIFS(операции!$AH:$AH,операции!$T:$T,"&lt;"&amp;I$8,операции!$X:$X,"",операции!$AB:$AB,"&lt;&gt;"&amp;"",операции!$AB:$AB,"&lt;"&amp;I$8,операции!$L:$L,K$9,операции!$P:$P,$F457)+SUMIFS(операции!$AH:$AH,операции!$T:$T,"&lt;"&amp;I$8,операции!$X:$X,"&gt;="&amp;I$8,операции!$AB:$AB,"&lt;&gt;"&amp;"",операции!$AB:$AB,"&lt;"&amp;I$8,операции!$L:$L,K$9,операции!$P:$P,$F457))/K462)</f>
        <v>42174</v>
      </c>
      <c r="L465" s="318">
        <f>IF(L462=0,0,(SUMIFS(операции!$AH:$AH,операции!$T:$T,"&lt;"&amp;I$8,операции!$X:$X,"",операции!$AB:$AB,"&lt;&gt;"&amp;"",операции!$AB:$AB,"&lt;"&amp;I$8,операции!$L:$L,L$9,операции!$P:$P,$F457)+SUMIFS(операции!$AH:$AH,операции!$T:$T,"&lt;"&amp;I$8,операции!$X:$X,"&gt;="&amp;I$8,операции!$AB:$AB,"&lt;&gt;"&amp;"",операции!$AB:$AB,"&lt;"&amp;I$8,операции!$L:$L,L$9,операции!$P:$P,$F457))/L462)</f>
        <v>0</v>
      </c>
      <c r="M465" s="274"/>
      <c r="N465" s="193">
        <f>IF(N462=0,0,(SUMIFS(операции!$AH:$AH,операции!$T:$T,"&lt;"&amp;N$8,операции!$X:$X,"",операции!$AB:$AB,"&lt;&gt;"&amp;"",операции!$AB:$AB,"&lt;"&amp;N$8,операции!$P:$P,$F457)+SUMIFS(операции!$AH:$AH,операции!$T:$T,"&lt;"&amp;N$8,операции!$X:$X,"&gt;="&amp;N$8,операции!$AB:$AB,"&lt;&gt;"&amp;"",операции!$AB:$AB,"&lt;"&amp;N$8,операции!$P:$P,$F457))/N462)</f>
        <v>42174</v>
      </c>
      <c r="O465" s="196"/>
      <c r="P465" s="193">
        <f>IF(P462=0,0,(SUMIFS(операции!$AH:$AH,операции!$T:$T,"&lt;"&amp;N$8,операции!$X:$X,"",операции!$AB:$AB,"&lt;&gt;"&amp;"",операции!$AB:$AB,"&lt;"&amp;N$8,операции!$L:$L,P$9,операции!$P:$P,$F457)+SUMIFS(операции!$AH:$AH,операции!$T:$T,"&lt;"&amp;N$8,операции!$X:$X,"&gt;="&amp;N$8,операции!$AB:$AB,"&lt;&gt;"&amp;"",операции!$AB:$AB,"&lt;"&amp;N$8,операции!$L:$L,P$9,операции!$P:$P,$F457))/P462)</f>
        <v>42174</v>
      </c>
      <c r="Q465" s="237">
        <f>IF(Q462=0,0,(SUMIFS(операции!$AH:$AH,операции!$T:$T,"&lt;"&amp;N$8,операции!$X:$X,"",операции!$AB:$AB,"&lt;&gt;"&amp;"",операции!$AB:$AB,"&lt;"&amp;N$8,операции!$L:$L,Q$9,операции!$P:$P,$F457)+SUMIFS(операции!$AH:$AH,операции!$T:$T,"&lt;"&amp;N$8,операции!$X:$X,"&gt;="&amp;N$8,операции!$AB:$AB,"&lt;&gt;"&amp;"",операции!$AB:$AB,"&lt;"&amp;N$8,операции!$L:$L,Q$9,операции!$P:$P,$F457))/Q462)</f>
        <v>0</v>
      </c>
      <c r="R465" s="238"/>
      <c r="S465" s="193">
        <f>IF(S462=0,0,(SUMIFS(операции!$AH:$AH,операции!$T:$T,"&lt;"&amp;S$8,операции!$X:$X,"",операции!$AB:$AB,"&lt;&gt;"&amp;"",операции!$AB:$AB,"&lt;"&amp;S$8,операции!$P:$P,$F457)+SUMIFS(операции!$AH:$AH,операции!$T:$T,"&lt;"&amp;S$8,операции!$X:$X,"&gt;="&amp;S$8,операции!$AB:$AB,"&lt;&gt;"&amp;"",операции!$AB:$AB,"&lt;"&amp;S$8,операции!$P:$P,$F457))/S462)</f>
        <v>42181</v>
      </c>
      <c r="T465" s="196"/>
      <c r="U465" s="193">
        <f>IF(U462=0,0,(SUMIFS(операции!$AH:$AH,операции!$T:$T,"&lt;"&amp;S$8,операции!$X:$X,"",операции!$AB:$AB,"&lt;&gt;"&amp;"",операции!$AB:$AB,"&lt;"&amp;S$8,операции!$L:$L,U$9,операции!$P:$P,$F457)+SUMIFS(операции!$AH:$AH,операции!$T:$T,"&lt;"&amp;S$8,операции!$X:$X,"&gt;="&amp;S$8,операции!$AB:$AB,"&lt;&gt;"&amp;"",операции!$AB:$AB,"&lt;"&amp;S$8,операции!$L:$L,U$9,операции!$P:$P,$F457))/U462)</f>
        <v>42181</v>
      </c>
      <c r="V465" s="237">
        <f>IF(V462=0,0,(SUMIFS(операции!$AH:$AH,операции!$T:$T,"&lt;"&amp;S$8,операции!$X:$X,"",операции!$AB:$AB,"&lt;&gt;"&amp;"",операции!$AB:$AB,"&lt;"&amp;S$8,операции!$L:$L,V$9,операции!$P:$P,$F457)+SUMIFS(операции!$AH:$AH,операции!$T:$T,"&lt;"&amp;S$8,операции!$X:$X,"&gt;="&amp;S$8,операции!$AB:$AB,"&lt;&gt;"&amp;"",операции!$AB:$AB,"&lt;"&amp;S$8,операции!$L:$L,V$9,операции!$P:$P,$F457))/V462)</f>
        <v>0</v>
      </c>
      <c r="W465" s="238"/>
      <c r="X465" s="193">
        <f>IF(X462=0,0,(SUMIFS(операции!$AH:$AH,операции!$T:$T,"&lt;"&amp;X$8,операции!$X:$X,"",операции!$AB:$AB,"&lt;&gt;"&amp;"",операции!$AB:$AB,"&lt;"&amp;X$8,операции!$P:$P,$F457)+SUMIFS(операции!$AH:$AH,операции!$T:$T,"&lt;"&amp;X$8,операции!$X:$X,"&gt;="&amp;X$8,операции!$AB:$AB,"&lt;&gt;"&amp;"",операции!$AB:$AB,"&lt;"&amp;X$8,операции!$P:$P,$F457))/X462)</f>
        <v>0</v>
      </c>
      <c r="Y465" s="196"/>
      <c r="Z465" s="193">
        <f>IF(Z462=0,0,(SUMIFS(операции!$AH:$AH,операции!$T:$T,"&lt;"&amp;X$8,операции!$X:$X,"",операции!$AB:$AB,"&lt;&gt;"&amp;"",операции!$AB:$AB,"&lt;"&amp;X$8,операции!$L:$L,Z$9,операции!$P:$P,$F457)+SUMIFS(операции!$AH:$AH,операции!$T:$T,"&lt;"&amp;X$8,операции!$X:$X,"&gt;="&amp;X$8,операции!$AB:$AB,"&lt;&gt;"&amp;"",операции!$AB:$AB,"&lt;"&amp;X$8,операции!$L:$L,Z$9,операции!$P:$P,$F457))/Z462)</f>
        <v>0</v>
      </c>
      <c r="AA465" s="237">
        <f>IF(AA462=0,0,(SUMIFS(операции!$AH:$AH,операции!$T:$T,"&lt;"&amp;X$8,операции!$X:$X,"",операции!$AB:$AB,"&lt;&gt;"&amp;"",операции!$AB:$AB,"&lt;"&amp;X$8,операции!$L:$L,AA$9,операции!$P:$P,$F457)+SUMIFS(операции!$AH:$AH,операции!$T:$T,"&lt;"&amp;X$8,операции!$X:$X,"&gt;="&amp;X$8,операции!$AB:$AB,"&lt;&gt;"&amp;"",операции!$AB:$AB,"&lt;"&amp;X$8,операции!$L:$L,AA$9,операции!$P:$P,$F457))/AA462)</f>
        <v>0</v>
      </c>
      <c r="AB465" s="265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</row>
    <row r="466" spans="1:42" s="192" customFormat="1" ht="11.25">
      <c r="A466" s="37"/>
      <c r="B466" s="37"/>
      <c r="C466" s="37"/>
      <c r="D466" s="191"/>
      <c r="E466" s="191" t="s">
        <v>265</v>
      </c>
      <c r="F466" s="191" t="str">
        <f t="shared" si="780"/>
        <v>Авто</v>
      </c>
      <c r="G466" s="191" t="s">
        <v>219</v>
      </c>
      <c r="H466" s="315"/>
      <c r="I466" s="329">
        <f>I465-I463</f>
        <v>26.666666666664241</v>
      </c>
      <c r="J466" s="317"/>
      <c r="K466" s="329">
        <f t="shared" ref="K466" si="793">K465-K463</f>
        <v>26.666666666664241</v>
      </c>
      <c r="L466" s="330">
        <f>L465-L463</f>
        <v>0</v>
      </c>
      <c r="M466" s="274"/>
      <c r="N466" s="156">
        <f>N465-N463</f>
        <v>26.666666666664241</v>
      </c>
      <c r="O466" s="196"/>
      <c r="P466" s="156">
        <f t="shared" ref="P466" si="794">P465-P463</f>
        <v>26.666666666664241</v>
      </c>
      <c r="Q466" s="245">
        <f>Q465-Q463</f>
        <v>0</v>
      </c>
      <c r="R466" s="238"/>
      <c r="S466" s="156">
        <f>S465-S463</f>
        <v>30</v>
      </c>
      <c r="T466" s="196"/>
      <c r="U466" s="156">
        <f t="shared" ref="U466" si="795">U465-U463</f>
        <v>30</v>
      </c>
      <c r="V466" s="245">
        <f>V465-V463</f>
        <v>0</v>
      </c>
      <c r="W466" s="238"/>
      <c r="X466" s="156">
        <f>X465-X463</f>
        <v>0</v>
      </c>
      <c r="Y466" s="196"/>
      <c r="Z466" s="156">
        <f t="shared" ref="Z466" si="796">Z465-Z463</f>
        <v>0</v>
      </c>
      <c r="AA466" s="245">
        <f>AA465-AA463</f>
        <v>0</v>
      </c>
      <c r="AB466" s="265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</row>
    <row r="467" spans="1:42" s="192" customFormat="1" ht="11.25">
      <c r="A467" s="37"/>
      <c r="B467" s="37"/>
      <c r="C467" s="37"/>
      <c r="D467" s="191"/>
      <c r="E467" s="191" t="s">
        <v>268</v>
      </c>
      <c r="F467" s="191" t="str">
        <f t="shared" si="780"/>
        <v>Авто</v>
      </c>
      <c r="G467" s="191" t="s">
        <v>219</v>
      </c>
      <c r="H467" s="315"/>
      <c r="I467" s="329">
        <f>I464-I466</f>
        <v>104</v>
      </c>
      <c r="J467" s="317"/>
      <c r="K467" s="329">
        <f t="shared" ref="K467" si="797">K464-K466</f>
        <v>104</v>
      </c>
      <c r="L467" s="330">
        <f t="shared" ref="L467" si="798">L464-L466</f>
        <v>0</v>
      </c>
      <c r="M467" s="274"/>
      <c r="N467" s="156">
        <f>N464-N466</f>
        <v>104</v>
      </c>
      <c r="O467" s="196"/>
      <c r="P467" s="156">
        <f t="shared" ref="P467" si="799">P464-P466</f>
        <v>104</v>
      </c>
      <c r="Q467" s="245">
        <f t="shared" ref="Q467" si="800">Q464-Q466</f>
        <v>0</v>
      </c>
      <c r="R467" s="238"/>
      <c r="S467" s="156">
        <f>S464-S466</f>
        <v>128</v>
      </c>
      <c r="T467" s="196"/>
      <c r="U467" s="156">
        <f t="shared" ref="U467" si="801">U464-U466</f>
        <v>128</v>
      </c>
      <c r="V467" s="245">
        <f t="shared" ref="V467" si="802">V464-V466</f>
        <v>0</v>
      </c>
      <c r="W467" s="238"/>
      <c r="X467" s="156">
        <f>X464-X466</f>
        <v>0</v>
      </c>
      <c r="Y467" s="196"/>
      <c r="Z467" s="156">
        <f t="shared" ref="Z467" si="803">Z464-Z466</f>
        <v>0</v>
      </c>
      <c r="AA467" s="245">
        <f t="shared" ref="AA467" si="804">AA464-AA466</f>
        <v>0</v>
      </c>
      <c r="AB467" s="265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</row>
    <row r="468" spans="1:42" s="5" customFormat="1">
      <c r="A468" s="1"/>
      <c r="B468" s="1"/>
      <c r="C468" s="1"/>
      <c r="D468" s="168"/>
      <c r="E468" s="168" t="s">
        <v>276</v>
      </c>
      <c r="F468" s="168" t="str">
        <f t="shared" si="780"/>
        <v>Авто</v>
      </c>
      <c r="G468" s="168" t="s">
        <v>261</v>
      </c>
      <c r="H468" s="326"/>
      <c r="I468" s="327">
        <f>SUMIFS(операции!$V:$V,операции!$T:$T,"&lt;"&amp;I$8,операции!$X:$X,"",операции!$AB:$AB,"",операции!$P:$P,$F457)+SUMIFS(операции!$V:$V,операции!$T:$T,"&lt;"&amp;I$8,операции!$X:$X,"&gt;="&amp;I$8,операции!$AB:$AB,"",операции!$P:$P,$F457)+SUMIFS(операции!$V:$V,операции!$T:$T,"&lt;"&amp;I$8,операции!$X:$X,"",операции!$AB:$AB,"&gt;="&amp;I$8,операции!$P:$P,$F457)+SUMIFS(операции!$V:$V,операции!$T:$T,"&lt;"&amp;I$8,операции!$X:$X,"&gt;="&amp;I$8,операции!$AB:$AB,"&gt;="&amp;I$8,операции!$P:$P,$F457)</f>
        <v>0</v>
      </c>
      <c r="J468" s="313">
        <f>I468-K468-L468</f>
        <v>0</v>
      </c>
      <c r="K468" s="327">
        <f>SUMIFS(операции!$V:$V,операции!$T:$T,"&lt;"&amp;I$8,операции!$X:$X,"",операции!$AB:$AB,"",операции!$L:$L,K$9,операции!$P:$P,$F457)+SUMIFS(операции!$V:$V,операции!$T:$T,"&lt;"&amp;I$8,операции!$X:$X,"&gt;="&amp;I$8,операции!$AB:$AB,"",операции!$L:$L,K$9,операции!$P:$P,$F457)+SUMIFS(операции!$V:$V,операции!$T:$T,"&lt;"&amp;I$8,операции!$X:$X,"",операции!$AB:$AB,"&gt;="&amp;I$8,операции!$L:$L,K$9,операции!$P:$P,$F457)+SUMIFS(операции!$V:$V,операции!$T:$T,"&lt;"&amp;I$8,операции!$X:$X,"&gt;="&amp;I$8,операции!$AB:$AB,"&gt;="&amp;I$8,операции!$L:$L,K$9,операции!$P:$P,$F457)</f>
        <v>0</v>
      </c>
      <c r="L468" s="328">
        <f>SUMIFS(операции!$V:$V,операции!$T:$T,"&lt;"&amp;I$8,операции!$X:$X,"",операции!$AB:$AB,"",операции!$L:$L,L$9,операции!$P:$P,$F457)+SUMIFS(операции!$V:$V,операции!$T:$T,"&lt;"&amp;I$8,операции!$X:$X,"&gt;="&amp;I$8,операции!$AB:$AB,"",операции!$L:$L,L$9,операции!$P:$P,$F457)+SUMIFS(операции!$V:$V,операции!$T:$T,"&lt;"&amp;I$8,операции!$X:$X,"",операции!$AB:$AB,"&gt;="&amp;I$8,операции!$L:$L,L$9,операции!$P:$P,$F457)+SUMIFS(операции!$V:$V,операции!$T:$T,"&lt;"&amp;I$8,операции!$X:$X,"&gt;="&amp;I$8,операции!$AB:$AB,"&gt;="&amp;I$8,операции!$L:$L,L$9,операции!$P:$P,$F457)</f>
        <v>0</v>
      </c>
      <c r="M468" s="277"/>
      <c r="N468" s="169">
        <f>SUMIFS(операции!$V:$V,операции!$T:$T,"&lt;"&amp;N$8,операции!$X:$X,"",операции!$AB:$AB,"",операции!$P:$P,$F457)+SUMIFS(операции!$V:$V,операции!$T:$T,"&lt;"&amp;N$8,операции!$X:$X,"&gt;="&amp;N$8,операции!$AB:$AB,"",операции!$P:$P,$F457)+SUMIFS(операции!$V:$V,операции!$T:$T,"&lt;"&amp;N$8,операции!$X:$X,"",операции!$AB:$AB,"&gt;="&amp;N$8,операции!$P:$P,$F457)+SUMIFS(операции!$V:$V,операции!$T:$T,"&lt;"&amp;N$8,операции!$X:$X,"&gt;="&amp;N$8,операции!$AB:$AB,"&gt;="&amp;N$8,операции!$P:$P,$F457)</f>
        <v>0</v>
      </c>
      <c r="O468" s="170">
        <f>N468-P468-Q468</f>
        <v>0</v>
      </c>
      <c r="P468" s="169">
        <f>SUMIFS(операции!$V:$V,операции!$T:$T,"&lt;"&amp;N$8,операции!$X:$X,"",операции!$AB:$AB,"",операции!$L:$L,P$9,операции!$P:$P,$F457)+SUMIFS(операции!$V:$V,операции!$T:$T,"&lt;"&amp;N$8,операции!$X:$X,"&gt;="&amp;N$8,операции!$AB:$AB,"",операции!$L:$L,P$9,операции!$P:$P,$F457)+SUMIFS(операции!$V:$V,операции!$T:$T,"&lt;"&amp;N$8,операции!$X:$X,"",операции!$AB:$AB,"&gt;="&amp;N$8,операции!$L:$L,P$9,операции!$P:$P,$F457)+SUMIFS(операции!$V:$V,операции!$T:$T,"&lt;"&amp;N$8,операции!$X:$X,"&gt;="&amp;N$8,операции!$AB:$AB,"&gt;="&amp;N$8,операции!$L:$L,P$9,операции!$P:$P,$F457)</f>
        <v>0</v>
      </c>
      <c r="Q468" s="243">
        <f>SUMIFS(операции!$V:$V,операции!$T:$T,"&lt;"&amp;N$8,операции!$X:$X,"",операции!$AB:$AB,"",операции!$L:$L,Q$9,операции!$P:$P,$F457)+SUMIFS(операции!$V:$V,операции!$T:$T,"&lt;"&amp;N$8,операции!$X:$X,"&gt;="&amp;N$8,операции!$AB:$AB,"",операции!$L:$L,Q$9,операции!$P:$P,$F457)+SUMIFS(операции!$V:$V,операции!$T:$T,"&lt;"&amp;N$8,операции!$X:$X,"",операции!$AB:$AB,"&gt;="&amp;N$8,операции!$L:$L,Q$9,операции!$P:$P,$F457)+SUMIFS(операции!$V:$V,операции!$T:$T,"&lt;"&amp;N$8,операции!$X:$X,"&gt;="&amp;N$8,операции!$AB:$AB,"&gt;="&amp;N$8,операции!$L:$L,Q$9,операции!$P:$P,$F457)</f>
        <v>0</v>
      </c>
      <c r="R468" s="244"/>
      <c r="S468" s="169">
        <f>SUMIFS(операции!$V:$V,операции!$T:$T,"&lt;"&amp;S$8,операции!$X:$X,"",операции!$AB:$AB,"",операции!$P:$P,$F457)+SUMIFS(операции!$V:$V,операции!$T:$T,"&lt;"&amp;S$8,операции!$X:$X,"&gt;="&amp;S$8,операции!$AB:$AB,"",операции!$P:$P,$F457)+SUMIFS(операции!$V:$V,операции!$T:$T,"&lt;"&amp;S$8,операции!$X:$X,"",операции!$AB:$AB,"&gt;="&amp;S$8,операции!$P:$P,$F457)+SUMIFS(операции!$V:$V,операции!$T:$T,"&lt;"&amp;S$8,операции!$X:$X,"&gt;="&amp;S$8,операции!$AB:$AB,"&gt;="&amp;S$8,операции!$P:$P,$F457)</f>
        <v>0</v>
      </c>
      <c r="T468" s="170">
        <f>S468-U468-V468</f>
        <v>0</v>
      </c>
      <c r="U468" s="169">
        <f>SUMIFS(операции!$V:$V,операции!$T:$T,"&lt;"&amp;S$8,операции!$X:$X,"",операции!$AB:$AB,"",операции!$L:$L,U$9,операции!$P:$P,$F457)+SUMIFS(операции!$V:$V,операции!$T:$T,"&lt;"&amp;S$8,операции!$X:$X,"&gt;="&amp;S$8,операции!$AB:$AB,"",операции!$L:$L,U$9,операции!$P:$P,$F457)+SUMIFS(операции!$V:$V,операции!$T:$T,"&lt;"&amp;S$8,операции!$X:$X,"",операции!$AB:$AB,"&gt;="&amp;S$8,операции!$L:$L,U$9,операции!$P:$P,$F457)+SUMIFS(операции!$V:$V,операции!$T:$T,"&lt;"&amp;S$8,операции!$X:$X,"&gt;="&amp;S$8,операции!$AB:$AB,"&gt;="&amp;S$8,операции!$L:$L,U$9,операции!$P:$P,$F457)</f>
        <v>0</v>
      </c>
      <c r="V468" s="243">
        <f>SUMIFS(операции!$V:$V,операции!$T:$T,"&lt;"&amp;S$8,операции!$X:$X,"",операции!$AB:$AB,"",операции!$L:$L,V$9,операции!$P:$P,$F457)+SUMIFS(операции!$V:$V,операции!$T:$T,"&lt;"&amp;S$8,операции!$X:$X,"&gt;="&amp;S$8,операции!$AB:$AB,"",операции!$L:$L,V$9,операции!$P:$P,$F457)+SUMIFS(операции!$V:$V,операции!$T:$T,"&lt;"&amp;S$8,операции!$X:$X,"",операции!$AB:$AB,"&gt;="&amp;S$8,операции!$L:$L,V$9,операции!$P:$P,$F457)+SUMIFS(операции!$V:$V,операции!$T:$T,"&lt;"&amp;S$8,операции!$X:$X,"&gt;="&amp;S$8,операции!$AB:$AB,"&gt;="&amp;S$8,операции!$L:$L,V$9,операции!$P:$P,$F457)</f>
        <v>0</v>
      </c>
      <c r="W468" s="244"/>
      <c r="X468" s="169">
        <f>SUMIFS(операции!$V:$V,операции!$T:$T,"&lt;"&amp;X$8,операции!$X:$X,"",операции!$AB:$AB,"",операции!$P:$P,$F457)+SUMIFS(операции!$V:$V,операции!$T:$T,"&lt;"&amp;X$8,операции!$X:$X,"&gt;="&amp;X$8,операции!$AB:$AB,"",операции!$P:$P,$F457)+SUMIFS(операции!$V:$V,операции!$T:$T,"&lt;"&amp;X$8,операции!$X:$X,"",операции!$AB:$AB,"&gt;="&amp;X$8,операции!$P:$P,$F457)+SUMIFS(операции!$V:$V,операции!$T:$T,"&lt;"&amp;X$8,операции!$X:$X,"&gt;="&amp;X$8,операции!$AB:$AB,"&gt;="&amp;X$8,операции!$P:$P,$F457)</f>
        <v>0</v>
      </c>
      <c r="Y468" s="170">
        <f>X468-Z468-AA468</f>
        <v>0</v>
      </c>
      <c r="Z468" s="169">
        <f>SUMIFS(операции!$V:$V,операции!$T:$T,"&lt;"&amp;X$8,операции!$X:$X,"",операции!$AB:$AB,"",операции!$L:$L,Z$9,операции!$P:$P,$F457)+SUMIFS(операции!$V:$V,операции!$T:$T,"&lt;"&amp;X$8,операции!$X:$X,"&gt;="&amp;X$8,операции!$AB:$AB,"",операции!$L:$L,Z$9,операции!$P:$P,$F457)+SUMIFS(операции!$V:$V,операции!$T:$T,"&lt;"&amp;X$8,операции!$X:$X,"",операции!$AB:$AB,"&gt;="&amp;X$8,операции!$L:$L,Z$9,операции!$P:$P,$F457)+SUMIFS(операции!$V:$V,операции!$T:$T,"&lt;"&amp;X$8,операции!$X:$X,"&gt;="&amp;X$8,операции!$AB:$AB,"&gt;="&amp;X$8,операции!$L:$L,Z$9,операции!$P:$P,$F457)</f>
        <v>0</v>
      </c>
      <c r="AA468" s="243">
        <f>SUMIFS(операции!$V:$V,операции!$T:$T,"&lt;"&amp;X$8,операции!$X:$X,"",операции!$AB:$AB,"",операции!$L:$L,AA$9,операции!$P:$P,$F457)+SUMIFS(операции!$V:$V,операции!$T:$T,"&lt;"&amp;X$8,операции!$X:$X,"&gt;="&amp;X$8,операции!$AB:$AB,"",операции!$L:$L,AA$9,операции!$P:$P,$F457)+SUMIFS(операции!$V:$V,операции!$T:$T,"&lt;"&amp;X$8,операции!$X:$X,"",операции!$AB:$AB,"&gt;="&amp;X$8,операции!$L:$L,AA$9,операции!$P:$P,$F457)+SUMIFS(операции!$V:$V,операции!$T:$T,"&lt;"&amp;X$8,операции!$X:$X,"&gt;="&amp;X$8,операции!$AB:$AB,"&gt;="&amp;X$8,операции!$L:$L,AA$9,операции!$P:$P,$F457)</f>
        <v>0</v>
      </c>
      <c r="AB468" s="266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s="192" customFormat="1" ht="11.25">
      <c r="A469" s="37"/>
      <c r="B469" s="37"/>
      <c r="C469" s="37"/>
      <c r="D469" s="191"/>
      <c r="E469" s="191" t="s">
        <v>255</v>
      </c>
      <c r="F469" s="191" t="str">
        <f t="shared" si="780"/>
        <v>Авто</v>
      </c>
      <c r="G469" s="191" t="s">
        <v>262</v>
      </c>
      <c r="H469" s="315"/>
      <c r="I469" s="316">
        <f>IF(I468=0,0,(SUMIFS(операции!$AF:$AF,операции!$T:$T,"&lt;"&amp;I$8,операции!$X:$X,"",операции!$AB:$AB,"",операции!$P:$P,$F457)+SUMIFS(операции!$AF:$AF,операции!$T:$T,"&lt;"&amp;I$8,операции!$X:$X,"&gt;="&amp;I$8,операции!$AB:$AB,"",операции!$P:$P,$F457)+SUMIFS(операции!$AF:$AF,операции!$T:$T,"&lt;"&amp;I$8,операции!$X:$X,"",операции!$AB:$AB,"&gt;="&amp;I$8,операции!$P:$P,$F457)+SUMIFS(операции!$AF:$AF,операции!$T:$T,"&lt;"&amp;I$8,операции!$X:$X,"&gt;="&amp;I$8,операции!$AB:$AB,"&gt;="&amp;I$8,операции!$P:$P,$F457))/I468)</f>
        <v>0</v>
      </c>
      <c r="J469" s="317"/>
      <c r="K469" s="316">
        <f>IF(K468=0,0,(SUMIFS(операции!$AF:$AF,операции!$T:$T,"&lt;"&amp;I$8,операции!$X:$X,"",операции!$AB:$AB,"",операции!$L:$L,K$9,операции!$P:$P,$F457)+SUMIFS(операции!$AF:$AF,операции!$T:$T,"&lt;"&amp;I$8,операции!$X:$X,"&gt;="&amp;I$8,операции!$AB:$AB,"",операции!$L:$L,K$9,операции!$P:$P,$F457)+SUMIFS(операции!$AF:$AF,операции!$T:$T,"&lt;"&amp;I$8,операции!$X:$X,"",операции!$AB:$AB,"&gt;="&amp;I$8,операции!$L:$L,K$9,операции!$P:$P,$F457)+SUMIFS(операции!$AF:$AF,операции!$T:$T,"&lt;"&amp;I$8,операции!$X:$X,"&gt;="&amp;I$8,операции!$AB:$AB,"&gt;="&amp;I$8,операции!$L:$L,K$9,операции!$P:$P,$F457))/K468)</f>
        <v>0</v>
      </c>
      <c r="L469" s="318">
        <f>IF(L468=0,0,(SUMIFS(операции!$AF:$AF,операции!$T:$T,"&lt;"&amp;I$8,операции!$X:$X,"",операции!$AB:$AB,"",операции!$L:$L,L$9,операции!$P:$P,$F457)+SUMIFS(операции!$AF:$AF,операции!$T:$T,"&lt;"&amp;I$8,операции!$X:$X,"&gt;="&amp;I$8,операции!$AB:$AB,"",операции!$L:$L,L$9,операции!$P:$P,$F457)+SUMIFS(операции!$AF:$AF,операции!$T:$T,"&lt;"&amp;I$8,операции!$X:$X,"",операции!$AB:$AB,"&gt;="&amp;I$8,операции!$L:$L,L$9,операции!$P:$P,$F457)+SUMIFS(операции!$AF:$AF,операции!$T:$T,"&lt;"&amp;I$8,операции!$X:$X,"&gt;="&amp;I$8,операции!$AB:$AB,"&gt;="&amp;I$8,операции!$L:$L,L$9,операции!$P:$P,$F457))/L468)</f>
        <v>0</v>
      </c>
      <c r="M469" s="274"/>
      <c r="N469" s="193">
        <f>IF(N468=0,0,(SUMIFS(операции!$AF:$AF,операции!$T:$T,"&lt;"&amp;N$8,операции!$X:$X,"",операции!$AB:$AB,"",операции!$P:$P,$F457)+SUMIFS(операции!$AF:$AF,операции!$T:$T,"&lt;"&amp;N$8,операции!$X:$X,"&gt;="&amp;N$8,операции!$AB:$AB,"",операции!$P:$P,$F457)+SUMIFS(операции!$AF:$AF,операции!$T:$T,"&lt;"&amp;N$8,операции!$X:$X,"",операции!$AB:$AB,"&gt;="&amp;N$8,операции!$P:$P,$F457)+SUMIFS(операции!$AF:$AF,операции!$T:$T,"&lt;"&amp;N$8,операции!$X:$X,"&gt;="&amp;N$8,операции!$AB:$AB,"&gt;="&amp;N$8,операции!$P:$P,$F457))/N468)</f>
        <v>0</v>
      </c>
      <c r="O469" s="196"/>
      <c r="P469" s="193">
        <f>IF(P468=0,0,(SUMIFS(операции!$AF:$AF,операции!$T:$T,"&lt;"&amp;N$8,операции!$X:$X,"",операции!$AB:$AB,"",операции!$L:$L,P$9,операции!$P:$P,$F457)+SUMIFS(операции!$AF:$AF,операции!$T:$T,"&lt;"&amp;N$8,операции!$X:$X,"&gt;="&amp;N$8,операции!$AB:$AB,"",операции!$L:$L,P$9,операции!$P:$P,$F457)+SUMIFS(операции!$AF:$AF,операции!$T:$T,"&lt;"&amp;N$8,операции!$X:$X,"",операции!$AB:$AB,"&gt;="&amp;N$8,операции!$L:$L,P$9,операции!$P:$P,$F457)+SUMIFS(операции!$AF:$AF,операции!$T:$T,"&lt;"&amp;N$8,операции!$X:$X,"&gt;="&amp;N$8,операции!$AB:$AB,"&gt;="&amp;N$8,операции!$L:$L,P$9,операции!$P:$P,$F457))/P468)</f>
        <v>0</v>
      </c>
      <c r="Q469" s="237">
        <f>IF(Q468=0,0,(SUMIFS(операции!$AF:$AF,операции!$T:$T,"&lt;"&amp;N$8,операции!$X:$X,"",операции!$AB:$AB,"",операции!$L:$L,Q$9,операции!$P:$P,$F457)+SUMIFS(операции!$AF:$AF,операции!$T:$T,"&lt;"&amp;N$8,операции!$X:$X,"&gt;="&amp;N$8,операции!$AB:$AB,"",операции!$L:$L,Q$9,операции!$P:$P,$F457)+SUMIFS(операции!$AF:$AF,операции!$T:$T,"&lt;"&amp;N$8,операции!$X:$X,"",операции!$AB:$AB,"&gt;="&amp;N$8,операции!$L:$L,Q$9,операции!$P:$P,$F457)+SUMIFS(операции!$AF:$AF,операции!$T:$T,"&lt;"&amp;N$8,операции!$X:$X,"&gt;="&amp;N$8,операции!$AB:$AB,"&gt;="&amp;N$8,операции!$L:$L,Q$9,операции!$P:$P,$F457))/Q468)</f>
        <v>0</v>
      </c>
      <c r="R469" s="238"/>
      <c r="S469" s="193">
        <f>IF(S468=0,0,(SUMIFS(операции!$AF:$AF,операции!$T:$T,"&lt;"&amp;S$8,операции!$X:$X,"",операции!$AB:$AB,"",операции!$P:$P,$F457)+SUMIFS(операции!$AF:$AF,операции!$T:$T,"&lt;"&amp;S$8,операции!$X:$X,"&gt;="&amp;S$8,операции!$AB:$AB,"",операции!$P:$P,$F457)+SUMIFS(операции!$AF:$AF,операции!$T:$T,"&lt;"&amp;S$8,операции!$X:$X,"",операции!$AB:$AB,"&gt;="&amp;S$8,операции!$P:$P,$F457)+SUMIFS(операции!$AF:$AF,операции!$T:$T,"&lt;"&amp;S$8,операции!$X:$X,"&gt;="&amp;S$8,операции!$AB:$AB,"&gt;="&amp;S$8,операции!$P:$P,$F457))/S468)</f>
        <v>0</v>
      </c>
      <c r="T469" s="196"/>
      <c r="U469" s="193">
        <f>IF(U468=0,0,(SUMIFS(операции!$AF:$AF,операции!$T:$T,"&lt;"&amp;S$8,операции!$X:$X,"",операции!$AB:$AB,"",операции!$L:$L,U$9,операции!$P:$P,$F457)+SUMIFS(операции!$AF:$AF,операции!$T:$T,"&lt;"&amp;S$8,операции!$X:$X,"&gt;="&amp;S$8,операции!$AB:$AB,"",операции!$L:$L,U$9,операции!$P:$P,$F457)+SUMIFS(операции!$AF:$AF,операции!$T:$T,"&lt;"&amp;S$8,операции!$X:$X,"",операции!$AB:$AB,"&gt;="&amp;S$8,операции!$L:$L,U$9,операции!$P:$P,$F457)+SUMIFS(операции!$AF:$AF,операции!$T:$T,"&lt;"&amp;S$8,операции!$X:$X,"&gt;="&amp;S$8,операции!$AB:$AB,"&gt;="&amp;S$8,операции!$L:$L,U$9,операции!$P:$P,$F457))/U468)</f>
        <v>0</v>
      </c>
      <c r="V469" s="237">
        <f>IF(V468=0,0,(SUMIFS(операции!$AF:$AF,операции!$T:$T,"&lt;"&amp;S$8,операции!$X:$X,"",операции!$AB:$AB,"",операции!$L:$L,V$9,операции!$P:$P,$F457)+SUMIFS(операции!$AF:$AF,операции!$T:$T,"&lt;"&amp;S$8,операции!$X:$X,"&gt;="&amp;S$8,операции!$AB:$AB,"",операции!$L:$L,V$9,операции!$P:$P,$F457)+SUMIFS(операции!$AF:$AF,операции!$T:$T,"&lt;"&amp;S$8,операции!$X:$X,"",операции!$AB:$AB,"&gt;="&amp;S$8,операции!$L:$L,V$9,операции!$P:$P,$F457)+SUMIFS(операции!$AF:$AF,операции!$T:$T,"&lt;"&amp;S$8,операции!$X:$X,"&gt;="&amp;S$8,операции!$AB:$AB,"&gt;="&amp;S$8,операции!$L:$L,V$9,операции!$P:$P,$F457))/V468)</f>
        <v>0</v>
      </c>
      <c r="W469" s="238"/>
      <c r="X469" s="193">
        <f>IF(X468=0,0,(SUMIFS(операции!$AF:$AF,операции!$T:$T,"&lt;"&amp;X$8,операции!$X:$X,"",операции!$AB:$AB,"",операции!$P:$P,$F457)+SUMIFS(операции!$AF:$AF,операции!$T:$T,"&lt;"&amp;X$8,операции!$X:$X,"&gt;="&amp;X$8,операции!$AB:$AB,"",операции!$P:$P,$F457)+SUMIFS(операции!$AF:$AF,операции!$T:$T,"&lt;"&amp;X$8,операции!$X:$X,"",операции!$AB:$AB,"&gt;="&amp;X$8,операции!$P:$P,$F457)+SUMIFS(операции!$AF:$AF,операции!$T:$T,"&lt;"&amp;X$8,операции!$X:$X,"&gt;="&amp;X$8,операции!$AB:$AB,"&gt;="&amp;X$8,операции!$P:$P,$F457))/X468)</f>
        <v>0</v>
      </c>
      <c r="Y469" s="196"/>
      <c r="Z469" s="193">
        <f>IF(Z468=0,0,(SUMIFS(операции!$AF:$AF,операции!$T:$T,"&lt;"&amp;X$8,операции!$X:$X,"",операции!$AB:$AB,"",операции!$L:$L,Z$9,операции!$P:$P,$F457)+SUMIFS(операции!$AF:$AF,операции!$T:$T,"&lt;"&amp;X$8,операции!$X:$X,"&gt;="&amp;X$8,операции!$AB:$AB,"",операции!$L:$L,Z$9,операции!$P:$P,$F457)+SUMIFS(операции!$AF:$AF,операции!$T:$T,"&lt;"&amp;X$8,операции!$X:$X,"",операции!$AB:$AB,"&gt;="&amp;X$8,операции!$L:$L,Z$9,операции!$P:$P,$F457)+SUMIFS(операции!$AF:$AF,операции!$T:$T,"&lt;"&amp;X$8,операции!$X:$X,"&gt;="&amp;X$8,операции!$AB:$AB,"&gt;="&amp;X$8,операции!$L:$L,Z$9,операции!$P:$P,$F457))/Z468)</f>
        <v>0</v>
      </c>
      <c r="AA469" s="237">
        <f>IF(AA468=0,0,(SUMIFS(операции!$AF:$AF,операции!$T:$T,"&lt;"&amp;X$8,операции!$X:$X,"",операции!$AB:$AB,"",операции!$L:$L,AA$9,операции!$P:$P,$F457)+SUMIFS(операции!$AF:$AF,операции!$T:$T,"&lt;"&amp;X$8,операции!$X:$X,"&gt;="&amp;X$8,операции!$AB:$AB,"",операции!$L:$L,AA$9,операции!$P:$P,$F457)+SUMIFS(операции!$AF:$AF,операции!$T:$T,"&lt;"&amp;X$8,операции!$X:$X,"",операции!$AB:$AB,"&gt;="&amp;X$8,операции!$L:$L,AA$9,операции!$P:$P,$F457)+SUMIFS(операции!$AF:$AF,операции!$T:$T,"&lt;"&amp;X$8,операции!$X:$X,"&gt;="&amp;X$8,операции!$AB:$AB,"&gt;="&amp;X$8,операции!$L:$L,AA$9,операции!$P:$P,$F457))/AA468)</f>
        <v>0</v>
      </c>
      <c r="AB469" s="265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</row>
    <row r="470" spans="1:42" s="192" customFormat="1" ht="11.25">
      <c r="A470" s="37"/>
      <c r="B470" s="37"/>
      <c r="C470" s="37"/>
      <c r="D470" s="191"/>
      <c r="E470" s="191" t="s">
        <v>263</v>
      </c>
      <c r="F470" s="191" t="str">
        <f t="shared" si="780"/>
        <v>Авто</v>
      </c>
      <c r="G470" s="191" t="s">
        <v>219</v>
      </c>
      <c r="H470" s="315"/>
      <c r="I470" s="329">
        <f>IF(I468=0,0,I$8-I469)</f>
        <v>0</v>
      </c>
      <c r="J470" s="317"/>
      <c r="K470" s="329">
        <f>IF(K468=0,0,I$8-K469)</f>
        <v>0</v>
      </c>
      <c r="L470" s="330">
        <f>IF(L468=0,0,I$8-L469)</f>
        <v>0</v>
      </c>
      <c r="M470" s="274"/>
      <c r="N470" s="156">
        <f>IF(N468=0,0,N$8-N469)</f>
        <v>0</v>
      </c>
      <c r="O470" s="196"/>
      <c r="P470" s="156">
        <f>IF(P468=0,0,N$8-P469)</f>
        <v>0</v>
      </c>
      <c r="Q470" s="245">
        <f>IF(Q468=0,0,N$8-Q469)</f>
        <v>0</v>
      </c>
      <c r="R470" s="238"/>
      <c r="S470" s="156">
        <f>IF(S468=0,0,S$8-S469)</f>
        <v>0</v>
      </c>
      <c r="T470" s="196"/>
      <c r="U470" s="156">
        <f>IF(U468=0,0,S$8-U469)</f>
        <v>0</v>
      </c>
      <c r="V470" s="245">
        <f>IF(V468=0,0,S$8-V469)</f>
        <v>0</v>
      </c>
      <c r="W470" s="238"/>
      <c r="X470" s="156">
        <f>IF(X468=0,0,X$8-X469)</f>
        <v>0</v>
      </c>
      <c r="Y470" s="196"/>
      <c r="Z470" s="156">
        <f>IF(Z468=0,0,X$8-Z469)</f>
        <v>0</v>
      </c>
      <c r="AA470" s="245">
        <f>IF(AA468=0,0,X$8-AA469)</f>
        <v>0</v>
      </c>
      <c r="AB470" s="265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</row>
    <row r="471" spans="1:42" s="192" customFormat="1" ht="11.25">
      <c r="A471" s="37"/>
      <c r="B471" s="37"/>
      <c r="C471" s="37"/>
      <c r="D471" s="191"/>
      <c r="E471" s="191" t="s">
        <v>311</v>
      </c>
      <c r="F471" s="191" t="str">
        <f t="shared" si="780"/>
        <v>Авто</v>
      </c>
      <c r="G471" s="191" t="s">
        <v>262</v>
      </c>
      <c r="H471" s="315"/>
      <c r="I471" s="316">
        <f>I$8</f>
        <v>42278</v>
      </c>
      <c r="J471" s="317"/>
      <c r="K471" s="316">
        <f>I$8</f>
        <v>42278</v>
      </c>
      <c r="L471" s="318">
        <f>I$8</f>
        <v>42278</v>
      </c>
      <c r="M471" s="274"/>
      <c r="N471" s="193">
        <f>N$8</f>
        <v>42278</v>
      </c>
      <c r="O471" s="196"/>
      <c r="P471" s="193">
        <f>N$8</f>
        <v>42278</v>
      </c>
      <c r="Q471" s="237">
        <f>N$8</f>
        <v>42278</v>
      </c>
      <c r="R471" s="238"/>
      <c r="S471" s="193">
        <f>S$8</f>
        <v>42309</v>
      </c>
      <c r="T471" s="196"/>
      <c r="U471" s="193">
        <f>S$8</f>
        <v>42309</v>
      </c>
      <c r="V471" s="237">
        <f>S$8</f>
        <v>42309</v>
      </c>
      <c r="W471" s="238"/>
      <c r="X471" s="193">
        <f>X$8</f>
        <v>42339</v>
      </c>
      <c r="Y471" s="196"/>
      <c r="Z471" s="193">
        <f>X$8</f>
        <v>42339</v>
      </c>
      <c r="AA471" s="237">
        <f>X$8</f>
        <v>42339</v>
      </c>
      <c r="AB471" s="265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</row>
    <row r="472" spans="1:42" s="192" customFormat="1" ht="11.25">
      <c r="A472" s="37"/>
      <c r="B472" s="37"/>
      <c r="C472" s="37"/>
      <c r="D472" s="191"/>
      <c r="E472" s="191" t="s">
        <v>264</v>
      </c>
      <c r="F472" s="191" t="str">
        <f t="shared" si="780"/>
        <v>Авто</v>
      </c>
      <c r="G472" s="191" t="s">
        <v>219</v>
      </c>
      <c r="H472" s="315"/>
      <c r="I472" s="329">
        <f>IF(I468=0,0,I471-I469)</f>
        <v>0</v>
      </c>
      <c r="J472" s="317"/>
      <c r="K472" s="329">
        <f>IF(K468=0,0,K471-K469)</f>
        <v>0</v>
      </c>
      <c r="L472" s="330">
        <f>IF(L468=0,0,L471-L469)</f>
        <v>0</v>
      </c>
      <c r="M472" s="274"/>
      <c r="N472" s="156">
        <f>IF(N468=0,0,N471-N469)</f>
        <v>0</v>
      </c>
      <c r="O472" s="196"/>
      <c r="P472" s="156">
        <f>IF(P468=0,0,P471-P469)</f>
        <v>0</v>
      </c>
      <c r="Q472" s="245">
        <f>IF(Q468=0,0,Q471-Q469)</f>
        <v>0</v>
      </c>
      <c r="R472" s="238"/>
      <c r="S472" s="156">
        <f>IF(S468=0,0,S471-S469)</f>
        <v>0</v>
      </c>
      <c r="T472" s="196"/>
      <c r="U472" s="156">
        <f>IF(U468=0,0,U471-U469)</f>
        <v>0</v>
      </c>
      <c r="V472" s="245">
        <f>IF(V468=0,0,V471-V469)</f>
        <v>0</v>
      </c>
      <c r="W472" s="238"/>
      <c r="X472" s="156">
        <f>IF(X468=0,0,X471-X469)</f>
        <v>0</v>
      </c>
      <c r="Y472" s="196"/>
      <c r="Z472" s="156">
        <f>IF(Z468=0,0,Z471-Z469)</f>
        <v>0</v>
      </c>
      <c r="AA472" s="245">
        <f>IF(AA468=0,0,AA471-AA469)</f>
        <v>0</v>
      </c>
      <c r="AB472" s="265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</row>
    <row r="473" spans="1:42" s="192" customFormat="1" ht="11.25">
      <c r="A473" s="37"/>
      <c r="B473" s="37"/>
      <c r="C473" s="37"/>
      <c r="D473" s="207"/>
      <c r="E473" s="207" t="s">
        <v>269</v>
      </c>
      <c r="F473" s="207" t="str">
        <f t="shared" si="780"/>
        <v>Авто</v>
      </c>
      <c r="G473" s="207" t="s">
        <v>219</v>
      </c>
      <c r="H473" s="331"/>
      <c r="I473" s="332">
        <f>I470-I472</f>
        <v>0</v>
      </c>
      <c r="J473" s="333"/>
      <c r="K473" s="332">
        <f t="shared" ref="K473" si="805">K470-K472</f>
        <v>0</v>
      </c>
      <c r="L473" s="334">
        <f>L470-L472</f>
        <v>0</v>
      </c>
      <c r="M473" s="278"/>
      <c r="N473" s="162">
        <f>N470-N472</f>
        <v>0</v>
      </c>
      <c r="O473" s="208"/>
      <c r="P473" s="162">
        <f t="shared" ref="P473" si="806">P470-P472</f>
        <v>0</v>
      </c>
      <c r="Q473" s="246">
        <f>Q470-Q472</f>
        <v>0</v>
      </c>
      <c r="R473" s="247"/>
      <c r="S473" s="162">
        <f>S470-S472</f>
        <v>0</v>
      </c>
      <c r="T473" s="208"/>
      <c r="U473" s="162">
        <f t="shared" ref="U473" si="807">U470-U472</f>
        <v>0</v>
      </c>
      <c r="V473" s="246">
        <f>V470-V472</f>
        <v>0</v>
      </c>
      <c r="W473" s="247"/>
      <c r="X473" s="162">
        <f>X470-X472</f>
        <v>0</v>
      </c>
      <c r="Y473" s="208"/>
      <c r="Z473" s="162">
        <f t="shared" ref="Z473" si="808">Z470-Z472</f>
        <v>0</v>
      </c>
      <c r="AA473" s="246">
        <f>AA470-AA472</f>
        <v>0</v>
      </c>
      <c r="AB473" s="265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</row>
    <row r="474" spans="1:42" s="111" customFormat="1" ht="11.25">
      <c r="A474" s="108"/>
      <c r="B474" s="108"/>
      <c r="C474" s="108" t="s">
        <v>272</v>
      </c>
      <c r="D474" s="109"/>
      <c r="E474" s="109"/>
      <c r="F474" s="109" t="str">
        <f t="shared" si="780"/>
        <v>Авто</v>
      </c>
      <c r="G474" s="109"/>
      <c r="H474" s="307"/>
      <c r="I474" s="308">
        <f>I475-K475-L475</f>
        <v>0</v>
      </c>
      <c r="J474" s="335"/>
      <c r="K474" s="308"/>
      <c r="L474" s="336"/>
      <c r="M474" s="272"/>
      <c r="N474" s="110">
        <f>N475-P475-Q475</f>
        <v>0</v>
      </c>
      <c r="O474" s="105"/>
      <c r="P474" s="110"/>
      <c r="Q474" s="248"/>
      <c r="R474" s="234"/>
      <c r="S474" s="110">
        <f>S475-U475-V475</f>
        <v>0</v>
      </c>
      <c r="T474" s="105"/>
      <c r="U474" s="110"/>
      <c r="V474" s="248"/>
      <c r="W474" s="234"/>
      <c r="X474" s="110">
        <f>X475-Z475-AA475</f>
        <v>0</v>
      </c>
      <c r="Y474" s="105"/>
      <c r="Z474" s="110"/>
      <c r="AA474" s="248"/>
      <c r="AB474" s="263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</row>
    <row r="475" spans="1:42" s="5" customFormat="1">
      <c r="A475" s="1"/>
      <c r="B475" s="1"/>
      <c r="C475" s="1"/>
      <c r="D475" s="168" t="s">
        <v>273</v>
      </c>
      <c r="E475" s="168"/>
      <c r="F475" s="168" t="str">
        <f t="shared" si="780"/>
        <v>Авто</v>
      </c>
      <c r="G475" s="168" t="s">
        <v>261</v>
      </c>
      <c r="H475" s="326"/>
      <c r="I475" s="327">
        <f>SUMIFS(операции!$V:$V,операции!$T:$T,"&gt;="&amp;I$8,операции!$T:$T,"&lt;="&amp;I$9,операции!$P:$P,$F457)</f>
        <v>0</v>
      </c>
      <c r="J475" s="313"/>
      <c r="K475" s="327">
        <f>SUMIFS(операции!$V:$V,операции!$T:$T,"&gt;="&amp;I$8,операции!$T:$T,"&lt;="&amp;I$9,операции!$L:$L,K$9,операции!$P:$P,$F457)</f>
        <v>0</v>
      </c>
      <c r="L475" s="328">
        <f>SUMIFS(операции!$V:$V,операции!$T:$T,"&gt;="&amp;I$8,операции!$T:$T,"&lt;="&amp;I$9,операции!$L:$L,L$9,операции!$P:$P,$F457)</f>
        <v>0</v>
      </c>
      <c r="M475" s="277"/>
      <c r="N475" s="169">
        <f>SUMIFS(операции!$V:$V,операции!$T:$T,"&gt;="&amp;N$8,операции!$T:$T,"&lt;="&amp;N$9,операции!$P:$P,$F457)</f>
        <v>0</v>
      </c>
      <c r="O475" s="170"/>
      <c r="P475" s="169">
        <f>SUMIFS(операции!$V:$V,операции!$T:$T,"&gt;="&amp;N$8,операции!$T:$T,"&lt;="&amp;N$9,операции!$L:$L,P$9,операции!$P:$P,$F457)</f>
        <v>0</v>
      </c>
      <c r="Q475" s="243">
        <f>SUMIFS(операции!$V:$V,операции!$T:$T,"&gt;="&amp;N$8,операции!$T:$T,"&lt;="&amp;N$9,операции!$L:$L,Q$9,операции!$P:$P,$F457)</f>
        <v>0</v>
      </c>
      <c r="R475" s="244"/>
      <c r="S475" s="169">
        <f>SUMIFS(операции!$V:$V,операции!$T:$T,"&gt;="&amp;S$8,операции!$T:$T,"&lt;="&amp;S$9,операции!$P:$P,$F457)</f>
        <v>0</v>
      </c>
      <c r="T475" s="170"/>
      <c r="U475" s="169">
        <f>SUMIFS(операции!$V:$V,операции!$T:$T,"&gt;="&amp;S$8,операции!$T:$T,"&lt;="&amp;S$9,операции!$L:$L,U$9,операции!$P:$P,$F457)</f>
        <v>0</v>
      </c>
      <c r="V475" s="243">
        <f>SUMIFS(операции!$V:$V,операции!$T:$T,"&gt;="&amp;S$8,операции!$T:$T,"&lt;="&amp;S$9,операции!$L:$L,V$9,операции!$P:$P,$F457)</f>
        <v>0</v>
      </c>
      <c r="W475" s="244"/>
      <c r="X475" s="169">
        <f>SUMIFS(операции!$V:$V,операции!$T:$T,"&gt;="&amp;X$8,операции!$T:$T,"&lt;="&amp;X$9,операции!$P:$P,$F457)</f>
        <v>0</v>
      </c>
      <c r="Y475" s="170"/>
      <c r="Z475" s="169">
        <f>SUMIFS(операции!$V:$V,операции!$T:$T,"&gt;="&amp;X$8,операции!$T:$T,"&lt;="&amp;X$9,операции!$L:$L,Z$9,операции!$P:$P,$F457)</f>
        <v>0</v>
      </c>
      <c r="AA475" s="243">
        <f>SUMIFS(операции!$V:$V,операции!$T:$T,"&gt;="&amp;X$8,операции!$T:$T,"&lt;="&amp;X$9,операции!$L:$L,AA$9,операции!$P:$P,$F457)</f>
        <v>0</v>
      </c>
      <c r="AB475" s="266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s="192" customFormat="1" ht="11.25">
      <c r="A476" s="37"/>
      <c r="B476" s="37"/>
      <c r="C476" s="37"/>
      <c r="D476" s="207" t="s">
        <v>255</v>
      </c>
      <c r="E476" s="207"/>
      <c r="F476" s="207" t="str">
        <f t="shared" si="780"/>
        <v>Авто</v>
      </c>
      <c r="G476" s="207" t="s">
        <v>262</v>
      </c>
      <c r="H476" s="331"/>
      <c r="I476" s="337">
        <f>IF(I475=0,0,SUMIFS(операции!$AF:$AF,операции!$T:$T,"&gt;="&amp;I$8,операции!$T:$T,"&lt;="&amp;I$9,операции!$P:$P,$F457)/I475)</f>
        <v>0</v>
      </c>
      <c r="J476" s="333"/>
      <c r="K476" s="337">
        <f>IF(K475=0,0,SUMIFS(операции!$AF:$AF,операции!$T:$T,"&gt;="&amp;I$8,операции!$T:$T,"&lt;="&amp;I$9,операции!$L:$L,K$9,операции!$P:$P,$F457)/K475)</f>
        <v>0</v>
      </c>
      <c r="L476" s="338">
        <f>IF(L475=0,0,SUMIFS(операции!$AF:$AF,операции!$T:$T,"&gt;="&amp;I$8,операции!$T:$T,"&lt;="&amp;I$9,операции!$L:$L,L$9,операции!$P:$P,$F457)/L475)</f>
        <v>0</v>
      </c>
      <c r="M476" s="278"/>
      <c r="N476" s="217">
        <f>IF(N475=0,0,SUMIFS(операции!$AF:$AF,операции!$T:$T,"&gt;="&amp;N$8,операции!$T:$T,"&lt;="&amp;N$9,операции!$P:$P,$F457)/N475)</f>
        <v>0</v>
      </c>
      <c r="O476" s="208"/>
      <c r="P476" s="217">
        <f>IF(P475=0,0,SUMIFS(операции!$AF:$AF,операции!$T:$T,"&gt;="&amp;N$8,операции!$T:$T,"&lt;="&amp;N$9,операции!$L:$L,P$9,операции!$P:$P,$F457)/P475)</f>
        <v>0</v>
      </c>
      <c r="Q476" s="249">
        <f>IF(Q475=0,0,SUMIFS(операции!$AF:$AF,операции!$T:$T,"&gt;="&amp;N$8,операции!$T:$T,"&lt;="&amp;N$9,операции!$L:$L,Q$9,операции!$P:$P,$F457)/Q475)</f>
        <v>0</v>
      </c>
      <c r="R476" s="247"/>
      <c r="S476" s="217">
        <f>IF(S475=0,0,SUMIFS(операции!$AF:$AF,операции!$T:$T,"&gt;="&amp;S$8,операции!$T:$T,"&lt;="&amp;S$9,операции!$P:$P,$F457)/S475)</f>
        <v>0</v>
      </c>
      <c r="T476" s="208"/>
      <c r="U476" s="217">
        <f>IF(U475=0,0,SUMIFS(операции!$AF:$AF,операции!$T:$T,"&gt;="&amp;S$8,операции!$T:$T,"&lt;="&amp;S$9,операции!$L:$L,U$9,операции!$P:$P,$F457)/U475)</f>
        <v>0</v>
      </c>
      <c r="V476" s="249">
        <f>IF(V475=0,0,SUMIFS(операции!$AF:$AF,операции!$T:$T,"&gt;="&amp;S$8,операции!$T:$T,"&lt;="&amp;S$9,операции!$L:$L,V$9,операции!$P:$P,$F457)/V475)</f>
        <v>0</v>
      </c>
      <c r="W476" s="247"/>
      <c r="X476" s="217">
        <f>IF(X475=0,0,SUMIFS(операции!$AF:$AF,операции!$T:$T,"&gt;="&amp;X$8,операции!$T:$T,"&lt;="&amp;X$9,операции!$P:$P,$F457)/X475)</f>
        <v>0</v>
      </c>
      <c r="Y476" s="208"/>
      <c r="Z476" s="217">
        <f>IF(Z475=0,0,SUMIFS(операции!$AF:$AF,операции!$T:$T,"&gt;="&amp;X$8,операции!$T:$T,"&lt;="&amp;X$9,операции!$L:$L,Z$9,операции!$P:$P,$F457)/Z475)</f>
        <v>0</v>
      </c>
      <c r="AA476" s="249">
        <f>IF(AA475=0,0,SUMIFS(операции!$AF:$AF,операции!$T:$T,"&gt;="&amp;X$8,операции!$T:$T,"&lt;="&amp;X$9,операции!$L:$L,AA$9,операции!$P:$P,$F457)/AA475)</f>
        <v>0</v>
      </c>
      <c r="AB476" s="265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</row>
    <row r="477" spans="1:42" s="93" customFormat="1" ht="15">
      <c r="A477" s="92"/>
      <c r="B477" s="92"/>
      <c r="C477" s="92"/>
      <c r="D477" s="212" t="s">
        <v>274</v>
      </c>
      <c r="E477" s="212"/>
      <c r="F477" s="212" t="str">
        <f t="shared" si="780"/>
        <v>Авто</v>
      </c>
      <c r="G477" s="212" t="s">
        <v>261</v>
      </c>
      <c r="H477" s="339"/>
      <c r="I477" s="340">
        <f>SUMIFS(операции!$Z:$Z,операции!$X:$X,"&gt;="&amp;I$8,операции!$X:$X,"&lt;="&amp;I$9,операции!$P:$P,$F457)</f>
        <v>9690</v>
      </c>
      <c r="J477" s="341">
        <f>I477-I490-I500</f>
        <v>0</v>
      </c>
      <c r="K477" s="340">
        <f>SUMIFS(операции!$Z:$Z,операции!$X:$X,"&gt;="&amp;I$8,операции!$X:$X,"&lt;="&amp;I$9,операции!$L:$L,K$9,операции!$P:$P,$F457)</f>
        <v>9690</v>
      </c>
      <c r="L477" s="342">
        <f>SUMIFS(операции!$Z:$Z,операции!$X:$X,"&gt;="&amp;I$8,операции!$X:$X,"&lt;="&amp;I$9,операции!$L:$L,L$9,операции!$P:$P,$F457)</f>
        <v>0</v>
      </c>
      <c r="M477" s="279"/>
      <c r="N477" s="213">
        <f>SUMIFS(операции!$Z:$Z,операции!$X:$X,"&gt;="&amp;N$8,операции!$X:$X,"&lt;="&amp;N$9,операции!$P:$P,$F457)</f>
        <v>6460</v>
      </c>
      <c r="O477" s="216">
        <f>N477-N490-N500</f>
        <v>0</v>
      </c>
      <c r="P477" s="213">
        <f>SUMIFS(операции!$Z:$Z,операции!$X:$X,"&gt;="&amp;N$8,операции!$X:$X,"&lt;="&amp;N$9,операции!$L:$L,P$9,операции!$P:$P,$F457)</f>
        <v>6460</v>
      </c>
      <c r="Q477" s="250">
        <f>SUMIFS(операции!$Z:$Z,операции!$X:$X,"&gt;="&amp;N$8,операции!$X:$X,"&lt;="&amp;N$9,операции!$L:$L,Q$9,операции!$P:$P,$F457)</f>
        <v>0</v>
      </c>
      <c r="R477" s="251"/>
      <c r="S477" s="213">
        <f>SUMIFS(операции!$Z:$Z,операции!$X:$X,"&gt;="&amp;S$8,операции!$X:$X,"&lt;="&amp;S$9,операции!$P:$P,$F457)</f>
        <v>3230</v>
      </c>
      <c r="T477" s="216">
        <f>S477-S490-S500</f>
        <v>0</v>
      </c>
      <c r="U477" s="213">
        <f>SUMIFS(операции!$Z:$Z,операции!$X:$X,"&gt;="&amp;S$8,операции!$X:$X,"&lt;="&amp;S$9,операции!$L:$L,U$9,операции!$P:$P,$F457)</f>
        <v>3230</v>
      </c>
      <c r="V477" s="250">
        <f>SUMIFS(операции!$Z:$Z,операции!$X:$X,"&gt;="&amp;S$8,операции!$X:$X,"&lt;="&amp;S$9,операции!$L:$L,V$9,операции!$P:$P,$F457)</f>
        <v>0</v>
      </c>
      <c r="W477" s="251"/>
      <c r="X477" s="213">
        <f>SUMIFS(операции!$Z:$Z,операции!$X:$X,"&gt;="&amp;X$8,операции!$X:$X,"&lt;="&amp;X$9,операции!$P:$P,$F457)</f>
        <v>0</v>
      </c>
      <c r="Y477" s="216">
        <f>X477-X490-X500</f>
        <v>0</v>
      </c>
      <c r="Z477" s="213">
        <f>SUMIFS(операции!$Z:$Z,операции!$X:$X,"&gt;="&amp;X$8,операции!$X:$X,"&lt;="&amp;X$9,операции!$L:$L,Z$9,операции!$P:$P,$F457)</f>
        <v>0</v>
      </c>
      <c r="AA477" s="250">
        <f>SUMIFS(операции!$Z:$Z,операции!$X:$X,"&gt;="&amp;X$8,операции!$X:$X,"&lt;="&amp;X$9,операции!$L:$L,AA$9,операции!$P:$P,$F457)</f>
        <v>0</v>
      </c>
      <c r="AB477" s="264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</row>
    <row r="478" spans="1:42" s="407" customFormat="1" ht="11.25">
      <c r="A478" s="404"/>
      <c r="B478" s="404"/>
      <c r="C478" s="404"/>
      <c r="D478" s="405" t="s">
        <v>332</v>
      </c>
      <c r="E478" s="405"/>
      <c r="F478" s="405" t="str">
        <f>F476</f>
        <v>Авто</v>
      </c>
      <c r="G478" s="405" t="s">
        <v>218</v>
      </c>
      <c r="H478" s="408"/>
      <c r="I478" s="408">
        <f>IF(I$31=0,0,I477/I$31)</f>
        <v>2.6120175449946305E-3</v>
      </c>
      <c r="J478" s="409"/>
      <c r="K478" s="408">
        <f t="shared" ref="K478" si="809">IF(K$31=0,0,K477/K$31)</f>
        <v>7.4431166149719558E-3</v>
      </c>
      <c r="L478" s="410">
        <f t="shared" ref="L478" si="810">IF(L$31=0,0,L477/L$31)</f>
        <v>0</v>
      </c>
      <c r="M478" s="411"/>
      <c r="N478" s="412">
        <f t="shared" ref="N478" si="811">IF(N$31=0,0,N477/N$31)</f>
        <v>8.3354516047034651E-3</v>
      </c>
      <c r="O478" s="413"/>
      <c r="P478" s="412">
        <f t="shared" ref="P478" si="812">IF(P$31=0,0,P477/P$31)</f>
        <v>1.2907711858310888E-2</v>
      </c>
      <c r="Q478" s="414">
        <f t="shared" ref="Q478" si="813">IF(Q$31=0,0,Q477/Q$31)</f>
        <v>0</v>
      </c>
      <c r="R478" s="415"/>
      <c r="S478" s="412">
        <f t="shared" ref="S478" si="814">IF(S$31=0,0,S477/S$31)</f>
        <v>1.8200310475884589E-3</v>
      </c>
      <c r="T478" s="413"/>
      <c r="U478" s="412">
        <f t="shared" ref="U478" si="815">IF(U$31=0,0,U477/U$31)</f>
        <v>5.128978729823503E-3</v>
      </c>
      <c r="V478" s="414">
        <f t="shared" ref="V478" si="816">IF(V$31=0,0,V477/V$31)</f>
        <v>0</v>
      </c>
      <c r="W478" s="415"/>
      <c r="X478" s="412">
        <f t="shared" ref="X478" si="817">IF(X$31=0,0,X477/X$31)</f>
        <v>0</v>
      </c>
      <c r="Y478" s="413"/>
      <c r="Z478" s="412">
        <f t="shared" ref="Z478" si="818">IF(Z$31=0,0,Z477/Z$31)</f>
        <v>0</v>
      </c>
      <c r="AA478" s="414">
        <f t="shared" ref="AA478" si="819">IF(AA$31=0,0,AA477/AA$31)</f>
        <v>0</v>
      </c>
      <c r="AB478" s="406"/>
      <c r="AC478" s="404"/>
      <c r="AD478" s="404"/>
      <c r="AE478" s="404"/>
      <c r="AF478" s="404"/>
      <c r="AG478" s="404"/>
      <c r="AH478" s="404"/>
      <c r="AI478" s="404"/>
      <c r="AJ478" s="404"/>
      <c r="AK478" s="404"/>
      <c r="AL478" s="404"/>
      <c r="AM478" s="404"/>
      <c r="AN478" s="404"/>
      <c r="AO478" s="404"/>
      <c r="AP478" s="404"/>
    </row>
    <row r="479" spans="1:42" s="192" customFormat="1" ht="11.25">
      <c r="A479" s="37"/>
      <c r="B479" s="37"/>
      <c r="C479" s="37"/>
      <c r="D479" s="191" t="s">
        <v>331</v>
      </c>
      <c r="E479" s="191"/>
      <c r="F479" s="191" t="str">
        <f>F477</f>
        <v>Авто</v>
      </c>
      <c r="G479" s="191" t="s">
        <v>334</v>
      </c>
      <c r="H479" s="315"/>
      <c r="I479" s="329">
        <f>SUMIFS(операции!$R:$R,операции!$X:$X,"&gt;="&amp;I$8,операции!$X:$X,"&lt;="&amp;I$9,операции!$P:$P,$F457)</f>
        <v>3</v>
      </c>
      <c r="J479" s="317">
        <f>I479-K479-L479</f>
        <v>0</v>
      </c>
      <c r="K479" s="329">
        <f>SUMIFS(операции!$R:$R,операции!$X:$X,"&gt;="&amp;I$8,операции!$X:$X,"&lt;="&amp;I$9,операции!$L:$L,K$9,операции!$P:$P,$F457)</f>
        <v>3</v>
      </c>
      <c r="L479" s="330">
        <f>SUMIFS(операции!$R:$R,операции!$X:$X,"&gt;="&amp;I$8,операции!$X:$X,"&lt;="&amp;I$9,операции!$L:$L,L$9,операции!$P:$P,$F457)</f>
        <v>0</v>
      </c>
      <c r="M479" s="402"/>
      <c r="N479" s="156">
        <f>SUMIFS(операции!$R:$R,операции!$X:$X,"&gt;="&amp;N$8,операции!$X:$X,"&lt;="&amp;N$9,операции!$P:$P,$F457)</f>
        <v>2</v>
      </c>
      <c r="O479" s="196">
        <f t="shared" ref="O479" si="820">N479-P479-Q479</f>
        <v>0</v>
      </c>
      <c r="P479" s="156">
        <f>SUMIFS(операции!$R:$R,операции!$X:$X,"&gt;="&amp;N$8,операции!$X:$X,"&lt;="&amp;N$9,операции!$L:$L,P$9,операции!$P:$P,$F457)</f>
        <v>2</v>
      </c>
      <c r="Q479" s="245">
        <f>SUMIFS(операции!$R:$R,операции!$X:$X,"&gt;="&amp;N$8,операции!$X:$X,"&lt;="&amp;N$9,операции!$L:$L,Q$9,операции!$P:$P,$F457)</f>
        <v>0</v>
      </c>
      <c r="R479" s="403"/>
      <c r="S479" s="156">
        <f>SUMIFS(операции!$R:$R,операции!$X:$X,"&gt;="&amp;S$8,операции!$X:$X,"&lt;="&amp;S$9,операции!$P:$P,$F457)</f>
        <v>1</v>
      </c>
      <c r="T479" s="196">
        <f t="shared" ref="T479" si="821">S479-U479-V479</f>
        <v>0</v>
      </c>
      <c r="U479" s="156">
        <f>SUMIFS(операции!$R:$R,операции!$X:$X,"&gt;="&amp;S$8,операции!$X:$X,"&lt;="&amp;S$9,операции!$L:$L,U$9,операции!$P:$P,$F457)</f>
        <v>1</v>
      </c>
      <c r="V479" s="245">
        <f>SUMIFS(операции!$R:$R,операции!$X:$X,"&gt;="&amp;S$8,операции!$X:$X,"&lt;="&amp;S$9,операции!$L:$L,V$9,операции!$P:$P,$F457)</f>
        <v>0</v>
      </c>
      <c r="W479" s="403"/>
      <c r="X479" s="156">
        <f>SUMIFS(операции!$R:$R,операции!$X:$X,"&gt;="&amp;X$8,операции!$X:$X,"&lt;="&amp;X$9,операции!$P:$P,$F457)</f>
        <v>0</v>
      </c>
      <c r="Y479" s="196">
        <f t="shared" ref="Y479" si="822">X479-Z479-AA479</f>
        <v>0</v>
      </c>
      <c r="Z479" s="156">
        <f>SUMIFS(операции!$R:$R,операции!$X:$X,"&gt;="&amp;X$8,операции!$X:$X,"&lt;="&amp;X$9,операции!$L:$L,Z$9,операции!$P:$P,$F457)</f>
        <v>0</v>
      </c>
      <c r="AA479" s="245">
        <f>SUMIFS(операции!$R:$R,операции!$X:$X,"&gt;="&amp;X$8,операции!$X:$X,"&lt;="&amp;X$9,операции!$L:$L,AA$9,операции!$P:$P,$F457)</f>
        <v>0</v>
      </c>
      <c r="AB479" s="265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</row>
    <row r="480" spans="1:42" s="192" customFormat="1" ht="11.25">
      <c r="A480" s="37"/>
      <c r="B480" s="37"/>
      <c r="C480" s="37"/>
      <c r="D480" s="191" t="s">
        <v>333</v>
      </c>
      <c r="E480" s="191"/>
      <c r="F480" s="191" t="str">
        <f t="shared" si="780"/>
        <v>Авто</v>
      </c>
      <c r="G480" s="191" t="s">
        <v>261</v>
      </c>
      <c r="H480" s="315"/>
      <c r="I480" s="329">
        <f>IF(I479=0,0,I477/I479)</f>
        <v>3230</v>
      </c>
      <c r="J480" s="317"/>
      <c r="K480" s="329">
        <f t="shared" ref="K480" si="823">IF(K479=0,0,K477/K479)</f>
        <v>3230</v>
      </c>
      <c r="L480" s="330">
        <f t="shared" ref="L480" si="824">IF(L479=0,0,L477/L479)</f>
        <v>0</v>
      </c>
      <c r="M480" s="402"/>
      <c r="N480" s="156">
        <f>IF(N479=0,0,N477/N479)</f>
        <v>3230</v>
      </c>
      <c r="O480" s="196"/>
      <c r="P480" s="156">
        <f>IF(P479=0,0,P477/P479)</f>
        <v>3230</v>
      </c>
      <c r="Q480" s="245">
        <f>IF(Q479=0,0,Q477/Q479)</f>
        <v>0</v>
      </c>
      <c r="R480" s="403"/>
      <c r="S480" s="156">
        <f>IF(S479=0,0,S477/S479)</f>
        <v>3230</v>
      </c>
      <c r="T480" s="196"/>
      <c r="U480" s="156">
        <f>IF(U479=0,0,U477/U479)</f>
        <v>3230</v>
      </c>
      <c r="V480" s="245">
        <f>IF(V479=0,0,V477/V479)</f>
        <v>0</v>
      </c>
      <c r="W480" s="403"/>
      <c r="X480" s="156">
        <f>IF(X479=0,0,X477/X479)</f>
        <v>0</v>
      </c>
      <c r="Y480" s="196"/>
      <c r="Z480" s="156">
        <f>IF(Z479=0,0,Z477/Z479)</f>
        <v>0</v>
      </c>
      <c r="AA480" s="245">
        <f>IF(AA479=0,0,AA477/AA479)</f>
        <v>0</v>
      </c>
      <c r="AB480" s="265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</row>
    <row r="481" spans="1:42" s="192" customFormat="1" ht="11.25">
      <c r="A481" s="37"/>
      <c r="B481" s="37"/>
      <c r="C481" s="37"/>
      <c r="D481" s="191" t="s">
        <v>290</v>
      </c>
      <c r="E481" s="191"/>
      <c r="F481" s="191" t="str">
        <f>F477</f>
        <v>Авто</v>
      </c>
      <c r="G481" s="191" t="s">
        <v>262</v>
      </c>
      <c r="H481" s="315"/>
      <c r="I481" s="316">
        <f>IF(I477=0,0,SUMIFS(операции!$AG:$AG,операции!$X:$X,"&gt;="&amp;I$8,операции!$X:$X,"&lt;="&amp;I$9,операции!$P:$P,$F457)/I477)</f>
        <v>42308.333333333336</v>
      </c>
      <c r="J481" s="317"/>
      <c r="K481" s="316">
        <f>IF(K477=0,0,SUMIFS(операции!$AG:$AG,операции!$X:$X,"&gt;="&amp;I$8,операции!$X:$X,"&lt;="&amp;I$9,операции!$L:$L,K$9,операции!$P:$P,$F457)/K477)</f>
        <v>42308.333333333336</v>
      </c>
      <c r="L481" s="318">
        <f>IF(L477=0,0,SUMIFS(операции!$AG:$AG,операции!$X:$X,"&gt;="&amp;I$8,операции!$X:$X,"&lt;="&amp;I$9,операции!$L:$L,L$9,операции!$P:$P,$F457)/L477)</f>
        <v>0</v>
      </c>
      <c r="M481" s="274"/>
      <c r="N481" s="193">
        <f>IF(N477=0,0,SUMIFS(операции!$AG:$AG,операции!$X:$X,"&gt;="&amp;N$8,операции!$X:$X,"&lt;="&amp;N$9,операции!$P:$P,$F457)/N477)</f>
        <v>42298</v>
      </c>
      <c r="O481" s="196"/>
      <c r="P481" s="193">
        <f>IF(P477=0,0,SUMIFS(операции!$AG:$AG,операции!$X:$X,"&gt;="&amp;N$8,операции!$X:$X,"&lt;="&amp;N$9,операции!$L:$L,P$9,операции!$P:$P,$F457)/P477)</f>
        <v>42298</v>
      </c>
      <c r="Q481" s="237">
        <f>IF(Q477=0,0,SUMIFS(операции!$AG:$AG,операции!$X:$X,"&gt;="&amp;N$8,операции!$X:$X,"&lt;="&amp;N$9,операции!$L:$L,Q$9,операции!$P:$P,$F457)/Q477)</f>
        <v>0</v>
      </c>
      <c r="R481" s="238"/>
      <c r="S481" s="193">
        <f>IF(S477=0,0,SUMIFS(операции!$AG:$AG,операции!$X:$X,"&gt;="&amp;S$8,операции!$X:$X,"&lt;="&amp;S$9,операции!$P:$P,$F457)/S477)</f>
        <v>42329</v>
      </c>
      <c r="T481" s="196"/>
      <c r="U481" s="193">
        <f>IF(U477=0,0,SUMIFS(операции!$AG:$AG,операции!$X:$X,"&gt;="&amp;S$8,операции!$X:$X,"&lt;="&amp;S$9,операции!$L:$L,U$9,операции!$P:$P,$F457)/U477)</f>
        <v>42329</v>
      </c>
      <c r="V481" s="237">
        <f>IF(V477=0,0,SUMIFS(операции!$AG:$AG,операции!$X:$X,"&gt;="&amp;S$8,операции!$X:$X,"&lt;="&amp;S$9,операции!$L:$L,V$9,операции!$P:$P,$F457)/V477)</f>
        <v>0</v>
      </c>
      <c r="W481" s="238"/>
      <c r="X481" s="193">
        <f>IF(X477=0,0,SUMIFS(операции!$AG:$AG,операции!$X:$X,"&gt;="&amp;X$8,операции!$X:$X,"&lt;="&amp;X$9,операции!$P:$P,$F457)/X477)</f>
        <v>0</v>
      </c>
      <c r="Y481" s="196"/>
      <c r="Z481" s="193">
        <f>IF(Z477=0,0,SUMIFS(операции!$AG:$AG,операции!$X:$X,"&gt;="&amp;X$8,операции!$X:$X,"&lt;="&amp;X$9,операции!$L:$L,Z$9,операции!$P:$P,$F457)/Z477)</f>
        <v>0</v>
      </c>
      <c r="AA481" s="237">
        <f>IF(AA477=0,0,SUMIFS(операции!$AG:$AG,операции!$X:$X,"&gt;="&amp;X$8,операции!$X:$X,"&lt;="&amp;X$9,операции!$L:$L,AA$9,операции!$P:$P,$F457)/AA477)</f>
        <v>0</v>
      </c>
      <c r="AB481" s="265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</row>
    <row r="482" spans="1:42" s="93" customFormat="1" ht="15">
      <c r="A482" s="92"/>
      <c r="B482" s="92"/>
      <c r="C482" s="92"/>
      <c r="D482" s="151" t="s">
        <v>275</v>
      </c>
      <c r="E482" s="151"/>
      <c r="F482" s="151" t="str">
        <f t="shared" si="780"/>
        <v>Авто</v>
      </c>
      <c r="G482" s="151" t="s">
        <v>261</v>
      </c>
      <c r="H482" s="311"/>
      <c r="I482" s="312">
        <f>SUMIFS(операции!$V:$V,операции!$X:$X,"&gt;="&amp;I$8,операции!$X:$X,"&lt;="&amp;I$9,операции!$P:$P,$F457)</f>
        <v>15300</v>
      </c>
      <c r="J482" s="313">
        <f>I482-I492-I502</f>
        <v>0</v>
      </c>
      <c r="K482" s="312">
        <f>SUMIFS(операции!$V:$V,операции!$X:$X,"&gt;="&amp;I$8,операции!$X:$X,"&lt;="&amp;I$9,операции!$L:$L,K$9,операции!$P:$P,$F457)</f>
        <v>15300</v>
      </c>
      <c r="L482" s="314">
        <f>SUMIFS(операции!$V:$V,операции!$X:$X,"&gt;="&amp;I$8,операции!$X:$X,"&lt;="&amp;I$9,операции!$L:$L,L$9,операции!$P:$P,$F457)</f>
        <v>0</v>
      </c>
      <c r="M482" s="273"/>
      <c r="N482" s="152">
        <f>SUMIFS(операции!$V:$V,операции!$X:$X,"&gt;="&amp;N$8,операции!$X:$X,"&lt;="&amp;N$9,операции!$P:$P,$F457)</f>
        <v>10200</v>
      </c>
      <c r="O482" s="170">
        <f>N482-N492-N502</f>
        <v>0</v>
      </c>
      <c r="P482" s="152">
        <f>SUMIFS(операции!$V:$V,операции!$X:$X,"&gt;="&amp;N$8,операции!$X:$X,"&lt;="&amp;N$9,операции!$L:$L,P$9,операции!$P:$P,$F457)</f>
        <v>10200</v>
      </c>
      <c r="Q482" s="235">
        <f>SUMIFS(операции!$V:$V,операции!$X:$X,"&gt;="&amp;N$8,операции!$X:$X,"&lt;="&amp;N$9,операции!$L:$L,Q$9,операции!$P:$P,$F457)</f>
        <v>0</v>
      </c>
      <c r="R482" s="236"/>
      <c r="S482" s="152">
        <f>SUMIFS(операции!$V:$V,операции!$X:$X,"&gt;="&amp;S$8,операции!$X:$X,"&lt;="&amp;S$9,операции!$P:$P,$F457)</f>
        <v>5100</v>
      </c>
      <c r="T482" s="170">
        <f>S482-S492-S502</f>
        <v>0</v>
      </c>
      <c r="U482" s="152">
        <f>SUMIFS(операции!$V:$V,операции!$X:$X,"&gt;="&amp;S$8,операции!$X:$X,"&lt;="&amp;S$9,операции!$L:$L,U$9,операции!$P:$P,$F457)</f>
        <v>5100</v>
      </c>
      <c r="V482" s="235">
        <f>SUMIFS(операции!$V:$V,операции!$X:$X,"&gt;="&amp;S$8,операции!$X:$X,"&lt;="&amp;S$9,операции!$L:$L,V$9,операции!$P:$P,$F457)</f>
        <v>0</v>
      </c>
      <c r="W482" s="236"/>
      <c r="X482" s="152">
        <f>SUMIFS(операции!$V:$V,операции!$X:$X,"&gt;="&amp;X$8,операции!$X:$X,"&lt;="&amp;X$9,операции!$P:$P,$F457)</f>
        <v>0</v>
      </c>
      <c r="Y482" s="170">
        <f>X482-X492-X502</f>
        <v>0</v>
      </c>
      <c r="Z482" s="152">
        <f>SUMIFS(операции!$V:$V,операции!$X:$X,"&gt;="&amp;X$8,операции!$X:$X,"&lt;="&amp;X$9,операции!$L:$L,Z$9,операции!$P:$P,$F457)</f>
        <v>0</v>
      </c>
      <c r="AA482" s="235">
        <f>SUMIFS(операции!$V:$V,операции!$X:$X,"&gt;="&amp;X$8,операции!$X:$X,"&lt;="&amp;X$9,операции!$L:$L,AA$9,операции!$P:$P,$F457)</f>
        <v>0</v>
      </c>
      <c r="AB482" s="264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</row>
    <row r="483" spans="1:42" s="192" customFormat="1" ht="11.25">
      <c r="A483" s="37"/>
      <c r="B483" s="37"/>
      <c r="C483" s="37"/>
      <c r="D483" s="191" t="s">
        <v>291</v>
      </c>
      <c r="E483" s="191"/>
      <c r="F483" s="191" t="str">
        <f t="shared" si="780"/>
        <v>Авто</v>
      </c>
      <c r="G483" s="191" t="s">
        <v>262</v>
      </c>
      <c r="H483" s="315"/>
      <c r="I483" s="316">
        <f>IF(I482=0,0,SUMIFS(операции!$AF:$AF,операции!$X:$X,"&gt;="&amp;I$8,операции!$X:$X,"&lt;="&amp;I$9,операции!$P:$P,$F457)/I482)</f>
        <v>42147.333333333336</v>
      </c>
      <c r="J483" s="317"/>
      <c r="K483" s="316">
        <f>IF(K482=0,0,SUMIFS(операции!$AF:$AF,операции!$X:$X,"&gt;="&amp;I$8,операции!$X:$X,"&lt;="&amp;I$9,операции!$L:$L,K$9,операции!$P:$P,$F457)/K482)</f>
        <v>42147.333333333336</v>
      </c>
      <c r="L483" s="318">
        <f>IF(L482=0,0,SUMIFS(операции!$AF:$AF,операции!$X:$X,"&gt;="&amp;I$8,операции!$X:$X,"&lt;="&amp;I$9,операции!$L:$L,L$9,операции!$P:$P,$F457)/L482)</f>
        <v>0</v>
      </c>
      <c r="M483" s="274"/>
      <c r="N483" s="193">
        <f>IF(N482=0,0,SUMIFS(операции!$AF:$AF,операции!$X:$X,"&gt;="&amp;N$8,операции!$X:$X,"&lt;="&amp;N$9,операции!$P:$P,$F457)/N482)</f>
        <v>42145.5</v>
      </c>
      <c r="O483" s="196"/>
      <c r="P483" s="193">
        <f>IF(P482=0,0,SUMIFS(операции!$AF:$AF,операции!$X:$X,"&gt;="&amp;N$8,операции!$X:$X,"&lt;="&amp;N$9,операции!$L:$L,P$9,операции!$P:$P,$F457)/P482)</f>
        <v>42145.5</v>
      </c>
      <c r="Q483" s="237">
        <f>IF(Q482=0,0,SUMIFS(операции!$AF:$AF,операции!$X:$X,"&gt;="&amp;N$8,операции!$X:$X,"&lt;="&amp;N$9,операции!$L:$L,Q$9,операции!$P:$P,$F457)/Q482)</f>
        <v>0</v>
      </c>
      <c r="R483" s="238"/>
      <c r="S483" s="193">
        <f>IF(S482=0,0,SUMIFS(операции!$AF:$AF,операции!$X:$X,"&gt;="&amp;S$8,операции!$X:$X,"&lt;="&amp;S$9,операции!$P:$P,$F457)/S482)</f>
        <v>42151</v>
      </c>
      <c r="T483" s="196"/>
      <c r="U483" s="193">
        <f>IF(U482=0,0,SUMIFS(операции!$AF:$AF,операции!$X:$X,"&gt;="&amp;S$8,операции!$X:$X,"&lt;="&amp;S$9,операции!$L:$L,U$9,операции!$P:$P,$F457)/U482)</f>
        <v>42151</v>
      </c>
      <c r="V483" s="237">
        <f>IF(V482=0,0,SUMIFS(операции!$AF:$AF,операции!$X:$X,"&gt;="&amp;S$8,операции!$X:$X,"&lt;="&amp;S$9,операции!$L:$L,V$9,операции!$P:$P,$F457)/V482)</f>
        <v>0</v>
      </c>
      <c r="W483" s="238"/>
      <c r="X483" s="193">
        <f>IF(X482=0,0,SUMIFS(операции!$AF:$AF,операции!$X:$X,"&gt;="&amp;X$8,операции!$X:$X,"&lt;="&amp;X$9,операции!$P:$P,$F457)/X482)</f>
        <v>0</v>
      </c>
      <c r="Y483" s="196"/>
      <c r="Z483" s="193">
        <f>IF(Z482=0,0,SUMIFS(операции!$AF:$AF,операции!$X:$X,"&gt;="&amp;X$8,операции!$X:$X,"&lt;="&amp;X$9,операции!$L:$L,Z$9,операции!$P:$P,$F457)/Z482)</f>
        <v>0</v>
      </c>
      <c r="AA483" s="237">
        <f>IF(AA482=0,0,SUMIFS(операции!$AF:$AF,операции!$X:$X,"&gt;="&amp;X$8,операции!$X:$X,"&lt;="&amp;X$9,операции!$L:$L,AA$9,операции!$P:$P,$F457)/AA482)</f>
        <v>0</v>
      </c>
      <c r="AB483" s="265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</row>
    <row r="484" spans="1:42" s="192" customFormat="1" ht="11.25">
      <c r="A484" s="37"/>
      <c r="B484" s="37"/>
      <c r="C484" s="37"/>
      <c r="D484" s="191" t="s">
        <v>308</v>
      </c>
      <c r="E484" s="191"/>
      <c r="F484" s="191" t="str">
        <f t="shared" si="780"/>
        <v>Авто</v>
      </c>
      <c r="G484" s="191" t="s">
        <v>262</v>
      </c>
      <c r="H484" s="315"/>
      <c r="I484" s="316">
        <f>IF(I482=0,0,(I492*I494+I502*I504)/I482)</f>
        <v>42174</v>
      </c>
      <c r="J484" s="317"/>
      <c r="K484" s="316">
        <f t="shared" ref="K484:L484" si="825">IF(K482=0,0,(K492*K494+K502*K504)/K482)</f>
        <v>42174</v>
      </c>
      <c r="L484" s="318">
        <f t="shared" si="825"/>
        <v>0</v>
      </c>
      <c r="M484" s="274"/>
      <c r="N484" s="193">
        <f>IF(N482=0,0,(N492*N494+N502*N504)/N482)</f>
        <v>42170.5</v>
      </c>
      <c r="O484" s="196"/>
      <c r="P484" s="193">
        <f t="shared" ref="P484:Q484" si="826">IF(P482=0,0,(P492*P494+P502*P504)/P482)</f>
        <v>42170.5</v>
      </c>
      <c r="Q484" s="237">
        <f t="shared" si="826"/>
        <v>0</v>
      </c>
      <c r="R484" s="238"/>
      <c r="S484" s="193">
        <f>IF(S482=0,0,(S492*S494+S502*S504)/S482)</f>
        <v>42181</v>
      </c>
      <c r="T484" s="196"/>
      <c r="U484" s="193">
        <f t="shared" ref="U484:V484" si="827">IF(U482=0,0,(U492*U494+U502*U504)/U482)</f>
        <v>42181</v>
      </c>
      <c r="V484" s="237">
        <f t="shared" si="827"/>
        <v>0</v>
      </c>
      <c r="W484" s="238"/>
      <c r="X484" s="193">
        <f>IF(X482=0,0,(X492*X494+X502*X504)/X482)</f>
        <v>0</v>
      </c>
      <c r="Y484" s="196"/>
      <c r="Z484" s="193">
        <f t="shared" ref="Z484:AA484" si="828">IF(Z482=0,0,(Z492*Z494+Z502*Z504)/Z482)</f>
        <v>0</v>
      </c>
      <c r="AA484" s="237">
        <f t="shared" si="828"/>
        <v>0</v>
      </c>
      <c r="AB484" s="265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</row>
    <row r="485" spans="1:42" s="93" customFormat="1" ht="15">
      <c r="A485" s="92"/>
      <c r="B485" s="92"/>
      <c r="C485" s="92"/>
      <c r="D485" s="151" t="s">
        <v>278</v>
      </c>
      <c r="E485" s="151"/>
      <c r="F485" s="151" t="str">
        <f t="shared" si="780"/>
        <v>Авто</v>
      </c>
      <c r="G485" s="151" t="s">
        <v>261</v>
      </c>
      <c r="H485" s="311"/>
      <c r="I485" s="312">
        <f>I477-I482</f>
        <v>-5610</v>
      </c>
      <c r="J485" s="313">
        <f>I485-K485-L485</f>
        <v>0</v>
      </c>
      <c r="K485" s="312">
        <f t="shared" ref="K485:L485" si="829">K477-K482</f>
        <v>-5610</v>
      </c>
      <c r="L485" s="314">
        <f t="shared" si="829"/>
        <v>0</v>
      </c>
      <c r="M485" s="273"/>
      <c r="N485" s="152">
        <f>N477-N482</f>
        <v>-3740</v>
      </c>
      <c r="O485" s="170">
        <f>N485-P485-Q485</f>
        <v>0</v>
      </c>
      <c r="P485" s="152">
        <f t="shared" ref="P485:Q485" si="830">P477-P482</f>
        <v>-3740</v>
      </c>
      <c r="Q485" s="235">
        <f t="shared" si="830"/>
        <v>0</v>
      </c>
      <c r="R485" s="236"/>
      <c r="S485" s="152">
        <f>S477-S482</f>
        <v>-1870</v>
      </c>
      <c r="T485" s="170">
        <f>S485-U485-V485</f>
        <v>0</v>
      </c>
      <c r="U485" s="152">
        <f t="shared" ref="U485:V485" si="831">U477-U482</f>
        <v>-1870</v>
      </c>
      <c r="V485" s="235">
        <f t="shared" si="831"/>
        <v>0</v>
      </c>
      <c r="W485" s="236"/>
      <c r="X485" s="152">
        <f>X477-X482</f>
        <v>0</v>
      </c>
      <c r="Y485" s="170">
        <f>X485-Z485-AA485</f>
        <v>0</v>
      </c>
      <c r="Z485" s="152">
        <f t="shared" ref="Z485:AA485" si="832">Z477-Z482</f>
        <v>0</v>
      </c>
      <c r="AA485" s="235">
        <f t="shared" si="832"/>
        <v>0</v>
      </c>
      <c r="AB485" s="264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</row>
    <row r="486" spans="1:42" s="211" customFormat="1">
      <c r="A486" s="210"/>
      <c r="B486" s="210"/>
      <c r="C486" s="210"/>
      <c r="D486" s="218" t="s">
        <v>277</v>
      </c>
      <c r="E486" s="218"/>
      <c r="F486" s="218" t="str">
        <f t="shared" si="780"/>
        <v>Авто</v>
      </c>
      <c r="G486" s="218" t="s">
        <v>218</v>
      </c>
      <c r="H486" s="343"/>
      <c r="I486" s="344">
        <f>IF(I477=0,0,(I485/I477))</f>
        <v>-0.57894736842105265</v>
      </c>
      <c r="J486" s="345"/>
      <c r="K486" s="344">
        <f t="shared" ref="K486" si="833">IF(K477=0,0,(K485/K477))</f>
        <v>-0.57894736842105265</v>
      </c>
      <c r="L486" s="346">
        <f t="shared" ref="L486" si="834">IF(L477=0,0,(L485/L477))</f>
        <v>0</v>
      </c>
      <c r="M486" s="280"/>
      <c r="N486" s="219">
        <f>IF(N477=0,0,(N485/N477))</f>
        <v>-0.57894736842105265</v>
      </c>
      <c r="O486" s="220"/>
      <c r="P486" s="219">
        <f t="shared" ref="P486" si="835">IF(P477=0,0,(P485/P477))</f>
        <v>-0.57894736842105265</v>
      </c>
      <c r="Q486" s="252">
        <f t="shared" ref="Q486" si="836">IF(Q477=0,0,(Q485/Q477))</f>
        <v>0</v>
      </c>
      <c r="R486" s="253"/>
      <c r="S486" s="219">
        <f>IF(S477=0,0,(S485/S477))</f>
        <v>-0.57894736842105265</v>
      </c>
      <c r="T486" s="220"/>
      <c r="U486" s="219">
        <f t="shared" ref="U486" si="837">IF(U477=0,0,(U485/U477))</f>
        <v>-0.57894736842105265</v>
      </c>
      <c r="V486" s="252">
        <f t="shared" ref="V486" si="838">IF(V477=0,0,(V485/V477))</f>
        <v>0</v>
      </c>
      <c r="W486" s="253"/>
      <c r="X486" s="219">
        <f>IF(X477=0,0,(X485/X477))</f>
        <v>0</v>
      </c>
      <c r="Y486" s="220"/>
      <c r="Z486" s="219">
        <f t="shared" ref="Z486" si="839">IF(Z477=0,0,(Z485/Z477))</f>
        <v>0</v>
      </c>
      <c r="AA486" s="252">
        <f t="shared" ref="AA486" si="840">IF(AA477=0,0,(AA485/AA477))</f>
        <v>0</v>
      </c>
      <c r="AB486" s="267"/>
      <c r="AC486" s="210"/>
      <c r="AD486" s="210"/>
      <c r="AE486" s="210"/>
      <c r="AF486" s="210"/>
      <c r="AG486" s="210"/>
      <c r="AH486" s="210"/>
      <c r="AI486" s="210"/>
      <c r="AJ486" s="210"/>
      <c r="AK486" s="210"/>
      <c r="AL486" s="210"/>
      <c r="AM486" s="210"/>
      <c r="AN486" s="210"/>
      <c r="AO486" s="210"/>
      <c r="AP486" s="210"/>
    </row>
    <row r="487" spans="1:42" s="93" customFormat="1" ht="15">
      <c r="A487" s="92"/>
      <c r="B487" s="92"/>
      <c r="C487" s="92"/>
      <c r="D487" s="198" t="s">
        <v>220</v>
      </c>
      <c r="E487" s="198"/>
      <c r="F487" s="198" t="str">
        <f t="shared" si="780"/>
        <v>Авто</v>
      </c>
      <c r="G487" s="198" t="s">
        <v>219</v>
      </c>
      <c r="H487" s="323"/>
      <c r="I487" s="324">
        <f>I481-I483</f>
        <v>161</v>
      </c>
      <c r="J487" s="321">
        <f>I487-SUMIFS(ПОбТЗ!$I:$I,ПОбТЗ!$E:$E,$D487,ПОбТЗ!$F:$F,$F487)</f>
        <v>0</v>
      </c>
      <c r="K487" s="324">
        <f t="shared" ref="K487:L487" si="841">K481-K483</f>
        <v>161</v>
      </c>
      <c r="L487" s="325">
        <f t="shared" si="841"/>
        <v>0</v>
      </c>
      <c r="M487" s="276"/>
      <c r="N487" s="199">
        <f>N481-N483</f>
        <v>152.5</v>
      </c>
      <c r="O487" s="173">
        <f>N487-SUMIFS(ПОбТЗ_2!$J:$J,ПОбТЗ_2!$D:$D,$D487,ПОбТЗ_2!$E:$E,$F487)</f>
        <v>0</v>
      </c>
      <c r="P487" s="199">
        <f t="shared" ref="P487:Q487" si="842">P481-P483</f>
        <v>152.5</v>
      </c>
      <c r="Q487" s="241">
        <f t="shared" si="842"/>
        <v>0</v>
      </c>
      <c r="R487" s="242"/>
      <c r="S487" s="199">
        <f>S481-S483</f>
        <v>178</v>
      </c>
      <c r="T487" s="173">
        <f>S487-SUMIFS(ПОбТЗ_2!$K:$K,ПОбТЗ_2!$D:$D,$D487,ПОбТЗ_2!$E:$E,$F487)</f>
        <v>0</v>
      </c>
      <c r="U487" s="199">
        <f t="shared" ref="U487:V487" si="843">U481-U483</f>
        <v>178</v>
      </c>
      <c r="V487" s="241">
        <f t="shared" si="843"/>
        <v>0</v>
      </c>
      <c r="W487" s="242"/>
      <c r="X487" s="199">
        <f>X481-X483</f>
        <v>0</v>
      </c>
      <c r="Y487" s="173">
        <f>X487-SUMIFS(ПОбТЗ_2!$L:$L,ПОбТЗ_2!$D:$D,$D487,ПОбТЗ_2!$E:$E,$F487)</f>
        <v>0</v>
      </c>
      <c r="Z487" s="199">
        <f t="shared" ref="Z487:AA487" si="844">Z481-Z483</f>
        <v>0</v>
      </c>
      <c r="AA487" s="241">
        <f t="shared" si="844"/>
        <v>0</v>
      </c>
      <c r="AB487" s="264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</row>
    <row r="488" spans="1:42" s="5" customFormat="1">
      <c r="A488" s="1"/>
      <c r="B488" s="1"/>
      <c r="C488" s="1"/>
      <c r="D488" s="227" t="s">
        <v>309</v>
      </c>
      <c r="E488" s="227"/>
      <c r="F488" s="227" t="str">
        <f t="shared" si="780"/>
        <v>Авто</v>
      </c>
      <c r="G488" s="227" t="s">
        <v>219</v>
      </c>
      <c r="H488" s="347"/>
      <c r="I488" s="348">
        <f>I484-I483</f>
        <v>26.666666666664241</v>
      </c>
      <c r="J488" s="321"/>
      <c r="K488" s="348">
        <f t="shared" ref="K488:L488" si="845">K484-K483</f>
        <v>26.666666666664241</v>
      </c>
      <c r="L488" s="349">
        <f t="shared" si="845"/>
        <v>0</v>
      </c>
      <c r="M488" s="281"/>
      <c r="N488" s="228">
        <f>N484-N483</f>
        <v>25</v>
      </c>
      <c r="O488" s="173"/>
      <c r="P488" s="228">
        <f t="shared" ref="P488:Q488" si="846">P484-P483</f>
        <v>25</v>
      </c>
      <c r="Q488" s="254">
        <f t="shared" si="846"/>
        <v>0</v>
      </c>
      <c r="R488" s="255"/>
      <c r="S488" s="228">
        <f>S484-S483</f>
        <v>30</v>
      </c>
      <c r="T488" s="173"/>
      <c r="U488" s="228">
        <f t="shared" ref="U488:V488" si="847">U484-U483</f>
        <v>30</v>
      </c>
      <c r="V488" s="254">
        <f t="shared" si="847"/>
        <v>0</v>
      </c>
      <c r="W488" s="255"/>
      <c r="X488" s="228">
        <f>X484-X483</f>
        <v>0</v>
      </c>
      <c r="Y488" s="173"/>
      <c r="Z488" s="228">
        <f t="shared" ref="Z488:AA488" si="848">Z484-Z483</f>
        <v>0</v>
      </c>
      <c r="AA488" s="254">
        <f t="shared" si="848"/>
        <v>0</v>
      </c>
      <c r="AB488" s="266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s="5" customFormat="1">
      <c r="A489" s="1"/>
      <c r="B489" s="1"/>
      <c r="C489" s="1"/>
      <c r="D489" s="225" t="s">
        <v>310</v>
      </c>
      <c r="E489" s="225"/>
      <c r="F489" s="225" t="str">
        <f t="shared" si="780"/>
        <v>Авто</v>
      </c>
      <c r="G489" s="225" t="s">
        <v>219</v>
      </c>
      <c r="H489" s="350"/>
      <c r="I489" s="351">
        <f>I487-I488</f>
        <v>134.33333333333576</v>
      </c>
      <c r="J489" s="352"/>
      <c r="K489" s="351">
        <f t="shared" ref="K489" si="849">K487-K488</f>
        <v>134.33333333333576</v>
      </c>
      <c r="L489" s="353">
        <f t="shared" ref="L489" si="850">L487-L488</f>
        <v>0</v>
      </c>
      <c r="M489" s="282"/>
      <c r="N489" s="226">
        <f>N487-N488</f>
        <v>127.5</v>
      </c>
      <c r="O489" s="181"/>
      <c r="P489" s="226">
        <f t="shared" ref="P489" si="851">P487-P488</f>
        <v>127.5</v>
      </c>
      <c r="Q489" s="256">
        <f t="shared" ref="Q489" si="852">Q487-Q488</f>
        <v>0</v>
      </c>
      <c r="R489" s="257"/>
      <c r="S489" s="226">
        <f>S487-S488</f>
        <v>148</v>
      </c>
      <c r="T489" s="181"/>
      <c r="U489" s="226">
        <f t="shared" ref="U489" si="853">U487-U488</f>
        <v>148</v>
      </c>
      <c r="V489" s="256">
        <f t="shared" ref="V489" si="854">V487-V488</f>
        <v>0</v>
      </c>
      <c r="W489" s="257"/>
      <c r="X489" s="226">
        <f>X487-X488</f>
        <v>0</v>
      </c>
      <c r="Y489" s="181"/>
      <c r="Z489" s="226">
        <f t="shared" ref="Z489" si="855">Z487-Z488</f>
        <v>0</v>
      </c>
      <c r="AA489" s="256">
        <f t="shared" ref="AA489" si="856">AA487-AA488</f>
        <v>0</v>
      </c>
      <c r="AB489" s="266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s="5" customFormat="1">
      <c r="A490" s="1"/>
      <c r="B490" s="1"/>
      <c r="C490" s="1"/>
      <c r="D490" s="223"/>
      <c r="E490" s="223" t="s">
        <v>293</v>
      </c>
      <c r="F490" s="223" t="str">
        <f t="shared" si="780"/>
        <v>Авто</v>
      </c>
      <c r="G490" s="223" t="s">
        <v>261</v>
      </c>
      <c r="H490" s="354"/>
      <c r="I490" s="355">
        <f>SUMIFS(операции!$Z:$Z,операции!$X:$X,"&gt;="&amp;I$8,операции!$X:$X,"&lt;="&amp;I$9,операции!$AB:$AB,"&lt;&gt;"&amp;"",операции!$P:$P,$F457)</f>
        <v>9690</v>
      </c>
      <c r="J490" s="341">
        <f>I490-K490-L490</f>
        <v>0</v>
      </c>
      <c r="K490" s="355">
        <f>SUMIFS(операции!$Z:$Z,операции!$X:$X,"&gt;="&amp;I$8,операции!$X:$X,"&lt;="&amp;I$9,операции!$AB:$AB,"&lt;&gt;"&amp;"",операции!$L:$L,K$9,операции!$P:$P,$F457)</f>
        <v>9690</v>
      </c>
      <c r="L490" s="356">
        <f>SUMIFS(операции!$Z:$Z,операции!$X:$X,"&gt;="&amp;I$8,операции!$X:$X,"&lt;="&amp;I$9,операции!$AB:$AB,"&lt;&gt;"&amp;"",операции!$L:$L,L$9,операции!$P:$P,$F457)</f>
        <v>0</v>
      </c>
      <c r="M490" s="283"/>
      <c r="N490" s="224">
        <f>SUMIFS(операции!$Z:$Z,операции!$X:$X,"&gt;="&amp;N$8,операции!$X:$X,"&lt;="&amp;N$9,операции!$AB:$AB,"&lt;&gt;"&amp;"",операции!$P:$P,$F457)</f>
        <v>6460</v>
      </c>
      <c r="O490" s="216">
        <f>N490-P490-Q490</f>
        <v>0</v>
      </c>
      <c r="P490" s="224">
        <f>SUMIFS(операции!$Z:$Z,операции!$X:$X,"&gt;="&amp;N$8,операции!$X:$X,"&lt;="&amp;N$9,операции!$AB:$AB,"&lt;&gt;"&amp;"",операции!$L:$L,P$9,операции!$P:$P,$F457)</f>
        <v>6460</v>
      </c>
      <c r="Q490" s="258">
        <f>SUMIFS(операции!$Z:$Z,операции!$X:$X,"&gt;="&amp;N$8,операции!$X:$X,"&lt;="&amp;N$9,операции!$AB:$AB,"&lt;&gt;"&amp;"",операции!$L:$L,Q$9,операции!$P:$P,$F457)</f>
        <v>0</v>
      </c>
      <c r="R490" s="259"/>
      <c r="S490" s="224">
        <f>SUMIFS(операции!$Z:$Z,операции!$X:$X,"&gt;="&amp;S$8,операции!$X:$X,"&lt;="&amp;S$9,операции!$AB:$AB,"&lt;&gt;"&amp;"",операции!$P:$P,$F457)</f>
        <v>3230</v>
      </c>
      <c r="T490" s="216">
        <f>S490-U490-V490</f>
        <v>0</v>
      </c>
      <c r="U490" s="224">
        <f>SUMIFS(операции!$Z:$Z,операции!$X:$X,"&gt;="&amp;S$8,операции!$X:$X,"&lt;="&amp;S$9,операции!$AB:$AB,"&lt;&gt;"&amp;"",операции!$L:$L,U$9,операции!$P:$P,$F457)</f>
        <v>3230</v>
      </c>
      <c r="V490" s="258">
        <f>SUMIFS(операции!$Z:$Z,операции!$X:$X,"&gt;="&amp;S$8,операции!$X:$X,"&lt;="&amp;S$9,операции!$AB:$AB,"&lt;&gt;"&amp;"",операции!$L:$L,V$9,операции!$P:$P,$F457)</f>
        <v>0</v>
      </c>
      <c r="W490" s="259"/>
      <c r="X490" s="224">
        <f>SUMIFS(операции!$Z:$Z,операции!$X:$X,"&gt;="&amp;X$8,операции!$X:$X,"&lt;="&amp;X$9,операции!$AB:$AB,"&lt;&gt;"&amp;"",операции!$P:$P,$F457)</f>
        <v>0</v>
      </c>
      <c r="Y490" s="216">
        <f>X490-Z490-AA490</f>
        <v>0</v>
      </c>
      <c r="Z490" s="224">
        <f>SUMIFS(операции!$Z:$Z,операции!$X:$X,"&gt;="&amp;X$8,операции!$X:$X,"&lt;="&amp;X$9,операции!$AB:$AB,"&lt;&gt;"&amp;"",операции!$L:$L,Z$9,операции!$P:$P,$F457)</f>
        <v>0</v>
      </c>
      <c r="AA490" s="258">
        <f>SUMIFS(операции!$Z:$Z,операции!$X:$X,"&gt;="&amp;X$8,операции!$X:$X,"&lt;="&amp;X$9,операции!$AB:$AB,"&lt;&gt;"&amp;"",операции!$L:$L,AA$9,операции!$P:$P,$F457)</f>
        <v>0</v>
      </c>
      <c r="AB490" s="266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s="192" customFormat="1" ht="11.25">
      <c r="A491" s="37"/>
      <c r="B491" s="37"/>
      <c r="C491" s="37"/>
      <c r="D491" s="191"/>
      <c r="E491" s="191" t="s">
        <v>295</v>
      </c>
      <c r="F491" s="191" t="str">
        <f t="shared" si="780"/>
        <v>Авто</v>
      </c>
      <c r="G491" s="191" t="s">
        <v>262</v>
      </c>
      <c r="H491" s="315"/>
      <c r="I491" s="316">
        <f>IF(I490=0,0,SUMIFS(операции!$AG:$AG,операции!$X:$X,"&gt;="&amp;I$8,операции!$X:$X,"&lt;="&amp;I$9,операции!$AB:$AB,"&lt;&gt;"&amp;"",операции!$P:$P,$F457)/I490)</f>
        <v>42308.333333333336</v>
      </c>
      <c r="J491" s="317"/>
      <c r="K491" s="316">
        <f>IF(K490=0,0,SUMIFS(операции!$AG:$AG,операции!$X:$X,"&gt;="&amp;I$8,операции!$X:$X,"&lt;="&amp;I$9,операции!$AB:$AB,"&lt;&gt;"&amp;"",операции!$L:$L,K$9,операции!$P:$P,$F457)/K490)</f>
        <v>42308.333333333336</v>
      </c>
      <c r="L491" s="318">
        <f>IF(L490=0,0,SUMIFS(операции!$AG:$AG,операции!$X:$X,"&gt;="&amp;I$8,операции!$X:$X,"&lt;="&amp;I$9,операции!$AB:$AB,"&lt;&gt;"&amp;"",операции!$L:$L,L$9,операции!$P:$P,$F457)/L490)</f>
        <v>0</v>
      </c>
      <c r="M491" s="274"/>
      <c r="N491" s="193">
        <f>IF(N490=0,0,SUMIFS(операции!$AG:$AG,операции!$X:$X,"&gt;="&amp;N$8,операции!$X:$X,"&lt;="&amp;N$9,операции!$AB:$AB,"&lt;&gt;"&amp;"",операции!$P:$P,$F457)/N490)</f>
        <v>42298</v>
      </c>
      <c r="O491" s="196"/>
      <c r="P491" s="193">
        <f>IF(P490=0,0,SUMIFS(операции!$AG:$AG,операции!$X:$X,"&gt;="&amp;N$8,операции!$X:$X,"&lt;="&amp;N$9,операции!$AB:$AB,"&lt;&gt;"&amp;"",операции!$L:$L,P$9,операции!$P:$P,$F457)/P490)</f>
        <v>42298</v>
      </c>
      <c r="Q491" s="237">
        <f>IF(Q490=0,0,SUMIFS(операции!$AG:$AG,операции!$X:$X,"&gt;="&amp;N$8,операции!$X:$X,"&lt;="&amp;N$9,операции!$AB:$AB,"&lt;&gt;"&amp;"",операции!$L:$L,Q$9,операции!$P:$P,$F457)/Q490)</f>
        <v>0</v>
      </c>
      <c r="R491" s="238"/>
      <c r="S491" s="193">
        <f>IF(S490=0,0,SUMIFS(операции!$AG:$AG,операции!$X:$X,"&gt;="&amp;S$8,операции!$X:$X,"&lt;="&amp;S$9,операции!$AB:$AB,"&lt;&gt;"&amp;"",операции!$P:$P,$F457)/S490)</f>
        <v>42329</v>
      </c>
      <c r="T491" s="196"/>
      <c r="U491" s="193">
        <f>IF(U490=0,0,SUMIFS(операции!$AG:$AG,операции!$X:$X,"&gt;="&amp;S$8,операции!$X:$X,"&lt;="&amp;S$9,операции!$AB:$AB,"&lt;&gt;"&amp;"",операции!$L:$L,U$9,операции!$P:$P,$F457)/U490)</f>
        <v>42329</v>
      </c>
      <c r="V491" s="237">
        <f>IF(V490=0,0,SUMIFS(операции!$AG:$AG,операции!$X:$X,"&gt;="&amp;S$8,операции!$X:$X,"&lt;="&amp;S$9,операции!$AB:$AB,"&lt;&gt;"&amp;"",операции!$L:$L,V$9,операции!$P:$P,$F457)/V490)</f>
        <v>0</v>
      </c>
      <c r="W491" s="238"/>
      <c r="X491" s="193">
        <f>IF(X490=0,0,SUMIFS(операции!$AG:$AG,операции!$X:$X,"&gt;="&amp;X$8,операции!$X:$X,"&lt;="&amp;X$9,операции!$AB:$AB,"&lt;&gt;"&amp;"",операции!$P:$P,$F457)/X490)</f>
        <v>0</v>
      </c>
      <c r="Y491" s="196"/>
      <c r="Z491" s="193">
        <f>IF(Z490=0,0,SUMIFS(операции!$AG:$AG,операции!$X:$X,"&gt;="&amp;X$8,операции!$X:$X,"&lt;="&amp;X$9,операции!$AB:$AB,"&lt;&gt;"&amp;"",операции!$L:$L,Z$9,операции!$P:$P,$F457)/Z490)</f>
        <v>0</v>
      </c>
      <c r="AA491" s="237">
        <f>IF(AA490=0,0,SUMIFS(операции!$AG:$AG,операции!$X:$X,"&gt;="&amp;X$8,операции!$X:$X,"&lt;="&amp;X$9,операции!$AB:$AB,"&lt;&gt;"&amp;"",операции!$L:$L,AA$9,операции!$P:$P,$F457)/AA490)</f>
        <v>0</v>
      </c>
      <c r="AB491" s="265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</row>
    <row r="492" spans="1:42" s="93" customFormat="1" ht="15">
      <c r="A492" s="92"/>
      <c r="B492" s="92"/>
      <c r="C492" s="92"/>
      <c r="D492" s="151"/>
      <c r="E492" s="151" t="s">
        <v>292</v>
      </c>
      <c r="F492" s="151" t="str">
        <f t="shared" si="780"/>
        <v>Авто</v>
      </c>
      <c r="G492" s="151" t="s">
        <v>261</v>
      </c>
      <c r="H492" s="311"/>
      <c r="I492" s="312">
        <f>SUMIFS(операции!$V:$V,операции!$X:$X,"&gt;="&amp;I$8,операции!$X:$X,"&lt;="&amp;I$9,операции!$AB:$AB,"&lt;&gt;"&amp;"",операции!$P:$P,$F457)</f>
        <v>15300</v>
      </c>
      <c r="J492" s="313">
        <f>I492-K492-L492</f>
        <v>0</v>
      </c>
      <c r="K492" s="312">
        <f>SUMIFS(операции!$V:$V,операции!$X:$X,"&gt;="&amp;I$8,операции!$X:$X,"&lt;="&amp;I$9,операции!$AB:$AB,"&lt;&gt;"&amp;"",операции!$L:$L,K$9,операции!$P:$P,$F457)</f>
        <v>15300</v>
      </c>
      <c r="L492" s="314">
        <f>SUMIFS(операции!$V:$V,операции!$X:$X,"&gt;="&amp;I$8,операции!$X:$X,"&lt;="&amp;I$9,операции!$AB:$AB,"&lt;&gt;"&amp;"",операции!$L:$L,L$9,операции!$P:$P,$F457)</f>
        <v>0</v>
      </c>
      <c r="M492" s="273"/>
      <c r="N492" s="152">
        <f>SUMIFS(операции!$V:$V,операции!$X:$X,"&gt;="&amp;N$8,операции!$X:$X,"&lt;="&amp;N$9,операции!$AB:$AB,"&lt;&gt;"&amp;"",операции!$P:$P,$F457)</f>
        <v>10200</v>
      </c>
      <c r="O492" s="170">
        <f>N492-P492-Q492</f>
        <v>0</v>
      </c>
      <c r="P492" s="152">
        <f>SUMIFS(операции!$V:$V,операции!$X:$X,"&gt;="&amp;N$8,операции!$X:$X,"&lt;="&amp;N$9,операции!$AB:$AB,"&lt;&gt;"&amp;"",операции!$L:$L,P$9,операции!$P:$P,$F457)</f>
        <v>10200</v>
      </c>
      <c r="Q492" s="235">
        <f>SUMIFS(операции!$V:$V,операции!$X:$X,"&gt;="&amp;N$8,операции!$X:$X,"&lt;="&amp;N$9,операции!$AB:$AB,"&lt;&gt;"&amp;"",операции!$L:$L,Q$9,операции!$P:$P,$F457)</f>
        <v>0</v>
      </c>
      <c r="R492" s="236"/>
      <c r="S492" s="152">
        <f>SUMIFS(операции!$V:$V,операции!$X:$X,"&gt;="&amp;S$8,операции!$X:$X,"&lt;="&amp;S$9,операции!$AB:$AB,"&lt;&gt;"&amp;"",операции!$P:$P,$F457)</f>
        <v>5100</v>
      </c>
      <c r="T492" s="170">
        <f>S492-U492-V492</f>
        <v>0</v>
      </c>
      <c r="U492" s="152">
        <f>SUMIFS(операции!$V:$V,операции!$X:$X,"&gt;="&amp;S$8,операции!$X:$X,"&lt;="&amp;S$9,операции!$AB:$AB,"&lt;&gt;"&amp;"",операции!$L:$L,U$9,операции!$P:$P,$F457)</f>
        <v>5100</v>
      </c>
      <c r="V492" s="235">
        <f>SUMIFS(операции!$V:$V,операции!$X:$X,"&gt;="&amp;S$8,операции!$X:$X,"&lt;="&amp;S$9,операции!$AB:$AB,"&lt;&gt;"&amp;"",операции!$L:$L,V$9,операции!$P:$P,$F457)</f>
        <v>0</v>
      </c>
      <c r="W492" s="236"/>
      <c r="X492" s="152">
        <f>SUMIFS(операции!$V:$V,операции!$X:$X,"&gt;="&amp;X$8,операции!$X:$X,"&lt;="&amp;X$9,операции!$AB:$AB,"&lt;&gt;"&amp;"",операции!$P:$P,$F457)</f>
        <v>0</v>
      </c>
      <c r="Y492" s="170">
        <f>X492-Z492-AA492</f>
        <v>0</v>
      </c>
      <c r="Z492" s="152">
        <f>SUMIFS(операции!$V:$V,операции!$X:$X,"&gt;="&amp;X$8,операции!$X:$X,"&lt;="&amp;X$9,операции!$AB:$AB,"&lt;&gt;"&amp;"",операции!$L:$L,Z$9,операции!$P:$P,$F457)</f>
        <v>0</v>
      </c>
      <c r="AA492" s="235">
        <f>SUMIFS(операции!$V:$V,операции!$X:$X,"&gt;="&amp;X$8,операции!$X:$X,"&lt;="&amp;X$9,операции!$AB:$AB,"&lt;&gt;"&amp;"",операции!$L:$L,AA$9,операции!$P:$P,$F457)</f>
        <v>0</v>
      </c>
      <c r="AB492" s="264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</row>
    <row r="493" spans="1:42" s="192" customFormat="1" ht="11.25">
      <c r="A493" s="37"/>
      <c r="B493" s="37"/>
      <c r="C493" s="37"/>
      <c r="D493" s="191"/>
      <c r="E493" s="191" t="s">
        <v>294</v>
      </c>
      <c r="F493" s="191" t="str">
        <f t="shared" si="780"/>
        <v>Авто</v>
      </c>
      <c r="G493" s="191" t="s">
        <v>262</v>
      </c>
      <c r="H493" s="315"/>
      <c r="I493" s="316">
        <f>IF(I492=0,0,SUMIFS(операции!$AF:$AF,операции!$X:$X,"&gt;="&amp;I$8,операции!$X:$X,"&lt;="&amp;I$9,операции!$AB:$AB,"&lt;&gt;"&amp;"",операции!$P:$P,$F457)/I492)</f>
        <v>42147.333333333336</v>
      </c>
      <c r="J493" s="317"/>
      <c r="K493" s="316">
        <f>IF(K492=0,0,SUMIFS(операции!$AF:$AF,операции!$X:$X,"&gt;="&amp;I$8,операции!$X:$X,"&lt;="&amp;I$9,операции!$AB:$AB,"&lt;&gt;"&amp;"",операции!$L:$L,K$9,операции!$P:$P,$F457)/K492)</f>
        <v>42147.333333333336</v>
      </c>
      <c r="L493" s="318">
        <f>IF(L492=0,0,SUMIFS(операции!$AF:$AF,операции!$X:$X,"&gt;="&amp;I$8,операции!$X:$X,"&lt;="&amp;I$9,операции!$AB:$AB,"&lt;&gt;"&amp;"",операции!$L:$L,L$9,операции!$P:$P,$F457)/L492)</f>
        <v>0</v>
      </c>
      <c r="M493" s="274"/>
      <c r="N493" s="193">
        <f>IF(N492=0,0,SUMIFS(операции!$AF:$AF,операции!$X:$X,"&gt;="&amp;N$8,операции!$X:$X,"&lt;="&amp;N$9,операции!$AB:$AB,"&lt;&gt;"&amp;"",операции!$P:$P,$F457)/N492)</f>
        <v>42145.5</v>
      </c>
      <c r="O493" s="196"/>
      <c r="P493" s="193">
        <f>IF(P492=0,0,SUMIFS(операции!$AF:$AF,операции!$X:$X,"&gt;="&amp;N$8,операции!$X:$X,"&lt;="&amp;N$9,операции!$AB:$AB,"&lt;&gt;"&amp;"",операции!$L:$L,P$9,операции!$P:$P,$F457)/P492)</f>
        <v>42145.5</v>
      </c>
      <c r="Q493" s="237">
        <f>IF(Q492=0,0,SUMIFS(операции!$AF:$AF,операции!$X:$X,"&gt;="&amp;N$8,операции!$X:$X,"&lt;="&amp;N$9,операции!$AB:$AB,"&lt;&gt;"&amp;"",операции!$L:$L,Q$9,операции!$P:$P,$F457)/Q492)</f>
        <v>0</v>
      </c>
      <c r="R493" s="238"/>
      <c r="S493" s="193">
        <f>IF(S492=0,0,SUMIFS(операции!$AF:$AF,операции!$X:$X,"&gt;="&amp;S$8,операции!$X:$X,"&lt;="&amp;S$9,операции!$AB:$AB,"&lt;&gt;"&amp;"",операции!$P:$P,$F457)/S492)</f>
        <v>42151</v>
      </c>
      <c r="T493" s="196"/>
      <c r="U493" s="193">
        <f>IF(U492=0,0,SUMIFS(операции!$AF:$AF,операции!$X:$X,"&gt;="&amp;S$8,операции!$X:$X,"&lt;="&amp;S$9,операции!$AB:$AB,"&lt;&gt;"&amp;"",операции!$L:$L,U$9,операции!$P:$P,$F457)/U492)</f>
        <v>42151</v>
      </c>
      <c r="V493" s="237">
        <f>IF(V492=0,0,SUMIFS(операции!$AF:$AF,операции!$X:$X,"&gt;="&amp;S$8,операции!$X:$X,"&lt;="&amp;S$9,операции!$AB:$AB,"&lt;&gt;"&amp;"",операции!$L:$L,V$9,операции!$P:$P,$F457)/V492)</f>
        <v>0</v>
      </c>
      <c r="W493" s="238"/>
      <c r="X493" s="193">
        <f>IF(X492=0,0,SUMIFS(операции!$AF:$AF,операции!$X:$X,"&gt;="&amp;X$8,операции!$X:$X,"&lt;="&amp;X$9,операции!$AB:$AB,"&lt;&gt;"&amp;"",операции!$P:$P,$F457)/X492)</f>
        <v>0</v>
      </c>
      <c r="Y493" s="196"/>
      <c r="Z493" s="193">
        <f>IF(Z492=0,0,SUMIFS(операции!$AF:$AF,операции!$X:$X,"&gt;="&amp;X$8,операции!$X:$X,"&lt;="&amp;X$9,операции!$AB:$AB,"&lt;&gt;"&amp;"",операции!$L:$L,Z$9,операции!$P:$P,$F457)/Z492)</f>
        <v>0</v>
      </c>
      <c r="AA493" s="237">
        <f>IF(AA492=0,0,SUMIFS(операции!$AF:$AF,операции!$X:$X,"&gt;="&amp;X$8,операции!$X:$X,"&lt;="&amp;X$9,операции!$AB:$AB,"&lt;&gt;"&amp;"",операции!$L:$L,AA$9,операции!$P:$P,$F457)/AA492)</f>
        <v>0</v>
      </c>
      <c r="AB493" s="265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</row>
    <row r="494" spans="1:42" s="192" customFormat="1" ht="11.25">
      <c r="A494" s="37"/>
      <c r="B494" s="37"/>
      <c r="C494" s="37"/>
      <c r="D494" s="191"/>
      <c r="E494" s="191" t="s">
        <v>299</v>
      </c>
      <c r="F494" s="191" t="str">
        <f t="shared" si="780"/>
        <v>Авто</v>
      </c>
      <c r="G494" s="191" t="s">
        <v>262</v>
      </c>
      <c r="H494" s="315"/>
      <c r="I494" s="316">
        <f>IF(I492=0,0,SUMIFS(операции!$AH:$AH,операции!$X:$X,"&gt;="&amp;I$8,операции!$X:$X,"&lt;="&amp;I$9,операции!$AB:$AB,"&lt;&gt;"&amp;"",операции!$P:$P,$F457)/I492)</f>
        <v>42174</v>
      </c>
      <c r="J494" s="317"/>
      <c r="K494" s="316">
        <f>IF(K492=0,0,SUMIFS(операции!$AH:$AH,операции!$X:$X,"&gt;="&amp;I$8,операции!$X:$X,"&lt;="&amp;I$9,операции!$AB:$AB,"&lt;&gt;"&amp;"",операции!$L:$L,K$9,операции!$P:$P,$F457)/K492)</f>
        <v>42174</v>
      </c>
      <c r="L494" s="318">
        <f>IF(L492=0,0,SUMIFS(операции!$AH:$AH,операции!$X:$X,"&gt;="&amp;I$8,операции!$X:$X,"&lt;="&amp;I$9,операции!$AB:$AB,"&lt;&gt;"&amp;"",операции!$L:$L,L$9,операции!$P:$P,$F457)/L492)</f>
        <v>0</v>
      </c>
      <c r="M494" s="274"/>
      <c r="N494" s="193">
        <f>IF(N492=0,0,SUMIFS(операции!$AH:$AH,операции!$X:$X,"&gt;="&amp;N$8,операции!$X:$X,"&lt;="&amp;N$9,операции!$AB:$AB,"&lt;&gt;"&amp;"",операции!$P:$P,$F457)/N492)</f>
        <v>42170.5</v>
      </c>
      <c r="O494" s="196"/>
      <c r="P494" s="193">
        <f>IF(P492=0,0,SUMIFS(операции!$AH:$AH,операции!$X:$X,"&gt;="&amp;N$8,операции!$X:$X,"&lt;="&amp;N$9,операции!$AB:$AB,"&lt;&gt;"&amp;"",операции!$L:$L,P$9,операции!$P:$P,$F457)/P492)</f>
        <v>42170.5</v>
      </c>
      <c r="Q494" s="237">
        <f>IF(Q492=0,0,SUMIFS(операции!$AH:$AH,операции!$X:$X,"&gt;="&amp;N$8,операции!$X:$X,"&lt;="&amp;N$9,операции!$AB:$AB,"&lt;&gt;"&amp;"",операции!$L:$L,Q$9,операции!$P:$P,$F457)/Q492)</f>
        <v>0</v>
      </c>
      <c r="R494" s="238"/>
      <c r="S494" s="193">
        <f>IF(S492=0,0,SUMIFS(операции!$AH:$AH,операции!$X:$X,"&gt;="&amp;S$8,операции!$X:$X,"&lt;="&amp;S$9,операции!$AB:$AB,"&lt;&gt;"&amp;"",операции!$P:$P,$F457)/S492)</f>
        <v>42181</v>
      </c>
      <c r="T494" s="196"/>
      <c r="U494" s="193">
        <f>IF(U492=0,0,SUMIFS(операции!$AH:$AH,операции!$X:$X,"&gt;="&amp;S$8,операции!$X:$X,"&lt;="&amp;S$9,операции!$AB:$AB,"&lt;&gt;"&amp;"",операции!$L:$L,U$9,операции!$P:$P,$F457)/U492)</f>
        <v>42181</v>
      </c>
      <c r="V494" s="237">
        <f>IF(V492=0,0,SUMIFS(операции!$AH:$AH,операции!$X:$X,"&gt;="&amp;S$8,операции!$X:$X,"&lt;="&amp;S$9,операции!$AB:$AB,"&lt;&gt;"&amp;"",операции!$L:$L,V$9,операции!$P:$P,$F457)/V492)</f>
        <v>0</v>
      </c>
      <c r="W494" s="238"/>
      <c r="X494" s="193">
        <f>IF(X492=0,0,SUMIFS(операции!$AH:$AH,операции!$X:$X,"&gt;="&amp;X$8,операции!$X:$X,"&lt;="&amp;X$9,операции!$AB:$AB,"&lt;&gt;"&amp;"",операции!$P:$P,$F457)/X492)</f>
        <v>0</v>
      </c>
      <c r="Y494" s="196"/>
      <c r="Z494" s="193">
        <f>IF(Z492=0,0,SUMIFS(операции!$AH:$AH,операции!$X:$X,"&gt;="&amp;X$8,операции!$X:$X,"&lt;="&amp;X$9,операции!$AB:$AB,"&lt;&gt;"&amp;"",операции!$L:$L,Z$9,операции!$P:$P,$F457)/Z492)</f>
        <v>0</v>
      </c>
      <c r="AA494" s="237">
        <f>IF(AA492=0,0,SUMIFS(операции!$AH:$AH,операции!$X:$X,"&gt;="&amp;X$8,операции!$X:$X,"&lt;="&amp;X$9,операции!$AB:$AB,"&lt;&gt;"&amp;"",операции!$L:$L,AA$9,операции!$P:$P,$F457)/AA492)</f>
        <v>0</v>
      </c>
      <c r="AB494" s="265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</row>
    <row r="495" spans="1:42" s="5" customFormat="1">
      <c r="A495" s="1"/>
      <c r="B495" s="1"/>
      <c r="C495" s="1"/>
      <c r="D495" s="168"/>
      <c r="E495" s="168" t="s">
        <v>296</v>
      </c>
      <c r="F495" s="168" t="str">
        <f t="shared" si="780"/>
        <v>Авто</v>
      </c>
      <c r="G495" s="168" t="s">
        <v>261</v>
      </c>
      <c r="H495" s="326"/>
      <c r="I495" s="327">
        <f>I490-I492</f>
        <v>-5610</v>
      </c>
      <c r="J495" s="313">
        <f>I495-K495-L495</f>
        <v>0</v>
      </c>
      <c r="K495" s="327">
        <f t="shared" ref="K495:L495" si="857">K490-K492</f>
        <v>-5610</v>
      </c>
      <c r="L495" s="328">
        <f t="shared" si="857"/>
        <v>0</v>
      </c>
      <c r="M495" s="277"/>
      <c r="N495" s="169">
        <f>N490-N492</f>
        <v>-3740</v>
      </c>
      <c r="O495" s="170">
        <f>N495-P495-Q495</f>
        <v>0</v>
      </c>
      <c r="P495" s="169">
        <f t="shared" ref="P495:Q495" si="858">P490-P492</f>
        <v>-3740</v>
      </c>
      <c r="Q495" s="243">
        <f t="shared" si="858"/>
        <v>0</v>
      </c>
      <c r="R495" s="244"/>
      <c r="S495" s="169">
        <f>S490-S492</f>
        <v>-1870</v>
      </c>
      <c r="T495" s="170">
        <f>S495-U495-V495</f>
        <v>0</v>
      </c>
      <c r="U495" s="169">
        <f t="shared" ref="U495:V495" si="859">U490-U492</f>
        <v>-1870</v>
      </c>
      <c r="V495" s="243">
        <f t="shared" si="859"/>
        <v>0</v>
      </c>
      <c r="W495" s="244"/>
      <c r="X495" s="169">
        <f>X490-X492</f>
        <v>0</v>
      </c>
      <c r="Y495" s="170">
        <f>X495-Z495-AA495</f>
        <v>0</v>
      </c>
      <c r="Z495" s="169">
        <f t="shared" ref="Z495:AA495" si="860">Z490-Z492</f>
        <v>0</v>
      </c>
      <c r="AA495" s="243">
        <f t="shared" si="860"/>
        <v>0</v>
      </c>
      <c r="AB495" s="266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s="211" customFormat="1">
      <c r="A496" s="210"/>
      <c r="B496" s="210"/>
      <c r="C496" s="210"/>
      <c r="D496" s="218"/>
      <c r="E496" s="218" t="s">
        <v>297</v>
      </c>
      <c r="F496" s="218" t="str">
        <f t="shared" si="780"/>
        <v>Авто</v>
      </c>
      <c r="G496" s="218" t="s">
        <v>218</v>
      </c>
      <c r="H496" s="343"/>
      <c r="I496" s="344">
        <f>IF(I490=0,0,(I495/I490))</f>
        <v>-0.57894736842105265</v>
      </c>
      <c r="J496" s="345"/>
      <c r="K496" s="344">
        <f t="shared" ref="K496" si="861">IF(K490=0,0,(K495/K490))</f>
        <v>-0.57894736842105265</v>
      </c>
      <c r="L496" s="346">
        <f t="shared" ref="L496" si="862">IF(L490=0,0,(L495/L490))</f>
        <v>0</v>
      </c>
      <c r="M496" s="280"/>
      <c r="N496" s="219">
        <f>IF(N490=0,0,(N495/N490))</f>
        <v>-0.57894736842105265</v>
      </c>
      <c r="O496" s="220"/>
      <c r="P496" s="219">
        <f t="shared" ref="P496" si="863">IF(P490=0,0,(P495/P490))</f>
        <v>-0.57894736842105265</v>
      </c>
      <c r="Q496" s="252">
        <f t="shared" ref="Q496" si="864">IF(Q490=0,0,(Q495/Q490))</f>
        <v>0</v>
      </c>
      <c r="R496" s="253"/>
      <c r="S496" s="219">
        <f>IF(S490=0,0,(S495/S490))</f>
        <v>-0.57894736842105265</v>
      </c>
      <c r="T496" s="220"/>
      <c r="U496" s="219">
        <f t="shared" ref="U496" si="865">IF(U490=0,0,(U495/U490))</f>
        <v>-0.57894736842105265</v>
      </c>
      <c r="V496" s="252">
        <f t="shared" ref="V496" si="866">IF(V490=0,0,(V495/V490))</f>
        <v>0</v>
      </c>
      <c r="W496" s="253"/>
      <c r="X496" s="219">
        <f>IF(X490=0,0,(X495/X490))</f>
        <v>0</v>
      </c>
      <c r="Y496" s="220"/>
      <c r="Z496" s="219">
        <f t="shared" ref="Z496" si="867">IF(Z490=0,0,(Z495/Z490))</f>
        <v>0</v>
      </c>
      <c r="AA496" s="252">
        <f t="shared" ref="AA496" si="868">IF(AA490=0,0,(AA495/AA490))</f>
        <v>0</v>
      </c>
      <c r="AB496" s="267"/>
      <c r="AC496" s="210"/>
      <c r="AD496" s="210"/>
      <c r="AE496" s="210"/>
      <c r="AF496" s="210"/>
      <c r="AG496" s="210"/>
      <c r="AH496" s="210"/>
      <c r="AI496" s="210"/>
      <c r="AJ496" s="210"/>
      <c r="AK496" s="210"/>
      <c r="AL496" s="210"/>
      <c r="AM496" s="210"/>
      <c r="AN496" s="210"/>
      <c r="AO496" s="210"/>
      <c r="AP496" s="210"/>
    </row>
    <row r="497" spans="1:42" s="5" customFormat="1">
      <c r="A497" s="1"/>
      <c r="B497" s="1"/>
      <c r="C497" s="1"/>
      <c r="D497" s="227"/>
      <c r="E497" s="227" t="s">
        <v>298</v>
      </c>
      <c r="F497" s="227" t="str">
        <f t="shared" si="780"/>
        <v>Авто</v>
      </c>
      <c r="G497" s="227" t="s">
        <v>219</v>
      </c>
      <c r="H497" s="347"/>
      <c r="I497" s="348">
        <f>I491-I493</f>
        <v>161</v>
      </c>
      <c r="J497" s="321"/>
      <c r="K497" s="348">
        <f t="shared" ref="K497:L497" si="869">K491-K493</f>
        <v>161</v>
      </c>
      <c r="L497" s="349">
        <f t="shared" si="869"/>
        <v>0</v>
      </c>
      <c r="M497" s="281"/>
      <c r="N497" s="228">
        <f>N491-N493</f>
        <v>152.5</v>
      </c>
      <c r="O497" s="173"/>
      <c r="P497" s="228">
        <f t="shared" ref="P497:Q497" si="870">P491-P493</f>
        <v>152.5</v>
      </c>
      <c r="Q497" s="254">
        <f t="shared" si="870"/>
        <v>0</v>
      </c>
      <c r="R497" s="255"/>
      <c r="S497" s="228">
        <f>S491-S493</f>
        <v>178</v>
      </c>
      <c r="T497" s="173"/>
      <c r="U497" s="228">
        <f t="shared" ref="U497:V497" si="871">U491-U493</f>
        <v>178</v>
      </c>
      <c r="V497" s="254">
        <f t="shared" si="871"/>
        <v>0</v>
      </c>
      <c r="W497" s="255"/>
      <c r="X497" s="228">
        <f>X491-X493</f>
        <v>0</v>
      </c>
      <c r="Y497" s="173"/>
      <c r="Z497" s="228">
        <f t="shared" ref="Z497:AA497" si="872">Z491-Z493</f>
        <v>0</v>
      </c>
      <c r="AA497" s="254">
        <f t="shared" si="872"/>
        <v>0</v>
      </c>
      <c r="AB497" s="266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s="5" customFormat="1">
      <c r="A498" s="1"/>
      <c r="B498" s="1"/>
      <c r="C498" s="1"/>
      <c r="D498" s="227"/>
      <c r="E498" s="227" t="s">
        <v>300</v>
      </c>
      <c r="F498" s="227" t="str">
        <f t="shared" si="780"/>
        <v>Авто</v>
      </c>
      <c r="G498" s="227" t="s">
        <v>219</v>
      </c>
      <c r="H498" s="347"/>
      <c r="I498" s="348">
        <f>I494-I493</f>
        <v>26.666666666664241</v>
      </c>
      <c r="J498" s="321"/>
      <c r="K498" s="348">
        <f t="shared" ref="K498:L498" si="873">K494-K493</f>
        <v>26.666666666664241</v>
      </c>
      <c r="L498" s="349">
        <f t="shared" si="873"/>
        <v>0</v>
      </c>
      <c r="M498" s="281"/>
      <c r="N498" s="228">
        <f>N494-N493</f>
        <v>25</v>
      </c>
      <c r="O498" s="173"/>
      <c r="P498" s="228">
        <f t="shared" ref="P498:Q498" si="874">P494-P493</f>
        <v>25</v>
      </c>
      <c r="Q498" s="254">
        <f t="shared" si="874"/>
        <v>0</v>
      </c>
      <c r="R498" s="255"/>
      <c r="S498" s="228">
        <f>S494-S493</f>
        <v>30</v>
      </c>
      <c r="T498" s="173"/>
      <c r="U498" s="228">
        <f t="shared" ref="U498:V498" si="875">U494-U493</f>
        <v>30</v>
      </c>
      <c r="V498" s="254">
        <f t="shared" si="875"/>
        <v>0</v>
      </c>
      <c r="W498" s="255"/>
      <c r="X498" s="228">
        <f>X494-X493</f>
        <v>0</v>
      </c>
      <c r="Y498" s="173"/>
      <c r="Z498" s="228">
        <f t="shared" ref="Z498:AA498" si="876">Z494-Z493</f>
        <v>0</v>
      </c>
      <c r="AA498" s="254">
        <f t="shared" si="876"/>
        <v>0</v>
      </c>
      <c r="AB498" s="266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s="93" customFormat="1" ht="15">
      <c r="A499" s="92"/>
      <c r="B499" s="92"/>
      <c r="C499" s="92"/>
      <c r="D499" s="221"/>
      <c r="E499" s="221" t="s">
        <v>301</v>
      </c>
      <c r="F499" s="221" t="str">
        <f t="shared" si="780"/>
        <v>Авто</v>
      </c>
      <c r="G499" s="221" t="s">
        <v>219</v>
      </c>
      <c r="H499" s="357"/>
      <c r="I499" s="358">
        <f>I497-I498</f>
        <v>134.33333333333576</v>
      </c>
      <c r="J499" s="352"/>
      <c r="K499" s="358">
        <f t="shared" ref="K499" si="877">K497-K498</f>
        <v>134.33333333333576</v>
      </c>
      <c r="L499" s="359">
        <f t="shared" ref="L499" si="878">L497-L498</f>
        <v>0</v>
      </c>
      <c r="M499" s="284"/>
      <c r="N499" s="222">
        <f>N497-N498</f>
        <v>127.5</v>
      </c>
      <c r="O499" s="181"/>
      <c r="P499" s="222">
        <f t="shared" ref="P499" si="879">P497-P498</f>
        <v>127.5</v>
      </c>
      <c r="Q499" s="260">
        <f t="shared" ref="Q499" si="880">Q497-Q498</f>
        <v>0</v>
      </c>
      <c r="R499" s="261"/>
      <c r="S499" s="222">
        <f>S497-S498</f>
        <v>148</v>
      </c>
      <c r="T499" s="181"/>
      <c r="U499" s="222">
        <f t="shared" ref="U499" si="881">U497-U498</f>
        <v>148</v>
      </c>
      <c r="V499" s="260">
        <f t="shared" ref="V499" si="882">V497-V498</f>
        <v>0</v>
      </c>
      <c r="W499" s="261"/>
      <c r="X499" s="222">
        <f>X497-X498</f>
        <v>0</v>
      </c>
      <c r="Y499" s="181"/>
      <c r="Z499" s="222">
        <f t="shared" ref="Z499" si="883">Z497-Z498</f>
        <v>0</v>
      </c>
      <c r="AA499" s="260">
        <f t="shared" ref="AA499" si="884">AA497-AA498</f>
        <v>0</v>
      </c>
      <c r="AB499" s="264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</row>
    <row r="500" spans="1:42" s="5" customFormat="1">
      <c r="A500" s="1"/>
      <c r="B500" s="1"/>
      <c r="C500" s="1"/>
      <c r="D500" s="223"/>
      <c r="E500" s="223" t="s">
        <v>302</v>
      </c>
      <c r="F500" s="223" t="str">
        <f t="shared" si="780"/>
        <v>Авто</v>
      </c>
      <c r="G500" s="223" t="s">
        <v>261</v>
      </c>
      <c r="H500" s="354"/>
      <c r="I500" s="355">
        <f>SUMIFS(операции!$Z:$Z,операции!$X:$X,"&gt;="&amp;I$8,операции!$X:$X,"&lt;="&amp;I$9,операции!$AB:$AB,"",операции!$P:$P,$F457)</f>
        <v>0</v>
      </c>
      <c r="J500" s="341">
        <f>I500-K500-L500</f>
        <v>0</v>
      </c>
      <c r="K500" s="355">
        <f>SUMIFS(операции!$Z:$Z,операции!$X:$X,"&gt;="&amp;I$8,операции!$X:$X,"&lt;="&amp;I$9,операции!$AB:$AB,"",операции!$L:$L,K$9,операции!$P:$P,$F457)</f>
        <v>0</v>
      </c>
      <c r="L500" s="356">
        <f>SUMIFS(операции!$Z:$Z,операции!$X:$X,"&gt;="&amp;I$8,операции!$X:$X,"&lt;="&amp;I$9,операции!$AB:$AB,"",операции!$L:$L,L$9,операции!$P:$P,$F457)</f>
        <v>0</v>
      </c>
      <c r="M500" s="283"/>
      <c r="N500" s="224">
        <f>SUMIFS(операции!$Z:$Z,операции!$X:$X,"&gt;="&amp;N$8,операции!$X:$X,"&lt;="&amp;N$9,операции!$AB:$AB,"",операции!$P:$P,$F457)</f>
        <v>0</v>
      </c>
      <c r="O500" s="216">
        <f>N500-P500-Q500</f>
        <v>0</v>
      </c>
      <c r="P500" s="224">
        <f>SUMIFS(операции!$Z:$Z,операции!$X:$X,"&gt;="&amp;N$8,операции!$X:$X,"&lt;="&amp;N$9,операции!$AB:$AB,"",операции!$L:$L,P$9,операции!$P:$P,$F457)</f>
        <v>0</v>
      </c>
      <c r="Q500" s="258">
        <f>SUMIFS(операции!$Z:$Z,операции!$X:$X,"&gt;="&amp;N$8,операции!$X:$X,"&lt;="&amp;N$9,операции!$AB:$AB,"",операции!$L:$L,Q$9,операции!$P:$P,$F457)</f>
        <v>0</v>
      </c>
      <c r="R500" s="259"/>
      <c r="S500" s="224">
        <f>SUMIFS(операции!$Z:$Z,операции!$X:$X,"&gt;="&amp;S$8,операции!$X:$X,"&lt;="&amp;S$9,операции!$AB:$AB,"",операции!$P:$P,$F457)</f>
        <v>0</v>
      </c>
      <c r="T500" s="216">
        <f>S500-U500-V500</f>
        <v>0</v>
      </c>
      <c r="U500" s="224">
        <f>SUMIFS(операции!$Z:$Z,операции!$X:$X,"&gt;="&amp;S$8,операции!$X:$X,"&lt;="&amp;S$9,операции!$AB:$AB,"",операции!$L:$L,U$9,операции!$P:$P,$F457)</f>
        <v>0</v>
      </c>
      <c r="V500" s="258">
        <f>SUMIFS(операции!$Z:$Z,операции!$X:$X,"&gt;="&amp;S$8,операции!$X:$X,"&lt;="&amp;S$9,операции!$AB:$AB,"",операции!$L:$L,V$9,операции!$P:$P,$F457)</f>
        <v>0</v>
      </c>
      <c r="W500" s="259"/>
      <c r="X500" s="224">
        <f>SUMIFS(операции!$Z:$Z,операции!$X:$X,"&gt;="&amp;X$8,операции!$X:$X,"&lt;="&amp;X$9,операции!$AB:$AB,"",операции!$P:$P,$F457)</f>
        <v>0</v>
      </c>
      <c r="Y500" s="216">
        <f>X500-Z500-AA500</f>
        <v>0</v>
      </c>
      <c r="Z500" s="224">
        <f>SUMIFS(операции!$Z:$Z,операции!$X:$X,"&gt;="&amp;X$8,операции!$X:$X,"&lt;="&amp;X$9,операции!$AB:$AB,"",операции!$L:$L,Z$9,операции!$P:$P,$F457)</f>
        <v>0</v>
      </c>
      <c r="AA500" s="258">
        <f>SUMIFS(операции!$Z:$Z,операции!$X:$X,"&gt;="&amp;X$8,операции!$X:$X,"&lt;="&amp;X$9,операции!$AB:$AB,"",операции!$L:$L,AA$9,операции!$P:$P,$F457)</f>
        <v>0</v>
      </c>
      <c r="AB500" s="266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s="192" customFormat="1" ht="11.25">
      <c r="A501" s="37"/>
      <c r="B501" s="37"/>
      <c r="C501" s="37"/>
      <c r="D501" s="191"/>
      <c r="E501" s="191" t="s">
        <v>303</v>
      </c>
      <c r="F501" s="191" t="str">
        <f t="shared" si="780"/>
        <v>Авто</v>
      </c>
      <c r="G501" s="191" t="s">
        <v>262</v>
      </c>
      <c r="H501" s="315"/>
      <c r="I501" s="316">
        <f>IF(I500=0,0,SUMIFS(операции!$AG:$AG,операции!$X:$X,"&gt;="&amp;I$8,операции!$X:$X,"&lt;="&amp;I$9,операции!$AB:$AB,"",операции!$P:$P,$F457)/I500)</f>
        <v>0</v>
      </c>
      <c r="J501" s="317"/>
      <c r="K501" s="316">
        <f>IF(K500=0,0,SUMIFS(операции!$AG:$AG,операции!$X:$X,"&gt;="&amp;I$8,операции!$X:$X,"&lt;="&amp;I$9,операции!$AB:$AB,"",операции!$L:$L,K$9,операции!$P:$P,$F457)/K500)</f>
        <v>0</v>
      </c>
      <c r="L501" s="318">
        <f>IF(L500=0,0,SUMIFS(операции!$AG:$AG,операции!$X:$X,"&gt;="&amp;I$8,операции!$X:$X,"&lt;="&amp;I$9,операции!$AB:$AB,"",операции!$L:$L,L$9,операции!$P:$P,$F457)/L500)</f>
        <v>0</v>
      </c>
      <c r="M501" s="274"/>
      <c r="N501" s="193">
        <f>IF(N500=0,0,SUMIFS(операции!$AG:$AG,операции!$X:$X,"&gt;="&amp;N$8,операции!$X:$X,"&lt;="&amp;N$9,операции!$AB:$AB,"",операции!$P:$P,$F457)/N500)</f>
        <v>0</v>
      </c>
      <c r="O501" s="196"/>
      <c r="P501" s="193">
        <f>IF(P500=0,0,SUMIFS(операции!$AG:$AG,операции!$X:$X,"&gt;="&amp;N$8,операции!$X:$X,"&lt;="&amp;N$9,операции!$AB:$AB,"",операции!$L:$L,P$9,операции!$P:$P,$F457)/P500)</f>
        <v>0</v>
      </c>
      <c r="Q501" s="237">
        <f>IF(Q500=0,0,SUMIFS(операции!$AG:$AG,операции!$X:$X,"&gt;="&amp;N$8,операции!$X:$X,"&lt;="&amp;N$9,операции!$AB:$AB,"",операции!$L:$L,Q$9,операции!$P:$P,$F457)/Q500)</f>
        <v>0</v>
      </c>
      <c r="R501" s="238"/>
      <c r="S501" s="193">
        <f>IF(S500=0,0,SUMIFS(операции!$AG:$AG,операции!$X:$X,"&gt;="&amp;S$8,операции!$X:$X,"&lt;="&amp;S$9,операции!$AB:$AB,"",операции!$P:$P,$F457)/S500)</f>
        <v>0</v>
      </c>
      <c r="T501" s="196"/>
      <c r="U501" s="193">
        <f>IF(U500=0,0,SUMIFS(операции!$AG:$AG,операции!$X:$X,"&gt;="&amp;S$8,операции!$X:$X,"&lt;="&amp;S$9,операции!$AB:$AB,"",операции!$L:$L,U$9,операции!$P:$P,$F457)/U500)</f>
        <v>0</v>
      </c>
      <c r="V501" s="237">
        <f>IF(V500=0,0,SUMIFS(операции!$AG:$AG,операции!$X:$X,"&gt;="&amp;S$8,операции!$X:$X,"&lt;="&amp;S$9,операции!$AB:$AB,"",операции!$L:$L,V$9,операции!$P:$P,$F457)/V500)</f>
        <v>0</v>
      </c>
      <c r="W501" s="238"/>
      <c r="X501" s="193">
        <f>IF(X500=0,0,SUMIFS(операции!$AG:$AG,операции!$X:$X,"&gt;="&amp;X$8,операции!$X:$X,"&lt;="&amp;X$9,операции!$AB:$AB,"",операции!$P:$P,$F457)/X500)</f>
        <v>0</v>
      </c>
      <c r="Y501" s="196"/>
      <c r="Z501" s="193">
        <f>IF(Z500=0,0,SUMIFS(операции!$AG:$AG,операции!$X:$X,"&gt;="&amp;X$8,операции!$X:$X,"&lt;="&amp;X$9,операции!$AB:$AB,"",операции!$L:$L,Z$9,операции!$P:$P,$F457)/Z500)</f>
        <v>0</v>
      </c>
      <c r="AA501" s="237">
        <f>IF(AA500=0,0,SUMIFS(операции!$AG:$AG,операции!$X:$X,"&gt;="&amp;X$8,операции!$X:$X,"&lt;="&amp;X$9,операции!$AB:$AB,"",операции!$L:$L,AA$9,операции!$P:$P,$F457)/AA500)</f>
        <v>0</v>
      </c>
      <c r="AB501" s="265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</row>
    <row r="502" spans="1:42" s="5" customFormat="1">
      <c r="A502" s="1"/>
      <c r="B502" s="1"/>
      <c r="C502" s="1"/>
      <c r="D502" s="168"/>
      <c r="E502" s="168" t="s">
        <v>304</v>
      </c>
      <c r="F502" s="168" t="str">
        <f t="shared" si="780"/>
        <v>Авто</v>
      </c>
      <c r="G502" s="168" t="s">
        <v>261</v>
      </c>
      <c r="H502" s="326"/>
      <c r="I502" s="327">
        <f>SUMIFS(операции!$V:$V,операции!$X:$X,"&gt;="&amp;I$8,операции!$X:$X,"&lt;="&amp;I$9,операции!$AB:$AB,"",операции!$P:$P,$F457)</f>
        <v>0</v>
      </c>
      <c r="J502" s="313">
        <f>I502-K502-L502</f>
        <v>0</v>
      </c>
      <c r="K502" s="327">
        <f>SUMIFS(операции!$V:$V,операции!$X:$X,"&gt;="&amp;I$8,операции!$X:$X,"&lt;="&amp;I$9,операции!$AB:$AB,"",операции!$L:$L,K$9,операции!$P:$P,$F457)</f>
        <v>0</v>
      </c>
      <c r="L502" s="328">
        <f>SUMIFS(операции!$V:$V,операции!$X:$X,"&gt;="&amp;I$8,операции!$X:$X,"&lt;="&amp;I$9,операции!$AB:$AB,"",операции!$L:$L,L$9,операции!$P:$P,$F457)</f>
        <v>0</v>
      </c>
      <c r="M502" s="277"/>
      <c r="N502" s="169">
        <f>SUMIFS(операции!$V:$V,операции!$X:$X,"&gt;="&amp;N$8,операции!$X:$X,"&lt;="&amp;N$9,операции!$AB:$AB,"",операции!$P:$P,$F457)</f>
        <v>0</v>
      </c>
      <c r="O502" s="170">
        <f>N502-P502-Q502</f>
        <v>0</v>
      </c>
      <c r="P502" s="169">
        <f>SUMIFS(операции!$V:$V,операции!$X:$X,"&gt;="&amp;N$8,операции!$X:$X,"&lt;="&amp;N$9,операции!$AB:$AB,"",операции!$L:$L,P$9,операции!$P:$P,$F457)</f>
        <v>0</v>
      </c>
      <c r="Q502" s="243">
        <f>SUMIFS(операции!$V:$V,операции!$X:$X,"&gt;="&amp;N$8,операции!$X:$X,"&lt;="&amp;N$9,операции!$AB:$AB,"",операции!$L:$L,Q$9,операции!$P:$P,$F457)</f>
        <v>0</v>
      </c>
      <c r="R502" s="244"/>
      <c r="S502" s="169">
        <f>SUMIFS(операции!$V:$V,операции!$X:$X,"&gt;="&amp;S$8,операции!$X:$X,"&lt;="&amp;S$9,операции!$AB:$AB,"",операции!$P:$P,$F457)</f>
        <v>0</v>
      </c>
      <c r="T502" s="170">
        <f>S502-U502-V502</f>
        <v>0</v>
      </c>
      <c r="U502" s="169">
        <f>SUMIFS(операции!$V:$V,операции!$X:$X,"&gt;="&amp;S$8,операции!$X:$X,"&lt;="&amp;S$9,операции!$AB:$AB,"",операции!$L:$L,U$9,операции!$P:$P,$F457)</f>
        <v>0</v>
      </c>
      <c r="V502" s="243">
        <f>SUMIFS(операции!$V:$V,операции!$X:$X,"&gt;="&amp;S$8,операции!$X:$X,"&lt;="&amp;S$9,операции!$AB:$AB,"",операции!$L:$L,V$9,операции!$P:$P,$F457)</f>
        <v>0</v>
      </c>
      <c r="W502" s="244"/>
      <c r="X502" s="169">
        <f>SUMIFS(операции!$V:$V,операции!$X:$X,"&gt;="&amp;X$8,операции!$X:$X,"&lt;="&amp;X$9,операции!$AB:$AB,"",операции!$P:$P,$F457)</f>
        <v>0</v>
      </c>
      <c r="Y502" s="170">
        <f>X502-Z502-AA502</f>
        <v>0</v>
      </c>
      <c r="Z502" s="169">
        <f>SUMIFS(операции!$V:$V,операции!$X:$X,"&gt;="&amp;X$8,операции!$X:$X,"&lt;="&amp;X$9,операции!$AB:$AB,"",операции!$L:$L,Z$9,операции!$P:$P,$F457)</f>
        <v>0</v>
      </c>
      <c r="AA502" s="243">
        <f>SUMIFS(операции!$V:$V,операции!$X:$X,"&gt;="&amp;X$8,операции!$X:$X,"&lt;="&amp;X$9,операции!$AB:$AB,"",операции!$L:$L,AA$9,операции!$P:$P,$F457)</f>
        <v>0</v>
      </c>
      <c r="AB502" s="266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s="192" customFormat="1" ht="11.25">
      <c r="A503" s="37"/>
      <c r="B503" s="37"/>
      <c r="C503" s="37"/>
      <c r="D503" s="191"/>
      <c r="E503" s="191" t="s">
        <v>305</v>
      </c>
      <c r="F503" s="191" t="str">
        <f t="shared" si="780"/>
        <v>Авто</v>
      </c>
      <c r="G503" s="191" t="s">
        <v>262</v>
      </c>
      <c r="H503" s="315"/>
      <c r="I503" s="316">
        <f>IF(I502=0,0,SUMIFS(операции!$AF:$AF,операции!$X:$X,"&gt;="&amp;I$8,операции!$X:$X,"&lt;="&amp;I$9,операции!$AB:$AB,"",операции!$P:$P,$F457)/I502)</f>
        <v>0</v>
      </c>
      <c r="J503" s="317"/>
      <c r="K503" s="316">
        <f>IF(K502=0,0,SUMIFS(операции!$AF:$AF,операции!$X:$X,"&gt;="&amp;I$8,операции!$X:$X,"&lt;="&amp;I$9,операции!$AB:$AB,"",операции!$L:$L,K$9,операции!$P:$P,$F457)/K502)</f>
        <v>0</v>
      </c>
      <c r="L503" s="318">
        <f>IF(L502=0,0,SUMIFS(операции!$AF:$AF,операции!$X:$X,"&gt;="&amp;I$8,операции!$X:$X,"&lt;="&amp;I$9,операции!$AB:$AB,"",операции!$L:$L,L$9,операции!$P:$P,$F457)/L502)</f>
        <v>0</v>
      </c>
      <c r="M503" s="274"/>
      <c r="N503" s="193">
        <f>IF(N502=0,0,SUMIFS(операции!$AF:$AF,операции!$X:$X,"&gt;="&amp;N$8,операции!$X:$X,"&lt;="&amp;N$9,операции!$AB:$AB,"",операции!$P:$P,$F457)/N502)</f>
        <v>0</v>
      </c>
      <c r="O503" s="196"/>
      <c r="P503" s="193">
        <f>IF(P502=0,0,SUMIFS(операции!$AF:$AF,операции!$X:$X,"&gt;="&amp;N$8,операции!$X:$X,"&lt;="&amp;N$9,операции!$AB:$AB,"",операции!$L:$L,P$9,операции!$P:$P,$F457)/P502)</f>
        <v>0</v>
      </c>
      <c r="Q503" s="237">
        <f>IF(Q502=0,0,SUMIFS(операции!$AF:$AF,операции!$X:$X,"&gt;="&amp;N$8,операции!$X:$X,"&lt;="&amp;N$9,операции!$AB:$AB,"",операции!$L:$L,Q$9,операции!$P:$P,$F457)/Q502)</f>
        <v>0</v>
      </c>
      <c r="R503" s="238"/>
      <c r="S503" s="193">
        <f>IF(S502=0,0,SUMIFS(операции!$AF:$AF,операции!$X:$X,"&gt;="&amp;S$8,операции!$X:$X,"&lt;="&amp;S$9,операции!$AB:$AB,"",операции!$P:$P,$F457)/S502)</f>
        <v>0</v>
      </c>
      <c r="T503" s="196"/>
      <c r="U503" s="193">
        <f>IF(U502=0,0,SUMIFS(операции!$AF:$AF,операции!$X:$X,"&gt;="&amp;S$8,операции!$X:$X,"&lt;="&amp;S$9,операции!$AB:$AB,"",операции!$L:$L,U$9,операции!$P:$P,$F457)/U502)</f>
        <v>0</v>
      </c>
      <c r="V503" s="237">
        <f>IF(V502=0,0,SUMIFS(операции!$AF:$AF,операции!$X:$X,"&gt;="&amp;S$8,операции!$X:$X,"&lt;="&amp;S$9,операции!$AB:$AB,"",операции!$L:$L,V$9,операции!$P:$P,$F457)/V502)</f>
        <v>0</v>
      </c>
      <c r="W503" s="238"/>
      <c r="X503" s="193">
        <f>IF(X502=0,0,SUMIFS(операции!$AF:$AF,операции!$X:$X,"&gt;="&amp;X$8,операции!$X:$X,"&lt;="&amp;X$9,операции!$AB:$AB,"",операции!$P:$P,$F457)/X502)</f>
        <v>0</v>
      </c>
      <c r="Y503" s="196"/>
      <c r="Z503" s="193">
        <f>IF(Z502=0,0,SUMIFS(операции!$AF:$AF,операции!$X:$X,"&gt;="&amp;X$8,операции!$X:$X,"&lt;="&amp;X$9,операции!$AB:$AB,"",операции!$L:$L,Z$9,операции!$P:$P,$F457)/Z502)</f>
        <v>0</v>
      </c>
      <c r="AA503" s="237">
        <f>IF(AA502=0,0,SUMIFS(операции!$AF:$AF,операции!$X:$X,"&gt;="&amp;X$8,операции!$X:$X,"&lt;="&amp;X$9,операции!$AB:$AB,"",операции!$L:$L,AA$9,операции!$P:$P,$F457)/AA502)</f>
        <v>0</v>
      </c>
      <c r="AB503" s="265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  <row r="504" spans="1:42" s="192" customFormat="1" ht="11.25">
      <c r="A504" s="37"/>
      <c r="B504" s="37"/>
      <c r="C504" s="37"/>
      <c r="D504" s="191"/>
      <c r="E504" s="191" t="s">
        <v>307</v>
      </c>
      <c r="F504" s="191" t="str">
        <f t="shared" si="780"/>
        <v>Авто</v>
      </c>
      <c r="G504" s="191" t="s">
        <v>262</v>
      </c>
      <c r="H504" s="315"/>
      <c r="I504" s="316">
        <f>I$9</f>
        <v>42369</v>
      </c>
      <c r="J504" s="317"/>
      <c r="K504" s="316">
        <f>I$9</f>
        <v>42369</v>
      </c>
      <c r="L504" s="318">
        <f>I$9</f>
        <v>42369</v>
      </c>
      <c r="M504" s="274"/>
      <c r="N504" s="193">
        <f>N$9</f>
        <v>42308</v>
      </c>
      <c r="O504" s="196"/>
      <c r="P504" s="193">
        <f>N$9</f>
        <v>42308</v>
      </c>
      <c r="Q504" s="237">
        <f>N$9</f>
        <v>42308</v>
      </c>
      <c r="R504" s="238"/>
      <c r="S504" s="193">
        <f>S$9</f>
        <v>42338</v>
      </c>
      <c r="T504" s="196"/>
      <c r="U504" s="193">
        <f>S$9</f>
        <v>42338</v>
      </c>
      <c r="V504" s="237">
        <f>S$9</f>
        <v>42338</v>
      </c>
      <c r="W504" s="238"/>
      <c r="X504" s="193">
        <f>X$9</f>
        <v>42369</v>
      </c>
      <c r="Y504" s="196"/>
      <c r="Z504" s="193">
        <f>X$9</f>
        <v>42369</v>
      </c>
      <c r="AA504" s="237">
        <f>X$9</f>
        <v>42369</v>
      </c>
      <c r="AB504" s="265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</row>
    <row r="505" spans="1:42" s="5" customFormat="1">
      <c r="A505" s="1"/>
      <c r="B505" s="1"/>
      <c r="C505" s="1"/>
      <c r="D505" s="168"/>
      <c r="E505" s="168" t="s">
        <v>380</v>
      </c>
      <c r="F505" s="168" t="str">
        <f t="shared" si="780"/>
        <v>Авто</v>
      </c>
      <c r="G505" s="168" t="s">
        <v>261</v>
      </c>
      <c r="H505" s="326"/>
      <c r="I505" s="327">
        <f>I500-I502</f>
        <v>0</v>
      </c>
      <c r="J505" s="313">
        <f>I505-K505-L505</f>
        <v>0</v>
      </c>
      <c r="K505" s="327">
        <f t="shared" ref="K505:L505" si="885">K500-K502</f>
        <v>0</v>
      </c>
      <c r="L505" s="328">
        <f t="shared" si="885"/>
        <v>0</v>
      </c>
      <c r="M505" s="277"/>
      <c r="N505" s="169">
        <f>N500-N502</f>
        <v>0</v>
      </c>
      <c r="O505" s="170">
        <f>N505-P505-Q505</f>
        <v>0</v>
      </c>
      <c r="P505" s="169">
        <f t="shared" ref="P505:Q505" si="886">P500-P502</f>
        <v>0</v>
      </c>
      <c r="Q505" s="243">
        <f t="shared" si="886"/>
        <v>0</v>
      </c>
      <c r="R505" s="244"/>
      <c r="S505" s="169">
        <f>S500-S502</f>
        <v>0</v>
      </c>
      <c r="T505" s="170">
        <f>S505-U505-V505</f>
        <v>0</v>
      </c>
      <c r="U505" s="169">
        <f t="shared" ref="U505:V505" si="887">U500-U502</f>
        <v>0</v>
      </c>
      <c r="V505" s="243">
        <f t="shared" si="887"/>
        <v>0</v>
      </c>
      <c r="W505" s="244"/>
      <c r="X505" s="169">
        <f>X500-X502</f>
        <v>0</v>
      </c>
      <c r="Y505" s="170">
        <f>X505-Z505-AA505</f>
        <v>0</v>
      </c>
      <c r="Z505" s="169">
        <f t="shared" ref="Z505:AA505" si="888">Z500-Z502</f>
        <v>0</v>
      </c>
      <c r="AA505" s="243">
        <f t="shared" si="888"/>
        <v>0</v>
      </c>
      <c r="AB505" s="266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s="211" customFormat="1">
      <c r="A506" s="210"/>
      <c r="B506" s="210"/>
      <c r="C506" s="210"/>
      <c r="D506" s="218"/>
      <c r="E506" s="218" t="s">
        <v>381</v>
      </c>
      <c r="F506" s="218" t="str">
        <f t="shared" si="780"/>
        <v>Авто</v>
      </c>
      <c r="G506" s="218" t="s">
        <v>218</v>
      </c>
      <c r="H506" s="343"/>
      <c r="I506" s="344">
        <f>IF(I500=0,0,(I505/I500))</f>
        <v>0</v>
      </c>
      <c r="J506" s="345"/>
      <c r="K506" s="344">
        <f t="shared" ref="K506" si="889">IF(K500=0,0,(K505/K500))</f>
        <v>0</v>
      </c>
      <c r="L506" s="346">
        <f t="shared" ref="L506" si="890">IF(L500=0,0,(L505/L500))</f>
        <v>0</v>
      </c>
      <c r="M506" s="280"/>
      <c r="N506" s="219">
        <f>IF(N500=0,0,(N505/N500))</f>
        <v>0</v>
      </c>
      <c r="O506" s="220"/>
      <c r="P506" s="219">
        <f t="shared" ref="P506" si="891">IF(P500=0,0,(P505/P500))</f>
        <v>0</v>
      </c>
      <c r="Q506" s="252">
        <f t="shared" ref="Q506" si="892">IF(Q500=0,0,(Q505/Q500))</f>
        <v>0</v>
      </c>
      <c r="R506" s="253"/>
      <c r="S506" s="219">
        <f>IF(S500=0,0,(S505/S500))</f>
        <v>0</v>
      </c>
      <c r="T506" s="220"/>
      <c r="U506" s="219">
        <f t="shared" ref="U506" si="893">IF(U500=0,0,(U505/U500))</f>
        <v>0</v>
      </c>
      <c r="V506" s="252">
        <f t="shared" ref="V506" si="894">IF(V500=0,0,(V505/V500))</f>
        <v>0</v>
      </c>
      <c r="W506" s="253"/>
      <c r="X506" s="219">
        <f>IF(X500=0,0,(X505/X500))</f>
        <v>0</v>
      </c>
      <c r="Y506" s="220"/>
      <c r="Z506" s="219">
        <f t="shared" ref="Z506" si="895">IF(Z500=0,0,(Z505/Z500))</f>
        <v>0</v>
      </c>
      <c r="AA506" s="252">
        <f t="shared" ref="AA506" si="896">IF(AA500=0,0,(AA505/AA500))</f>
        <v>0</v>
      </c>
      <c r="AB506" s="267"/>
      <c r="AC506" s="210"/>
      <c r="AD506" s="210"/>
      <c r="AE506" s="210"/>
      <c r="AF506" s="210"/>
      <c r="AG506" s="210"/>
      <c r="AH506" s="210"/>
      <c r="AI506" s="210"/>
      <c r="AJ506" s="210"/>
      <c r="AK506" s="210"/>
      <c r="AL506" s="210"/>
      <c r="AM506" s="210"/>
      <c r="AN506" s="210"/>
      <c r="AO506" s="210"/>
      <c r="AP506" s="210"/>
    </row>
    <row r="507" spans="1:42" s="5" customFormat="1">
      <c r="A507" s="1"/>
      <c r="B507" s="1"/>
      <c r="C507" s="1"/>
      <c r="D507" s="227"/>
      <c r="E507" s="227" t="s">
        <v>306</v>
      </c>
      <c r="F507" s="227" t="str">
        <f t="shared" si="780"/>
        <v>Авто</v>
      </c>
      <c r="G507" s="227" t="s">
        <v>219</v>
      </c>
      <c r="H507" s="347"/>
      <c r="I507" s="348">
        <f>I501-I503</f>
        <v>0</v>
      </c>
      <c r="J507" s="321"/>
      <c r="K507" s="348">
        <f t="shared" ref="K507:L507" si="897">K501-K503</f>
        <v>0</v>
      </c>
      <c r="L507" s="349">
        <f t="shared" si="897"/>
        <v>0</v>
      </c>
      <c r="M507" s="281"/>
      <c r="N507" s="228">
        <f>N501-N503</f>
        <v>0</v>
      </c>
      <c r="O507" s="173"/>
      <c r="P507" s="228">
        <f t="shared" ref="P507:Q507" si="898">P501-P503</f>
        <v>0</v>
      </c>
      <c r="Q507" s="254">
        <f t="shared" si="898"/>
        <v>0</v>
      </c>
      <c r="R507" s="255"/>
      <c r="S507" s="228">
        <f>S501-S503</f>
        <v>0</v>
      </c>
      <c r="T507" s="173"/>
      <c r="U507" s="228">
        <f t="shared" ref="U507:V507" si="899">U501-U503</f>
        <v>0</v>
      </c>
      <c r="V507" s="254">
        <f t="shared" si="899"/>
        <v>0</v>
      </c>
      <c r="W507" s="255"/>
      <c r="X507" s="228">
        <f>X501-X503</f>
        <v>0</v>
      </c>
      <c r="Y507" s="173"/>
      <c r="Z507" s="228">
        <f t="shared" ref="Z507:AA507" si="900">Z501-Z503</f>
        <v>0</v>
      </c>
      <c r="AA507" s="254">
        <f t="shared" si="900"/>
        <v>0</v>
      </c>
      <c r="AB507" s="266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s="5" customFormat="1">
      <c r="A508" s="1"/>
      <c r="B508" s="1"/>
      <c r="C508" s="1"/>
      <c r="D508" s="227"/>
      <c r="E508" s="227" t="s">
        <v>382</v>
      </c>
      <c r="F508" s="227" t="str">
        <f t="shared" si="780"/>
        <v>Авто</v>
      </c>
      <c r="G508" s="227" t="s">
        <v>219</v>
      </c>
      <c r="H508" s="347"/>
      <c r="I508" s="348">
        <f>I504-I503</f>
        <v>42369</v>
      </c>
      <c r="J508" s="321"/>
      <c r="K508" s="348">
        <f t="shared" ref="K508:L508" si="901">K504-K503</f>
        <v>42369</v>
      </c>
      <c r="L508" s="349">
        <f t="shared" si="901"/>
        <v>42369</v>
      </c>
      <c r="M508" s="281"/>
      <c r="N508" s="228">
        <f>N504-N503</f>
        <v>42308</v>
      </c>
      <c r="O508" s="173"/>
      <c r="P508" s="228">
        <f t="shared" ref="P508:Q508" si="902">P504-P503</f>
        <v>42308</v>
      </c>
      <c r="Q508" s="254">
        <f t="shared" si="902"/>
        <v>42308</v>
      </c>
      <c r="R508" s="255"/>
      <c r="S508" s="228">
        <f>S504-S503</f>
        <v>42338</v>
      </c>
      <c r="T508" s="173"/>
      <c r="U508" s="228">
        <f t="shared" ref="U508:V508" si="903">U504-U503</f>
        <v>42338</v>
      </c>
      <c r="V508" s="254">
        <f t="shared" si="903"/>
        <v>42338</v>
      </c>
      <c r="W508" s="255"/>
      <c r="X508" s="228">
        <f>X504-X503</f>
        <v>42369</v>
      </c>
      <c r="Y508" s="173"/>
      <c r="Z508" s="228">
        <f t="shared" ref="Z508:AA508" si="904">Z504-Z503</f>
        <v>42369</v>
      </c>
      <c r="AA508" s="254">
        <f t="shared" si="904"/>
        <v>42369</v>
      </c>
      <c r="AB508" s="266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s="5" customFormat="1">
      <c r="A509" s="1"/>
      <c r="B509" s="1"/>
      <c r="C509" s="1"/>
      <c r="D509" s="225"/>
      <c r="E509" s="225" t="s">
        <v>383</v>
      </c>
      <c r="F509" s="225" t="str">
        <f t="shared" si="780"/>
        <v>Авто</v>
      </c>
      <c r="G509" s="225" t="s">
        <v>219</v>
      </c>
      <c r="H509" s="350"/>
      <c r="I509" s="351">
        <f>I507-I508</f>
        <v>-42369</v>
      </c>
      <c r="J509" s="352"/>
      <c r="K509" s="351">
        <f t="shared" ref="K509" si="905">K507-K508</f>
        <v>-42369</v>
      </c>
      <c r="L509" s="353">
        <f t="shared" ref="L509" si="906">L507-L508</f>
        <v>-42369</v>
      </c>
      <c r="M509" s="282"/>
      <c r="N509" s="226">
        <f>N507-N508</f>
        <v>-42308</v>
      </c>
      <c r="O509" s="181"/>
      <c r="P509" s="226">
        <f t="shared" ref="P509" si="907">P507-P508</f>
        <v>-42308</v>
      </c>
      <c r="Q509" s="256">
        <f t="shared" ref="Q509" si="908">Q507-Q508</f>
        <v>-42308</v>
      </c>
      <c r="R509" s="257"/>
      <c r="S509" s="226">
        <f>S507-S508</f>
        <v>-42338</v>
      </c>
      <c r="T509" s="181"/>
      <c r="U509" s="226">
        <f t="shared" ref="U509" si="909">U507-U508</f>
        <v>-42338</v>
      </c>
      <c r="V509" s="256">
        <f t="shared" ref="V509" si="910">V507-V508</f>
        <v>-42338</v>
      </c>
      <c r="W509" s="257"/>
      <c r="X509" s="226">
        <f>X507-X508</f>
        <v>-42369</v>
      </c>
      <c r="Y509" s="181"/>
      <c r="Z509" s="226">
        <f t="shared" ref="Z509" si="911">Z507-Z508</f>
        <v>-42369</v>
      </c>
      <c r="AA509" s="256">
        <f t="shared" ref="AA509" si="912">AA507-AA508</f>
        <v>-42369</v>
      </c>
      <c r="AB509" s="266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s="5" customFormat="1">
      <c r="A510" s="1"/>
      <c r="B510" s="1"/>
      <c r="C510" s="1"/>
      <c r="D510" s="168" t="s">
        <v>312</v>
      </c>
      <c r="E510" s="168"/>
      <c r="F510" s="168" t="str">
        <f t="shared" si="780"/>
        <v>Авто</v>
      </c>
      <c r="G510" s="168" t="s">
        <v>261</v>
      </c>
      <c r="H510" s="326"/>
      <c r="I510" s="327">
        <f>SUMIFS(операции!$AC:$AC,операции!$AB:$AB,"&gt;="&amp;I$8,операции!$AB:$AB,"&lt;="&amp;I$9,операции!$P:$P,$F457)</f>
        <v>0</v>
      </c>
      <c r="J510" s="313">
        <f>I510-K510-L510</f>
        <v>0</v>
      </c>
      <c r="K510" s="327">
        <f>SUMIFS(операции!$AC:$AC,операции!$AB:$AB,"&gt;="&amp;I$8,операции!$AB:$AB,"&lt;="&amp;I$9,операции!$L:$L,K$9,операции!$P:$P,$F457)</f>
        <v>0</v>
      </c>
      <c r="L510" s="328">
        <f>SUMIFS(операции!$AC:$AC,операции!$AB:$AB,"&gt;="&amp;I$8,операции!$AB:$AB,"&lt;="&amp;I$9,операции!$L:$L,L$9,операции!$P:$P,$F457)</f>
        <v>0</v>
      </c>
      <c r="M510" s="277"/>
      <c r="N510" s="169">
        <f>SUMIFS(операции!$AC:$AC,операции!$AB:$AB,"&gt;="&amp;N$8,операции!$AB:$AB,"&lt;="&amp;N$9,операции!$P:$P,$F457)</f>
        <v>0</v>
      </c>
      <c r="O510" s="170">
        <f>N510-P510-Q510</f>
        <v>0</v>
      </c>
      <c r="P510" s="169">
        <f>SUMIFS(операции!$AC:$AC,операции!$AB:$AB,"&gt;="&amp;N$8,операции!$AB:$AB,"&lt;="&amp;N$9,операции!$L:$L,P$9,операции!$P:$P,$F457)</f>
        <v>0</v>
      </c>
      <c r="Q510" s="243">
        <f>SUMIFS(операции!$AC:$AC,операции!$AB:$AB,"&gt;="&amp;N$8,операции!$AB:$AB,"&lt;="&amp;N$9,операции!$L:$L,Q$9,операции!$P:$P,$F457)</f>
        <v>0</v>
      </c>
      <c r="R510" s="244"/>
      <c r="S510" s="169">
        <f>SUMIFS(операции!$AC:$AC,операции!$AB:$AB,"&gt;="&amp;S$8,операции!$AB:$AB,"&lt;="&amp;S$9,операции!$P:$P,$F457)</f>
        <v>0</v>
      </c>
      <c r="T510" s="170">
        <f>S510-U510-V510</f>
        <v>0</v>
      </c>
      <c r="U510" s="169">
        <f>SUMIFS(операции!$AC:$AC,операции!$AB:$AB,"&gt;="&amp;S$8,операции!$AB:$AB,"&lt;="&amp;S$9,операции!$L:$L,U$9,операции!$P:$P,$F457)</f>
        <v>0</v>
      </c>
      <c r="V510" s="243">
        <f>SUMIFS(операции!$AC:$AC,операции!$AB:$AB,"&gt;="&amp;S$8,операции!$AB:$AB,"&lt;="&amp;S$9,операции!$L:$L,V$9,операции!$P:$P,$F457)</f>
        <v>0</v>
      </c>
      <c r="W510" s="244"/>
      <c r="X510" s="169">
        <f>SUMIFS(операции!$AC:$AC,операции!$AB:$AB,"&gt;="&amp;X$8,операции!$AB:$AB,"&lt;="&amp;X$9,операции!$P:$P,$F457)</f>
        <v>0</v>
      </c>
      <c r="Y510" s="170">
        <f>X510-Z510-AA510</f>
        <v>0</v>
      </c>
      <c r="Z510" s="169">
        <f>SUMIFS(операции!$AC:$AC,операции!$AB:$AB,"&gt;="&amp;X$8,операции!$AB:$AB,"&lt;="&amp;X$9,операции!$L:$L,Z$9,операции!$P:$P,$F457)</f>
        <v>0</v>
      </c>
      <c r="AA510" s="243">
        <f>SUMIFS(операции!$AC:$AC,операции!$AB:$AB,"&gt;="&amp;X$8,операции!$AB:$AB,"&lt;="&amp;X$9,операции!$L:$L,AA$9,операции!$P:$P,$F457)</f>
        <v>0</v>
      </c>
      <c r="AB510" s="266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s="192" customFormat="1" ht="11.25">
      <c r="A511" s="37"/>
      <c r="B511" s="37"/>
      <c r="C511" s="37"/>
      <c r="D511" s="207" t="s">
        <v>255</v>
      </c>
      <c r="E511" s="207"/>
      <c r="F511" s="207" t="str">
        <f t="shared" si="780"/>
        <v>Авто</v>
      </c>
      <c r="G511" s="207" t="s">
        <v>262</v>
      </c>
      <c r="H511" s="331"/>
      <c r="I511" s="337">
        <f>IF(I510=0,0,SUMIFS(операции!$AH:$AH,операции!$AB:$AB,"&gt;="&amp;I$8,операции!$AB:$AB,"&lt;="&amp;I$9,операции!$P:$P,$F457)/I510)</f>
        <v>0</v>
      </c>
      <c r="J511" s="333"/>
      <c r="K511" s="337">
        <f>IF(K510=0,0,SUMIFS(операции!$AH:$AH,операции!$AB:$AB,"&gt;="&amp;I$8,операции!$AB:$AB,"&lt;="&amp;I$9,операции!$L:$L,K$9,операции!$P:$P,$F457)/K510)</f>
        <v>0</v>
      </c>
      <c r="L511" s="338">
        <f>IF(L510=0,0,SUMIFS(операции!$AH:$AH,операции!$AB:$AB,"&gt;="&amp;I$8,операции!$AB:$AB,"&lt;="&amp;I$9,операции!$L:$L,L$9,операции!$P:$P,$F457)/L510)</f>
        <v>0</v>
      </c>
      <c r="M511" s="278"/>
      <c r="N511" s="217">
        <f>IF(N510=0,0,SUMIFS(операции!$AH:$AH,операции!$AB:$AB,"&gt;="&amp;N$8,операции!$AB:$AB,"&lt;="&amp;N$9,операции!$P:$P,$F457)/N510)</f>
        <v>0</v>
      </c>
      <c r="O511" s="208"/>
      <c r="P511" s="217">
        <f>IF(P510=0,0,SUMIFS(операции!$AH:$AH,операции!$AB:$AB,"&gt;="&amp;N$8,операции!$AB:$AB,"&lt;="&amp;N$9,операции!$L:$L,P$9,операции!$P:$P,$F457)/P510)</f>
        <v>0</v>
      </c>
      <c r="Q511" s="249">
        <f>IF(Q510=0,0,SUMIFS(операции!$AH:$AH,операции!$AB:$AB,"&gt;="&amp;N$8,операции!$AB:$AB,"&lt;="&amp;N$9,операции!$L:$L,Q$9,операции!$P:$P,$F457)/Q510)</f>
        <v>0</v>
      </c>
      <c r="R511" s="247"/>
      <c r="S511" s="217">
        <f>IF(S510=0,0,SUMIFS(операции!$AH:$AH,операции!$AB:$AB,"&gt;="&amp;S$8,операции!$AB:$AB,"&lt;="&amp;S$9,операции!$P:$P,$F457)/S510)</f>
        <v>0</v>
      </c>
      <c r="T511" s="208"/>
      <c r="U511" s="217">
        <f>IF(U510=0,0,SUMIFS(операции!$AH:$AH,операции!$AB:$AB,"&gt;="&amp;S$8,операции!$AB:$AB,"&lt;="&amp;S$9,операции!$L:$L,U$9,операции!$P:$P,$F457)/U510)</f>
        <v>0</v>
      </c>
      <c r="V511" s="249">
        <f>IF(V510=0,0,SUMIFS(операции!$AH:$AH,операции!$AB:$AB,"&gt;="&amp;S$8,операции!$AB:$AB,"&lt;="&amp;S$9,операции!$L:$L,V$9,операции!$P:$P,$F457)/V510)</f>
        <v>0</v>
      </c>
      <c r="W511" s="247"/>
      <c r="X511" s="217">
        <f>IF(X510=0,0,SUMIFS(операции!$AH:$AH,операции!$AB:$AB,"&gt;="&amp;X$8,операции!$AB:$AB,"&lt;="&amp;X$9,операции!$P:$P,$F457)/X510)</f>
        <v>0</v>
      </c>
      <c r="Y511" s="208"/>
      <c r="Z511" s="217">
        <f>IF(Z510=0,0,SUMIFS(операции!$AH:$AH,операции!$AB:$AB,"&gt;="&amp;X$8,операции!$AB:$AB,"&lt;="&amp;X$9,операции!$L:$L,Z$9,операции!$P:$P,$F457)/Z510)</f>
        <v>0</v>
      </c>
      <c r="AA511" s="249">
        <f>IF(AA510=0,0,SUMIFS(операции!$AH:$AH,операции!$AB:$AB,"&gt;="&amp;X$8,операции!$AB:$AB,"&lt;="&amp;X$9,операции!$L:$L,AA$9,операции!$P:$P,$F457)/AA510)</f>
        <v>0</v>
      </c>
      <c r="AB511" s="265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</row>
    <row r="512" spans="1:42" s="111" customFormat="1" ht="11.25">
      <c r="A512" s="108"/>
      <c r="B512" s="108"/>
      <c r="C512" s="209" t="s">
        <v>279</v>
      </c>
      <c r="D512" s="109"/>
      <c r="E512" s="109"/>
      <c r="F512" s="109" t="str">
        <f t="shared" si="780"/>
        <v>Авто</v>
      </c>
      <c r="G512" s="109"/>
      <c r="H512" s="307"/>
      <c r="I512" s="308">
        <f>I513-K513-L513+K512+L512</f>
        <v>0</v>
      </c>
      <c r="J512" s="309">
        <f>I457+I475-I482-I513</f>
        <v>0</v>
      </c>
      <c r="K512" s="308">
        <f>K457+K475-K482-K513</f>
        <v>0</v>
      </c>
      <c r="L512" s="336">
        <f>L457+L475-L482-L513</f>
        <v>0</v>
      </c>
      <c r="M512" s="272"/>
      <c r="N512" s="110">
        <f>N513-P513-Q513</f>
        <v>0</v>
      </c>
      <c r="O512" s="215">
        <f>N457+N475-N482-N513</f>
        <v>0</v>
      </c>
      <c r="P512" s="110">
        <f>P457+P475-P482-P513</f>
        <v>0</v>
      </c>
      <c r="Q512" s="248">
        <f>Q457+Q475-Q482-Q513</f>
        <v>0</v>
      </c>
      <c r="R512" s="234"/>
      <c r="S512" s="110">
        <f>S513-U513-V513</f>
        <v>0</v>
      </c>
      <c r="T512" s="215">
        <f>S457+S475-S482-S513</f>
        <v>0</v>
      </c>
      <c r="U512" s="110">
        <f>U457+U475-U482-U513</f>
        <v>0</v>
      </c>
      <c r="V512" s="248">
        <f>V457+V475-V482-V513</f>
        <v>0</v>
      </c>
      <c r="W512" s="234"/>
      <c r="X512" s="110">
        <f>X513-Z513-AA513</f>
        <v>0</v>
      </c>
      <c r="Y512" s="215">
        <f>X457+X475-X482-X513</f>
        <v>0</v>
      </c>
      <c r="Z512" s="110">
        <f>Z457+Z475-Z482-Z513</f>
        <v>0</v>
      </c>
      <c r="AA512" s="248">
        <f>AA457+AA475-AA482-AA513</f>
        <v>0</v>
      </c>
      <c r="AB512" s="263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</row>
    <row r="513" spans="1:42" s="93" customFormat="1" ht="15">
      <c r="A513" s="92"/>
      <c r="B513" s="92"/>
      <c r="C513" s="214"/>
      <c r="D513" s="151" t="s">
        <v>238</v>
      </c>
      <c r="E513" s="151"/>
      <c r="F513" s="151" t="str">
        <f t="shared" si="780"/>
        <v>Авто</v>
      </c>
      <c r="G513" s="151" t="s">
        <v>261</v>
      </c>
      <c r="H513" s="311"/>
      <c r="I513" s="312">
        <f>SUMIFS(операции!$V:$V,операции!$T:$T,"&lt;="&amp;I$9,операции!$X:$X,"",операции!$P:$P,$F457)+SUMIFS(операции!$V:$V,операции!$T:$T,"&lt;="&amp;I$9,операции!$X:$X,"&gt;"&amp;I$9,операции!$P:$P,$F457)</f>
        <v>0</v>
      </c>
      <c r="J513" s="313">
        <f>I513-I518-I524</f>
        <v>0</v>
      </c>
      <c r="K513" s="312">
        <f>SUMIFS(операции!$V:$V,операции!$T:$T,"&lt;="&amp;I$9,операции!$X:$X,"",операции!$L:$L,K$9,операции!$P:$P,$F457)+SUMIFS(операции!$V:$V,операции!$T:$T,"&lt;="&amp;I$9,операции!$X:$X,"&gt;"&amp;I$9,операции!$L:$L,K$9,операции!$P:$P,$F457)</f>
        <v>0</v>
      </c>
      <c r="L513" s="314">
        <f>SUMIFS(операции!$V:$V,операции!$T:$T,"&lt;="&amp;I$9,операции!$X:$X,"",операции!$L:$L,L$9,операции!$P:$P,$F457)+SUMIFS(операции!$V:$V,операции!$T:$T,"&lt;="&amp;I$9,операции!$X:$X,"&gt;"&amp;I$9,операции!$L:$L,L$9,операции!$P:$P,$F457)</f>
        <v>0</v>
      </c>
      <c r="M513" s="273"/>
      <c r="N513" s="152">
        <f>SUMIFS(операции!$V:$V,операции!$T:$T,"&lt;="&amp;N$9,операции!$X:$X,"",операции!$P:$P,$F457)+SUMIFS(операции!$V:$V,операции!$T:$T,"&lt;="&amp;N$9,операции!$X:$X,"&gt;"&amp;N$9,операции!$P:$P,$F457)</f>
        <v>5100</v>
      </c>
      <c r="O513" s="170">
        <f>N513-N518-N524</f>
        <v>0</v>
      </c>
      <c r="P513" s="152">
        <f>SUMIFS(операции!$V:$V,операции!$T:$T,"&lt;="&amp;N$9,операции!$X:$X,"",операции!$L:$L,P$9,операции!$P:$P,$F457)+SUMIFS(операции!$V:$V,операции!$T:$T,"&lt;="&amp;N$9,операции!$X:$X,"&gt;"&amp;N$9,операции!$L:$L,P$9,операции!$P:$P,$F457)</f>
        <v>5100</v>
      </c>
      <c r="Q513" s="235">
        <f>SUMIFS(операции!$V:$V,операции!$T:$T,"&lt;="&amp;N$9,операции!$X:$X,"",операции!$L:$L,Q$9,операции!$P:$P,$F457)+SUMIFS(операции!$V:$V,операции!$T:$T,"&lt;="&amp;N$9,операции!$X:$X,"&gt;"&amp;N$9,операции!$L:$L,Q$9,операции!$P:$P,$F457)</f>
        <v>0</v>
      </c>
      <c r="R513" s="236"/>
      <c r="S513" s="152">
        <f>SUMIFS(операции!$V:$V,операции!$T:$T,"&lt;="&amp;S$9,операции!$X:$X,"",операции!$P:$P,$F457)+SUMIFS(операции!$V:$V,операции!$T:$T,"&lt;="&amp;S$9,операции!$X:$X,"&gt;"&amp;S$9,операции!$P:$P,$F457)</f>
        <v>0</v>
      </c>
      <c r="T513" s="170">
        <f>S513-S518-S524</f>
        <v>0</v>
      </c>
      <c r="U513" s="152">
        <f>SUMIFS(операции!$V:$V,операции!$T:$T,"&lt;="&amp;S$9,операции!$X:$X,"",операции!$L:$L,U$9,операции!$P:$P,$F457)+SUMIFS(операции!$V:$V,операции!$T:$T,"&lt;="&amp;S$9,операции!$X:$X,"&gt;"&amp;S$9,операции!$L:$L,U$9,операции!$P:$P,$F457)</f>
        <v>0</v>
      </c>
      <c r="V513" s="235">
        <f>SUMIFS(операции!$V:$V,операции!$T:$T,"&lt;="&amp;S$9,операции!$X:$X,"",операции!$L:$L,V$9,операции!$P:$P,$F457)+SUMIFS(операции!$V:$V,операции!$T:$T,"&lt;="&amp;S$9,операции!$X:$X,"&gt;"&amp;S$9,операции!$L:$L,V$9,операции!$P:$P,$F457)</f>
        <v>0</v>
      </c>
      <c r="W513" s="236"/>
      <c r="X513" s="152">
        <f>SUMIFS(операции!$V:$V,операции!$T:$T,"&lt;="&amp;X$9,операции!$X:$X,"",операции!$P:$P,$F457)+SUMIFS(операции!$V:$V,операции!$T:$T,"&lt;="&amp;X$9,операции!$X:$X,"&gt;"&amp;X$9,операции!$P:$P,$F457)</f>
        <v>0</v>
      </c>
      <c r="Y513" s="170">
        <f>X513-X518-X524</f>
        <v>0</v>
      </c>
      <c r="Z513" s="152">
        <f>SUMIFS(операции!$V:$V,операции!$T:$T,"&lt;="&amp;X$9,операции!$X:$X,"",операции!$L:$L,Z$9,операции!$P:$P,$F457)+SUMIFS(операции!$V:$V,операции!$T:$T,"&lt;="&amp;X$9,операции!$X:$X,"&gt;"&amp;X$9,операции!$L:$L,Z$9,операции!$P:$P,$F457)</f>
        <v>0</v>
      </c>
      <c r="AA513" s="235">
        <f>SUMIFS(операции!$V:$V,операции!$T:$T,"&lt;="&amp;X$9,операции!$X:$X,"",операции!$L:$L,AA$9,операции!$P:$P,$F457)+SUMIFS(операции!$V:$V,операции!$T:$T,"&lt;="&amp;X$9,операции!$X:$X,"&gt;"&amp;X$9,операции!$L:$L,AA$9,операции!$P:$P,$F457)</f>
        <v>0</v>
      </c>
      <c r="AB513" s="264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</row>
    <row r="514" spans="1:42" s="192" customFormat="1" ht="11.25">
      <c r="A514" s="37"/>
      <c r="B514" s="37"/>
      <c r="C514" s="37"/>
      <c r="D514" s="191" t="s">
        <v>255</v>
      </c>
      <c r="E514" s="191"/>
      <c r="F514" s="191" t="str">
        <f t="shared" si="780"/>
        <v>Авто</v>
      </c>
      <c r="G514" s="191" t="s">
        <v>262</v>
      </c>
      <c r="H514" s="315"/>
      <c r="I514" s="316">
        <f>IF(I513=0,0,(SUMIFS(операции!$AF:$AF,операции!$T:$T,"&lt;="&amp;I$9,операции!$X:$X,"",операции!$P:$P,$F457)+SUMIFS(операции!$AF:$AF,операции!$T:$T,"&lt;="&amp;I$9,операции!$X:$X,"&gt;"&amp;I$9,операции!$P:$P,$F457))/I513)</f>
        <v>0</v>
      </c>
      <c r="J514" s="317"/>
      <c r="K514" s="316">
        <f>IF(K513=0,0,(SUMIFS(операции!$AF:$AF,операции!$T:$T,"&lt;="&amp;I$9,операции!$X:$X,"",операции!$L:$L,K$9,операции!$P:$P,$F457)+SUMIFS(операции!$AF:$AF,операции!$T:$T,"&lt;="&amp;I$9,операции!$X:$X,"&gt;"&amp;I$9,операции!$L:$L,K$9,операции!$P:$P,$F457))/K513)</f>
        <v>0</v>
      </c>
      <c r="L514" s="318">
        <f>IF(L513=0,0,(SUMIFS(операции!$AF:$AF,операции!$T:$T,"&lt;="&amp;I$9,операции!$X:$X,"",операции!$L:$L,L$9,операции!$P:$P,$F457)+SUMIFS(операции!$AF:$AF,операции!$T:$T,"&lt;="&amp;I$9,операции!$X:$X,"&gt;"&amp;I$9,операции!$L:$L,L$9,операции!$P:$P,$F457))/L513)</f>
        <v>0</v>
      </c>
      <c r="M514" s="274"/>
      <c r="N514" s="193">
        <f>IF(N513=0,0,(SUMIFS(операции!$AF:$AF,операции!$T:$T,"&lt;="&amp;N$9,операции!$X:$X,"",операции!$P:$P,$F457)+SUMIFS(операции!$AF:$AF,операции!$T:$T,"&lt;="&amp;N$9,операции!$X:$X,"&gt;"&amp;N$9,операции!$P:$P,$F457))/N513)</f>
        <v>42151</v>
      </c>
      <c r="O514" s="196"/>
      <c r="P514" s="193">
        <f>IF(P513=0,0,(SUMIFS(операции!$AF:$AF,операции!$T:$T,"&lt;="&amp;N$9,операции!$X:$X,"",операции!$L:$L,P$9,операции!$P:$P,$F457)+SUMIFS(операции!$AF:$AF,операции!$T:$T,"&lt;="&amp;N$9,операции!$X:$X,"&gt;"&amp;N$9,операции!$L:$L,P$9,операции!$P:$P,$F457))/P513)</f>
        <v>42151</v>
      </c>
      <c r="Q514" s="237">
        <f>IF(Q513=0,0,(SUMIFS(операции!$AF:$AF,операции!$T:$T,"&lt;="&amp;N$9,операции!$X:$X,"",операции!$L:$L,Q$9,операции!$P:$P,$F457)+SUMIFS(операции!$AF:$AF,операции!$T:$T,"&lt;="&amp;N$9,операции!$X:$X,"&gt;"&amp;N$9,операции!$L:$L,Q$9,операции!$P:$P,$F457))/Q513)</f>
        <v>0</v>
      </c>
      <c r="R514" s="238"/>
      <c r="S514" s="193">
        <f>IF(S513=0,0,(SUMIFS(операции!$AF:$AF,операции!$T:$T,"&lt;="&amp;S$9,операции!$X:$X,"",операции!$P:$P,$F457)+SUMIFS(операции!$AF:$AF,операции!$T:$T,"&lt;="&amp;S$9,операции!$X:$X,"&gt;"&amp;S$9,операции!$P:$P,$F457))/S513)</f>
        <v>0</v>
      </c>
      <c r="T514" s="196"/>
      <c r="U514" s="193">
        <f>IF(U513=0,0,(SUMIFS(операции!$AF:$AF,операции!$T:$T,"&lt;="&amp;S$9,операции!$X:$X,"",операции!$L:$L,U$9,операции!$P:$P,$F457)+SUMIFS(операции!$AF:$AF,операции!$T:$T,"&lt;="&amp;S$9,операции!$X:$X,"&gt;"&amp;S$9,операции!$L:$L,U$9,операции!$P:$P,$F457))/U513)</f>
        <v>0</v>
      </c>
      <c r="V514" s="237">
        <f>IF(V513=0,0,(SUMIFS(операции!$AF:$AF,операции!$T:$T,"&lt;="&amp;S$9,операции!$X:$X,"",операции!$L:$L,V$9,операции!$P:$P,$F457)+SUMIFS(операции!$AF:$AF,операции!$T:$T,"&lt;="&amp;S$9,операции!$X:$X,"&gt;"&amp;S$9,операции!$L:$L,V$9,операции!$P:$P,$F457))/V513)</f>
        <v>0</v>
      </c>
      <c r="W514" s="238"/>
      <c r="X514" s="193">
        <f>IF(X513=0,0,(SUMIFS(операции!$AF:$AF,операции!$T:$T,"&lt;="&amp;X$9,операции!$X:$X,"",операции!$P:$P,$F457)+SUMIFS(операции!$AF:$AF,операции!$T:$T,"&lt;="&amp;X$9,операции!$X:$X,"&gt;"&amp;X$9,операции!$P:$P,$F457))/X513)</f>
        <v>0</v>
      </c>
      <c r="Y514" s="196"/>
      <c r="Z514" s="193">
        <f>IF(Z513=0,0,(SUMIFS(операции!$AF:$AF,операции!$T:$T,"&lt;="&amp;X$9,операции!$X:$X,"",операции!$L:$L,Z$9,операции!$P:$P,$F457)+SUMIFS(операции!$AF:$AF,операции!$T:$T,"&lt;="&amp;X$9,операции!$X:$X,"&gt;"&amp;X$9,операции!$L:$L,Z$9,операции!$P:$P,$F457))/Z513)</f>
        <v>0</v>
      </c>
      <c r="AA514" s="237">
        <f>IF(AA513=0,0,(SUMIFS(операции!$AF:$AF,операции!$T:$T,"&lt;="&amp;X$9,операции!$X:$X,"",операции!$L:$L,AA$9,операции!$P:$P,$F457)+SUMIFS(операции!$AF:$AF,операции!$T:$T,"&lt;="&amp;X$9,операции!$X:$X,"&gt;"&amp;X$9,операции!$L:$L,AA$9,операции!$P:$P,$F457))/AA513)</f>
        <v>0</v>
      </c>
      <c r="AB514" s="265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</row>
    <row r="515" spans="1:42" s="50" customFormat="1" ht="11.25">
      <c r="A515" s="48"/>
      <c r="B515" s="48"/>
      <c r="C515" s="48"/>
      <c r="D515" s="154" t="s">
        <v>239</v>
      </c>
      <c r="E515" s="154"/>
      <c r="F515" s="154" t="str">
        <f t="shared" si="780"/>
        <v>Авто</v>
      </c>
      <c r="G515" s="154" t="s">
        <v>219</v>
      </c>
      <c r="H515" s="319"/>
      <c r="I515" s="320">
        <f>IF(I513=0,0,I$9-I514)</f>
        <v>0</v>
      </c>
      <c r="J515" s="321">
        <f>I515-SUMIFS(ПОбТЗ!$I:$I,ПОбТЗ!$E:$E,$D515,ПОбТЗ!$F:$F,$F515)</f>
        <v>0</v>
      </c>
      <c r="K515" s="320">
        <f>IF(K513=0,0,I$9-K514)</f>
        <v>0</v>
      </c>
      <c r="L515" s="322">
        <f>IF(L513=0,0,I$9-L514)</f>
        <v>0</v>
      </c>
      <c r="M515" s="275"/>
      <c r="N515" s="155">
        <f>IF(N513=0,0,N$9-N514)</f>
        <v>157</v>
      </c>
      <c r="O515" s="173">
        <f>N515-SUMIFS(ПОбТЗ_2!$J:$J,ПОбТЗ_2!$D:$D,$D515,ПОбТЗ_2!$E:$E,$F515)</f>
        <v>0</v>
      </c>
      <c r="P515" s="155">
        <f>IF(P513=0,0,N$9-P514)</f>
        <v>157</v>
      </c>
      <c r="Q515" s="239">
        <f>IF(Q513=0,0,N$9-Q514)</f>
        <v>0</v>
      </c>
      <c r="R515" s="240"/>
      <c r="S515" s="155">
        <f>IF(S513=0,0,S$9-S514)</f>
        <v>0</v>
      </c>
      <c r="T515" s="173">
        <f>S515-SUMIFS(ПОбТЗ_2!$K:$K,ПОбТЗ_2!$D:$D,$D515,ПОбТЗ_2!$E:$E,$F515)</f>
        <v>0</v>
      </c>
      <c r="U515" s="155">
        <f>IF(U513=0,0,S$9-U514)</f>
        <v>0</v>
      </c>
      <c r="V515" s="239">
        <f>IF(V513=0,0,S$9-V514)</f>
        <v>0</v>
      </c>
      <c r="W515" s="240"/>
      <c r="X515" s="155">
        <f>IF(X513=0,0,X$9-X514)</f>
        <v>0</v>
      </c>
      <c r="Y515" s="173">
        <f>X515-SUMIFS(ПОбТЗ_2!$L:$L,ПОбТЗ_2!$D:$D,$D515,ПОбТЗ_2!$E:$E,$F515)</f>
        <v>0</v>
      </c>
      <c r="Z515" s="155">
        <f>IF(Z513=0,0,X$9-Z514)</f>
        <v>0</v>
      </c>
      <c r="AA515" s="239">
        <f>IF(AA513=0,0,X$9-AA514)</f>
        <v>0</v>
      </c>
      <c r="AB515" s="230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</row>
    <row r="516" spans="1:42" s="93" customFormat="1" ht="15">
      <c r="A516" s="92"/>
      <c r="B516" s="92"/>
      <c r="C516" s="92"/>
      <c r="D516" s="198" t="s">
        <v>280</v>
      </c>
      <c r="E516" s="198"/>
      <c r="F516" s="198" t="str">
        <f t="shared" si="780"/>
        <v>Авто</v>
      </c>
      <c r="G516" s="198" t="s">
        <v>219</v>
      </c>
      <c r="H516" s="323"/>
      <c r="I516" s="324">
        <f>IF(I513=0,0,(I518*I522+I524*I528)/I513)</f>
        <v>0</v>
      </c>
      <c r="J516" s="321"/>
      <c r="K516" s="324">
        <f>IF(K513=0,0,(K518*K522+K524*K528)/K513)</f>
        <v>0</v>
      </c>
      <c r="L516" s="325">
        <f>IF(L513=0,0,(L518*L522+L524*L528)/L513)</f>
        <v>0</v>
      </c>
      <c r="M516" s="276"/>
      <c r="N516" s="199">
        <f>IF(N513=0,0,(N518*N522+N524*N528)/N513)</f>
        <v>30</v>
      </c>
      <c r="O516" s="173"/>
      <c r="P516" s="199">
        <f>IF(P513=0,0,(P518*P522+P524*P528)/P513)</f>
        <v>30</v>
      </c>
      <c r="Q516" s="241">
        <f>IF(Q513=0,0,(Q518*Q522+Q524*Q528)/Q513)</f>
        <v>0</v>
      </c>
      <c r="R516" s="242"/>
      <c r="S516" s="199">
        <f>IF(S513=0,0,(S518*S522+S524*S528)/S513)</f>
        <v>0</v>
      </c>
      <c r="T516" s="173"/>
      <c r="U516" s="199">
        <f>IF(U513=0,0,(U518*U522+U524*U528)/U513)</f>
        <v>0</v>
      </c>
      <c r="V516" s="241">
        <f>IF(V513=0,0,(V518*V522+V524*V528)/V513)</f>
        <v>0</v>
      </c>
      <c r="W516" s="242"/>
      <c r="X516" s="199">
        <f>IF(X513=0,0,(X518*X522+X524*X528)/X513)</f>
        <v>0</v>
      </c>
      <c r="Y516" s="173"/>
      <c r="Z516" s="199">
        <f>IF(Z513=0,0,(Z518*Z522+Z524*Z528)/Z513)</f>
        <v>0</v>
      </c>
      <c r="AA516" s="241">
        <f>IF(AA513=0,0,(AA518*AA522+AA524*AA528)/AA513)</f>
        <v>0</v>
      </c>
      <c r="AB516" s="264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</row>
    <row r="517" spans="1:42" s="50" customFormat="1" ht="11.25">
      <c r="A517" s="48"/>
      <c r="B517" s="48"/>
      <c r="C517" s="48"/>
      <c r="D517" s="154" t="s">
        <v>281</v>
      </c>
      <c r="E517" s="154"/>
      <c r="F517" s="154" t="str">
        <f t="shared" si="780"/>
        <v>Авто</v>
      </c>
      <c r="G517" s="154" t="s">
        <v>219</v>
      </c>
      <c r="H517" s="319"/>
      <c r="I517" s="320">
        <f>I515-I516</f>
        <v>0</v>
      </c>
      <c r="J517" s="321"/>
      <c r="K517" s="320">
        <f>K515-K516</f>
        <v>0</v>
      </c>
      <c r="L517" s="322">
        <f>L515-L516</f>
        <v>0</v>
      </c>
      <c r="M517" s="275"/>
      <c r="N517" s="155">
        <f>N515-N516</f>
        <v>127</v>
      </c>
      <c r="O517" s="173"/>
      <c r="P517" s="155">
        <f>P515-P516</f>
        <v>127</v>
      </c>
      <c r="Q517" s="239">
        <f>Q515-Q516</f>
        <v>0</v>
      </c>
      <c r="R517" s="240"/>
      <c r="S517" s="155">
        <f>S515-S516</f>
        <v>0</v>
      </c>
      <c r="T517" s="173"/>
      <c r="U517" s="155">
        <f>U515-U516</f>
        <v>0</v>
      </c>
      <c r="V517" s="239">
        <f>V515-V516</f>
        <v>0</v>
      </c>
      <c r="W517" s="240"/>
      <c r="X517" s="155">
        <f>X515-X516</f>
        <v>0</v>
      </c>
      <c r="Y517" s="173"/>
      <c r="Z517" s="155">
        <f>Z515-Z516</f>
        <v>0</v>
      </c>
      <c r="AA517" s="239">
        <f>AA515-AA516</f>
        <v>0</v>
      </c>
      <c r="AB517" s="230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</row>
    <row r="518" spans="1:42" s="5" customFormat="1">
      <c r="A518" s="1"/>
      <c r="B518" s="1"/>
      <c r="C518" s="1"/>
      <c r="D518" s="168"/>
      <c r="E518" s="168" t="s">
        <v>282</v>
      </c>
      <c r="F518" s="168" t="str">
        <f t="shared" si="780"/>
        <v>Авто</v>
      </c>
      <c r="G518" s="168" t="s">
        <v>261</v>
      </c>
      <c r="H518" s="326"/>
      <c r="I518" s="327">
        <f>SUMIFS(операции!$V:$V,операции!$T:$T,"&lt;="&amp;I$9,операции!$X:$X,"",операции!$AB:$AB,"&lt;&gt;"&amp;"",операции!$AB:$AB,"&lt;="&amp;I$9,операции!$P:$P,$F457)+SUMIFS(операции!$V:$V,операции!$T:$T,"&lt;="&amp;I$9,операции!$X:$X,"&gt;"&amp;I$9,операции!$AB:$AB,"&lt;&gt;"&amp;"",операции!$AB:$AB,"&lt;="&amp;I$9,операции!$P:$P,$F457)</f>
        <v>0</v>
      </c>
      <c r="J518" s="313">
        <f>I518-K518-L518</f>
        <v>0</v>
      </c>
      <c r="K518" s="327">
        <f>SUMIFS(операции!$V:$V,операции!$T:$T,"&lt;="&amp;I$9,операции!$X:$X,"",операции!$AB:$AB,"&lt;&gt;"&amp;"",операции!$AB:$AB,"&lt;="&amp;I$9,операции!$L:$L,K$9,операции!$P:$P,$F457)+SUMIFS(операции!$V:$V,операции!$T:$T,"&lt;="&amp;I$9,операции!$X:$X,"&gt;"&amp;I$9,операции!$AB:$AB,"&lt;&gt;"&amp;"",операции!$AB:$AB,"&lt;="&amp;I$9,операции!$L:$L,K$9,операции!$P:$P,$F457)</f>
        <v>0</v>
      </c>
      <c r="L518" s="328">
        <f>SUMIFS(операции!$V:$V,операции!$T:$T,"&lt;="&amp;I$9,операции!$X:$X,"",операции!$AB:$AB,"&lt;&gt;"&amp;"",операции!$AB:$AB,"&lt;="&amp;I$9,операции!$L:$L,L$9,операции!$P:$P,$F457)+SUMIFS(операции!$V:$V,операции!$T:$T,"&lt;="&amp;I$9,операции!$X:$X,"&gt;"&amp;I$9,операции!$AB:$AB,"&lt;&gt;"&amp;"",операции!$AB:$AB,"&lt;="&amp;I$9,операции!$L:$L,L$9,операции!$P:$P,$F457)</f>
        <v>0</v>
      </c>
      <c r="M518" s="277"/>
      <c r="N518" s="169">
        <f>SUMIFS(операции!$V:$V,операции!$T:$T,"&lt;="&amp;N$9,операции!$X:$X,"",операции!$AB:$AB,"&lt;&gt;"&amp;"",операции!$AB:$AB,"&lt;="&amp;N$9,операции!$P:$P,$F457)+SUMIFS(операции!$V:$V,операции!$T:$T,"&lt;="&amp;N$9,операции!$X:$X,"&gt;"&amp;N$9,операции!$AB:$AB,"&lt;&gt;"&amp;"",операции!$AB:$AB,"&lt;="&amp;N$9,операции!$P:$P,$F457)</f>
        <v>5100</v>
      </c>
      <c r="O518" s="170">
        <f>N518-P518-Q518</f>
        <v>0</v>
      </c>
      <c r="P518" s="169">
        <f>SUMIFS(операции!$V:$V,операции!$T:$T,"&lt;="&amp;N$9,операции!$X:$X,"",операции!$AB:$AB,"&lt;&gt;"&amp;"",операции!$AB:$AB,"&lt;="&amp;N$9,операции!$L:$L,P$9,операции!$P:$P,$F457)+SUMIFS(операции!$V:$V,операции!$T:$T,"&lt;="&amp;N$9,операции!$X:$X,"&gt;"&amp;N$9,операции!$AB:$AB,"&lt;&gt;"&amp;"",операции!$AB:$AB,"&lt;="&amp;N$9,операции!$L:$L,P$9,операции!$P:$P,$F457)</f>
        <v>5100</v>
      </c>
      <c r="Q518" s="243">
        <f>SUMIFS(операции!$V:$V,операции!$T:$T,"&lt;="&amp;N$9,операции!$X:$X,"",операции!$AB:$AB,"&lt;&gt;"&amp;"",операции!$AB:$AB,"&lt;="&amp;N$9,операции!$L:$L,Q$9,операции!$P:$P,$F457)+SUMIFS(операции!$V:$V,операции!$T:$T,"&lt;="&amp;N$9,операции!$X:$X,"&gt;"&amp;N$9,операции!$AB:$AB,"&lt;&gt;"&amp;"",операции!$AB:$AB,"&lt;="&amp;N$9,операции!$L:$L,Q$9,операции!$P:$P,$F457)</f>
        <v>0</v>
      </c>
      <c r="R518" s="244"/>
      <c r="S518" s="169">
        <f>SUMIFS(операции!$V:$V,операции!$T:$T,"&lt;="&amp;S$9,операции!$X:$X,"",операции!$AB:$AB,"&lt;&gt;"&amp;"",операции!$AB:$AB,"&lt;="&amp;S$9,операции!$P:$P,$F457)+SUMIFS(операции!$V:$V,операции!$T:$T,"&lt;="&amp;S$9,операции!$X:$X,"&gt;"&amp;S$9,операции!$AB:$AB,"&lt;&gt;"&amp;"",операции!$AB:$AB,"&lt;="&amp;S$9,операции!$P:$P,$F457)</f>
        <v>0</v>
      </c>
      <c r="T518" s="170">
        <f>S518-U518-V518</f>
        <v>0</v>
      </c>
      <c r="U518" s="169">
        <f>SUMIFS(операции!$V:$V,операции!$T:$T,"&lt;="&amp;S$9,операции!$X:$X,"",операции!$AB:$AB,"&lt;&gt;"&amp;"",операции!$AB:$AB,"&lt;="&amp;S$9,операции!$L:$L,U$9,операции!$P:$P,$F457)+SUMIFS(операции!$V:$V,операции!$T:$T,"&lt;="&amp;S$9,операции!$X:$X,"&gt;"&amp;S$9,операции!$AB:$AB,"&lt;&gt;"&amp;"",операции!$AB:$AB,"&lt;="&amp;S$9,операции!$L:$L,U$9,операции!$P:$P,$F457)</f>
        <v>0</v>
      </c>
      <c r="V518" s="243">
        <f>SUMIFS(операции!$V:$V,операции!$T:$T,"&lt;="&amp;S$9,операции!$X:$X,"",операции!$AB:$AB,"&lt;&gt;"&amp;"",операции!$AB:$AB,"&lt;="&amp;S$9,операции!$L:$L,V$9,операции!$P:$P,$F457)+SUMIFS(операции!$V:$V,операции!$T:$T,"&lt;="&amp;S$9,операции!$X:$X,"&gt;"&amp;S$9,операции!$AB:$AB,"&lt;&gt;"&amp;"",операции!$AB:$AB,"&lt;="&amp;S$9,операции!$L:$L,V$9,операции!$P:$P,$F457)</f>
        <v>0</v>
      </c>
      <c r="W518" s="244"/>
      <c r="X518" s="169">
        <f>SUMIFS(операции!$V:$V,операции!$T:$T,"&lt;="&amp;X$9,операции!$X:$X,"",операции!$AB:$AB,"&lt;&gt;"&amp;"",операции!$AB:$AB,"&lt;="&amp;X$9,операции!$P:$P,$F457)+SUMIFS(операции!$V:$V,операции!$T:$T,"&lt;="&amp;X$9,операции!$X:$X,"&gt;"&amp;X$9,операции!$AB:$AB,"&lt;&gt;"&amp;"",операции!$AB:$AB,"&lt;="&amp;X$9,операции!$P:$P,$F457)</f>
        <v>0</v>
      </c>
      <c r="Y518" s="170">
        <f>X518-Z518-AA518</f>
        <v>0</v>
      </c>
      <c r="Z518" s="169">
        <f>SUMIFS(операции!$V:$V,операции!$T:$T,"&lt;="&amp;X$9,операции!$X:$X,"",операции!$AB:$AB,"&lt;&gt;"&amp;"",операции!$AB:$AB,"&lt;="&amp;X$9,операции!$L:$L,Z$9,операции!$P:$P,$F457)+SUMIFS(операции!$V:$V,операции!$T:$T,"&lt;="&amp;X$9,операции!$X:$X,"&gt;"&amp;X$9,операции!$AB:$AB,"&lt;&gt;"&amp;"",операции!$AB:$AB,"&lt;="&amp;X$9,операции!$L:$L,Z$9,операции!$P:$P,$F457)</f>
        <v>0</v>
      </c>
      <c r="AA518" s="243">
        <f>SUMIFS(операции!$V:$V,операции!$T:$T,"&lt;="&amp;X$9,операции!$X:$X,"",операции!$AB:$AB,"&lt;&gt;"&amp;"",операции!$AB:$AB,"&lt;="&amp;X$9,операции!$L:$L,AA$9,операции!$P:$P,$F457)+SUMIFS(операции!$V:$V,операции!$T:$T,"&lt;="&amp;X$9,операции!$X:$X,"&gt;"&amp;X$9,операции!$AB:$AB,"&lt;&gt;"&amp;"",операции!$AB:$AB,"&lt;="&amp;X$9,операции!$L:$L,AA$9,операции!$P:$P,$F457)</f>
        <v>0</v>
      </c>
      <c r="AB518" s="266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s="192" customFormat="1" ht="11.25">
      <c r="A519" s="37"/>
      <c r="B519" s="37"/>
      <c r="C519" s="37"/>
      <c r="D519" s="191"/>
      <c r="E519" s="191" t="s">
        <v>255</v>
      </c>
      <c r="F519" s="191" t="str">
        <f t="shared" si="780"/>
        <v>Авто</v>
      </c>
      <c r="G519" s="191" t="s">
        <v>262</v>
      </c>
      <c r="H519" s="315"/>
      <c r="I519" s="316">
        <f>IF(I518=0,0,(SUMIFS(операции!$AF:$AF,операции!$T:$T,"&lt;="&amp;I$9,операции!$X:$X,"",операции!$AB:$AB,"&lt;&gt;"&amp;"",операции!$AB:$AB,"&lt;="&amp;I$9,операции!$P:$P,$F457)+SUMIFS(операции!$AF:$AF,операции!$T:$T,"&lt;="&amp;I$9,операции!$X:$X,"&gt;"&amp;I$9,операции!$AB:$AB,"&lt;&gt;"&amp;"",операции!$AB:$AB,"&lt;="&amp;I$9,операции!$P:$P,$F457))/I518)</f>
        <v>0</v>
      </c>
      <c r="J519" s="317"/>
      <c r="K519" s="316">
        <f>IF(K518=0,0,(SUMIFS(операции!$AF:$AF,операции!$T:$T,"&lt;="&amp;I$9,операции!$X:$X,"",операции!$AB:$AB,"&lt;&gt;"&amp;"",операции!$AB:$AB,"&lt;="&amp;I$9,операции!$L:$L,K$9,операции!$P:$P,$F457)+SUMIFS(операции!$AF:$AF,операции!$T:$T,"&lt;="&amp;I$9,операции!$X:$X,"&gt;"&amp;I$9,операции!$AB:$AB,"&lt;&gt;"&amp;"",операции!$AB:$AB,"&lt;="&amp;I$9,операции!$L:$L,K$9,операции!$P:$P,$F457))/K518)</f>
        <v>0</v>
      </c>
      <c r="L519" s="318">
        <f>IF(L518=0,0,(SUMIFS(операции!$AF:$AF,операции!$T:$T,"&lt;="&amp;I$9,операции!$X:$X,"",операции!$AB:$AB,"&lt;&gt;"&amp;"",операции!$AB:$AB,"&lt;="&amp;I$9,операции!$L:$L,L$9,операции!$P:$P,$F457)+SUMIFS(операции!$AF:$AF,операции!$T:$T,"&lt;="&amp;I$9,операции!$X:$X,"&gt;"&amp;I$9,операции!$AB:$AB,"&lt;&gt;"&amp;"",операции!$AB:$AB,"&lt;="&amp;I$9,операции!$L:$L,L$9,операции!$P:$P,$F457))/L518)</f>
        <v>0</v>
      </c>
      <c r="M519" s="274"/>
      <c r="N519" s="193">
        <f>IF(N518=0,0,(SUMIFS(операции!$AF:$AF,операции!$T:$T,"&lt;="&amp;N$9,операции!$X:$X,"",операции!$AB:$AB,"&lt;&gt;"&amp;"",операции!$AB:$AB,"&lt;="&amp;N$9,операции!$P:$P,$F457)+SUMIFS(операции!$AF:$AF,операции!$T:$T,"&lt;="&amp;N$9,операции!$X:$X,"&gt;"&amp;N$9,операции!$AB:$AB,"&lt;&gt;"&amp;"",операции!$AB:$AB,"&lt;="&amp;N$9,операции!$P:$P,$F457))/N518)</f>
        <v>42151</v>
      </c>
      <c r="O519" s="196"/>
      <c r="P519" s="193">
        <f>IF(P518=0,0,(SUMIFS(операции!$AF:$AF,операции!$T:$T,"&lt;="&amp;N$9,операции!$X:$X,"",операции!$AB:$AB,"&lt;&gt;"&amp;"",операции!$AB:$AB,"&lt;="&amp;N$9,операции!$L:$L,P$9,операции!$P:$P,$F457)+SUMIFS(операции!$AF:$AF,операции!$T:$T,"&lt;="&amp;N$9,операции!$X:$X,"&gt;"&amp;N$9,операции!$AB:$AB,"&lt;&gt;"&amp;"",операции!$AB:$AB,"&lt;="&amp;N$9,операции!$L:$L,P$9,операции!$P:$P,$F457))/P518)</f>
        <v>42151</v>
      </c>
      <c r="Q519" s="237">
        <f>IF(Q518=0,0,(SUMIFS(операции!$AF:$AF,операции!$T:$T,"&lt;="&amp;N$9,операции!$X:$X,"",операции!$AB:$AB,"&lt;&gt;"&amp;"",операции!$AB:$AB,"&lt;="&amp;N$9,операции!$L:$L,Q$9,операции!$P:$P,$F457)+SUMIFS(операции!$AF:$AF,операции!$T:$T,"&lt;="&amp;N$9,операции!$X:$X,"&gt;"&amp;N$9,операции!$AB:$AB,"&lt;&gt;"&amp;"",операции!$AB:$AB,"&lt;="&amp;N$9,операции!$L:$L,Q$9,операции!$P:$P,$F457))/Q518)</f>
        <v>0</v>
      </c>
      <c r="R519" s="238"/>
      <c r="S519" s="193">
        <f>IF(S518=0,0,(SUMIFS(операции!$AF:$AF,операции!$T:$T,"&lt;="&amp;S$9,операции!$X:$X,"",операции!$AB:$AB,"&lt;&gt;"&amp;"",операции!$AB:$AB,"&lt;="&amp;S$9,операции!$P:$P,$F457)+SUMIFS(операции!$AF:$AF,операции!$T:$T,"&lt;="&amp;S$9,операции!$X:$X,"&gt;"&amp;S$9,операции!$AB:$AB,"&lt;&gt;"&amp;"",операции!$AB:$AB,"&lt;="&amp;S$9,операции!$P:$P,$F457))/S518)</f>
        <v>0</v>
      </c>
      <c r="T519" s="196"/>
      <c r="U519" s="193">
        <f>IF(U518=0,0,(SUMIFS(операции!$AF:$AF,операции!$T:$T,"&lt;="&amp;S$9,операции!$X:$X,"",операции!$AB:$AB,"&lt;&gt;"&amp;"",операции!$AB:$AB,"&lt;="&amp;S$9,операции!$L:$L,U$9,операции!$P:$P,$F457)+SUMIFS(операции!$AF:$AF,операции!$T:$T,"&lt;="&amp;S$9,операции!$X:$X,"&gt;"&amp;S$9,операции!$AB:$AB,"&lt;&gt;"&amp;"",операции!$AB:$AB,"&lt;="&amp;S$9,операции!$L:$L,U$9,операции!$P:$P,$F457))/U518)</f>
        <v>0</v>
      </c>
      <c r="V519" s="237">
        <f>IF(V518=0,0,(SUMIFS(операции!$AF:$AF,операции!$T:$T,"&lt;="&amp;S$9,операции!$X:$X,"",операции!$AB:$AB,"&lt;&gt;"&amp;"",операции!$AB:$AB,"&lt;="&amp;S$9,операции!$L:$L,V$9,операции!$P:$P,$F457)+SUMIFS(операции!$AF:$AF,операции!$T:$T,"&lt;="&amp;S$9,операции!$X:$X,"&gt;"&amp;S$9,операции!$AB:$AB,"&lt;&gt;"&amp;"",операции!$AB:$AB,"&lt;="&amp;S$9,операции!$L:$L,V$9,операции!$P:$P,$F457))/V518)</f>
        <v>0</v>
      </c>
      <c r="W519" s="238"/>
      <c r="X519" s="193">
        <f>IF(X518=0,0,(SUMIFS(операции!$AF:$AF,операции!$T:$T,"&lt;="&amp;X$9,операции!$X:$X,"",операции!$AB:$AB,"&lt;&gt;"&amp;"",операции!$AB:$AB,"&lt;="&amp;X$9,операции!$P:$P,$F457)+SUMIFS(операции!$AF:$AF,операции!$T:$T,"&lt;="&amp;X$9,операции!$X:$X,"&gt;"&amp;X$9,операции!$AB:$AB,"&lt;&gt;"&amp;"",операции!$AB:$AB,"&lt;="&amp;X$9,операции!$P:$P,$F457))/X518)</f>
        <v>0</v>
      </c>
      <c r="Y519" s="196"/>
      <c r="Z519" s="193">
        <f>IF(Z518=0,0,(SUMIFS(операции!$AF:$AF,операции!$T:$T,"&lt;="&amp;X$9,операции!$X:$X,"",операции!$AB:$AB,"&lt;&gt;"&amp;"",операции!$AB:$AB,"&lt;="&amp;X$9,операции!$L:$L,Z$9,операции!$P:$P,$F457)+SUMIFS(операции!$AF:$AF,операции!$T:$T,"&lt;="&amp;X$9,операции!$X:$X,"&gt;"&amp;X$9,операции!$AB:$AB,"&lt;&gt;"&amp;"",операции!$AB:$AB,"&lt;="&amp;X$9,операции!$L:$L,Z$9,операции!$P:$P,$F457))/Z518)</f>
        <v>0</v>
      </c>
      <c r="AA519" s="237">
        <f>IF(AA518=0,0,(SUMIFS(операции!$AF:$AF,операции!$T:$T,"&lt;="&amp;X$9,операции!$X:$X,"",операции!$AB:$AB,"&lt;&gt;"&amp;"",операции!$AB:$AB,"&lt;="&amp;X$9,операции!$L:$L,AA$9,операции!$P:$P,$F457)+SUMIFS(операции!$AF:$AF,операции!$T:$T,"&lt;="&amp;X$9,операции!$X:$X,"&gt;"&amp;X$9,операции!$AB:$AB,"&lt;&gt;"&amp;"",операции!$AB:$AB,"&lt;="&amp;X$9,операции!$L:$L,AA$9,операции!$P:$P,$F457))/AA518)</f>
        <v>0</v>
      </c>
      <c r="AB519" s="265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</row>
    <row r="520" spans="1:42" s="192" customFormat="1" ht="11.25">
      <c r="A520" s="37"/>
      <c r="B520" s="37"/>
      <c r="C520" s="37"/>
      <c r="D520" s="191"/>
      <c r="E520" s="191" t="s">
        <v>283</v>
      </c>
      <c r="F520" s="191" t="str">
        <f t="shared" si="780"/>
        <v>Авто</v>
      </c>
      <c r="G520" s="191" t="s">
        <v>219</v>
      </c>
      <c r="H520" s="315"/>
      <c r="I520" s="329">
        <f>IF(I518=0,0,I$9-I519)</f>
        <v>0</v>
      </c>
      <c r="J520" s="317"/>
      <c r="K520" s="329">
        <f>IF(K518=0,0,I$9-K519)</f>
        <v>0</v>
      </c>
      <c r="L520" s="330">
        <f>IF(L518=0,0,I$9-L519)</f>
        <v>0</v>
      </c>
      <c r="M520" s="274"/>
      <c r="N520" s="156">
        <f>IF(N518=0,0,N$9-N519)</f>
        <v>157</v>
      </c>
      <c r="O520" s="196"/>
      <c r="P520" s="156">
        <f>IF(P518=0,0,N$9-P519)</f>
        <v>157</v>
      </c>
      <c r="Q520" s="245">
        <f>IF(Q518=0,0,N$9-Q519)</f>
        <v>0</v>
      </c>
      <c r="R520" s="238"/>
      <c r="S520" s="156">
        <f>IF(S518=0,0,S$9-S519)</f>
        <v>0</v>
      </c>
      <c r="T520" s="196"/>
      <c r="U520" s="156">
        <f>IF(U518=0,0,S$9-U519)</f>
        <v>0</v>
      </c>
      <c r="V520" s="245">
        <f>IF(V518=0,0,S$9-V519)</f>
        <v>0</v>
      </c>
      <c r="W520" s="238"/>
      <c r="X520" s="156">
        <f>IF(X518=0,0,X$9-X519)</f>
        <v>0</v>
      </c>
      <c r="Y520" s="196"/>
      <c r="Z520" s="156">
        <f>IF(Z518=0,0,X$9-Z519)</f>
        <v>0</v>
      </c>
      <c r="AA520" s="245">
        <f>IF(AA518=0,0,X$9-AA519)</f>
        <v>0</v>
      </c>
      <c r="AB520" s="265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</row>
    <row r="521" spans="1:42" s="192" customFormat="1" ht="11.25">
      <c r="A521" s="37"/>
      <c r="B521" s="37"/>
      <c r="C521" s="37"/>
      <c r="D521" s="191"/>
      <c r="E521" s="191" t="s">
        <v>259</v>
      </c>
      <c r="F521" s="191" t="str">
        <f t="shared" si="780"/>
        <v>Авто</v>
      </c>
      <c r="G521" s="191" t="s">
        <v>262</v>
      </c>
      <c r="H521" s="315"/>
      <c r="I521" s="316">
        <f>IF(I518=0,0,(SUMIFS(операции!$AH:$AH,операции!$T:$T,"&lt;="&amp;I$9,операции!$X:$X,"",операции!$AB:$AB,"&lt;&gt;"&amp;"",операции!$AB:$AB,"&lt;="&amp;I$9,операции!$P:$P,$F457)+SUMIFS(операции!$AH:$AH,операции!$T:$T,"&lt;="&amp;I$9,операции!$X:$X,"&gt;"&amp;I$9,операции!$AB:$AB,"&lt;&gt;"&amp;"",операции!$AB:$AB,"&lt;="&amp;I$9,операции!$P:$P,$F457))/I518)</f>
        <v>0</v>
      </c>
      <c r="J521" s="317"/>
      <c r="K521" s="316">
        <f>IF(K518=0,0,(SUMIFS(операции!$AH:$AH,операции!$T:$T,"&lt;="&amp;I$9,операции!$X:$X,"",операции!$AB:$AB,"&lt;&gt;"&amp;"",операции!$AB:$AB,"&lt;="&amp;I$9,операции!$L:$L,K$9,операции!$P:$P,$F457)+SUMIFS(операции!$AH:$AH,операции!$T:$T,"&lt;="&amp;I$9,операции!$X:$X,"&gt;"&amp;I$9,операции!$AB:$AB,"&lt;&gt;"&amp;"",операции!$AB:$AB,"&lt;="&amp;I$9,операции!$L:$L,K$9,операции!$P:$P,$F457))/K518)</f>
        <v>0</v>
      </c>
      <c r="L521" s="318">
        <f>IF(L518=0,0,(SUMIFS(операции!$AH:$AH,операции!$T:$T,"&lt;="&amp;I$9,операции!$X:$X,"",операции!$AB:$AB,"&lt;&gt;"&amp;"",операции!$AB:$AB,"&lt;="&amp;I$9,операции!$L:$L,L$9,операции!$P:$P,$F457)+SUMIFS(операции!$AH:$AH,операции!$T:$T,"&lt;="&amp;I$9,операции!$X:$X,"&gt;"&amp;I$9,операции!$AB:$AB,"&lt;&gt;"&amp;"",операции!$AB:$AB,"&lt;="&amp;I$9,операции!$L:$L,L$9,операции!$P:$P,$F457))/L518)</f>
        <v>0</v>
      </c>
      <c r="M521" s="274"/>
      <c r="N521" s="193">
        <f>IF(N518=0,0,(SUMIFS(операции!$AH:$AH,операции!$T:$T,"&lt;="&amp;N$9,операции!$X:$X,"",операции!$AB:$AB,"&lt;&gt;"&amp;"",операции!$AB:$AB,"&lt;="&amp;N$9,операции!$P:$P,$F457)+SUMIFS(операции!$AH:$AH,операции!$T:$T,"&lt;="&amp;N$9,операции!$X:$X,"&gt;"&amp;N$9,операции!$AB:$AB,"&lt;&gt;"&amp;"",операции!$AB:$AB,"&lt;="&amp;N$9,операции!$P:$P,$F457))/N518)</f>
        <v>42181</v>
      </c>
      <c r="O521" s="196"/>
      <c r="P521" s="193">
        <f>IF(P518=0,0,(SUMIFS(операции!$AH:$AH,операции!$T:$T,"&lt;="&amp;N$9,операции!$X:$X,"",операции!$AB:$AB,"&lt;&gt;"&amp;"",операции!$AB:$AB,"&lt;="&amp;N$9,операции!$L:$L,P$9,операции!$P:$P,$F457)+SUMIFS(операции!$AH:$AH,операции!$T:$T,"&lt;="&amp;N$9,операции!$X:$X,"&gt;"&amp;N$9,операции!$AB:$AB,"&lt;&gt;"&amp;"",операции!$AB:$AB,"&lt;="&amp;N$9,операции!$L:$L,P$9,операции!$P:$P,$F457))/P518)</f>
        <v>42181</v>
      </c>
      <c r="Q521" s="237">
        <f>IF(Q518=0,0,(SUMIFS(операции!$AH:$AH,операции!$T:$T,"&lt;="&amp;N$9,операции!$X:$X,"",операции!$AB:$AB,"&lt;&gt;"&amp;"",операции!$AB:$AB,"&lt;="&amp;N$9,операции!$L:$L,Q$9,операции!$P:$P,$F457)+SUMIFS(операции!$AH:$AH,операции!$T:$T,"&lt;="&amp;N$9,операции!$X:$X,"&gt;"&amp;N$9,операции!$AB:$AB,"&lt;&gt;"&amp;"",операции!$AB:$AB,"&lt;="&amp;N$9,операции!$L:$L,Q$9,операции!$P:$P,$F457))/Q518)</f>
        <v>0</v>
      </c>
      <c r="R521" s="238"/>
      <c r="S521" s="193">
        <f>IF(S518=0,0,(SUMIFS(операции!$AH:$AH,операции!$T:$T,"&lt;="&amp;S$9,операции!$X:$X,"",операции!$AB:$AB,"&lt;&gt;"&amp;"",операции!$AB:$AB,"&lt;="&amp;S$9,операции!$P:$P,$F457)+SUMIFS(операции!$AH:$AH,операции!$T:$T,"&lt;="&amp;S$9,операции!$X:$X,"&gt;"&amp;S$9,операции!$AB:$AB,"&lt;&gt;"&amp;"",операции!$AB:$AB,"&lt;="&amp;S$9,операции!$P:$P,$F457))/S518)</f>
        <v>0</v>
      </c>
      <c r="T521" s="196"/>
      <c r="U521" s="193">
        <f>IF(U518=0,0,(SUMIFS(операции!$AH:$AH,операции!$T:$T,"&lt;="&amp;S$9,операции!$X:$X,"",операции!$AB:$AB,"&lt;&gt;"&amp;"",операции!$AB:$AB,"&lt;="&amp;S$9,операции!$L:$L,U$9,операции!$P:$P,$F457)+SUMIFS(операции!$AH:$AH,операции!$T:$T,"&lt;="&amp;S$9,операции!$X:$X,"&gt;"&amp;S$9,операции!$AB:$AB,"&lt;&gt;"&amp;"",операции!$AB:$AB,"&lt;="&amp;S$9,операции!$L:$L,U$9,операции!$P:$P,$F457))/U518)</f>
        <v>0</v>
      </c>
      <c r="V521" s="237">
        <f>IF(V518=0,0,(SUMIFS(операции!$AH:$AH,операции!$T:$T,"&lt;="&amp;S$9,операции!$X:$X,"",операции!$AB:$AB,"&lt;&gt;"&amp;"",операции!$AB:$AB,"&lt;="&amp;S$9,операции!$L:$L,V$9,операции!$P:$P,$F457)+SUMIFS(операции!$AH:$AH,операции!$T:$T,"&lt;="&amp;S$9,операции!$X:$X,"&gt;"&amp;S$9,операции!$AB:$AB,"&lt;&gt;"&amp;"",операции!$AB:$AB,"&lt;="&amp;S$9,операции!$L:$L,V$9,операции!$P:$P,$F457))/V518)</f>
        <v>0</v>
      </c>
      <c r="W521" s="238"/>
      <c r="X521" s="193">
        <f>IF(X518=0,0,(SUMIFS(операции!$AH:$AH,операции!$T:$T,"&lt;="&amp;X$9,операции!$X:$X,"",операции!$AB:$AB,"&lt;&gt;"&amp;"",операции!$AB:$AB,"&lt;="&amp;X$9,операции!$P:$P,$F457)+SUMIFS(операции!$AH:$AH,операции!$T:$T,"&lt;="&amp;X$9,операции!$X:$X,"&gt;"&amp;X$9,операции!$AB:$AB,"&lt;&gt;"&amp;"",операции!$AB:$AB,"&lt;="&amp;X$9,операции!$P:$P,$F457))/X518)</f>
        <v>0</v>
      </c>
      <c r="Y521" s="196"/>
      <c r="Z521" s="193">
        <f>IF(Z518=0,0,(SUMIFS(операции!$AH:$AH,операции!$T:$T,"&lt;="&amp;X$9,операции!$X:$X,"",операции!$AB:$AB,"&lt;&gt;"&amp;"",операции!$AB:$AB,"&lt;="&amp;X$9,операции!$L:$L,Z$9,операции!$P:$P,$F457)+SUMIFS(операции!$AH:$AH,операции!$T:$T,"&lt;="&amp;X$9,операции!$X:$X,"&gt;"&amp;X$9,операции!$AB:$AB,"&lt;&gt;"&amp;"",операции!$AB:$AB,"&lt;="&amp;X$9,операции!$L:$L,Z$9,операции!$P:$P,$F457))/Z518)</f>
        <v>0</v>
      </c>
      <c r="AA521" s="237">
        <f>IF(AA518=0,0,(SUMIFS(операции!$AH:$AH,операции!$T:$T,"&lt;="&amp;X$9,операции!$X:$X,"",операции!$AB:$AB,"&lt;&gt;"&amp;"",операции!$AB:$AB,"&lt;="&amp;X$9,операции!$L:$L,AA$9,операции!$P:$P,$F457)+SUMIFS(операции!$AH:$AH,операции!$T:$T,"&lt;="&amp;X$9,операции!$X:$X,"&gt;"&amp;X$9,операции!$AB:$AB,"&lt;&gt;"&amp;"",операции!$AB:$AB,"&lt;="&amp;X$9,операции!$L:$L,AA$9,операции!$P:$P,$F457))/AA518)</f>
        <v>0</v>
      </c>
      <c r="AB521" s="265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</row>
    <row r="522" spans="1:42" s="192" customFormat="1" ht="11.25">
      <c r="A522" s="37"/>
      <c r="B522" s="37"/>
      <c r="C522" s="37"/>
      <c r="D522" s="191"/>
      <c r="E522" s="191" t="s">
        <v>284</v>
      </c>
      <c r="F522" s="191" t="str">
        <f t="shared" si="780"/>
        <v>Авто</v>
      </c>
      <c r="G522" s="191" t="s">
        <v>219</v>
      </c>
      <c r="H522" s="315"/>
      <c r="I522" s="329">
        <f>I521-I519</f>
        <v>0</v>
      </c>
      <c r="J522" s="317"/>
      <c r="K522" s="329">
        <f>K521-K519</f>
        <v>0</v>
      </c>
      <c r="L522" s="330">
        <f>L521-L519</f>
        <v>0</v>
      </c>
      <c r="M522" s="274"/>
      <c r="N522" s="156">
        <f>N521-N519</f>
        <v>30</v>
      </c>
      <c r="O522" s="196"/>
      <c r="P522" s="156">
        <f>P521-P519</f>
        <v>30</v>
      </c>
      <c r="Q522" s="245">
        <f>Q521-Q519</f>
        <v>0</v>
      </c>
      <c r="R522" s="238"/>
      <c r="S522" s="156">
        <f>S521-S519</f>
        <v>0</v>
      </c>
      <c r="T522" s="196"/>
      <c r="U522" s="156">
        <f>U521-U519</f>
        <v>0</v>
      </c>
      <c r="V522" s="245">
        <f>V521-V519</f>
        <v>0</v>
      </c>
      <c r="W522" s="238"/>
      <c r="X522" s="156">
        <f>X521-X519</f>
        <v>0</v>
      </c>
      <c r="Y522" s="196"/>
      <c r="Z522" s="156">
        <f>Z521-Z519</f>
        <v>0</v>
      </c>
      <c r="AA522" s="245">
        <f>AA521-AA519</f>
        <v>0</v>
      </c>
      <c r="AB522" s="265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</row>
    <row r="523" spans="1:42" s="192" customFormat="1" ht="11.25">
      <c r="A523" s="37"/>
      <c r="B523" s="37"/>
      <c r="C523" s="37"/>
      <c r="D523" s="191"/>
      <c r="E523" s="191" t="s">
        <v>285</v>
      </c>
      <c r="F523" s="191" t="str">
        <f t="shared" si="780"/>
        <v>Авто</v>
      </c>
      <c r="G523" s="191" t="s">
        <v>219</v>
      </c>
      <c r="H523" s="315"/>
      <c r="I523" s="329">
        <f>I520-I522</f>
        <v>0</v>
      </c>
      <c r="J523" s="317"/>
      <c r="K523" s="329">
        <f>K520-K522</f>
        <v>0</v>
      </c>
      <c r="L523" s="330">
        <f>L520-L522</f>
        <v>0</v>
      </c>
      <c r="M523" s="274"/>
      <c r="N523" s="156">
        <f>N520-N522</f>
        <v>127</v>
      </c>
      <c r="O523" s="196"/>
      <c r="P523" s="156">
        <f>P520-P522</f>
        <v>127</v>
      </c>
      <c r="Q523" s="245">
        <f>Q520-Q522</f>
        <v>0</v>
      </c>
      <c r="R523" s="238"/>
      <c r="S523" s="156">
        <f>S520-S522</f>
        <v>0</v>
      </c>
      <c r="T523" s="196"/>
      <c r="U523" s="156">
        <f>U520-U522</f>
        <v>0</v>
      </c>
      <c r="V523" s="245">
        <f>V520-V522</f>
        <v>0</v>
      </c>
      <c r="W523" s="238"/>
      <c r="X523" s="156">
        <f>X520-X522</f>
        <v>0</v>
      </c>
      <c r="Y523" s="196"/>
      <c r="Z523" s="156">
        <f>Z520-Z522</f>
        <v>0</v>
      </c>
      <c r="AA523" s="245">
        <f>AA520-AA522</f>
        <v>0</v>
      </c>
      <c r="AB523" s="265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</row>
    <row r="524" spans="1:42" s="5" customFormat="1">
      <c r="A524" s="1"/>
      <c r="B524" s="1"/>
      <c r="C524" s="1"/>
      <c r="D524" s="168"/>
      <c r="E524" s="168" t="s">
        <v>286</v>
      </c>
      <c r="F524" s="168" t="str">
        <f t="shared" si="780"/>
        <v>Авто</v>
      </c>
      <c r="G524" s="168" t="s">
        <v>261</v>
      </c>
      <c r="H524" s="326"/>
      <c r="I524" s="327">
        <f>SUMIFS(операции!$V:$V,операции!$T:$T,"&lt;="&amp;I$9,операции!$X:$X,"",операции!$AB:$AB,"",операции!$P:$P,$F457)+SUMIFS(операции!$V:$V,операции!$T:$T,"&lt;="&amp;I$9,операции!$X:$X,"&gt;"&amp;I$9,операции!$AB:$AB,"",операции!$P:$P,$F457)+SUMIFS(операции!$V:$V,операции!$T:$T,"&lt;="&amp;I$9,операции!$X:$X,"",операции!$AB:$AB,"&gt;"&amp;I$9,операции!$P:$P,$F457)+SUMIFS(операции!$V:$V,операции!$T:$T,"&lt;="&amp;I$9,операции!$X:$X,"&gt;"&amp;I$9,операции!$AB:$AB,"&gt;"&amp;I$9,операции!$P:$P,$F457)</f>
        <v>0</v>
      </c>
      <c r="J524" s="313">
        <f>I524-K524-L524</f>
        <v>0</v>
      </c>
      <c r="K524" s="327">
        <f>SUMIFS(операции!$V:$V,операции!$T:$T,"&lt;="&amp;I$9,операции!$X:$X,"",операции!$AB:$AB,"",операции!$L:$L,K$9,операции!$P:$P,$F457)+SUMIFS(операции!$V:$V,операции!$T:$T,"&lt;="&amp;I$9,операции!$X:$X,"&gt;"&amp;I$9,операции!$AB:$AB,"",операции!$L:$L,K$9,операции!$P:$P,$F457)+SUMIFS(операции!$V:$V,операции!$T:$T,"&lt;="&amp;I$9,операции!$X:$X,"",операции!$AB:$AB,"&gt;"&amp;I$9,операции!$L:$L,K$9,операции!$P:$P,$F457)+SUMIFS(операции!$V:$V,операции!$T:$T,"&lt;="&amp;I$9,операции!$X:$X,"&gt;"&amp;I$9,операции!$AB:$AB,"&gt;"&amp;I$9,операции!$L:$L,K$9,операции!$P:$P,$F457)</f>
        <v>0</v>
      </c>
      <c r="L524" s="328">
        <f>SUMIFS(операции!$V:$V,операции!$T:$T,"&lt;="&amp;I$9,операции!$X:$X,"",операции!$AB:$AB,"",операции!$L:$L,L$9,операции!$P:$P,$F457)+SUMIFS(операции!$V:$V,операции!$T:$T,"&lt;="&amp;I$9,операции!$X:$X,"&gt;"&amp;I$9,операции!$AB:$AB,"",операции!$L:$L,L$9,операции!$P:$P,$F457)+SUMIFS(операции!$V:$V,операции!$T:$T,"&lt;="&amp;I$9,операции!$X:$X,"",операции!$AB:$AB,"&gt;"&amp;I$9,операции!$L:$L,L$9,операции!$P:$P,$F457)+SUMIFS(операции!$V:$V,операции!$T:$T,"&lt;="&amp;I$9,операции!$X:$X,"&gt;"&amp;I$9,операции!$AB:$AB,"&gt;"&amp;I$9,операции!$L:$L,L$9,операции!$P:$P,$F457)</f>
        <v>0</v>
      </c>
      <c r="M524" s="277"/>
      <c r="N524" s="169">
        <f>SUMIFS(операции!$V:$V,операции!$T:$T,"&lt;="&amp;N$9,операции!$X:$X,"",операции!$AB:$AB,"",операции!$P:$P,$F457)+SUMIFS(операции!$V:$V,операции!$T:$T,"&lt;="&amp;N$9,операции!$X:$X,"&gt;"&amp;N$9,операции!$AB:$AB,"",операции!$P:$P,$F457)+SUMIFS(операции!$V:$V,операции!$T:$T,"&lt;="&amp;N$9,операции!$X:$X,"",операции!$AB:$AB,"&gt;"&amp;N$9,операции!$P:$P,$F457)+SUMIFS(операции!$V:$V,операции!$T:$T,"&lt;="&amp;N$9,операции!$X:$X,"&gt;"&amp;N$9,операции!$AB:$AB,"&gt;"&amp;N$9,операции!$P:$P,$F457)</f>
        <v>0</v>
      </c>
      <c r="O524" s="170">
        <f>N524-P524-Q524</f>
        <v>0</v>
      </c>
      <c r="P524" s="169">
        <f>SUMIFS(операции!$V:$V,операции!$T:$T,"&lt;="&amp;N$9,операции!$X:$X,"",операции!$AB:$AB,"",операции!$L:$L,P$9,операции!$P:$P,$F457)+SUMIFS(операции!$V:$V,операции!$T:$T,"&lt;="&amp;N$9,операции!$X:$X,"&gt;"&amp;N$9,операции!$AB:$AB,"",операции!$L:$L,P$9,операции!$P:$P,$F457)+SUMIFS(операции!$V:$V,операции!$T:$T,"&lt;="&amp;N$9,операции!$X:$X,"",операции!$AB:$AB,"&gt;"&amp;N$9,операции!$L:$L,P$9,операции!$P:$P,$F457)+SUMIFS(операции!$V:$V,операции!$T:$T,"&lt;="&amp;N$9,операции!$X:$X,"&gt;"&amp;N$9,операции!$AB:$AB,"&gt;"&amp;N$9,операции!$L:$L,P$9,операции!$P:$P,$F457)</f>
        <v>0</v>
      </c>
      <c r="Q524" s="243">
        <f>SUMIFS(операции!$V:$V,операции!$T:$T,"&lt;="&amp;N$9,операции!$X:$X,"",операции!$AB:$AB,"",операции!$L:$L,Q$9,операции!$P:$P,$F457)+SUMIFS(операции!$V:$V,операции!$T:$T,"&lt;="&amp;N$9,операции!$X:$X,"&gt;"&amp;N$9,операции!$AB:$AB,"",операции!$L:$L,Q$9,операции!$P:$P,$F457)+SUMIFS(операции!$V:$V,операции!$T:$T,"&lt;="&amp;N$9,операции!$X:$X,"",операции!$AB:$AB,"&gt;"&amp;N$9,операции!$L:$L,Q$9,операции!$P:$P,$F457)+SUMIFS(операции!$V:$V,операции!$T:$T,"&lt;="&amp;N$9,операции!$X:$X,"&gt;"&amp;N$9,операции!$AB:$AB,"&gt;"&amp;N$9,операции!$L:$L,Q$9,операции!$P:$P,$F457)</f>
        <v>0</v>
      </c>
      <c r="R524" s="244"/>
      <c r="S524" s="169">
        <f>SUMIFS(операции!$V:$V,операции!$T:$T,"&lt;="&amp;S$9,операции!$X:$X,"",операции!$AB:$AB,"",операции!$P:$P,$F457)+SUMIFS(операции!$V:$V,операции!$T:$T,"&lt;="&amp;S$9,операции!$X:$X,"&gt;"&amp;S$9,операции!$AB:$AB,"",операции!$P:$P,$F457)+SUMIFS(операции!$V:$V,операции!$T:$T,"&lt;="&amp;S$9,операции!$X:$X,"",операции!$AB:$AB,"&gt;"&amp;S$9,операции!$P:$P,$F457)+SUMIFS(операции!$V:$V,операции!$T:$T,"&lt;="&amp;S$9,операции!$X:$X,"&gt;"&amp;S$9,операции!$AB:$AB,"&gt;"&amp;S$9,операции!$P:$P,$F457)</f>
        <v>0</v>
      </c>
      <c r="T524" s="170">
        <f>S524-U524-V524</f>
        <v>0</v>
      </c>
      <c r="U524" s="169">
        <f>SUMIFS(операции!$V:$V,операции!$T:$T,"&lt;="&amp;S$9,операции!$X:$X,"",операции!$AB:$AB,"",операции!$L:$L,U$9,операции!$P:$P,$F457)+SUMIFS(операции!$V:$V,операции!$T:$T,"&lt;="&amp;S$9,операции!$X:$X,"&gt;"&amp;S$9,операции!$AB:$AB,"",операции!$L:$L,U$9,операции!$P:$P,$F457)+SUMIFS(операции!$V:$V,операции!$T:$T,"&lt;="&amp;S$9,операции!$X:$X,"",операции!$AB:$AB,"&gt;"&amp;S$9,операции!$L:$L,U$9,операции!$P:$P,$F457)+SUMIFS(операции!$V:$V,операции!$T:$T,"&lt;="&amp;S$9,операции!$X:$X,"&gt;"&amp;S$9,операции!$AB:$AB,"&gt;"&amp;S$9,операции!$L:$L,U$9,операции!$P:$P,$F457)</f>
        <v>0</v>
      </c>
      <c r="V524" s="243">
        <f>SUMIFS(операции!$V:$V,операции!$T:$T,"&lt;="&amp;S$9,операции!$X:$X,"",операции!$AB:$AB,"",операции!$L:$L,V$9,операции!$P:$P,$F457)+SUMIFS(операции!$V:$V,операции!$T:$T,"&lt;="&amp;S$9,операции!$X:$X,"&gt;"&amp;S$9,операции!$AB:$AB,"",операции!$L:$L,V$9,операции!$P:$P,$F457)+SUMIFS(операции!$V:$V,операции!$T:$T,"&lt;="&amp;S$9,операции!$X:$X,"",операции!$AB:$AB,"&gt;"&amp;S$9,операции!$L:$L,V$9,операции!$P:$P,$F457)+SUMIFS(операции!$V:$V,операции!$T:$T,"&lt;="&amp;S$9,операции!$X:$X,"&gt;"&amp;S$9,операции!$AB:$AB,"&gt;"&amp;S$9,операции!$L:$L,V$9,операции!$P:$P,$F457)</f>
        <v>0</v>
      </c>
      <c r="W524" s="244"/>
      <c r="X524" s="169">
        <f>SUMIFS(операции!$V:$V,операции!$T:$T,"&lt;="&amp;X$9,операции!$X:$X,"",операции!$AB:$AB,"",операции!$P:$P,$F457)+SUMIFS(операции!$V:$V,операции!$T:$T,"&lt;="&amp;X$9,операции!$X:$X,"&gt;"&amp;X$9,операции!$AB:$AB,"",операции!$P:$P,$F457)+SUMIFS(операции!$V:$V,операции!$T:$T,"&lt;="&amp;X$9,операции!$X:$X,"",операции!$AB:$AB,"&gt;"&amp;X$9,операции!$P:$P,$F457)+SUMIFS(операции!$V:$V,операции!$T:$T,"&lt;="&amp;X$9,операции!$X:$X,"&gt;"&amp;X$9,операции!$AB:$AB,"&gt;"&amp;X$9,операции!$P:$P,$F457)</f>
        <v>0</v>
      </c>
      <c r="Y524" s="170">
        <f>X524-Z524-AA524</f>
        <v>0</v>
      </c>
      <c r="Z524" s="169">
        <f>SUMIFS(операции!$V:$V,операции!$T:$T,"&lt;="&amp;X$9,операции!$X:$X,"",операции!$AB:$AB,"",операции!$L:$L,Z$9,операции!$P:$P,$F457)+SUMIFS(операции!$V:$V,операции!$T:$T,"&lt;="&amp;X$9,операции!$X:$X,"&gt;"&amp;X$9,операции!$AB:$AB,"",операции!$L:$L,Z$9,операции!$P:$P,$F457)+SUMIFS(операции!$V:$V,операции!$T:$T,"&lt;="&amp;X$9,операции!$X:$X,"",операции!$AB:$AB,"&gt;"&amp;X$9,операции!$L:$L,Z$9,операции!$P:$P,$F457)+SUMIFS(операции!$V:$V,операции!$T:$T,"&lt;="&amp;X$9,операции!$X:$X,"&gt;"&amp;X$9,операции!$AB:$AB,"&gt;"&amp;X$9,операции!$L:$L,Z$9,операции!$P:$P,$F457)</f>
        <v>0</v>
      </c>
      <c r="AA524" s="243">
        <f>SUMIFS(операции!$V:$V,операции!$T:$T,"&lt;="&amp;X$9,операции!$X:$X,"",операции!$AB:$AB,"",операции!$L:$L,AA$9,операции!$P:$P,$F457)+SUMIFS(операции!$V:$V,операции!$T:$T,"&lt;="&amp;X$9,операции!$X:$X,"&gt;"&amp;X$9,операции!$AB:$AB,"",операции!$L:$L,AA$9,операции!$P:$P,$F457)+SUMIFS(операции!$V:$V,операции!$T:$T,"&lt;="&amp;X$9,операции!$X:$X,"",операции!$AB:$AB,"&gt;"&amp;X$9,операции!$L:$L,AA$9,операции!$P:$P,$F457)+SUMIFS(операции!$V:$V,операции!$T:$T,"&lt;="&amp;X$9,операции!$X:$X,"&gt;"&amp;X$9,операции!$AB:$AB,"&gt;"&amp;X$9,операции!$L:$L,AA$9,операции!$P:$P,$F457)</f>
        <v>0</v>
      </c>
      <c r="AB524" s="266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s="192" customFormat="1" ht="11.25">
      <c r="A525" s="37"/>
      <c r="B525" s="37"/>
      <c r="C525" s="37"/>
      <c r="D525" s="191"/>
      <c r="E525" s="191" t="s">
        <v>255</v>
      </c>
      <c r="F525" s="191" t="str">
        <f t="shared" si="780"/>
        <v>Авто</v>
      </c>
      <c r="G525" s="191" t="s">
        <v>262</v>
      </c>
      <c r="H525" s="315"/>
      <c r="I525" s="316">
        <f>IF(I524=0,0,(SUMIFS(операции!$AF:$AF,операции!$T:$T,"&lt;="&amp;I$9,операции!$X:$X,"",операции!$AB:$AB,"",операции!$P:$P,$F457)+SUMIFS(операции!$AF:$AF,операции!$T:$T,"&lt;="&amp;I$9,операции!$X:$X,"&gt;"&amp;I$9,операции!$AB:$AB,"",операции!$P:$P,$F457)+SUMIFS(операции!$AF:$AF,операции!$T:$T,"&lt;="&amp;I$9,операции!$X:$X,"",операции!$AB:$AB,"&gt;"&amp;I$9,операции!$P:$P,$F457)+SUMIFS(операции!$AF:$AF,операции!$T:$T,"&lt;="&amp;I$9,операции!$X:$X,"&gt;"&amp;I$9,операции!$AB:$AB,"&gt;"&amp;I$9,операции!$P:$P,$F457))/I524)</f>
        <v>0</v>
      </c>
      <c r="J525" s="317"/>
      <c r="K525" s="316">
        <f>IF(K524=0,0,(SUMIFS(операции!$AF:$AF,операции!$T:$T,"&lt;="&amp;I$9,операции!$X:$X,"",операции!$AB:$AB,"",операции!$L:$L,K$9,операции!$P:$P,$F457)+SUMIFS(операции!$AF:$AF,операции!$T:$T,"&lt;="&amp;I$9,операции!$X:$X,"&gt;"&amp;I$9,операции!$AB:$AB,"",операции!$L:$L,K$9,операции!$P:$P,$F457)+SUMIFS(операции!$AF:$AF,операции!$T:$T,"&lt;="&amp;I$9,операции!$X:$X,"",операции!$AB:$AB,"&gt;"&amp;I$9,операции!$L:$L,K$9,операции!$P:$P,$F457)+SUMIFS(операции!$AF:$AF,операции!$T:$T,"&lt;="&amp;I$9,операции!$X:$X,"&gt;"&amp;I$9,операции!$AB:$AB,"&gt;"&amp;I$9,операции!$L:$L,K$9,операции!$P:$P,$F457))/K524)</f>
        <v>0</v>
      </c>
      <c r="L525" s="318">
        <f>IF(L524=0,0,(SUMIFS(операции!$AF:$AF,операции!$T:$T,"&lt;="&amp;I$9,операции!$X:$X,"",операции!$AB:$AB,"",операции!$L:$L,L$9,операции!$P:$P,$F457)+SUMIFS(операции!$AF:$AF,операции!$T:$T,"&lt;="&amp;I$9,операции!$X:$X,"&gt;"&amp;I$9,операции!$AB:$AB,"",операции!$L:$L,L$9,операции!$P:$P,$F457)+SUMIFS(операции!$AF:$AF,операции!$T:$T,"&lt;="&amp;I$9,операции!$X:$X,"",операции!$AB:$AB,"&gt;"&amp;I$9,операции!$L:$L,L$9,операции!$P:$P,$F457)+SUMIFS(операции!$AF:$AF,операции!$T:$T,"&lt;="&amp;I$9,операции!$X:$X,"&gt;"&amp;I$9,операции!$AB:$AB,"&gt;"&amp;I$9,операции!$L:$L,L$9,операции!$P:$P,$F457))/L524)</f>
        <v>0</v>
      </c>
      <c r="M525" s="274"/>
      <c r="N525" s="193">
        <f>IF(N524=0,0,(SUMIFS(операции!$AF:$AF,операции!$T:$T,"&lt;="&amp;N$9,операции!$X:$X,"",операции!$AB:$AB,"",операции!$P:$P,$F457)+SUMIFS(операции!$AF:$AF,операции!$T:$T,"&lt;="&amp;N$9,операции!$X:$X,"&gt;"&amp;N$9,операции!$AB:$AB,"",операции!$P:$P,$F457)+SUMIFS(операции!$AF:$AF,операции!$T:$T,"&lt;="&amp;N$9,операции!$X:$X,"",операции!$AB:$AB,"&gt;"&amp;N$9,операции!$P:$P,$F457)+SUMIFS(операции!$AF:$AF,операции!$T:$T,"&lt;="&amp;N$9,операции!$X:$X,"&gt;"&amp;N$9,операции!$AB:$AB,"&gt;"&amp;N$9,операции!$P:$P,$F457))/N524)</f>
        <v>0</v>
      </c>
      <c r="O525" s="196"/>
      <c r="P525" s="193">
        <f>IF(P524=0,0,(SUMIFS(операции!$AF:$AF,операции!$T:$T,"&lt;="&amp;N$9,операции!$X:$X,"",операции!$AB:$AB,"",операции!$L:$L,P$9,операции!$P:$P,$F457)+SUMIFS(операции!$AF:$AF,операции!$T:$T,"&lt;="&amp;N$9,операции!$X:$X,"&gt;"&amp;N$9,операции!$AB:$AB,"",операции!$L:$L,P$9,операции!$P:$P,$F457)+SUMIFS(операции!$AF:$AF,операции!$T:$T,"&lt;="&amp;N$9,операции!$X:$X,"",операции!$AB:$AB,"&gt;"&amp;N$9,операции!$L:$L,P$9,операции!$P:$P,$F457)+SUMIFS(операции!$AF:$AF,операции!$T:$T,"&lt;="&amp;N$9,операции!$X:$X,"&gt;"&amp;N$9,операции!$AB:$AB,"&gt;"&amp;N$9,операции!$L:$L,P$9,операции!$P:$P,$F457))/P524)</f>
        <v>0</v>
      </c>
      <c r="Q525" s="237">
        <f>IF(Q524=0,0,(SUMIFS(операции!$AF:$AF,операции!$T:$T,"&lt;="&amp;N$9,операции!$X:$X,"",операции!$AB:$AB,"",операции!$L:$L,Q$9,операции!$P:$P,$F457)+SUMIFS(операции!$AF:$AF,операции!$T:$T,"&lt;="&amp;N$9,операции!$X:$X,"&gt;"&amp;N$9,операции!$AB:$AB,"",операции!$L:$L,Q$9,операции!$P:$P,$F457)+SUMIFS(операции!$AF:$AF,операции!$T:$T,"&lt;="&amp;N$9,операции!$X:$X,"",операции!$AB:$AB,"&gt;"&amp;N$9,операции!$L:$L,Q$9,операции!$P:$P,$F457)+SUMIFS(операции!$AF:$AF,операции!$T:$T,"&lt;="&amp;N$9,операции!$X:$X,"&gt;"&amp;N$9,операции!$AB:$AB,"&gt;"&amp;N$9,операции!$L:$L,Q$9,операции!$P:$P,$F457))/Q524)</f>
        <v>0</v>
      </c>
      <c r="R525" s="238"/>
      <c r="S525" s="193">
        <f>IF(S524=0,0,(SUMIFS(операции!$AF:$AF,операции!$T:$T,"&lt;="&amp;S$9,операции!$X:$X,"",операции!$AB:$AB,"",операции!$P:$P,$F457)+SUMIFS(операции!$AF:$AF,операции!$T:$T,"&lt;="&amp;S$9,операции!$X:$X,"&gt;"&amp;S$9,операции!$AB:$AB,"",операции!$P:$P,$F457)+SUMIFS(операции!$AF:$AF,операции!$T:$T,"&lt;="&amp;S$9,операции!$X:$X,"",операции!$AB:$AB,"&gt;"&amp;S$9,операции!$P:$P,$F457)+SUMIFS(операции!$AF:$AF,операции!$T:$T,"&lt;="&amp;S$9,операции!$X:$X,"&gt;"&amp;S$9,операции!$AB:$AB,"&gt;"&amp;S$9,операции!$P:$P,$F457))/S524)</f>
        <v>0</v>
      </c>
      <c r="T525" s="196"/>
      <c r="U525" s="193">
        <f>IF(U524=0,0,(SUMIFS(операции!$AF:$AF,операции!$T:$T,"&lt;="&amp;S$9,операции!$X:$X,"",операции!$AB:$AB,"",операции!$L:$L,U$9,операции!$P:$P,$F457)+SUMIFS(операции!$AF:$AF,операции!$T:$T,"&lt;="&amp;S$9,операции!$X:$X,"&gt;"&amp;S$9,операции!$AB:$AB,"",операции!$L:$L,U$9,операции!$P:$P,$F457)+SUMIFS(операции!$AF:$AF,операции!$T:$T,"&lt;="&amp;S$9,операции!$X:$X,"",операции!$AB:$AB,"&gt;"&amp;S$9,операции!$L:$L,U$9,операции!$P:$P,$F457)+SUMIFS(операции!$AF:$AF,операции!$T:$T,"&lt;="&amp;S$9,операции!$X:$X,"&gt;"&amp;S$9,операции!$AB:$AB,"&gt;"&amp;S$9,операции!$L:$L,U$9,операции!$P:$P,$F457))/U524)</f>
        <v>0</v>
      </c>
      <c r="V525" s="237">
        <f>IF(V524=0,0,(SUMIFS(операции!$AF:$AF,операции!$T:$T,"&lt;="&amp;S$9,операции!$X:$X,"",операции!$AB:$AB,"",операции!$L:$L,V$9,операции!$P:$P,$F457)+SUMIFS(операции!$AF:$AF,операции!$T:$T,"&lt;="&amp;S$9,операции!$X:$X,"&gt;"&amp;S$9,операции!$AB:$AB,"",операции!$L:$L,V$9,операции!$P:$P,$F457)+SUMIFS(операции!$AF:$AF,операции!$T:$T,"&lt;="&amp;S$9,операции!$X:$X,"",операции!$AB:$AB,"&gt;"&amp;S$9,операции!$L:$L,V$9,операции!$P:$P,$F457)+SUMIFS(операции!$AF:$AF,операции!$T:$T,"&lt;="&amp;S$9,операции!$X:$X,"&gt;"&amp;S$9,операции!$AB:$AB,"&gt;"&amp;S$9,операции!$L:$L,V$9,операции!$P:$P,$F457))/V524)</f>
        <v>0</v>
      </c>
      <c r="W525" s="238"/>
      <c r="X525" s="193">
        <f>IF(X524=0,0,(SUMIFS(операции!$AF:$AF,операции!$T:$T,"&lt;="&amp;X$9,операции!$X:$X,"",операции!$AB:$AB,"",операции!$P:$P,$F457)+SUMIFS(операции!$AF:$AF,операции!$T:$T,"&lt;="&amp;X$9,операции!$X:$X,"&gt;"&amp;X$9,операции!$AB:$AB,"",операции!$P:$P,$F457)+SUMIFS(операции!$AF:$AF,операции!$T:$T,"&lt;="&amp;X$9,операции!$X:$X,"",операции!$AB:$AB,"&gt;"&amp;X$9,операции!$P:$P,$F457)+SUMIFS(операции!$AF:$AF,операции!$T:$T,"&lt;="&amp;X$9,операции!$X:$X,"&gt;"&amp;X$9,операции!$AB:$AB,"&gt;"&amp;X$9,операции!$P:$P,$F457))/X524)</f>
        <v>0</v>
      </c>
      <c r="Y525" s="196"/>
      <c r="Z525" s="193">
        <f>IF(Z524=0,0,(SUMIFS(операции!$AF:$AF,операции!$T:$T,"&lt;="&amp;X$9,операции!$X:$X,"",операции!$AB:$AB,"",операции!$L:$L,Z$9,операции!$P:$P,$F457)+SUMIFS(операции!$AF:$AF,операции!$T:$T,"&lt;="&amp;X$9,операции!$X:$X,"&gt;"&amp;X$9,операции!$AB:$AB,"",операции!$L:$L,Z$9,операции!$P:$P,$F457)+SUMIFS(операции!$AF:$AF,операции!$T:$T,"&lt;="&amp;X$9,операции!$X:$X,"",операции!$AB:$AB,"&gt;"&amp;X$9,операции!$L:$L,Z$9,операции!$P:$P,$F457)+SUMIFS(операции!$AF:$AF,операции!$T:$T,"&lt;="&amp;X$9,операции!$X:$X,"&gt;"&amp;X$9,операции!$AB:$AB,"&gt;"&amp;X$9,операции!$L:$L,Z$9,операции!$P:$P,$F457))/Z524)</f>
        <v>0</v>
      </c>
      <c r="AA525" s="237">
        <f>IF(AA524=0,0,(SUMIFS(операции!$AF:$AF,операции!$T:$T,"&lt;="&amp;X$9,операции!$X:$X,"",операции!$AB:$AB,"",операции!$L:$L,AA$9,операции!$P:$P,$F457)+SUMIFS(операции!$AF:$AF,операции!$T:$T,"&lt;="&amp;X$9,операции!$X:$X,"&gt;"&amp;X$9,операции!$AB:$AB,"",операции!$L:$L,AA$9,операции!$P:$P,$F457)+SUMIFS(операции!$AF:$AF,операции!$T:$T,"&lt;="&amp;X$9,операции!$X:$X,"",операции!$AB:$AB,"&gt;"&amp;X$9,операции!$L:$L,AA$9,операции!$P:$P,$F457)+SUMIFS(операции!$AF:$AF,операции!$T:$T,"&lt;="&amp;X$9,операции!$X:$X,"&gt;"&amp;X$9,операции!$AB:$AB,"&gt;"&amp;X$9,операции!$L:$L,AA$9,операции!$P:$P,$F457))/AA524)</f>
        <v>0</v>
      </c>
      <c r="AB525" s="265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</row>
    <row r="526" spans="1:42" s="192" customFormat="1" ht="11.25">
      <c r="A526" s="37"/>
      <c r="B526" s="37"/>
      <c r="C526" s="37"/>
      <c r="D526" s="191"/>
      <c r="E526" s="191" t="s">
        <v>287</v>
      </c>
      <c r="F526" s="191" t="str">
        <f t="shared" ref="F526:F529" si="913">F525</f>
        <v>Авто</v>
      </c>
      <c r="G526" s="191" t="s">
        <v>219</v>
      </c>
      <c r="H526" s="315"/>
      <c r="I526" s="329">
        <f>IF(I524=0,0,I$9-I525)</f>
        <v>0</v>
      </c>
      <c r="J526" s="317"/>
      <c r="K526" s="329">
        <f>IF(K524=0,0,I$9-K525)</f>
        <v>0</v>
      </c>
      <c r="L526" s="330">
        <f>IF(L524=0,0,I$9-L525)</f>
        <v>0</v>
      </c>
      <c r="M526" s="274"/>
      <c r="N526" s="156">
        <f>IF(N524=0,0,N$9-N525)</f>
        <v>0</v>
      </c>
      <c r="O526" s="196"/>
      <c r="P526" s="156">
        <f>IF(P524=0,0,N$9-P525)</f>
        <v>0</v>
      </c>
      <c r="Q526" s="245">
        <f>IF(Q524=0,0,N$9-Q525)</f>
        <v>0</v>
      </c>
      <c r="R526" s="238"/>
      <c r="S526" s="156">
        <f>IF(S524=0,0,S$9-S525)</f>
        <v>0</v>
      </c>
      <c r="T526" s="196"/>
      <c r="U526" s="156">
        <f>IF(U524=0,0,S$9-U525)</f>
        <v>0</v>
      </c>
      <c r="V526" s="245">
        <f>IF(V524=0,0,S$9-V525)</f>
        <v>0</v>
      </c>
      <c r="W526" s="238"/>
      <c r="X526" s="156">
        <f>IF(X524=0,0,X$9-X525)</f>
        <v>0</v>
      </c>
      <c r="Y526" s="196"/>
      <c r="Z526" s="156">
        <f>IF(Z524=0,0,X$9-Z525)</f>
        <v>0</v>
      </c>
      <c r="AA526" s="245">
        <f>IF(AA524=0,0,X$9-AA525)</f>
        <v>0</v>
      </c>
      <c r="AB526" s="265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</row>
    <row r="527" spans="1:42" s="192" customFormat="1" ht="11.25">
      <c r="A527" s="37"/>
      <c r="B527" s="37"/>
      <c r="C527" s="37"/>
      <c r="D527" s="191"/>
      <c r="E527" s="191" t="s">
        <v>311</v>
      </c>
      <c r="F527" s="191" t="str">
        <f t="shared" si="913"/>
        <v>Авто</v>
      </c>
      <c r="G527" s="191" t="s">
        <v>262</v>
      </c>
      <c r="H527" s="315"/>
      <c r="I527" s="316">
        <f>I$9</f>
        <v>42369</v>
      </c>
      <c r="J527" s="317"/>
      <c r="K527" s="316">
        <f>I$9</f>
        <v>42369</v>
      </c>
      <c r="L527" s="318">
        <f>I$9</f>
        <v>42369</v>
      </c>
      <c r="M527" s="274"/>
      <c r="N527" s="193">
        <f>N$9</f>
        <v>42308</v>
      </c>
      <c r="O527" s="196"/>
      <c r="P527" s="193">
        <f>N$9</f>
        <v>42308</v>
      </c>
      <c r="Q527" s="237">
        <f>N$9</f>
        <v>42308</v>
      </c>
      <c r="R527" s="238"/>
      <c r="S527" s="193">
        <f>S$9</f>
        <v>42338</v>
      </c>
      <c r="T527" s="196"/>
      <c r="U527" s="193">
        <f>S$9</f>
        <v>42338</v>
      </c>
      <c r="V527" s="237">
        <f>S$9</f>
        <v>42338</v>
      </c>
      <c r="W527" s="238"/>
      <c r="X527" s="193">
        <f>X$9</f>
        <v>42369</v>
      </c>
      <c r="Y527" s="196"/>
      <c r="Z527" s="193">
        <f>X$9</f>
        <v>42369</v>
      </c>
      <c r="AA527" s="237">
        <f>X$9</f>
        <v>42369</v>
      </c>
      <c r="AB527" s="265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</row>
    <row r="528" spans="1:42" s="192" customFormat="1" ht="11.25">
      <c r="A528" s="37"/>
      <c r="B528" s="37"/>
      <c r="C528" s="37"/>
      <c r="D528" s="191"/>
      <c r="E528" s="191" t="s">
        <v>288</v>
      </c>
      <c r="F528" s="191" t="str">
        <f t="shared" si="913"/>
        <v>Авто</v>
      </c>
      <c r="G528" s="191" t="s">
        <v>219</v>
      </c>
      <c r="H528" s="315"/>
      <c r="I528" s="329">
        <f>IF(I524=0,0,I527-I525)</f>
        <v>0</v>
      </c>
      <c r="J528" s="317"/>
      <c r="K528" s="329">
        <f>IF(K524=0,0,K527-K525)</f>
        <v>0</v>
      </c>
      <c r="L528" s="330">
        <f>IF(L524=0,0,L527-L525)</f>
        <v>0</v>
      </c>
      <c r="M528" s="274"/>
      <c r="N528" s="156">
        <f>IF(N524=0,0,N527-N525)</f>
        <v>0</v>
      </c>
      <c r="O528" s="196"/>
      <c r="P528" s="156">
        <f>IF(P524=0,0,P527-P525)</f>
        <v>0</v>
      </c>
      <c r="Q528" s="245">
        <f>IF(Q524=0,0,Q527-Q525)</f>
        <v>0</v>
      </c>
      <c r="R528" s="238"/>
      <c r="S528" s="156">
        <f>IF(S524=0,0,S527-S525)</f>
        <v>0</v>
      </c>
      <c r="T528" s="196"/>
      <c r="U528" s="156">
        <f>IF(U524=0,0,U527-U525)</f>
        <v>0</v>
      </c>
      <c r="V528" s="245">
        <f>IF(V524=0,0,V527-V525)</f>
        <v>0</v>
      </c>
      <c r="W528" s="238"/>
      <c r="X528" s="156">
        <f>IF(X524=0,0,X527-X525)</f>
        <v>0</v>
      </c>
      <c r="Y528" s="196"/>
      <c r="Z528" s="156">
        <f>IF(Z524=0,0,Z527-Z525)</f>
        <v>0</v>
      </c>
      <c r="AA528" s="245">
        <f>IF(AA524=0,0,AA527-AA525)</f>
        <v>0</v>
      </c>
      <c r="AB528" s="265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</row>
    <row r="529" spans="1:42" s="192" customFormat="1" ht="12" thickBot="1">
      <c r="A529" s="37"/>
      <c r="B529" s="37"/>
      <c r="C529" s="37"/>
      <c r="D529" s="297"/>
      <c r="E529" s="297" t="s">
        <v>289</v>
      </c>
      <c r="F529" s="297" t="str">
        <f t="shared" si="913"/>
        <v>Авто</v>
      </c>
      <c r="G529" s="297" t="s">
        <v>219</v>
      </c>
      <c r="H529" s="377"/>
      <c r="I529" s="378">
        <f>I526-I528</f>
        <v>0</v>
      </c>
      <c r="J529" s="379"/>
      <c r="K529" s="378">
        <f>K526-K528</f>
        <v>0</v>
      </c>
      <c r="L529" s="380">
        <f>L526-L528</f>
        <v>0</v>
      </c>
      <c r="M529" s="300"/>
      <c r="N529" s="298">
        <f>N526-N528</f>
        <v>0</v>
      </c>
      <c r="O529" s="299"/>
      <c r="P529" s="298">
        <f>P526-P528</f>
        <v>0</v>
      </c>
      <c r="Q529" s="301">
        <f>Q526-Q528</f>
        <v>0</v>
      </c>
      <c r="R529" s="302"/>
      <c r="S529" s="298">
        <f>S526-S528</f>
        <v>0</v>
      </c>
      <c r="T529" s="299"/>
      <c r="U529" s="298">
        <f>U526-U528</f>
        <v>0</v>
      </c>
      <c r="V529" s="301">
        <f>V526-V528</f>
        <v>0</v>
      </c>
      <c r="W529" s="302"/>
      <c r="X529" s="298">
        <f>X526-X528</f>
        <v>0</v>
      </c>
      <c r="Y529" s="299"/>
      <c r="Z529" s="298">
        <f>Z526-Z528</f>
        <v>0</v>
      </c>
      <c r="AA529" s="301">
        <f>AA526-AA528</f>
        <v>0</v>
      </c>
      <c r="AB529" s="265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</row>
    <row r="530" spans="1:42">
      <c r="A530" s="12"/>
      <c r="B530" s="12"/>
      <c r="C530" s="12"/>
      <c r="D530" s="303"/>
      <c r="E530" s="303"/>
      <c r="F530" s="303"/>
      <c r="G530" s="303"/>
      <c r="H530" s="381"/>
      <c r="I530" s="382"/>
      <c r="J530" s="383"/>
      <c r="K530" s="384"/>
      <c r="L530" s="384"/>
      <c r="M530" s="303"/>
      <c r="N530" s="304"/>
      <c r="O530" s="294"/>
      <c r="P530" s="305"/>
      <c r="Q530" s="305"/>
      <c r="R530" s="303"/>
      <c r="S530" s="304"/>
      <c r="T530" s="294"/>
      <c r="U530" s="305"/>
      <c r="V530" s="305"/>
      <c r="W530" s="303"/>
      <c r="X530" s="304"/>
      <c r="Y530" s="294"/>
      <c r="Z530" s="305"/>
      <c r="AA530" s="305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s="5" customFormat="1">
      <c r="A531" s="1"/>
      <c r="B531" s="1"/>
      <c r="C531" s="194" t="s">
        <v>314</v>
      </c>
      <c r="D531" s="194"/>
      <c r="E531" s="194"/>
      <c r="F531" s="194"/>
      <c r="G531" s="194"/>
      <c r="H531" s="367"/>
      <c r="I531" s="367"/>
      <c r="J531" s="368"/>
      <c r="K531" s="367"/>
      <c r="L531" s="367"/>
      <c r="M531" s="194"/>
      <c r="N531" s="195"/>
      <c r="O531" s="306"/>
      <c r="P531" s="194"/>
      <c r="Q531" s="194"/>
      <c r="R531" s="194"/>
      <c r="S531" s="195"/>
      <c r="T531" s="306"/>
      <c r="U531" s="194"/>
      <c r="V531" s="194"/>
      <c r="W531" s="194"/>
      <c r="X531" s="195"/>
      <c r="Y531" s="306"/>
      <c r="Z531" s="194"/>
      <c r="AA531" s="194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3.5" thickBot="1">
      <c r="A532" s="12"/>
      <c r="B532" s="12"/>
      <c r="C532" s="206"/>
      <c r="D532" s="287"/>
      <c r="E532" s="287"/>
      <c r="F532" s="287"/>
      <c r="G532" s="287"/>
      <c r="H532" s="369"/>
      <c r="I532" s="370"/>
      <c r="J532" s="371"/>
      <c r="K532" s="372"/>
      <c r="L532" s="372"/>
      <c r="M532" s="287"/>
      <c r="N532" s="288"/>
      <c r="O532" s="289"/>
      <c r="P532" s="290"/>
      <c r="Q532" s="290"/>
      <c r="R532" s="287"/>
      <c r="S532" s="288"/>
      <c r="T532" s="289"/>
      <c r="U532" s="290"/>
      <c r="V532" s="290"/>
      <c r="W532" s="287"/>
      <c r="X532" s="288"/>
      <c r="Y532" s="289"/>
      <c r="Z532" s="290"/>
      <c r="AA532" s="290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s="111" customFormat="1" ht="11.25">
      <c r="A533" s="108"/>
      <c r="B533" s="108"/>
      <c r="C533" s="108" t="s">
        <v>271</v>
      </c>
      <c r="D533" s="291"/>
      <c r="E533" s="291"/>
      <c r="F533" s="291" t="str">
        <f>F534</f>
        <v>АвтоКомп</v>
      </c>
      <c r="G533" s="291"/>
      <c r="H533" s="373"/>
      <c r="I533" s="374">
        <f>I534-K534-L534</f>
        <v>0</v>
      </c>
      <c r="J533" s="375">
        <f>N533+N551+N589+SUM(O:O)+S533+S551+S589+SUM(T:T)+X533+X551+X589+SUM(Y:Y)</f>
        <v>3.7104683769939584E-9</v>
      </c>
      <c r="K533" s="373"/>
      <c r="L533" s="376"/>
      <c r="M533" s="293"/>
      <c r="N533" s="292">
        <f>N534-P534-Q534</f>
        <v>0</v>
      </c>
      <c r="O533" s="294"/>
      <c r="P533" s="291"/>
      <c r="Q533" s="295"/>
      <c r="R533" s="296"/>
      <c r="S533" s="292">
        <f>S534-U534-V534</f>
        <v>0</v>
      </c>
      <c r="T533" s="294"/>
      <c r="U533" s="291"/>
      <c r="V533" s="295"/>
      <c r="W533" s="296"/>
      <c r="X533" s="292">
        <f>X534-Z534-AA534</f>
        <v>0</v>
      </c>
      <c r="Y533" s="294"/>
      <c r="Z533" s="291"/>
      <c r="AA533" s="295"/>
      <c r="AB533" s="263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</row>
    <row r="534" spans="1:42" s="93" customFormat="1" ht="15">
      <c r="A534" s="92"/>
      <c r="B534" s="92"/>
      <c r="C534" s="92"/>
      <c r="D534" s="151" t="s">
        <v>256</v>
      </c>
      <c r="E534" s="151"/>
      <c r="F534" s="286" t="str">
        <f>микс!$H$24</f>
        <v>АвтоКомп</v>
      </c>
      <c r="G534" s="151" t="s">
        <v>261</v>
      </c>
      <c r="H534" s="311"/>
      <c r="I534" s="312">
        <f>SUMIFS(операции!$V:$V,операции!$T:$T,"&lt;"&amp;I$8,операции!$X:$X,"",операции!$O:$O,$F534)+SUMIFS(операции!$V:$V,операции!$T:$T,"&lt;"&amp;I$8,операции!$X:$X,"&gt;="&amp;I$8,операции!$O:$O,$F534)</f>
        <v>15300</v>
      </c>
      <c r="J534" s="313">
        <f>I534-I539-I545</f>
        <v>0</v>
      </c>
      <c r="K534" s="312">
        <f>SUMIFS(операции!$V:$V,операции!$T:$T,"&lt;"&amp;I$8,операции!$X:$X,"",операции!$L:$L,K$9,операции!$O:$O,$F534)+SUMIFS(операции!$V:$V,операции!$T:$T,"&lt;"&amp;I$8,операции!$X:$X,"&gt;="&amp;I$8,операции!$L:$L,K$9,операции!$O:$O,$F534)</f>
        <v>15300</v>
      </c>
      <c r="L534" s="314">
        <f>SUMIFS(операции!$V:$V,операции!$T:$T,"&lt;"&amp;I$8,операции!$X:$X,"",операции!$L:$L,L$9,операции!$O:$O,$F534)+SUMIFS(операции!$V:$V,операции!$T:$T,"&lt;"&amp;I$8,операции!$X:$X,"&gt;="&amp;I$8,операции!$L:$L,L$9,операции!$O:$O,$F534)</f>
        <v>0</v>
      </c>
      <c r="M534" s="273"/>
      <c r="N534" s="152">
        <f>SUMIFS(операции!$V:$V,операции!$T:$T,"&lt;"&amp;N$8,операции!$X:$X,"",операции!$O:$O,$F534)+SUMIFS(операции!$V:$V,операции!$T:$T,"&lt;"&amp;N$8,операции!$X:$X,"&gt;="&amp;N$8,операции!$O:$O,$F534)</f>
        <v>15300</v>
      </c>
      <c r="O534" s="170">
        <f>N534-N539-N545</f>
        <v>0</v>
      </c>
      <c r="P534" s="152">
        <f>SUMIFS(операции!$V:$V,операции!$T:$T,"&lt;"&amp;N$8,операции!$X:$X,"",операции!$L:$L,P$9,операции!$O:$O,$F534)+SUMIFS(операции!$V:$V,операции!$T:$T,"&lt;"&amp;N$8,операции!$X:$X,"&gt;="&amp;N$8,операции!$L:$L,P$9,операции!$O:$O,$F534)</f>
        <v>15300</v>
      </c>
      <c r="Q534" s="235">
        <f>SUMIFS(операции!$V:$V,операции!$T:$T,"&lt;"&amp;N$8,операции!$X:$X,"",операции!$L:$L,Q$9,операции!$O:$O,$F534)+SUMIFS(операции!$V:$V,операции!$T:$T,"&lt;"&amp;N$8,операции!$X:$X,"&gt;="&amp;N$8,операции!$L:$L,Q$9,операции!$O:$O,$F534)</f>
        <v>0</v>
      </c>
      <c r="R534" s="236"/>
      <c r="S534" s="152">
        <f>SUMIFS(операции!$V:$V,операции!$T:$T,"&lt;"&amp;S$8,операции!$X:$X,"",операции!$O:$O,$F534)+SUMIFS(операции!$V:$V,операции!$T:$T,"&lt;"&amp;S$8,операции!$X:$X,"&gt;="&amp;S$8,операции!$O:$O,$F534)</f>
        <v>5100</v>
      </c>
      <c r="T534" s="170">
        <f>S534-S539-S545</f>
        <v>0</v>
      </c>
      <c r="U534" s="152">
        <f>SUMIFS(операции!$V:$V,операции!$T:$T,"&lt;"&amp;S$8,операции!$X:$X,"",операции!$L:$L,U$9,операции!$O:$O,$F534)+SUMIFS(операции!$V:$V,операции!$T:$T,"&lt;"&amp;S$8,операции!$X:$X,"&gt;="&amp;S$8,операции!$L:$L,U$9,операции!$O:$O,$F534)</f>
        <v>5100</v>
      </c>
      <c r="V534" s="235">
        <f>SUMIFS(операции!$V:$V,операции!$T:$T,"&lt;"&amp;S$8,операции!$X:$X,"",операции!$L:$L,V$9,операции!$O:$O,$F534)+SUMIFS(операции!$V:$V,операции!$T:$T,"&lt;"&amp;S$8,операции!$X:$X,"&gt;="&amp;S$8,операции!$L:$L,V$9,операции!$O:$O,$F534)</f>
        <v>0</v>
      </c>
      <c r="W534" s="236"/>
      <c r="X534" s="152">
        <f>SUMIFS(операции!$V:$V,операции!$T:$T,"&lt;"&amp;X$8,операции!$X:$X,"",операции!$O:$O,$F534)+SUMIFS(операции!$V:$V,операции!$T:$T,"&lt;"&amp;X$8,операции!$X:$X,"&gt;="&amp;X$8,операции!$O:$O,$F534)</f>
        <v>0</v>
      </c>
      <c r="Y534" s="170">
        <f>X534-X539-X545</f>
        <v>0</v>
      </c>
      <c r="Z534" s="152">
        <f>SUMIFS(операции!$V:$V,операции!$T:$T,"&lt;"&amp;X$8,операции!$X:$X,"",операции!$L:$L,Z$9,операции!$O:$O,$F534)+SUMIFS(операции!$V:$V,операции!$T:$T,"&lt;"&amp;X$8,операции!$X:$X,"&gt;="&amp;X$8,операции!$L:$L,Z$9,операции!$O:$O,$F534)</f>
        <v>0</v>
      </c>
      <c r="AA534" s="235">
        <f>SUMIFS(операции!$V:$V,операции!$T:$T,"&lt;"&amp;X$8,операции!$X:$X,"",операции!$L:$L,AA$9,операции!$O:$O,$F534)+SUMIFS(операции!$V:$V,операции!$T:$T,"&lt;"&amp;X$8,операции!$X:$X,"&gt;="&amp;X$8,операции!$L:$L,AA$9,операции!$O:$O,$F534)</f>
        <v>0</v>
      </c>
      <c r="AB534" s="264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</row>
    <row r="535" spans="1:42" s="192" customFormat="1" ht="11.25">
      <c r="A535" s="37"/>
      <c r="B535" s="37"/>
      <c r="C535" s="37"/>
      <c r="D535" s="191" t="s">
        <v>255</v>
      </c>
      <c r="E535" s="191"/>
      <c r="F535" s="191" t="str">
        <f>F534</f>
        <v>АвтоКомп</v>
      </c>
      <c r="G535" s="191" t="s">
        <v>262</v>
      </c>
      <c r="H535" s="315"/>
      <c r="I535" s="316">
        <f>IF(I534=0,0,(SUMIFS(операции!$AF:$AF,операции!$T:$T,"&lt;"&amp;I$8,операции!$X:$X,"",операции!$O:$O,$F534)+SUMIFS(операции!$AF:$AF,операции!$T:$T,"&lt;"&amp;I$8,операции!$X:$X,"&gt;="&amp;I$8,операции!$O:$O,$F534))/I534)</f>
        <v>42147.333333333336</v>
      </c>
      <c r="J535" s="317"/>
      <c r="K535" s="316">
        <f>IF(K534=0,0,(SUMIFS(операции!$AF:$AF,операции!$T:$T,"&lt;"&amp;I$8,операции!$X:$X,"",операции!$L:$L,K$9,операции!$O:$O,$F534)+SUMIFS(операции!$AF:$AF,операции!$T:$T,"&lt;"&amp;I$8,операции!$X:$X,"&gt;="&amp;I$8,операции!$L:$L,K$9,операции!$O:$O,$F534))/K534)</f>
        <v>42147.333333333336</v>
      </c>
      <c r="L535" s="318">
        <f>IF(L534=0,0,(SUMIFS(операции!$AF:$AF,операции!$T:$T,"&lt;"&amp;I$8,операции!$X:$X,"",операции!$L:$L,L$9,операции!$O:$O,$F534)+SUMIFS(операции!$AF:$AF,операции!$T:$T,"&lt;"&amp;I$8,операции!$X:$X,"&gt;="&amp;I$8,операции!$L:$L,L$9,операции!$O:$O,$F534))/L534)</f>
        <v>0</v>
      </c>
      <c r="M535" s="274"/>
      <c r="N535" s="193">
        <f>IF(N534=0,0,(SUMIFS(операции!$AF:$AF,операции!$T:$T,"&lt;"&amp;N$8,операции!$X:$X,"",операции!$O:$O,$F534)+SUMIFS(операции!$AF:$AF,операции!$T:$T,"&lt;"&amp;N$8,операции!$X:$X,"&gt;="&amp;N$8,операции!$O:$O,$F534))/N534)</f>
        <v>42147.333333333336</v>
      </c>
      <c r="O535" s="196"/>
      <c r="P535" s="193">
        <f>IF(P534=0,0,(SUMIFS(операции!$AF:$AF,операции!$T:$T,"&lt;"&amp;N$8,операции!$X:$X,"",операции!$L:$L,P$9,операции!$O:$O,$F534)+SUMIFS(операции!$AF:$AF,операции!$T:$T,"&lt;"&amp;N$8,операции!$X:$X,"&gt;="&amp;N$8,операции!$L:$L,P$9,операции!$O:$O,$F534))/P534)</f>
        <v>42147.333333333336</v>
      </c>
      <c r="Q535" s="237">
        <f>IF(Q534=0,0,(SUMIFS(операции!$AF:$AF,операции!$T:$T,"&lt;"&amp;N$8,операции!$X:$X,"",операции!$L:$L,Q$9,операции!$O:$O,$F534)+SUMIFS(операции!$AF:$AF,операции!$T:$T,"&lt;"&amp;N$8,операции!$X:$X,"&gt;="&amp;N$8,операции!$L:$L,Q$9,операции!$O:$O,$F534))/Q534)</f>
        <v>0</v>
      </c>
      <c r="R535" s="238"/>
      <c r="S535" s="193">
        <f>IF(S534=0,0,(SUMIFS(операции!$AF:$AF,операции!$T:$T,"&lt;"&amp;S$8,операции!$X:$X,"",операции!$O:$O,$F534)+SUMIFS(операции!$AF:$AF,операции!$T:$T,"&lt;"&amp;S$8,операции!$X:$X,"&gt;="&amp;S$8,операции!$O:$O,$F534))/S534)</f>
        <v>42151</v>
      </c>
      <c r="T535" s="196"/>
      <c r="U535" s="193">
        <f>IF(U534=0,0,(SUMIFS(операции!$AF:$AF,операции!$T:$T,"&lt;"&amp;S$8,операции!$X:$X,"",операции!$L:$L,U$9,операции!$O:$O,$F534)+SUMIFS(операции!$AF:$AF,операции!$T:$T,"&lt;"&amp;S$8,операции!$X:$X,"&gt;="&amp;S$8,операции!$L:$L,U$9,операции!$O:$O,$F534))/U534)</f>
        <v>42151</v>
      </c>
      <c r="V535" s="237">
        <f>IF(V534=0,0,(SUMIFS(операции!$AF:$AF,операции!$T:$T,"&lt;"&amp;S$8,операции!$X:$X,"",операции!$L:$L,V$9,операции!$O:$O,$F534)+SUMIFS(операции!$AF:$AF,операции!$T:$T,"&lt;"&amp;S$8,операции!$X:$X,"&gt;="&amp;S$8,операции!$L:$L,V$9,операции!$O:$O,$F534))/V534)</f>
        <v>0</v>
      </c>
      <c r="W535" s="238"/>
      <c r="X535" s="193">
        <f>IF(X534=0,0,(SUMIFS(операции!$AF:$AF,операции!$T:$T,"&lt;"&amp;X$8,операции!$X:$X,"",операции!$O:$O,$F534)+SUMIFS(операции!$AF:$AF,операции!$T:$T,"&lt;"&amp;X$8,операции!$X:$X,"&gt;="&amp;X$8,операции!$O:$O,$F534))/X534)</f>
        <v>0</v>
      </c>
      <c r="Y535" s="196"/>
      <c r="Z535" s="193">
        <f>IF(Z534=0,0,(SUMIFS(операции!$AF:$AF,операции!$T:$T,"&lt;"&amp;X$8,операции!$X:$X,"",операции!$L:$L,Z$9,операции!$O:$O,$F534)+SUMIFS(операции!$AF:$AF,операции!$T:$T,"&lt;"&amp;X$8,операции!$X:$X,"&gt;="&amp;X$8,операции!$L:$L,Z$9,операции!$O:$O,$F534))/Z534)</f>
        <v>0</v>
      </c>
      <c r="AA535" s="237">
        <f>IF(AA534=0,0,(SUMIFS(операции!$AF:$AF,операции!$T:$T,"&lt;"&amp;X$8,операции!$X:$X,"",операции!$L:$L,AA$9,операции!$O:$O,$F534)+SUMIFS(операции!$AF:$AF,операции!$T:$T,"&lt;"&amp;X$8,операции!$X:$X,"&gt;="&amp;X$8,операции!$L:$L,AA$9,операции!$O:$O,$F534))/AA534)</f>
        <v>0</v>
      </c>
      <c r="AB535" s="265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</row>
    <row r="536" spans="1:42" s="50" customFormat="1" ht="11.25">
      <c r="A536" s="48"/>
      <c r="B536" s="48"/>
      <c r="C536" s="48"/>
      <c r="D536" s="154" t="s">
        <v>257</v>
      </c>
      <c r="E536" s="154"/>
      <c r="F536" s="154" t="str">
        <f t="shared" ref="F536:F602" si="914">F535</f>
        <v>АвтоКомп</v>
      </c>
      <c r="G536" s="154" t="s">
        <v>219</v>
      </c>
      <c r="H536" s="319"/>
      <c r="I536" s="320">
        <f>IF(I534=0,0,I$8-I535)</f>
        <v>130.66666666666424</v>
      </c>
      <c r="J536" s="321">
        <f>I536-IF(I534=0,0,(I539*I541+I545*I547)/I534)</f>
        <v>0</v>
      </c>
      <c r="K536" s="320">
        <f>IF(K534=0,0,I$8-K535)</f>
        <v>130.66666666666424</v>
      </c>
      <c r="L536" s="322">
        <f>IF(L534=0,0,I$8-L535)</f>
        <v>0</v>
      </c>
      <c r="M536" s="275"/>
      <c r="N536" s="155">
        <f>IF(N534=0,0,N$8-N535)</f>
        <v>130.66666666666424</v>
      </c>
      <c r="O536" s="173">
        <f>N536-IF(N534=0,0,(N539*N541+N545*N547)/N534)</f>
        <v>0</v>
      </c>
      <c r="P536" s="155">
        <f>IF(P534=0,0,N$8-P535)</f>
        <v>130.66666666666424</v>
      </c>
      <c r="Q536" s="239">
        <f>IF(Q534=0,0,N$8-Q535)</f>
        <v>0</v>
      </c>
      <c r="R536" s="240"/>
      <c r="S536" s="155">
        <f>IF(S534=0,0,S$8-S535)</f>
        <v>158</v>
      </c>
      <c r="T536" s="173">
        <f>S536-IF(S534=0,0,(S539*S541+S545*S547)/S534)</f>
        <v>0</v>
      </c>
      <c r="U536" s="155">
        <f>IF(U534=0,0,S$8-U535)</f>
        <v>158</v>
      </c>
      <c r="V536" s="239">
        <f>IF(V534=0,0,S$8-V535)</f>
        <v>0</v>
      </c>
      <c r="W536" s="240"/>
      <c r="X536" s="155">
        <f>IF(X534=0,0,X$8-X535)</f>
        <v>0</v>
      </c>
      <c r="Y536" s="173">
        <f>X536-IF(X534=0,0,(X539*X541+X545*X547)/X534)</f>
        <v>0</v>
      </c>
      <c r="Z536" s="155">
        <f>IF(Z534=0,0,X$8-Z535)</f>
        <v>0</v>
      </c>
      <c r="AA536" s="239">
        <f>IF(AA534=0,0,X$8-AA535)</f>
        <v>0</v>
      </c>
      <c r="AB536" s="230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</row>
    <row r="537" spans="1:42" s="93" customFormat="1" ht="15">
      <c r="A537" s="92"/>
      <c r="B537" s="92"/>
      <c r="C537" s="92"/>
      <c r="D537" s="198" t="s">
        <v>267</v>
      </c>
      <c r="E537" s="198"/>
      <c r="F537" s="198" t="str">
        <f t="shared" si="914"/>
        <v>АвтоКомп</v>
      </c>
      <c r="G537" s="198" t="s">
        <v>219</v>
      </c>
      <c r="H537" s="323"/>
      <c r="I537" s="324">
        <f>IF(I534=0,0,(I539*I543+I545*I549)/I534)</f>
        <v>26.666666666664238</v>
      </c>
      <c r="J537" s="321"/>
      <c r="K537" s="324">
        <f t="shared" ref="K537" si="915">IF(K534=0,0,(K539*K543+K545*K549)/K534)</f>
        <v>26.666666666664238</v>
      </c>
      <c r="L537" s="325">
        <f>IF(L534=0,0,(L539*L543+L545*L549)/L534)</f>
        <v>0</v>
      </c>
      <c r="M537" s="276"/>
      <c r="N537" s="199">
        <f>IF(N534=0,0,(N539*N543+N545*N549)/N534)</f>
        <v>26.666666666664238</v>
      </c>
      <c r="O537" s="173"/>
      <c r="P537" s="199">
        <f t="shared" ref="P537" si="916">IF(P534=0,0,(P539*P543+P545*P549)/P534)</f>
        <v>26.666666666664238</v>
      </c>
      <c r="Q537" s="241">
        <f>IF(Q534=0,0,(Q539*Q543+Q545*Q549)/Q534)</f>
        <v>0</v>
      </c>
      <c r="R537" s="242"/>
      <c r="S537" s="199">
        <f>IF(S534=0,0,(S539*S543+S545*S549)/S534)</f>
        <v>30</v>
      </c>
      <c r="T537" s="173"/>
      <c r="U537" s="199">
        <f t="shared" ref="U537" si="917">IF(U534=0,0,(U539*U543+U545*U549)/U534)</f>
        <v>30</v>
      </c>
      <c r="V537" s="241">
        <f>IF(V534=0,0,(V539*V543+V545*V549)/V534)</f>
        <v>0</v>
      </c>
      <c r="W537" s="242"/>
      <c r="X537" s="199">
        <f>IF(X534=0,0,(X539*X543+X545*X549)/X534)</f>
        <v>0</v>
      </c>
      <c r="Y537" s="173"/>
      <c r="Z537" s="199">
        <f t="shared" ref="Z537" si="918">IF(Z534=0,0,(Z539*Z543+Z545*Z549)/Z534)</f>
        <v>0</v>
      </c>
      <c r="AA537" s="241">
        <f>IF(AA534=0,0,(AA539*AA543+AA545*AA549)/AA534)</f>
        <v>0</v>
      </c>
      <c r="AB537" s="264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</row>
    <row r="538" spans="1:42" s="50" customFormat="1" ht="11.25">
      <c r="A538" s="48"/>
      <c r="B538" s="48"/>
      <c r="C538" s="48"/>
      <c r="D538" s="154" t="s">
        <v>270</v>
      </c>
      <c r="E538" s="154"/>
      <c r="F538" s="154" t="str">
        <f t="shared" si="914"/>
        <v>АвтоКомп</v>
      </c>
      <c r="G538" s="154" t="s">
        <v>219</v>
      </c>
      <c r="H538" s="319"/>
      <c r="I538" s="320">
        <f>I536-I537</f>
        <v>104</v>
      </c>
      <c r="J538" s="321"/>
      <c r="K538" s="320">
        <f t="shared" ref="K538" si="919">K536-K537</f>
        <v>104</v>
      </c>
      <c r="L538" s="322">
        <f t="shared" ref="L538" si="920">L536-L537</f>
        <v>0</v>
      </c>
      <c r="M538" s="275"/>
      <c r="N538" s="155">
        <f>N536-N537</f>
        <v>104</v>
      </c>
      <c r="O538" s="173"/>
      <c r="P538" s="155">
        <f t="shared" ref="P538" si="921">P536-P537</f>
        <v>104</v>
      </c>
      <c r="Q538" s="239">
        <f t="shared" ref="Q538" si="922">Q536-Q537</f>
        <v>0</v>
      </c>
      <c r="R538" s="240"/>
      <c r="S538" s="155">
        <f>S536-S537</f>
        <v>128</v>
      </c>
      <c r="T538" s="173"/>
      <c r="U538" s="155">
        <f t="shared" ref="U538" si="923">U536-U537</f>
        <v>128</v>
      </c>
      <c r="V538" s="239">
        <f t="shared" ref="V538" si="924">V536-V537</f>
        <v>0</v>
      </c>
      <c r="W538" s="240"/>
      <c r="X538" s="155">
        <f>X536-X537</f>
        <v>0</v>
      </c>
      <c r="Y538" s="173"/>
      <c r="Z538" s="155">
        <f t="shared" ref="Z538" si="925">Z536-Z537</f>
        <v>0</v>
      </c>
      <c r="AA538" s="239">
        <f t="shared" ref="AA538" si="926">AA536-AA537</f>
        <v>0</v>
      </c>
      <c r="AB538" s="230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</row>
    <row r="539" spans="1:42" s="5" customFormat="1">
      <c r="A539" s="1"/>
      <c r="B539" s="1"/>
      <c r="C539" s="1"/>
      <c r="D539" s="168"/>
      <c r="E539" s="168" t="s">
        <v>258</v>
      </c>
      <c r="F539" s="168" t="str">
        <f t="shared" si="914"/>
        <v>АвтоКомп</v>
      </c>
      <c r="G539" s="168" t="s">
        <v>261</v>
      </c>
      <c r="H539" s="326"/>
      <c r="I539" s="327">
        <f>SUMIFS(операции!$V:$V,операции!$T:$T,"&lt;"&amp;I$8,операции!$X:$X,"",операции!$AB:$AB,"&lt;&gt;"&amp;"",операции!$AB:$AB,"&lt;"&amp;I$8,операции!$O:$O,$F534)+SUMIFS(операции!$V:$V,операции!$T:$T,"&lt;"&amp;I$8,операции!$X:$X,"&gt;="&amp;I$8,операции!$AB:$AB,"&lt;&gt;"&amp;"",операции!$AB:$AB,"&lt;"&amp;I$8,операции!$O:$O,$F534)</f>
        <v>15300</v>
      </c>
      <c r="J539" s="313">
        <f>I539-K539-L539</f>
        <v>0</v>
      </c>
      <c r="K539" s="327">
        <f>SUMIFS(операции!$V:$V,операции!$T:$T,"&lt;"&amp;I$8,операции!$X:$X,"",операции!$AB:$AB,"&lt;&gt;"&amp;"",операции!$AB:$AB,"&lt;"&amp;I$8,операции!$L:$L,K$9,операции!$O:$O,$F534)+SUMIFS(операции!$V:$V,операции!$T:$T,"&lt;"&amp;I$8,операции!$X:$X,"&gt;="&amp;I$8,операции!$AB:$AB,"&lt;&gt;"&amp;"",операции!$AB:$AB,"&lt;"&amp;I$8,операции!$L:$L,K$9,операции!$O:$O,$F534)</f>
        <v>15300</v>
      </c>
      <c r="L539" s="328">
        <f>SUMIFS(операции!$V:$V,операции!$T:$T,"&lt;"&amp;I$8,операции!$X:$X,"",операции!$AB:$AB,"&lt;&gt;"&amp;"",операции!$AB:$AB,"&lt;"&amp;I$8,операции!$L:$L,L$9,операции!$O:$O,$F534)+SUMIFS(операции!$V:$V,операции!$T:$T,"&lt;"&amp;I$8,операции!$X:$X,"&gt;="&amp;I$8,операции!$AB:$AB,"&lt;&gt;"&amp;"",операции!$AB:$AB,"&lt;"&amp;I$8,операции!$L:$L,L$9,операции!$O:$O,$F534)</f>
        <v>0</v>
      </c>
      <c r="M539" s="277"/>
      <c r="N539" s="169">
        <f>SUMIFS(операции!$V:$V,операции!$T:$T,"&lt;"&amp;N$8,операции!$X:$X,"",операции!$AB:$AB,"&lt;&gt;"&amp;"",операции!$AB:$AB,"&lt;"&amp;N$8,операции!$O:$O,$F534)+SUMIFS(операции!$V:$V,операции!$T:$T,"&lt;"&amp;N$8,операции!$X:$X,"&gt;="&amp;N$8,операции!$AB:$AB,"&lt;&gt;"&amp;"",операции!$AB:$AB,"&lt;"&amp;N$8,операции!$O:$O,$F534)</f>
        <v>15300</v>
      </c>
      <c r="O539" s="170">
        <f>N539-P539-Q539</f>
        <v>0</v>
      </c>
      <c r="P539" s="169">
        <f>SUMIFS(операции!$V:$V,операции!$T:$T,"&lt;"&amp;N$8,операции!$X:$X,"",операции!$AB:$AB,"&lt;&gt;"&amp;"",операции!$AB:$AB,"&lt;"&amp;N$8,операции!$L:$L,P$9,операции!$O:$O,$F534)+SUMIFS(операции!$V:$V,операции!$T:$T,"&lt;"&amp;N$8,операции!$X:$X,"&gt;="&amp;N$8,операции!$AB:$AB,"&lt;&gt;"&amp;"",операции!$AB:$AB,"&lt;"&amp;N$8,операции!$L:$L,P$9,операции!$O:$O,$F534)</f>
        <v>15300</v>
      </c>
      <c r="Q539" s="243">
        <f>SUMIFS(операции!$V:$V,операции!$T:$T,"&lt;"&amp;N$8,операции!$X:$X,"",операции!$AB:$AB,"&lt;&gt;"&amp;"",операции!$AB:$AB,"&lt;"&amp;N$8,операции!$L:$L,Q$9,операции!$O:$O,$F534)+SUMIFS(операции!$V:$V,операции!$T:$T,"&lt;"&amp;N$8,операции!$X:$X,"&gt;="&amp;N$8,операции!$AB:$AB,"&lt;&gt;"&amp;"",операции!$AB:$AB,"&lt;"&amp;N$8,операции!$L:$L,Q$9,операции!$O:$O,$F534)</f>
        <v>0</v>
      </c>
      <c r="R539" s="244"/>
      <c r="S539" s="169">
        <f>SUMIFS(операции!$V:$V,операции!$T:$T,"&lt;"&amp;S$8,операции!$X:$X,"",операции!$AB:$AB,"&lt;&gt;"&amp;"",операции!$AB:$AB,"&lt;"&amp;S$8,операции!$O:$O,$F534)+SUMIFS(операции!$V:$V,операции!$T:$T,"&lt;"&amp;S$8,операции!$X:$X,"&gt;="&amp;S$8,операции!$AB:$AB,"&lt;&gt;"&amp;"",операции!$AB:$AB,"&lt;"&amp;S$8,операции!$O:$O,$F534)</f>
        <v>5100</v>
      </c>
      <c r="T539" s="170">
        <f>S539-U539-V539</f>
        <v>0</v>
      </c>
      <c r="U539" s="169">
        <f>SUMIFS(операции!$V:$V,операции!$T:$T,"&lt;"&amp;S$8,операции!$X:$X,"",операции!$AB:$AB,"&lt;&gt;"&amp;"",операции!$AB:$AB,"&lt;"&amp;S$8,операции!$L:$L,U$9,операции!$O:$O,$F534)+SUMIFS(операции!$V:$V,операции!$T:$T,"&lt;"&amp;S$8,операции!$X:$X,"&gt;="&amp;S$8,операции!$AB:$AB,"&lt;&gt;"&amp;"",операции!$AB:$AB,"&lt;"&amp;S$8,операции!$L:$L,U$9,операции!$O:$O,$F534)</f>
        <v>5100</v>
      </c>
      <c r="V539" s="243">
        <f>SUMIFS(операции!$V:$V,операции!$T:$T,"&lt;"&amp;S$8,операции!$X:$X,"",операции!$AB:$AB,"&lt;&gt;"&amp;"",операции!$AB:$AB,"&lt;"&amp;S$8,операции!$L:$L,V$9,операции!$O:$O,$F534)+SUMIFS(операции!$V:$V,операции!$T:$T,"&lt;"&amp;S$8,операции!$X:$X,"&gt;="&amp;S$8,операции!$AB:$AB,"&lt;&gt;"&amp;"",операции!$AB:$AB,"&lt;"&amp;S$8,операции!$L:$L,V$9,операции!$O:$O,$F534)</f>
        <v>0</v>
      </c>
      <c r="W539" s="244"/>
      <c r="X539" s="169">
        <f>SUMIFS(операции!$V:$V,операции!$T:$T,"&lt;"&amp;X$8,операции!$X:$X,"",операции!$AB:$AB,"&lt;&gt;"&amp;"",операции!$AB:$AB,"&lt;"&amp;X$8,операции!$O:$O,$F534)+SUMIFS(операции!$V:$V,операции!$T:$T,"&lt;"&amp;X$8,операции!$X:$X,"&gt;="&amp;X$8,операции!$AB:$AB,"&lt;&gt;"&amp;"",операции!$AB:$AB,"&lt;"&amp;X$8,операции!$O:$O,$F534)</f>
        <v>0</v>
      </c>
      <c r="Y539" s="170">
        <f>X539-Z539-AA539</f>
        <v>0</v>
      </c>
      <c r="Z539" s="169">
        <f>SUMIFS(операции!$V:$V,операции!$T:$T,"&lt;"&amp;X$8,операции!$X:$X,"",операции!$AB:$AB,"&lt;&gt;"&amp;"",операции!$AB:$AB,"&lt;"&amp;X$8,операции!$L:$L,Z$9,операции!$O:$O,$F534)+SUMIFS(операции!$V:$V,операции!$T:$T,"&lt;"&amp;X$8,операции!$X:$X,"&gt;="&amp;X$8,операции!$AB:$AB,"&lt;&gt;"&amp;"",операции!$AB:$AB,"&lt;"&amp;X$8,операции!$L:$L,Z$9,операции!$O:$O,$F534)</f>
        <v>0</v>
      </c>
      <c r="AA539" s="243">
        <f>SUMIFS(операции!$V:$V,операции!$T:$T,"&lt;"&amp;X$8,операции!$X:$X,"",операции!$AB:$AB,"&lt;&gt;"&amp;"",операции!$AB:$AB,"&lt;"&amp;X$8,операции!$L:$L,AA$9,операции!$O:$O,$F534)+SUMIFS(операции!$V:$V,операции!$T:$T,"&lt;"&amp;X$8,операции!$X:$X,"&gt;="&amp;X$8,операции!$AB:$AB,"&lt;&gt;"&amp;"",операции!$AB:$AB,"&lt;"&amp;X$8,операции!$L:$L,AA$9,операции!$O:$O,$F534)</f>
        <v>0</v>
      </c>
      <c r="AB539" s="266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s="192" customFormat="1" ht="11.25">
      <c r="A540" s="37"/>
      <c r="B540" s="37"/>
      <c r="C540" s="37"/>
      <c r="D540" s="191"/>
      <c r="E540" s="191" t="s">
        <v>255</v>
      </c>
      <c r="F540" s="191" t="str">
        <f t="shared" si="914"/>
        <v>АвтоКомп</v>
      </c>
      <c r="G540" s="191" t="s">
        <v>262</v>
      </c>
      <c r="H540" s="315"/>
      <c r="I540" s="316">
        <f>IF(I539=0,0,(SUMIFS(операции!$AF:$AF,операции!$T:$T,"&lt;"&amp;I$8,операции!$X:$X,"",операции!$AB:$AB,"&lt;&gt;"&amp;"",операции!$AB:$AB,"&lt;"&amp;I$8,операции!$O:$O,$F534)+SUMIFS(операции!$AF:$AF,операции!$T:$T,"&lt;"&amp;I$8,операции!$X:$X,"&gt;="&amp;I$8,операции!$AB:$AB,"&lt;&gt;"&amp;"",операции!$AB:$AB,"&lt;"&amp;I$8,операции!$O:$O,$F534))/I539)</f>
        <v>42147.333333333336</v>
      </c>
      <c r="J540" s="317"/>
      <c r="K540" s="316">
        <f>IF(K539=0,0,(SUMIFS(операции!$AF:$AF,операции!$T:$T,"&lt;"&amp;I$8,операции!$X:$X,"",операции!$AB:$AB,"&lt;&gt;"&amp;"",операции!$AB:$AB,"&lt;"&amp;I$8,операции!$L:$L,K$9,операции!$O:$O,$F534)+SUMIFS(операции!$AF:$AF,операции!$T:$T,"&lt;"&amp;I$8,операции!$X:$X,"&gt;="&amp;I$8,операции!$AB:$AB,"&lt;&gt;"&amp;"",операции!$AB:$AB,"&lt;"&amp;I$8,операции!$L:$L,K$9,операции!$O:$O,$F534))/K539)</f>
        <v>42147.333333333336</v>
      </c>
      <c r="L540" s="318">
        <f>IF(L539=0,0,(SUMIFS(операции!$AF:$AF,операции!$T:$T,"&lt;"&amp;I$8,операции!$X:$X,"",операции!$AB:$AB,"&lt;&gt;"&amp;"",операции!$AB:$AB,"&lt;"&amp;I$8,операции!$L:$L,L$9,операции!$O:$O,$F534)+SUMIFS(операции!$AF:$AF,операции!$T:$T,"&lt;"&amp;I$8,операции!$X:$X,"&gt;="&amp;I$8,операции!$AB:$AB,"&lt;&gt;"&amp;"",операции!$AB:$AB,"&lt;"&amp;I$8,операции!$L:$L,L$9,операции!$O:$O,$F534))/L539)</f>
        <v>0</v>
      </c>
      <c r="M540" s="274"/>
      <c r="N540" s="193">
        <f>IF(N539=0,0,(SUMIFS(операции!$AF:$AF,операции!$T:$T,"&lt;"&amp;N$8,операции!$X:$X,"",операции!$AB:$AB,"&lt;&gt;"&amp;"",операции!$AB:$AB,"&lt;"&amp;N$8,операции!$O:$O,$F534)+SUMIFS(операции!$AF:$AF,операции!$T:$T,"&lt;"&amp;N$8,операции!$X:$X,"&gt;="&amp;N$8,операции!$AB:$AB,"&lt;&gt;"&amp;"",операции!$AB:$AB,"&lt;"&amp;N$8,операции!$O:$O,$F534))/N539)</f>
        <v>42147.333333333336</v>
      </c>
      <c r="O540" s="196"/>
      <c r="P540" s="193">
        <f>IF(P539=0,0,(SUMIFS(операции!$AF:$AF,операции!$T:$T,"&lt;"&amp;N$8,операции!$X:$X,"",операции!$AB:$AB,"&lt;&gt;"&amp;"",операции!$AB:$AB,"&lt;"&amp;N$8,операции!$L:$L,P$9,операции!$O:$O,$F534)+SUMIFS(операции!$AF:$AF,операции!$T:$T,"&lt;"&amp;N$8,операции!$X:$X,"&gt;="&amp;N$8,операции!$AB:$AB,"&lt;&gt;"&amp;"",операции!$AB:$AB,"&lt;"&amp;N$8,операции!$L:$L,P$9,операции!$O:$O,$F534))/P539)</f>
        <v>42147.333333333336</v>
      </c>
      <c r="Q540" s="237">
        <f>IF(Q539=0,0,(SUMIFS(операции!$AF:$AF,операции!$T:$T,"&lt;"&amp;N$8,операции!$X:$X,"",операции!$AB:$AB,"&lt;&gt;"&amp;"",операции!$AB:$AB,"&lt;"&amp;N$8,операции!$L:$L,Q$9,операции!$O:$O,$F534)+SUMIFS(операции!$AF:$AF,операции!$T:$T,"&lt;"&amp;N$8,операции!$X:$X,"&gt;="&amp;N$8,операции!$AB:$AB,"&lt;&gt;"&amp;"",операции!$AB:$AB,"&lt;"&amp;N$8,операции!$L:$L,Q$9,операции!$O:$O,$F534))/Q539)</f>
        <v>0</v>
      </c>
      <c r="R540" s="238"/>
      <c r="S540" s="193">
        <f>IF(S539=0,0,(SUMIFS(операции!$AF:$AF,операции!$T:$T,"&lt;"&amp;S$8,операции!$X:$X,"",операции!$AB:$AB,"&lt;&gt;"&amp;"",операции!$AB:$AB,"&lt;"&amp;S$8,операции!$O:$O,$F534)+SUMIFS(операции!$AF:$AF,операции!$T:$T,"&lt;"&amp;S$8,операции!$X:$X,"&gt;="&amp;S$8,операции!$AB:$AB,"&lt;&gt;"&amp;"",операции!$AB:$AB,"&lt;"&amp;S$8,операции!$O:$O,$F534))/S539)</f>
        <v>42151</v>
      </c>
      <c r="T540" s="196"/>
      <c r="U540" s="193">
        <f>IF(U539=0,0,(SUMIFS(операции!$AF:$AF,операции!$T:$T,"&lt;"&amp;S$8,операции!$X:$X,"",операции!$AB:$AB,"&lt;&gt;"&amp;"",операции!$AB:$AB,"&lt;"&amp;S$8,операции!$L:$L,U$9,операции!$O:$O,$F534)+SUMIFS(операции!$AF:$AF,операции!$T:$T,"&lt;"&amp;S$8,операции!$X:$X,"&gt;="&amp;S$8,операции!$AB:$AB,"&lt;&gt;"&amp;"",операции!$AB:$AB,"&lt;"&amp;S$8,операции!$L:$L,U$9,операции!$O:$O,$F534))/U539)</f>
        <v>42151</v>
      </c>
      <c r="V540" s="237">
        <f>IF(V539=0,0,(SUMIFS(операции!$AF:$AF,операции!$T:$T,"&lt;"&amp;S$8,операции!$X:$X,"",операции!$AB:$AB,"&lt;&gt;"&amp;"",операции!$AB:$AB,"&lt;"&amp;S$8,операции!$L:$L,V$9,операции!$O:$O,$F534)+SUMIFS(операции!$AF:$AF,операции!$T:$T,"&lt;"&amp;S$8,операции!$X:$X,"&gt;="&amp;S$8,операции!$AB:$AB,"&lt;&gt;"&amp;"",операции!$AB:$AB,"&lt;"&amp;S$8,операции!$L:$L,V$9,операции!$O:$O,$F534))/V539)</f>
        <v>0</v>
      </c>
      <c r="W540" s="238"/>
      <c r="X540" s="193">
        <f>IF(X539=0,0,(SUMIFS(операции!$AF:$AF,операции!$T:$T,"&lt;"&amp;X$8,операции!$X:$X,"",операции!$AB:$AB,"&lt;&gt;"&amp;"",операции!$AB:$AB,"&lt;"&amp;X$8,операции!$O:$O,$F534)+SUMIFS(операции!$AF:$AF,операции!$T:$T,"&lt;"&amp;X$8,операции!$X:$X,"&gt;="&amp;X$8,операции!$AB:$AB,"&lt;&gt;"&amp;"",операции!$AB:$AB,"&lt;"&amp;X$8,операции!$O:$O,$F534))/X539)</f>
        <v>0</v>
      </c>
      <c r="Y540" s="196"/>
      <c r="Z540" s="193">
        <f>IF(Z539=0,0,(SUMIFS(операции!$AF:$AF,операции!$T:$T,"&lt;"&amp;X$8,операции!$X:$X,"",операции!$AB:$AB,"&lt;&gt;"&amp;"",операции!$AB:$AB,"&lt;"&amp;X$8,операции!$L:$L,Z$9,операции!$O:$O,$F534)+SUMIFS(операции!$AF:$AF,операции!$T:$T,"&lt;"&amp;X$8,операции!$X:$X,"&gt;="&amp;X$8,операции!$AB:$AB,"&lt;&gt;"&amp;"",операции!$AB:$AB,"&lt;"&amp;X$8,операции!$L:$L,Z$9,операции!$O:$O,$F534))/Z539)</f>
        <v>0</v>
      </c>
      <c r="AA540" s="237">
        <f>IF(AA539=0,0,(SUMIFS(операции!$AF:$AF,операции!$T:$T,"&lt;"&amp;X$8,операции!$X:$X,"",операции!$AB:$AB,"&lt;&gt;"&amp;"",операции!$AB:$AB,"&lt;"&amp;X$8,операции!$L:$L,AA$9,операции!$O:$O,$F534)+SUMIFS(операции!$AF:$AF,операции!$T:$T,"&lt;"&amp;X$8,операции!$X:$X,"&gt;="&amp;X$8,операции!$AB:$AB,"&lt;&gt;"&amp;"",операции!$AB:$AB,"&lt;"&amp;X$8,операции!$L:$L,AA$9,операции!$O:$O,$F534))/AA539)</f>
        <v>0</v>
      </c>
      <c r="AB540" s="265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</row>
    <row r="541" spans="1:42" s="192" customFormat="1" ht="11.25">
      <c r="A541" s="37"/>
      <c r="B541" s="37"/>
      <c r="C541" s="37"/>
      <c r="D541" s="191"/>
      <c r="E541" s="191" t="s">
        <v>260</v>
      </c>
      <c r="F541" s="191" t="str">
        <f t="shared" si="914"/>
        <v>АвтоКомп</v>
      </c>
      <c r="G541" s="191" t="s">
        <v>219</v>
      </c>
      <c r="H541" s="315"/>
      <c r="I541" s="329">
        <f>IF(I539=0,0,I$8-I540)</f>
        <v>130.66666666666424</v>
      </c>
      <c r="J541" s="317"/>
      <c r="K541" s="329">
        <f>IF(K539=0,0,I$8-K540)</f>
        <v>130.66666666666424</v>
      </c>
      <c r="L541" s="330">
        <f>IF(L539=0,0,I$8-L540)</f>
        <v>0</v>
      </c>
      <c r="M541" s="274"/>
      <c r="N541" s="156">
        <f>IF(N539=0,0,N$8-N540)</f>
        <v>130.66666666666424</v>
      </c>
      <c r="O541" s="196"/>
      <c r="P541" s="156">
        <f>IF(P539=0,0,N$8-P540)</f>
        <v>130.66666666666424</v>
      </c>
      <c r="Q541" s="245">
        <f>IF(Q539=0,0,N$8-Q540)</f>
        <v>0</v>
      </c>
      <c r="R541" s="238"/>
      <c r="S541" s="156">
        <f>IF(S539=0,0,S$8-S540)</f>
        <v>158</v>
      </c>
      <c r="T541" s="196"/>
      <c r="U541" s="156">
        <f>IF(U539=0,0,S$8-U540)</f>
        <v>158</v>
      </c>
      <c r="V541" s="245">
        <f>IF(V539=0,0,S$8-V540)</f>
        <v>0</v>
      </c>
      <c r="W541" s="238"/>
      <c r="X541" s="156">
        <f>IF(X539=0,0,X$8-X540)</f>
        <v>0</v>
      </c>
      <c r="Y541" s="196"/>
      <c r="Z541" s="156">
        <f>IF(Z539=0,0,X$8-Z540)</f>
        <v>0</v>
      </c>
      <c r="AA541" s="245">
        <f>IF(AA539=0,0,X$8-AA540)</f>
        <v>0</v>
      </c>
      <c r="AB541" s="265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</row>
    <row r="542" spans="1:42" s="192" customFormat="1" ht="11.25">
      <c r="A542" s="37"/>
      <c r="B542" s="37"/>
      <c r="C542" s="37"/>
      <c r="D542" s="191"/>
      <c r="E542" s="191" t="s">
        <v>259</v>
      </c>
      <c r="F542" s="191" t="str">
        <f t="shared" si="914"/>
        <v>АвтоКомп</v>
      </c>
      <c r="G542" s="191" t="s">
        <v>262</v>
      </c>
      <c r="H542" s="315"/>
      <c r="I542" s="316">
        <f>IF(I539=0,0,(SUMIFS(операции!$AH:$AH,операции!$T:$T,"&lt;"&amp;I$8,операции!$X:$X,"",операции!$AB:$AB,"&lt;&gt;"&amp;"",операции!$AB:$AB,"&lt;"&amp;I$8,операции!$O:$O,$F534)+SUMIFS(операции!$AH:$AH,операции!$T:$T,"&lt;"&amp;I$8,операции!$X:$X,"&gt;="&amp;I$8,операции!$AB:$AB,"&lt;&gt;"&amp;"",операции!$AB:$AB,"&lt;"&amp;I$8,операции!$O:$O,$F534))/I539)</f>
        <v>42174</v>
      </c>
      <c r="J542" s="317"/>
      <c r="K542" s="316">
        <f>IF(K539=0,0,(SUMIFS(операции!$AH:$AH,операции!$T:$T,"&lt;"&amp;I$8,операции!$X:$X,"",операции!$AB:$AB,"&lt;&gt;"&amp;"",операции!$AB:$AB,"&lt;"&amp;I$8,операции!$L:$L,K$9,операции!$O:$O,$F534)+SUMIFS(операции!$AH:$AH,операции!$T:$T,"&lt;"&amp;I$8,операции!$X:$X,"&gt;="&amp;I$8,операции!$AB:$AB,"&lt;&gt;"&amp;"",операции!$AB:$AB,"&lt;"&amp;I$8,операции!$L:$L,K$9,операции!$O:$O,$F534))/K539)</f>
        <v>42174</v>
      </c>
      <c r="L542" s="318">
        <f>IF(L539=0,0,(SUMIFS(операции!$AH:$AH,операции!$T:$T,"&lt;"&amp;I$8,операции!$X:$X,"",операции!$AB:$AB,"&lt;&gt;"&amp;"",операции!$AB:$AB,"&lt;"&amp;I$8,операции!$L:$L,L$9,операции!$O:$O,$F534)+SUMIFS(операции!$AH:$AH,операции!$T:$T,"&lt;"&amp;I$8,операции!$X:$X,"&gt;="&amp;I$8,операции!$AB:$AB,"&lt;&gt;"&amp;"",операции!$AB:$AB,"&lt;"&amp;I$8,операции!$L:$L,L$9,операции!$O:$O,$F534))/L539)</f>
        <v>0</v>
      </c>
      <c r="M542" s="274"/>
      <c r="N542" s="193">
        <f>IF(N539=0,0,(SUMIFS(операции!$AH:$AH,операции!$T:$T,"&lt;"&amp;N$8,операции!$X:$X,"",операции!$AB:$AB,"&lt;&gt;"&amp;"",операции!$AB:$AB,"&lt;"&amp;N$8,операции!$O:$O,$F534)+SUMIFS(операции!$AH:$AH,операции!$T:$T,"&lt;"&amp;N$8,операции!$X:$X,"&gt;="&amp;N$8,операции!$AB:$AB,"&lt;&gt;"&amp;"",операции!$AB:$AB,"&lt;"&amp;N$8,операции!$O:$O,$F534))/N539)</f>
        <v>42174</v>
      </c>
      <c r="O542" s="196"/>
      <c r="P542" s="193">
        <f>IF(P539=0,0,(SUMIFS(операции!$AH:$AH,операции!$T:$T,"&lt;"&amp;N$8,операции!$X:$X,"",операции!$AB:$AB,"&lt;&gt;"&amp;"",операции!$AB:$AB,"&lt;"&amp;N$8,операции!$L:$L,P$9,операции!$O:$O,$F534)+SUMIFS(операции!$AH:$AH,операции!$T:$T,"&lt;"&amp;N$8,операции!$X:$X,"&gt;="&amp;N$8,операции!$AB:$AB,"&lt;&gt;"&amp;"",операции!$AB:$AB,"&lt;"&amp;N$8,операции!$L:$L,P$9,операции!$O:$O,$F534))/P539)</f>
        <v>42174</v>
      </c>
      <c r="Q542" s="237">
        <f>IF(Q539=0,0,(SUMIFS(операции!$AH:$AH,операции!$T:$T,"&lt;"&amp;N$8,операции!$X:$X,"",операции!$AB:$AB,"&lt;&gt;"&amp;"",операции!$AB:$AB,"&lt;"&amp;N$8,операции!$L:$L,Q$9,операции!$O:$O,$F534)+SUMIFS(операции!$AH:$AH,операции!$T:$T,"&lt;"&amp;N$8,операции!$X:$X,"&gt;="&amp;N$8,операции!$AB:$AB,"&lt;&gt;"&amp;"",операции!$AB:$AB,"&lt;"&amp;N$8,операции!$L:$L,Q$9,операции!$O:$O,$F534))/Q539)</f>
        <v>0</v>
      </c>
      <c r="R542" s="238"/>
      <c r="S542" s="193">
        <f>IF(S539=0,0,(SUMIFS(операции!$AH:$AH,операции!$T:$T,"&lt;"&amp;S$8,операции!$X:$X,"",операции!$AB:$AB,"&lt;&gt;"&amp;"",операции!$AB:$AB,"&lt;"&amp;S$8,операции!$O:$O,$F534)+SUMIFS(операции!$AH:$AH,операции!$T:$T,"&lt;"&amp;S$8,операции!$X:$X,"&gt;="&amp;S$8,операции!$AB:$AB,"&lt;&gt;"&amp;"",операции!$AB:$AB,"&lt;"&amp;S$8,операции!$O:$O,$F534))/S539)</f>
        <v>42181</v>
      </c>
      <c r="T542" s="196"/>
      <c r="U542" s="193">
        <f>IF(U539=0,0,(SUMIFS(операции!$AH:$AH,операции!$T:$T,"&lt;"&amp;S$8,операции!$X:$X,"",операции!$AB:$AB,"&lt;&gt;"&amp;"",операции!$AB:$AB,"&lt;"&amp;S$8,операции!$L:$L,U$9,операции!$O:$O,$F534)+SUMIFS(операции!$AH:$AH,операции!$T:$T,"&lt;"&amp;S$8,операции!$X:$X,"&gt;="&amp;S$8,операции!$AB:$AB,"&lt;&gt;"&amp;"",операции!$AB:$AB,"&lt;"&amp;S$8,операции!$L:$L,U$9,операции!$O:$O,$F534))/U539)</f>
        <v>42181</v>
      </c>
      <c r="V542" s="237">
        <f>IF(V539=0,0,(SUMIFS(операции!$AH:$AH,операции!$T:$T,"&lt;"&amp;S$8,операции!$X:$X,"",операции!$AB:$AB,"&lt;&gt;"&amp;"",операции!$AB:$AB,"&lt;"&amp;S$8,операции!$L:$L,V$9,операции!$O:$O,$F534)+SUMIFS(операции!$AH:$AH,операции!$T:$T,"&lt;"&amp;S$8,операции!$X:$X,"&gt;="&amp;S$8,операции!$AB:$AB,"&lt;&gt;"&amp;"",операции!$AB:$AB,"&lt;"&amp;S$8,операции!$L:$L,V$9,операции!$O:$O,$F534))/V539)</f>
        <v>0</v>
      </c>
      <c r="W542" s="238"/>
      <c r="X542" s="193">
        <f>IF(X539=0,0,(SUMIFS(операции!$AH:$AH,операции!$T:$T,"&lt;"&amp;X$8,операции!$X:$X,"",операции!$AB:$AB,"&lt;&gt;"&amp;"",операции!$AB:$AB,"&lt;"&amp;X$8,операции!$O:$O,$F534)+SUMIFS(операции!$AH:$AH,операции!$T:$T,"&lt;"&amp;X$8,операции!$X:$X,"&gt;="&amp;X$8,операции!$AB:$AB,"&lt;&gt;"&amp;"",операции!$AB:$AB,"&lt;"&amp;X$8,операции!$O:$O,$F534))/X539)</f>
        <v>0</v>
      </c>
      <c r="Y542" s="196"/>
      <c r="Z542" s="193">
        <f>IF(Z539=0,0,(SUMIFS(операции!$AH:$AH,операции!$T:$T,"&lt;"&amp;X$8,операции!$X:$X,"",операции!$AB:$AB,"&lt;&gt;"&amp;"",операции!$AB:$AB,"&lt;"&amp;X$8,операции!$L:$L,Z$9,операции!$O:$O,$F534)+SUMIFS(операции!$AH:$AH,операции!$T:$T,"&lt;"&amp;X$8,операции!$X:$X,"&gt;="&amp;X$8,операции!$AB:$AB,"&lt;&gt;"&amp;"",операции!$AB:$AB,"&lt;"&amp;X$8,операции!$L:$L,Z$9,операции!$O:$O,$F534))/Z539)</f>
        <v>0</v>
      </c>
      <c r="AA542" s="237">
        <f>IF(AA539=0,0,(SUMIFS(операции!$AH:$AH,операции!$T:$T,"&lt;"&amp;X$8,операции!$X:$X,"",операции!$AB:$AB,"&lt;&gt;"&amp;"",операции!$AB:$AB,"&lt;"&amp;X$8,операции!$L:$L,AA$9,операции!$O:$O,$F534)+SUMIFS(операции!$AH:$AH,операции!$T:$T,"&lt;"&amp;X$8,операции!$X:$X,"&gt;="&amp;X$8,операции!$AB:$AB,"&lt;&gt;"&amp;"",операции!$AB:$AB,"&lt;"&amp;X$8,операции!$L:$L,AA$9,операции!$O:$O,$F534))/AA539)</f>
        <v>0</v>
      </c>
      <c r="AB542" s="265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</row>
    <row r="543" spans="1:42" s="192" customFormat="1" ht="11.25">
      <c r="A543" s="37"/>
      <c r="B543" s="37"/>
      <c r="C543" s="37"/>
      <c r="D543" s="191"/>
      <c r="E543" s="191" t="s">
        <v>265</v>
      </c>
      <c r="F543" s="191" t="str">
        <f t="shared" si="914"/>
        <v>АвтоКомп</v>
      </c>
      <c r="G543" s="191" t="s">
        <v>219</v>
      </c>
      <c r="H543" s="315"/>
      <c r="I543" s="329">
        <f>I542-I540</f>
        <v>26.666666666664241</v>
      </c>
      <c r="J543" s="317"/>
      <c r="K543" s="329">
        <f t="shared" ref="K543" si="927">K542-K540</f>
        <v>26.666666666664241</v>
      </c>
      <c r="L543" s="330">
        <f>L542-L540</f>
        <v>0</v>
      </c>
      <c r="M543" s="274"/>
      <c r="N543" s="156">
        <f>N542-N540</f>
        <v>26.666666666664241</v>
      </c>
      <c r="O543" s="196"/>
      <c r="P543" s="156">
        <f t="shared" ref="P543" si="928">P542-P540</f>
        <v>26.666666666664241</v>
      </c>
      <c r="Q543" s="245">
        <f>Q542-Q540</f>
        <v>0</v>
      </c>
      <c r="R543" s="238"/>
      <c r="S543" s="156">
        <f>S542-S540</f>
        <v>30</v>
      </c>
      <c r="T543" s="196"/>
      <c r="U543" s="156">
        <f t="shared" ref="U543" si="929">U542-U540</f>
        <v>30</v>
      </c>
      <c r="V543" s="245">
        <f>V542-V540</f>
        <v>0</v>
      </c>
      <c r="W543" s="238"/>
      <c r="X543" s="156">
        <f>X542-X540</f>
        <v>0</v>
      </c>
      <c r="Y543" s="196"/>
      <c r="Z543" s="156">
        <f t="shared" ref="Z543" si="930">Z542-Z540</f>
        <v>0</v>
      </c>
      <c r="AA543" s="245">
        <f>AA542-AA540</f>
        <v>0</v>
      </c>
      <c r="AB543" s="265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</row>
    <row r="544" spans="1:42" s="192" customFormat="1" ht="11.25">
      <c r="A544" s="37"/>
      <c r="B544" s="37"/>
      <c r="C544" s="37"/>
      <c r="D544" s="191"/>
      <c r="E544" s="191" t="s">
        <v>268</v>
      </c>
      <c r="F544" s="191" t="str">
        <f t="shared" si="914"/>
        <v>АвтоКомп</v>
      </c>
      <c r="G544" s="191" t="s">
        <v>219</v>
      </c>
      <c r="H544" s="315"/>
      <c r="I544" s="329">
        <f>I541-I543</f>
        <v>104</v>
      </c>
      <c r="J544" s="317"/>
      <c r="K544" s="329">
        <f t="shared" ref="K544" si="931">K541-K543</f>
        <v>104</v>
      </c>
      <c r="L544" s="330">
        <f t="shared" ref="L544" si="932">L541-L543</f>
        <v>0</v>
      </c>
      <c r="M544" s="274"/>
      <c r="N544" s="156">
        <f>N541-N543</f>
        <v>104</v>
      </c>
      <c r="O544" s="196"/>
      <c r="P544" s="156">
        <f t="shared" ref="P544" si="933">P541-P543</f>
        <v>104</v>
      </c>
      <c r="Q544" s="245">
        <f t="shared" ref="Q544" si="934">Q541-Q543</f>
        <v>0</v>
      </c>
      <c r="R544" s="238"/>
      <c r="S544" s="156">
        <f>S541-S543</f>
        <v>128</v>
      </c>
      <c r="T544" s="196"/>
      <c r="U544" s="156">
        <f t="shared" ref="U544" si="935">U541-U543</f>
        <v>128</v>
      </c>
      <c r="V544" s="245">
        <f t="shared" ref="V544" si="936">V541-V543</f>
        <v>0</v>
      </c>
      <c r="W544" s="238"/>
      <c r="X544" s="156">
        <f>X541-X543</f>
        <v>0</v>
      </c>
      <c r="Y544" s="196"/>
      <c r="Z544" s="156">
        <f t="shared" ref="Z544" si="937">Z541-Z543</f>
        <v>0</v>
      </c>
      <c r="AA544" s="245">
        <f t="shared" ref="AA544" si="938">AA541-AA543</f>
        <v>0</v>
      </c>
      <c r="AB544" s="265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</row>
    <row r="545" spans="1:42" s="5" customFormat="1">
      <c r="A545" s="1"/>
      <c r="B545" s="1"/>
      <c r="C545" s="1"/>
      <c r="D545" s="168"/>
      <c r="E545" s="168" t="s">
        <v>276</v>
      </c>
      <c r="F545" s="168" t="str">
        <f t="shared" si="914"/>
        <v>АвтоКомп</v>
      </c>
      <c r="G545" s="168" t="s">
        <v>261</v>
      </c>
      <c r="H545" s="326"/>
      <c r="I545" s="327">
        <f>SUMIFS(операции!$V:$V,операции!$T:$T,"&lt;"&amp;I$8,операции!$X:$X,"",операции!$AB:$AB,"",операции!$O:$O,$F534)+SUMIFS(операции!$V:$V,операции!$T:$T,"&lt;"&amp;I$8,операции!$X:$X,"&gt;="&amp;I$8,операции!$AB:$AB,"",операции!$O:$O,$F534)+SUMIFS(операции!$V:$V,операции!$T:$T,"&lt;"&amp;I$8,операции!$X:$X,"",операции!$AB:$AB,"&gt;="&amp;I$8,операции!$O:$O,$F534)+SUMIFS(операции!$V:$V,операции!$T:$T,"&lt;"&amp;I$8,операции!$X:$X,"&gt;="&amp;I$8,операции!$AB:$AB,"&gt;="&amp;I$8,операции!$O:$O,$F534)</f>
        <v>0</v>
      </c>
      <c r="J545" s="313">
        <f>I545-K545-L545</f>
        <v>0</v>
      </c>
      <c r="K545" s="327">
        <f>SUMIFS(операции!$V:$V,операции!$T:$T,"&lt;"&amp;I$8,операции!$X:$X,"",операции!$AB:$AB,"",операции!$L:$L,K$9,операции!$O:$O,$F534)+SUMIFS(операции!$V:$V,операции!$T:$T,"&lt;"&amp;I$8,операции!$X:$X,"&gt;="&amp;I$8,операции!$AB:$AB,"",операции!$L:$L,K$9,операции!$O:$O,$F534)+SUMIFS(операции!$V:$V,операции!$T:$T,"&lt;"&amp;I$8,операции!$X:$X,"",операции!$AB:$AB,"&gt;="&amp;I$8,операции!$L:$L,K$9,операции!$O:$O,$F534)+SUMIFS(операции!$V:$V,операции!$T:$T,"&lt;"&amp;I$8,операции!$X:$X,"&gt;="&amp;I$8,операции!$AB:$AB,"&gt;="&amp;I$8,операции!$L:$L,K$9,операции!$O:$O,$F534)</f>
        <v>0</v>
      </c>
      <c r="L545" s="328">
        <f>SUMIFS(операции!$V:$V,операции!$T:$T,"&lt;"&amp;I$8,операции!$X:$X,"",операции!$AB:$AB,"",операции!$L:$L,L$9,операции!$O:$O,$F534)+SUMIFS(операции!$V:$V,операции!$T:$T,"&lt;"&amp;I$8,операции!$X:$X,"&gt;="&amp;I$8,операции!$AB:$AB,"",операции!$L:$L,L$9,операции!$O:$O,$F534)+SUMIFS(операции!$V:$V,операции!$T:$T,"&lt;"&amp;I$8,операции!$X:$X,"",операции!$AB:$AB,"&gt;="&amp;I$8,операции!$L:$L,L$9,операции!$O:$O,$F534)+SUMIFS(операции!$V:$V,операции!$T:$T,"&lt;"&amp;I$8,операции!$X:$X,"&gt;="&amp;I$8,операции!$AB:$AB,"&gt;="&amp;I$8,операции!$L:$L,L$9,операции!$O:$O,$F534)</f>
        <v>0</v>
      </c>
      <c r="M545" s="277"/>
      <c r="N545" s="169">
        <f>SUMIFS(операции!$V:$V,операции!$T:$T,"&lt;"&amp;N$8,операции!$X:$X,"",операции!$AB:$AB,"",операции!$O:$O,$F534)+SUMIFS(операции!$V:$V,операции!$T:$T,"&lt;"&amp;N$8,операции!$X:$X,"&gt;="&amp;N$8,операции!$AB:$AB,"",операции!$O:$O,$F534)+SUMIFS(операции!$V:$V,операции!$T:$T,"&lt;"&amp;N$8,операции!$X:$X,"",операции!$AB:$AB,"&gt;="&amp;N$8,операции!$O:$O,$F534)+SUMIFS(операции!$V:$V,операции!$T:$T,"&lt;"&amp;N$8,операции!$X:$X,"&gt;="&amp;N$8,операции!$AB:$AB,"&gt;="&amp;N$8,операции!$O:$O,$F534)</f>
        <v>0</v>
      </c>
      <c r="O545" s="170">
        <f>N545-P545-Q545</f>
        <v>0</v>
      </c>
      <c r="P545" s="169">
        <f>SUMIFS(операции!$V:$V,операции!$T:$T,"&lt;"&amp;N$8,операции!$X:$X,"",операции!$AB:$AB,"",операции!$L:$L,P$9,операции!$O:$O,$F534)+SUMIFS(операции!$V:$V,операции!$T:$T,"&lt;"&amp;N$8,операции!$X:$X,"&gt;="&amp;N$8,операции!$AB:$AB,"",операции!$L:$L,P$9,операции!$O:$O,$F534)+SUMIFS(операции!$V:$V,операции!$T:$T,"&lt;"&amp;N$8,операции!$X:$X,"",операции!$AB:$AB,"&gt;="&amp;N$8,операции!$L:$L,P$9,операции!$O:$O,$F534)+SUMIFS(операции!$V:$V,операции!$T:$T,"&lt;"&amp;N$8,операции!$X:$X,"&gt;="&amp;N$8,операции!$AB:$AB,"&gt;="&amp;N$8,операции!$L:$L,P$9,операции!$O:$O,$F534)</f>
        <v>0</v>
      </c>
      <c r="Q545" s="243">
        <f>SUMIFS(операции!$V:$V,операции!$T:$T,"&lt;"&amp;N$8,операции!$X:$X,"",операции!$AB:$AB,"",операции!$L:$L,Q$9,операции!$O:$O,$F534)+SUMIFS(операции!$V:$V,операции!$T:$T,"&lt;"&amp;N$8,операции!$X:$X,"&gt;="&amp;N$8,операции!$AB:$AB,"",операции!$L:$L,Q$9,операции!$O:$O,$F534)+SUMIFS(операции!$V:$V,операции!$T:$T,"&lt;"&amp;N$8,операции!$X:$X,"",операции!$AB:$AB,"&gt;="&amp;N$8,операции!$L:$L,Q$9,операции!$O:$O,$F534)+SUMIFS(операции!$V:$V,операции!$T:$T,"&lt;"&amp;N$8,операции!$X:$X,"&gt;="&amp;N$8,операции!$AB:$AB,"&gt;="&amp;N$8,операции!$L:$L,Q$9,операции!$O:$O,$F534)</f>
        <v>0</v>
      </c>
      <c r="R545" s="244"/>
      <c r="S545" s="169">
        <f>SUMIFS(операции!$V:$V,операции!$T:$T,"&lt;"&amp;S$8,операции!$X:$X,"",операции!$AB:$AB,"",операции!$O:$O,$F534)+SUMIFS(операции!$V:$V,операции!$T:$T,"&lt;"&amp;S$8,операции!$X:$X,"&gt;="&amp;S$8,операции!$AB:$AB,"",операции!$O:$O,$F534)+SUMIFS(операции!$V:$V,операции!$T:$T,"&lt;"&amp;S$8,операции!$X:$X,"",операции!$AB:$AB,"&gt;="&amp;S$8,операции!$O:$O,$F534)+SUMIFS(операции!$V:$V,операции!$T:$T,"&lt;"&amp;S$8,операции!$X:$X,"&gt;="&amp;S$8,операции!$AB:$AB,"&gt;="&amp;S$8,операции!$O:$O,$F534)</f>
        <v>0</v>
      </c>
      <c r="T545" s="170">
        <f>S545-U545-V545</f>
        <v>0</v>
      </c>
      <c r="U545" s="169">
        <f>SUMIFS(операции!$V:$V,операции!$T:$T,"&lt;"&amp;S$8,операции!$X:$X,"",операции!$AB:$AB,"",операции!$L:$L,U$9,операции!$O:$O,$F534)+SUMIFS(операции!$V:$V,операции!$T:$T,"&lt;"&amp;S$8,операции!$X:$X,"&gt;="&amp;S$8,операции!$AB:$AB,"",операции!$L:$L,U$9,операции!$O:$O,$F534)+SUMIFS(операции!$V:$V,операции!$T:$T,"&lt;"&amp;S$8,операции!$X:$X,"",операции!$AB:$AB,"&gt;="&amp;S$8,операции!$L:$L,U$9,операции!$O:$O,$F534)+SUMIFS(операции!$V:$V,операции!$T:$T,"&lt;"&amp;S$8,операции!$X:$X,"&gt;="&amp;S$8,операции!$AB:$AB,"&gt;="&amp;S$8,операции!$L:$L,U$9,операции!$O:$O,$F534)</f>
        <v>0</v>
      </c>
      <c r="V545" s="243">
        <f>SUMIFS(операции!$V:$V,операции!$T:$T,"&lt;"&amp;S$8,операции!$X:$X,"",операции!$AB:$AB,"",операции!$L:$L,V$9,операции!$O:$O,$F534)+SUMIFS(операции!$V:$V,операции!$T:$T,"&lt;"&amp;S$8,операции!$X:$X,"&gt;="&amp;S$8,операции!$AB:$AB,"",операции!$L:$L,V$9,операции!$O:$O,$F534)+SUMIFS(операции!$V:$V,операции!$T:$T,"&lt;"&amp;S$8,операции!$X:$X,"",операции!$AB:$AB,"&gt;="&amp;S$8,операции!$L:$L,V$9,операции!$O:$O,$F534)+SUMIFS(операции!$V:$V,операции!$T:$T,"&lt;"&amp;S$8,операции!$X:$X,"&gt;="&amp;S$8,операции!$AB:$AB,"&gt;="&amp;S$8,операции!$L:$L,V$9,операции!$O:$O,$F534)</f>
        <v>0</v>
      </c>
      <c r="W545" s="244"/>
      <c r="X545" s="169">
        <f>SUMIFS(операции!$V:$V,операции!$T:$T,"&lt;"&amp;X$8,операции!$X:$X,"",операции!$AB:$AB,"",операции!$O:$O,$F534)+SUMIFS(операции!$V:$V,операции!$T:$T,"&lt;"&amp;X$8,операции!$X:$X,"&gt;="&amp;X$8,операции!$AB:$AB,"",операции!$O:$O,$F534)+SUMIFS(операции!$V:$V,операции!$T:$T,"&lt;"&amp;X$8,операции!$X:$X,"",операции!$AB:$AB,"&gt;="&amp;X$8,операции!$O:$O,$F534)+SUMIFS(операции!$V:$V,операции!$T:$T,"&lt;"&amp;X$8,операции!$X:$X,"&gt;="&amp;X$8,операции!$AB:$AB,"&gt;="&amp;X$8,операции!$O:$O,$F534)</f>
        <v>0</v>
      </c>
      <c r="Y545" s="170">
        <f>X545-Z545-AA545</f>
        <v>0</v>
      </c>
      <c r="Z545" s="169">
        <f>SUMIFS(операции!$V:$V,операции!$T:$T,"&lt;"&amp;X$8,операции!$X:$X,"",операции!$AB:$AB,"",операции!$L:$L,Z$9,операции!$O:$O,$F534)+SUMIFS(операции!$V:$V,операции!$T:$T,"&lt;"&amp;X$8,операции!$X:$X,"&gt;="&amp;X$8,операции!$AB:$AB,"",операции!$L:$L,Z$9,операции!$O:$O,$F534)+SUMIFS(операции!$V:$V,операции!$T:$T,"&lt;"&amp;X$8,операции!$X:$X,"",операции!$AB:$AB,"&gt;="&amp;X$8,операции!$L:$L,Z$9,операции!$O:$O,$F534)+SUMIFS(операции!$V:$V,операции!$T:$T,"&lt;"&amp;X$8,операции!$X:$X,"&gt;="&amp;X$8,операции!$AB:$AB,"&gt;="&amp;X$8,операции!$L:$L,Z$9,операции!$O:$O,$F534)</f>
        <v>0</v>
      </c>
      <c r="AA545" s="243">
        <f>SUMIFS(операции!$V:$V,операции!$T:$T,"&lt;"&amp;X$8,операции!$X:$X,"",операции!$AB:$AB,"",операции!$L:$L,AA$9,операции!$O:$O,$F534)+SUMIFS(операции!$V:$V,операции!$T:$T,"&lt;"&amp;X$8,операции!$X:$X,"&gt;="&amp;X$8,операции!$AB:$AB,"",операции!$L:$L,AA$9,операции!$O:$O,$F534)+SUMIFS(операции!$V:$V,операции!$T:$T,"&lt;"&amp;X$8,операции!$X:$X,"",операции!$AB:$AB,"&gt;="&amp;X$8,операции!$L:$L,AA$9,операции!$O:$O,$F534)+SUMIFS(операции!$V:$V,операции!$T:$T,"&lt;"&amp;X$8,операции!$X:$X,"&gt;="&amp;X$8,операции!$AB:$AB,"&gt;="&amp;X$8,операции!$L:$L,AA$9,операции!$O:$O,$F534)</f>
        <v>0</v>
      </c>
      <c r="AB545" s="266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s="192" customFormat="1" ht="11.25">
      <c r="A546" s="37"/>
      <c r="B546" s="37"/>
      <c r="C546" s="37"/>
      <c r="D546" s="191"/>
      <c r="E546" s="191" t="s">
        <v>255</v>
      </c>
      <c r="F546" s="191" t="str">
        <f t="shared" si="914"/>
        <v>АвтоКомп</v>
      </c>
      <c r="G546" s="191" t="s">
        <v>262</v>
      </c>
      <c r="H546" s="315"/>
      <c r="I546" s="316">
        <f>IF(I545=0,0,(SUMIFS(операции!$AF:$AF,операции!$T:$T,"&lt;"&amp;I$8,операции!$X:$X,"",операции!$AB:$AB,"",операции!$O:$O,$F534)+SUMIFS(операции!$AF:$AF,операции!$T:$T,"&lt;"&amp;I$8,операции!$X:$X,"&gt;="&amp;I$8,операции!$AB:$AB,"",операции!$O:$O,$F534)+SUMIFS(операции!$AF:$AF,операции!$T:$T,"&lt;"&amp;I$8,операции!$X:$X,"",операции!$AB:$AB,"&gt;="&amp;I$8,операции!$O:$O,$F534)+SUMIFS(операции!$AF:$AF,операции!$T:$T,"&lt;"&amp;I$8,операции!$X:$X,"&gt;="&amp;I$8,операции!$AB:$AB,"&gt;="&amp;I$8,операции!$O:$O,$F534))/I545)</f>
        <v>0</v>
      </c>
      <c r="J546" s="317"/>
      <c r="K546" s="316">
        <f>IF(K545=0,0,(SUMIFS(операции!$AF:$AF,операции!$T:$T,"&lt;"&amp;I$8,операции!$X:$X,"",операции!$AB:$AB,"",операции!$L:$L,K$9,операции!$O:$O,$F534)+SUMIFS(операции!$AF:$AF,операции!$T:$T,"&lt;"&amp;I$8,операции!$X:$X,"&gt;="&amp;I$8,операции!$AB:$AB,"",операции!$L:$L,K$9,операции!$O:$O,$F534)+SUMIFS(операции!$AF:$AF,операции!$T:$T,"&lt;"&amp;I$8,операции!$X:$X,"",операции!$AB:$AB,"&gt;="&amp;I$8,операции!$L:$L,K$9,операции!$O:$O,$F534)+SUMIFS(операции!$AF:$AF,операции!$T:$T,"&lt;"&amp;I$8,операции!$X:$X,"&gt;="&amp;I$8,операции!$AB:$AB,"&gt;="&amp;I$8,операции!$L:$L,K$9,операции!$O:$O,$F534))/K545)</f>
        <v>0</v>
      </c>
      <c r="L546" s="318">
        <f>IF(L545=0,0,(SUMIFS(операции!$AF:$AF,операции!$T:$T,"&lt;"&amp;I$8,операции!$X:$X,"",операции!$AB:$AB,"",операции!$L:$L,L$9,операции!$O:$O,$F534)+SUMIFS(операции!$AF:$AF,операции!$T:$T,"&lt;"&amp;I$8,операции!$X:$X,"&gt;="&amp;I$8,операции!$AB:$AB,"",операции!$L:$L,L$9,операции!$O:$O,$F534)+SUMIFS(операции!$AF:$AF,операции!$T:$T,"&lt;"&amp;I$8,операции!$X:$X,"",операции!$AB:$AB,"&gt;="&amp;I$8,операции!$L:$L,L$9,операции!$O:$O,$F534)+SUMIFS(операции!$AF:$AF,операции!$T:$T,"&lt;"&amp;I$8,операции!$X:$X,"&gt;="&amp;I$8,операции!$AB:$AB,"&gt;="&amp;I$8,операции!$L:$L,L$9,операции!$O:$O,$F534))/L545)</f>
        <v>0</v>
      </c>
      <c r="M546" s="274"/>
      <c r="N546" s="193">
        <f>IF(N545=0,0,(SUMIFS(операции!$AF:$AF,операции!$T:$T,"&lt;"&amp;N$8,операции!$X:$X,"",операции!$AB:$AB,"",операции!$O:$O,$F534)+SUMIFS(операции!$AF:$AF,операции!$T:$T,"&lt;"&amp;N$8,операции!$X:$X,"&gt;="&amp;N$8,операции!$AB:$AB,"",операции!$O:$O,$F534)+SUMIFS(операции!$AF:$AF,операции!$T:$T,"&lt;"&amp;N$8,операции!$X:$X,"",операции!$AB:$AB,"&gt;="&amp;N$8,операции!$O:$O,$F534)+SUMIFS(операции!$AF:$AF,операции!$T:$T,"&lt;"&amp;N$8,операции!$X:$X,"&gt;="&amp;N$8,операции!$AB:$AB,"&gt;="&amp;N$8,операции!$O:$O,$F534))/N545)</f>
        <v>0</v>
      </c>
      <c r="O546" s="196"/>
      <c r="P546" s="193">
        <f>IF(P545=0,0,(SUMIFS(операции!$AF:$AF,операции!$T:$T,"&lt;"&amp;N$8,операции!$X:$X,"",операции!$AB:$AB,"",операции!$L:$L,P$9,операции!$O:$O,$F534)+SUMIFS(операции!$AF:$AF,операции!$T:$T,"&lt;"&amp;N$8,операции!$X:$X,"&gt;="&amp;N$8,операции!$AB:$AB,"",операции!$L:$L,P$9,операции!$O:$O,$F534)+SUMIFS(операции!$AF:$AF,операции!$T:$T,"&lt;"&amp;N$8,операции!$X:$X,"",операции!$AB:$AB,"&gt;="&amp;N$8,операции!$L:$L,P$9,операции!$O:$O,$F534)+SUMIFS(операции!$AF:$AF,операции!$T:$T,"&lt;"&amp;N$8,операции!$X:$X,"&gt;="&amp;N$8,операции!$AB:$AB,"&gt;="&amp;N$8,операции!$L:$L,P$9,операции!$O:$O,$F534))/P545)</f>
        <v>0</v>
      </c>
      <c r="Q546" s="237">
        <f>IF(Q545=0,0,(SUMIFS(операции!$AF:$AF,операции!$T:$T,"&lt;"&amp;N$8,операции!$X:$X,"",операции!$AB:$AB,"",операции!$L:$L,Q$9,операции!$O:$O,$F534)+SUMIFS(операции!$AF:$AF,операции!$T:$T,"&lt;"&amp;N$8,операции!$X:$X,"&gt;="&amp;N$8,операции!$AB:$AB,"",операции!$L:$L,Q$9,операции!$O:$O,$F534)+SUMIFS(операции!$AF:$AF,операции!$T:$T,"&lt;"&amp;N$8,операции!$X:$X,"",операции!$AB:$AB,"&gt;="&amp;N$8,операции!$L:$L,Q$9,операции!$O:$O,$F534)+SUMIFS(операции!$AF:$AF,операции!$T:$T,"&lt;"&amp;N$8,операции!$X:$X,"&gt;="&amp;N$8,операции!$AB:$AB,"&gt;="&amp;N$8,операции!$L:$L,Q$9,операции!$O:$O,$F534))/Q545)</f>
        <v>0</v>
      </c>
      <c r="R546" s="238"/>
      <c r="S546" s="193">
        <f>IF(S545=0,0,(SUMIFS(операции!$AF:$AF,операции!$T:$T,"&lt;"&amp;S$8,операции!$X:$X,"",операции!$AB:$AB,"",операции!$O:$O,$F534)+SUMIFS(операции!$AF:$AF,операции!$T:$T,"&lt;"&amp;S$8,операции!$X:$X,"&gt;="&amp;S$8,операции!$AB:$AB,"",операции!$O:$O,$F534)+SUMIFS(операции!$AF:$AF,операции!$T:$T,"&lt;"&amp;S$8,операции!$X:$X,"",операции!$AB:$AB,"&gt;="&amp;S$8,операции!$O:$O,$F534)+SUMIFS(операции!$AF:$AF,операции!$T:$T,"&lt;"&amp;S$8,операции!$X:$X,"&gt;="&amp;S$8,операции!$AB:$AB,"&gt;="&amp;S$8,операции!$O:$O,$F534))/S545)</f>
        <v>0</v>
      </c>
      <c r="T546" s="196"/>
      <c r="U546" s="193">
        <f>IF(U545=0,0,(SUMIFS(операции!$AF:$AF,операции!$T:$T,"&lt;"&amp;S$8,операции!$X:$X,"",операции!$AB:$AB,"",операции!$L:$L,U$9,операции!$O:$O,$F534)+SUMIFS(операции!$AF:$AF,операции!$T:$T,"&lt;"&amp;S$8,операции!$X:$X,"&gt;="&amp;S$8,операции!$AB:$AB,"",операции!$L:$L,U$9,операции!$O:$O,$F534)+SUMIFS(операции!$AF:$AF,операции!$T:$T,"&lt;"&amp;S$8,операции!$X:$X,"",операции!$AB:$AB,"&gt;="&amp;S$8,операции!$L:$L,U$9,операции!$O:$O,$F534)+SUMIFS(операции!$AF:$AF,операции!$T:$T,"&lt;"&amp;S$8,операции!$X:$X,"&gt;="&amp;S$8,операции!$AB:$AB,"&gt;="&amp;S$8,операции!$L:$L,U$9,операции!$O:$O,$F534))/U545)</f>
        <v>0</v>
      </c>
      <c r="V546" s="237">
        <f>IF(V545=0,0,(SUMIFS(операции!$AF:$AF,операции!$T:$T,"&lt;"&amp;S$8,операции!$X:$X,"",операции!$AB:$AB,"",операции!$L:$L,V$9,операции!$O:$O,$F534)+SUMIFS(операции!$AF:$AF,операции!$T:$T,"&lt;"&amp;S$8,операции!$X:$X,"&gt;="&amp;S$8,операции!$AB:$AB,"",операции!$L:$L,V$9,операции!$O:$O,$F534)+SUMIFS(операции!$AF:$AF,операции!$T:$T,"&lt;"&amp;S$8,операции!$X:$X,"",операции!$AB:$AB,"&gt;="&amp;S$8,операции!$L:$L,V$9,операции!$O:$O,$F534)+SUMIFS(операции!$AF:$AF,операции!$T:$T,"&lt;"&amp;S$8,операции!$X:$X,"&gt;="&amp;S$8,операции!$AB:$AB,"&gt;="&amp;S$8,операции!$L:$L,V$9,операции!$O:$O,$F534))/V545)</f>
        <v>0</v>
      </c>
      <c r="W546" s="238"/>
      <c r="X546" s="193">
        <f>IF(X545=0,0,(SUMIFS(операции!$AF:$AF,операции!$T:$T,"&lt;"&amp;X$8,операции!$X:$X,"",операции!$AB:$AB,"",операции!$O:$O,$F534)+SUMIFS(операции!$AF:$AF,операции!$T:$T,"&lt;"&amp;X$8,операции!$X:$X,"&gt;="&amp;X$8,операции!$AB:$AB,"",операции!$O:$O,$F534)+SUMIFS(операции!$AF:$AF,операции!$T:$T,"&lt;"&amp;X$8,операции!$X:$X,"",операции!$AB:$AB,"&gt;="&amp;X$8,операции!$O:$O,$F534)+SUMIFS(операции!$AF:$AF,операции!$T:$T,"&lt;"&amp;X$8,операции!$X:$X,"&gt;="&amp;X$8,операции!$AB:$AB,"&gt;="&amp;X$8,операции!$O:$O,$F534))/X545)</f>
        <v>0</v>
      </c>
      <c r="Y546" s="196"/>
      <c r="Z546" s="193">
        <f>IF(Z545=0,0,(SUMIFS(операции!$AF:$AF,операции!$T:$T,"&lt;"&amp;X$8,операции!$X:$X,"",операции!$AB:$AB,"",операции!$L:$L,Z$9,операции!$O:$O,$F534)+SUMIFS(операции!$AF:$AF,операции!$T:$T,"&lt;"&amp;X$8,операции!$X:$X,"&gt;="&amp;X$8,операции!$AB:$AB,"",операции!$L:$L,Z$9,операции!$O:$O,$F534)+SUMIFS(операции!$AF:$AF,операции!$T:$T,"&lt;"&amp;X$8,операции!$X:$X,"",операции!$AB:$AB,"&gt;="&amp;X$8,операции!$L:$L,Z$9,операции!$O:$O,$F534)+SUMIFS(операции!$AF:$AF,операции!$T:$T,"&lt;"&amp;X$8,операции!$X:$X,"&gt;="&amp;X$8,операции!$AB:$AB,"&gt;="&amp;X$8,операции!$L:$L,Z$9,операции!$O:$O,$F534))/Z545)</f>
        <v>0</v>
      </c>
      <c r="AA546" s="237">
        <f>IF(AA545=0,0,(SUMIFS(операции!$AF:$AF,операции!$T:$T,"&lt;"&amp;X$8,операции!$X:$X,"",операции!$AB:$AB,"",операции!$L:$L,AA$9,операции!$O:$O,$F534)+SUMIFS(операции!$AF:$AF,операции!$T:$T,"&lt;"&amp;X$8,операции!$X:$X,"&gt;="&amp;X$8,операции!$AB:$AB,"",операции!$L:$L,AA$9,операции!$O:$O,$F534)+SUMIFS(операции!$AF:$AF,операции!$T:$T,"&lt;"&amp;X$8,операции!$X:$X,"",операции!$AB:$AB,"&gt;="&amp;X$8,операции!$L:$L,AA$9,операции!$O:$O,$F534)+SUMIFS(операции!$AF:$AF,операции!$T:$T,"&lt;"&amp;X$8,операции!$X:$X,"&gt;="&amp;X$8,операции!$AB:$AB,"&gt;="&amp;X$8,операции!$L:$L,AA$9,операции!$O:$O,$F534))/AA545)</f>
        <v>0</v>
      </c>
      <c r="AB546" s="265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</row>
    <row r="547" spans="1:42" s="192" customFormat="1" ht="11.25">
      <c r="A547" s="37"/>
      <c r="B547" s="37"/>
      <c r="C547" s="37"/>
      <c r="D547" s="191"/>
      <c r="E547" s="191" t="s">
        <v>263</v>
      </c>
      <c r="F547" s="191" t="str">
        <f t="shared" si="914"/>
        <v>АвтоКомп</v>
      </c>
      <c r="G547" s="191" t="s">
        <v>219</v>
      </c>
      <c r="H547" s="315"/>
      <c r="I547" s="329">
        <f>IF(I545=0,0,I$8-I546)</f>
        <v>0</v>
      </c>
      <c r="J547" s="317"/>
      <c r="K547" s="329">
        <f>IF(K545=0,0,I$8-K546)</f>
        <v>0</v>
      </c>
      <c r="L547" s="330">
        <f>IF(L545=0,0,I$8-L546)</f>
        <v>0</v>
      </c>
      <c r="M547" s="274"/>
      <c r="N547" s="156">
        <f>IF(N545=0,0,N$8-N546)</f>
        <v>0</v>
      </c>
      <c r="O547" s="196"/>
      <c r="P547" s="156">
        <f>IF(P545=0,0,N$8-P546)</f>
        <v>0</v>
      </c>
      <c r="Q547" s="245">
        <f>IF(Q545=0,0,N$8-Q546)</f>
        <v>0</v>
      </c>
      <c r="R547" s="238"/>
      <c r="S547" s="156">
        <f>IF(S545=0,0,S$8-S546)</f>
        <v>0</v>
      </c>
      <c r="T547" s="196"/>
      <c r="U547" s="156">
        <f>IF(U545=0,0,S$8-U546)</f>
        <v>0</v>
      </c>
      <c r="V547" s="245">
        <f>IF(V545=0,0,S$8-V546)</f>
        <v>0</v>
      </c>
      <c r="W547" s="238"/>
      <c r="X547" s="156">
        <f>IF(X545=0,0,X$8-X546)</f>
        <v>0</v>
      </c>
      <c r="Y547" s="196"/>
      <c r="Z547" s="156">
        <f>IF(Z545=0,0,X$8-Z546)</f>
        <v>0</v>
      </c>
      <c r="AA547" s="245">
        <f>IF(AA545=0,0,X$8-AA546)</f>
        <v>0</v>
      </c>
      <c r="AB547" s="265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</row>
    <row r="548" spans="1:42" s="192" customFormat="1" ht="11.25">
      <c r="A548" s="37"/>
      <c r="B548" s="37"/>
      <c r="C548" s="37"/>
      <c r="D548" s="191"/>
      <c r="E548" s="191" t="s">
        <v>311</v>
      </c>
      <c r="F548" s="191" t="str">
        <f t="shared" si="914"/>
        <v>АвтоКомп</v>
      </c>
      <c r="G548" s="191" t="s">
        <v>262</v>
      </c>
      <c r="H548" s="315"/>
      <c r="I548" s="316">
        <f>I$8</f>
        <v>42278</v>
      </c>
      <c r="J548" s="317"/>
      <c r="K548" s="316">
        <f>I$8</f>
        <v>42278</v>
      </c>
      <c r="L548" s="318">
        <f>I$8</f>
        <v>42278</v>
      </c>
      <c r="M548" s="274"/>
      <c r="N548" s="193">
        <f>N$8</f>
        <v>42278</v>
      </c>
      <c r="O548" s="196"/>
      <c r="P548" s="193">
        <f>N$8</f>
        <v>42278</v>
      </c>
      <c r="Q548" s="237">
        <f>N$8</f>
        <v>42278</v>
      </c>
      <c r="R548" s="238"/>
      <c r="S548" s="193">
        <f>S$8</f>
        <v>42309</v>
      </c>
      <c r="T548" s="196"/>
      <c r="U548" s="193">
        <f>S$8</f>
        <v>42309</v>
      </c>
      <c r="V548" s="237">
        <f>S$8</f>
        <v>42309</v>
      </c>
      <c r="W548" s="238"/>
      <c r="X548" s="193">
        <f>X$8</f>
        <v>42339</v>
      </c>
      <c r="Y548" s="196"/>
      <c r="Z548" s="193">
        <f>X$8</f>
        <v>42339</v>
      </c>
      <c r="AA548" s="237">
        <f>X$8</f>
        <v>42339</v>
      </c>
      <c r="AB548" s="265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</row>
    <row r="549" spans="1:42" s="192" customFormat="1" ht="11.25">
      <c r="A549" s="37"/>
      <c r="B549" s="37"/>
      <c r="C549" s="37"/>
      <c r="D549" s="191"/>
      <c r="E549" s="191" t="s">
        <v>264</v>
      </c>
      <c r="F549" s="191" t="str">
        <f t="shared" si="914"/>
        <v>АвтоКомп</v>
      </c>
      <c r="G549" s="191" t="s">
        <v>219</v>
      </c>
      <c r="H549" s="315"/>
      <c r="I549" s="329">
        <f>IF(I545=0,0,I548-I546)</f>
        <v>0</v>
      </c>
      <c r="J549" s="317"/>
      <c r="K549" s="329">
        <f>IF(K545=0,0,K548-K546)</f>
        <v>0</v>
      </c>
      <c r="L549" s="330">
        <f>IF(L545=0,0,L548-L546)</f>
        <v>0</v>
      </c>
      <c r="M549" s="274"/>
      <c r="N549" s="156">
        <f>IF(N545=0,0,N548-N546)</f>
        <v>0</v>
      </c>
      <c r="O549" s="196"/>
      <c r="P549" s="156">
        <f>IF(P545=0,0,P548-P546)</f>
        <v>0</v>
      </c>
      <c r="Q549" s="245">
        <f>IF(Q545=0,0,Q548-Q546)</f>
        <v>0</v>
      </c>
      <c r="R549" s="238"/>
      <c r="S549" s="156">
        <f>IF(S545=0,0,S548-S546)</f>
        <v>0</v>
      </c>
      <c r="T549" s="196"/>
      <c r="U549" s="156">
        <f>IF(U545=0,0,U548-U546)</f>
        <v>0</v>
      </c>
      <c r="V549" s="245">
        <f>IF(V545=0,0,V548-V546)</f>
        <v>0</v>
      </c>
      <c r="W549" s="238"/>
      <c r="X549" s="156">
        <f>IF(X545=0,0,X548-X546)</f>
        <v>0</v>
      </c>
      <c r="Y549" s="196"/>
      <c r="Z549" s="156">
        <f>IF(Z545=0,0,Z548-Z546)</f>
        <v>0</v>
      </c>
      <c r="AA549" s="245">
        <f>IF(AA545=0,0,AA548-AA546)</f>
        <v>0</v>
      </c>
      <c r="AB549" s="265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</row>
    <row r="550" spans="1:42" s="192" customFormat="1" ht="11.25">
      <c r="A550" s="37"/>
      <c r="B550" s="37"/>
      <c r="C550" s="37"/>
      <c r="D550" s="207"/>
      <c r="E550" s="207" t="s">
        <v>269</v>
      </c>
      <c r="F550" s="207" t="str">
        <f t="shared" si="914"/>
        <v>АвтоКомп</v>
      </c>
      <c r="G550" s="207" t="s">
        <v>219</v>
      </c>
      <c r="H550" s="331"/>
      <c r="I550" s="332">
        <f>I547-I549</f>
        <v>0</v>
      </c>
      <c r="J550" s="333"/>
      <c r="K550" s="332">
        <f t="shared" ref="K550" si="939">K547-K549</f>
        <v>0</v>
      </c>
      <c r="L550" s="334">
        <f>L547-L549</f>
        <v>0</v>
      </c>
      <c r="M550" s="278"/>
      <c r="N550" s="162">
        <f>N547-N549</f>
        <v>0</v>
      </c>
      <c r="O550" s="208"/>
      <c r="P550" s="162">
        <f t="shared" ref="P550" si="940">P547-P549</f>
        <v>0</v>
      </c>
      <c r="Q550" s="246">
        <f>Q547-Q549</f>
        <v>0</v>
      </c>
      <c r="R550" s="247"/>
      <c r="S550" s="162">
        <f>S547-S549</f>
        <v>0</v>
      </c>
      <c r="T550" s="208"/>
      <c r="U550" s="162">
        <f t="shared" ref="U550" si="941">U547-U549</f>
        <v>0</v>
      </c>
      <c r="V550" s="246">
        <f>V547-V549</f>
        <v>0</v>
      </c>
      <c r="W550" s="247"/>
      <c r="X550" s="162">
        <f>X547-X549</f>
        <v>0</v>
      </c>
      <c r="Y550" s="208"/>
      <c r="Z550" s="162">
        <f t="shared" ref="Z550" si="942">Z547-Z549</f>
        <v>0</v>
      </c>
      <c r="AA550" s="246">
        <f>AA547-AA549</f>
        <v>0</v>
      </c>
      <c r="AB550" s="265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</row>
    <row r="551" spans="1:42" s="111" customFormat="1" ht="11.25">
      <c r="A551" s="108"/>
      <c r="B551" s="108"/>
      <c r="C551" s="108" t="s">
        <v>272</v>
      </c>
      <c r="D551" s="109"/>
      <c r="E551" s="109"/>
      <c r="F551" s="109" t="str">
        <f t="shared" si="914"/>
        <v>АвтоКомп</v>
      </c>
      <c r="G551" s="109"/>
      <c r="H551" s="307"/>
      <c r="I551" s="308">
        <f>I552-K552-L552</f>
        <v>0</v>
      </c>
      <c r="J551" s="335"/>
      <c r="K551" s="308"/>
      <c r="L551" s="336"/>
      <c r="M551" s="272"/>
      <c r="N551" s="110">
        <f>N552-P552-Q552</f>
        <v>0</v>
      </c>
      <c r="O551" s="105"/>
      <c r="P551" s="110"/>
      <c r="Q551" s="248"/>
      <c r="R551" s="234"/>
      <c r="S551" s="110">
        <f>S552-U552-V552</f>
        <v>0</v>
      </c>
      <c r="T551" s="105"/>
      <c r="U551" s="110"/>
      <c r="V551" s="248"/>
      <c r="W551" s="234"/>
      <c r="X551" s="110">
        <f>X552-Z552-AA552</f>
        <v>0</v>
      </c>
      <c r="Y551" s="105"/>
      <c r="Z551" s="110"/>
      <c r="AA551" s="248"/>
      <c r="AB551" s="263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</row>
    <row r="552" spans="1:42" s="5" customFormat="1">
      <c r="A552" s="1"/>
      <c r="B552" s="1"/>
      <c r="C552" s="1"/>
      <c r="D552" s="168" t="s">
        <v>273</v>
      </c>
      <c r="E552" s="168"/>
      <c r="F552" s="168" t="str">
        <f t="shared" si="914"/>
        <v>АвтоКомп</v>
      </c>
      <c r="G552" s="168" t="s">
        <v>261</v>
      </c>
      <c r="H552" s="326"/>
      <c r="I552" s="327">
        <f>SUMIFS(операции!$V:$V,операции!$T:$T,"&gt;="&amp;I$8,операции!$T:$T,"&lt;="&amp;I$9,операции!$O:$O,$F534)</f>
        <v>0</v>
      </c>
      <c r="J552" s="313"/>
      <c r="K552" s="327">
        <f>SUMIFS(операции!$V:$V,операции!$T:$T,"&gt;="&amp;I$8,операции!$T:$T,"&lt;="&amp;I$9,операции!$L:$L,K$9,операции!$O:$O,$F534)</f>
        <v>0</v>
      </c>
      <c r="L552" s="328">
        <f>SUMIFS(операции!$V:$V,операции!$T:$T,"&gt;="&amp;I$8,операции!$T:$T,"&lt;="&amp;I$9,операции!$L:$L,L$9,операции!$O:$O,$F534)</f>
        <v>0</v>
      </c>
      <c r="M552" s="277"/>
      <c r="N552" s="169">
        <f>SUMIFS(операции!$V:$V,операции!$T:$T,"&gt;="&amp;N$8,операции!$T:$T,"&lt;="&amp;N$9,операции!$O:$O,$F534)</f>
        <v>0</v>
      </c>
      <c r="O552" s="170"/>
      <c r="P552" s="169">
        <f>SUMIFS(операции!$V:$V,операции!$T:$T,"&gt;="&amp;N$8,операции!$T:$T,"&lt;="&amp;N$9,операции!$L:$L,P$9,операции!$O:$O,$F534)</f>
        <v>0</v>
      </c>
      <c r="Q552" s="243">
        <f>SUMIFS(операции!$V:$V,операции!$T:$T,"&gt;="&amp;N$8,операции!$T:$T,"&lt;="&amp;N$9,операции!$L:$L,Q$9,операции!$O:$O,$F534)</f>
        <v>0</v>
      </c>
      <c r="R552" s="244"/>
      <c r="S552" s="169">
        <f>SUMIFS(операции!$V:$V,операции!$T:$T,"&gt;="&amp;S$8,операции!$T:$T,"&lt;="&amp;S$9,операции!$O:$O,$F534)</f>
        <v>0</v>
      </c>
      <c r="T552" s="170"/>
      <c r="U552" s="169">
        <f>SUMIFS(операции!$V:$V,операции!$T:$T,"&gt;="&amp;S$8,операции!$T:$T,"&lt;="&amp;S$9,операции!$L:$L,U$9,операции!$O:$O,$F534)</f>
        <v>0</v>
      </c>
      <c r="V552" s="243">
        <f>SUMIFS(операции!$V:$V,операции!$T:$T,"&gt;="&amp;S$8,операции!$T:$T,"&lt;="&amp;S$9,операции!$L:$L,V$9,операции!$O:$O,$F534)</f>
        <v>0</v>
      </c>
      <c r="W552" s="244"/>
      <c r="X552" s="169">
        <f>SUMIFS(операции!$V:$V,операции!$T:$T,"&gt;="&amp;X$8,операции!$T:$T,"&lt;="&amp;X$9,операции!$O:$O,$F534)</f>
        <v>0</v>
      </c>
      <c r="Y552" s="170"/>
      <c r="Z552" s="169">
        <f>SUMIFS(операции!$V:$V,операции!$T:$T,"&gt;="&amp;X$8,операции!$T:$T,"&lt;="&amp;X$9,операции!$L:$L,Z$9,операции!$O:$O,$F534)</f>
        <v>0</v>
      </c>
      <c r="AA552" s="243">
        <f>SUMIFS(операции!$V:$V,операции!$T:$T,"&gt;="&amp;X$8,операции!$T:$T,"&lt;="&amp;X$9,операции!$L:$L,AA$9,операции!$O:$O,$F534)</f>
        <v>0</v>
      </c>
      <c r="AB552" s="266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s="192" customFormat="1" ht="11.25">
      <c r="A553" s="37"/>
      <c r="B553" s="37"/>
      <c r="C553" s="37"/>
      <c r="D553" s="207" t="s">
        <v>255</v>
      </c>
      <c r="E553" s="207"/>
      <c r="F553" s="207" t="str">
        <f t="shared" si="914"/>
        <v>АвтоКомп</v>
      </c>
      <c r="G553" s="207" t="s">
        <v>262</v>
      </c>
      <c r="H553" s="331"/>
      <c r="I553" s="337">
        <f>IF(I552=0,0,SUMIFS(операции!$AF:$AF,операции!$T:$T,"&gt;="&amp;I$8,операции!$T:$T,"&lt;="&amp;I$9,операции!$O:$O,$F534)/I552)</f>
        <v>0</v>
      </c>
      <c r="J553" s="333"/>
      <c r="K553" s="337">
        <f>IF(K552=0,0,SUMIFS(операции!$AF:$AF,операции!$T:$T,"&gt;="&amp;I$8,операции!$T:$T,"&lt;="&amp;I$9,операции!$L:$L,K$9,операции!$O:$O,$F534)/K552)</f>
        <v>0</v>
      </c>
      <c r="L553" s="338">
        <f>IF(L552=0,0,SUMIFS(операции!$AF:$AF,операции!$T:$T,"&gt;="&amp;I$8,операции!$T:$T,"&lt;="&amp;I$9,операции!$L:$L,L$9,операции!$O:$O,$F534)/L552)</f>
        <v>0</v>
      </c>
      <c r="M553" s="278"/>
      <c r="N553" s="217">
        <f>IF(N552=0,0,SUMIFS(операции!$AF:$AF,операции!$T:$T,"&gt;="&amp;N$8,операции!$T:$T,"&lt;="&amp;N$9,операции!$O:$O,$F534)/N552)</f>
        <v>0</v>
      </c>
      <c r="O553" s="208"/>
      <c r="P553" s="217">
        <f>IF(P552=0,0,SUMIFS(операции!$AF:$AF,операции!$T:$T,"&gt;="&amp;N$8,операции!$T:$T,"&lt;="&amp;N$9,операции!$L:$L,P$9,операции!$O:$O,$F534)/P552)</f>
        <v>0</v>
      </c>
      <c r="Q553" s="249">
        <f>IF(Q552=0,0,SUMIFS(операции!$AF:$AF,операции!$T:$T,"&gt;="&amp;N$8,операции!$T:$T,"&lt;="&amp;N$9,операции!$L:$L,Q$9,операции!$O:$O,$F534)/Q552)</f>
        <v>0</v>
      </c>
      <c r="R553" s="247"/>
      <c r="S553" s="217">
        <f>IF(S552=0,0,SUMIFS(операции!$AF:$AF,операции!$T:$T,"&gt;="&amp;S$8,операции!$T:$T,"&lt;="&amp;S$9,операции!$O:$O,$F534)/S552)</f>
        <v>0</v>
      </c>
      <c r="T553" s="208"/>
      <c r="U553" s="217">
        <f>IF(U552=0,0,SUMIFS(операции!$AF:$AF,операции!$T:$T,"&gt;="&amp;S$8,операции!$T:$T,"&lt;="&amp;S$9,операции!$L:$L,U$9,операции!$O:$O,$F534)/U552)</f>
        <v>0</v>
      </c>
      <c r="V553" s="249">
        <f>IF(V552=0,0,SUMIFS(операции!$AF:$AF,операции!$T:$T,"&gt;="&amp;S$8,операции!$T:$T,"&lt;="&amp;S$9,операции!$L:$L,V$9,операции!$O:$O,$F534)/V552)</f>
        <v>0</v>
      </c>
      <c r="W553" s="247"/>
      <c r="X553" s="217">
        <f>IF(X552=0,0,SUMIFS(операции!$AF:$AF,операции!$T:$T,"&gt;="&amp;X$8,операции!$T:$T,"&lt;="&amp;X$9,операции!$O:$O,$F534)/X552)</f>
        <v>0</v>
      </c>
      <c r="Y553" s="208"/>
      <c r="Z553" s="217">
        <f>IF(Z552=0,0,SUMIFS(операции!$AF:$AF,операции!$T:$T,"&gt;="&amp;X$8,операции!$T:$T,"&lt;="&amp;X$9,операции!$L:$L,Z$9,операции!$O:$O,$F534)/Z552)</f>
        <v>0</v>
      </c>
      <c r="AA553" s="249">
        <f>IF(AA552=0,0,SUMIFS(операции!$AF:$AF,операции!$T:$T,"&gt;="&amp;X$8,операции!$T:$T,"&lt;="&amp;X$9,операции!$L:$L,AA$9,операции!$O:$O,$F534)/AA552)</f>
        <v>0</v>
      </c>
      <c r="AB553" s="265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</row>
    <row r="554" spans="1:42" s="93" customFormat="1" ht="15">
      <c r="A554" s="92"/>
      <c r="B554" s="92"/>
      <c r="C554" s="92"/>
      <c r="D554" s="212" t="s">
        <v>274</v>
      </c>
      <c r="E554" s="212"/>
      <c r="F554" s="212" t="str">
        <f t="shared" si="914"/>
        <v>АвтоКомп</v>
      </c>
      <c r="G554" s="212" t="s">
        <v>261</v>
      </c>
      <c r="H554" s="339"/>
      <c r="I554" s="340">
        <f>SUMIFS(операции!$Z:$Z,операции!$X:$X,"&gt;="&amp;I$8,операции!$X:$X,"&lt;="&amp;I$9,операции!$O:$O,$F534)</f>
        <v>9690</v>
      </c>
      <c r="J554" s="341">
        <f>I554-I567-I577</f>
        <v>0</v>
      </c>
      <c r="K554" s="340">
        <f>SUMIFS(операции!$Z:$Z,операции!$X:$X,"&gt;="&amp;I$8,операции!$X:$X,"&lt;="&amp;I$9,операции!$L:$L,K$9,операции!$O:$O,$F534)</f>
        <v>9690</v>
      </c>
      <c r="L554" s="342">
        <f>SUMIFS(операции!$Z:$Z,операции!$X:$X,"&gt;="&amp;I$8,операции!$X:$X,"&lt;="&amp;I$9,операции!$L:$L,L$9,операции!$O:$O,$F534)</f>
        <v>0</v>
      </c>
      <c r="M554" s="279"/>
      <c r="N554" s="213">
        <f>SUMIFS(операции!$Z:$Z,операции!$X:$X,"&gt;="&amp;N$8,операции!$X:$X,"&lt;="&amp;N$9,операции!$O:$O,$F534)</f>
        <v>6460</v>
      </c>
      <c r="O554" s="216">
        <f>N554-N567-N577</f>
        <v>0</v>
      </c>
      <c r="P554" s="213">
        <f>SUMIFS(операции!$Z:$Z,операции!$X:$X,"&gt;="&amp;N$8,операции!$X:$X,"&lt;="&amp;N$9,операции!$L:$L,P$9,операции!$O:$O,$F534)</f>
        <v>6460</v>
      </c>
      <c r="Q554" s="250">
        <f>SUMIFS(операции!$Z:$Z,операции!$X:$X,"&gt;="&amp;N$8,операции!$X:$X,"&lt;="&amp;N$9,операции!$L:$L,Q$9,операции!$O:$O,$F534)</f>
        <v>0</v>
      </c>
      <c r="R554" s="251"/>
      <c r="S554" s="213">
        <f>SUMIFS(операции!$Z:$Z,операции!$X:$X,"&gt;="&amp;S$8,операции!$X:$X,"&lt;="&amp;S$9,операции!$O:$O,$F534)</f>
        <v>3230</v>
      </c>
      <c r="T554" s="216">
        <f>S554-S567-S577</f>
        <v>0</v>
      </c>
      <c r="U554" s="213">
        <f>SUMIFS(операции!$Z:$Z,операции!$X:$X,"&gt;="&amp;S$8,операции!$X:$X,"&lt;="&amp;S$9,операции!$L:$L,U$9,операции!$O:$O,$F534)</f>
        <v>3230</v>
      </c>
      <c r="V554" s="250">
        <f>SUMIFS(операции!$Z:$Z,операции!$X:$X,"&gt;="&amp;S$8,операции!$X:$X,"&lt;="&amp;S$9,операции!$L:$L,V$9,операции!$O:$O,$F534)</f>
        <v>0</v>
      </c>
      <c r="W554" s="251"/>
      <c r="X554" s="213">
        <f>SUMIFS(операции!$Z:$Z,операции!$X:$X,"&gt;="&amp;X$8,операции!$X:$X,"&lt;="&amp;X$9,операции!$O:$O,$F534)</f>
        <v>0</v>
      </c>
      <c r="Y554" s="216">
        <f>X554-X567-X577</f>
        <v>0</v>
      </c>
      <c r="Z554" s="213">
        <f>SUMIFS(операции!$Z:$Z,операции!$X:$X,"&gt;="&amp;X$8,операции!$X:$X,"&lt;="&amp;X$9,операции!$L:$L,Z$9,операции!$O:$O,$F534)</f>
        <v>0</v>
      </c>
      <c r="AA554" s="250">
        <f>SUMIFS(операции!$Z:$Z,операции!$X:$X,"&gt;="&amp;X$8,операции!$X:$X,"&lt;="&amp;X$9,операции!$L:$L,AA$9,операции!$O:$O,$F534)</f>
        <v>0</v>
      </c>
      <c r="AB554" s="264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</row>
    <row r="555" spans="1:42" s="407" customFormat="1" ht="11.25">
      <c r="A555" s="404"/>
      <c r="B555" s="404"/>
      <c r="C555" s="404"/>
      <c r="D555" s="405" t="s">
        <v>332</v>
      </c>
      <c r="E555" s="405"/>
      <c r="F555" s="405" t="str">
        <f>F553</f>
        <v>АвтоКомп</v>
      </c>
      <c r="G555" s="405" t="s">
        <v>218</v>
      </c>
      <c r="H555" s="408"/>
      <c r="I555" s="408">
        <f>IF(I$31=0,0,I554/I$31)</f>
        <v>2.6120175449946305E-3</v>
      </c>
      <c r="J555" s="409"/>
      <c r="K555" s="408">
        <f t="shared" ref="K555" si="943">IF(K$31=0,0,K554/K$31)</f>
        <v>7.4431166149719558E-3</v>
      </c>
      <c r="L555" s="410">
        <f t="shared" ref="L555" si="944">IF(L$31=0,0,L554/L$31)</f>
        <v>0</v>
      </c>
      <c r="M555" s="411"/>
      <c r="N555" s="412">
        <f t="shared" ref="N555" si="945">IF(N$31=0,0,N554/N$31)</f>
        <v>8.3354516047034651E-3</v>
      </c>
      <c r="O555" s="413"/>
      <c r="P555" s="412">
        <f t="shared" ref="P555" si="946">IF(P$31=0,0,P554/P$31)</f>
        <v>1.2907711858310888E-2</v>
      </c>
      <c r="Q555" s="414">
        <f t="shared" ref="Q555" si="947">IF(Q$31=0,0,Q554/Q$31)</f>
        <v>0</v>
      </c>
      <c r="R555" s="415"/>
      <c r="S555" s="412">
        <f t="shared" ref="S555" si="948">IF(S$31=0,0,S554/S$31)</f>
        <v>1.8200310475884589E-3</v>
      </c>
      <c r="T555" s="413"/>
      <c r="U555" s="412">
        <f t="shared" ref="U555" si="949">IF(U$31=0,0,U554/U$31)</f>
        <v>5.128978729823503E-3</v>
      </c>
      <c r="V555" s="414">
        <f t="shared" ref="V555" si="950">IF(V$31=0,0,V554/V$31)</f>
        <v>0</v>
      </c>
      <c r="W555" s="415"/>
      <c r="X555" s="412">
        <f t="shared" ref="X555" si="951">IF(X$31=0,0,X554/X$31)</f>
        <v>0</v>
      </c>
      <c r="Y555" s="413"/>
      <c r="Z555" s="412">
        <f t="shared" ref="Z555" si="952">IF(Z$31=0,0,Z554/Z$31)</f>
        <v>0</v>
      </c>
      <c r="AA555" s="414">
        <f t="shared" ref="AA555" si="953">IF(AA$31=0,0,AA554/AA$31)</f>
        <v>0</v>
      </c>
      <c r="AB555" s="406"/>
      <c r="AC555" s="404"/>
      <c r="AD555" s="404"/>
      <c r="AE555" s="404"/>
      <c r="AF555" s="404"/>
      <c r="AG555" s="404"/>
      <c r="AH555" s="404"/>
      <c r="AI555" s="404"/>
      <c r="AJ555" s="404"/>
      <c r="AK555" s="404"/>
      <c r="AL555" s="404"/>
      <c r="AM555" s="404"/>
      <c r="AN555" s="404"/>
      <c r="AO555" s="404"/>
      <c r="AP555" s="404"/>
    </row>
    <row r="556" spans="1:42" s="192" customFormat="1" ht="11.25">
      <c r="A556" s="37"/>
      <c r="B556" s="37"/>
      <c r="C556" s="37"/>
      <c r="D556" s="191" t="s">
        <v>331</v>
      </c>
      <c r="E556" s="191"/>
      <c r="F556" s="191" t="str">
        <f>F554</f>
        <v>АвтоКомп</v>
      </c>
      <c r="G556" s="191" t="s">
        <v>334</v>
      </c>
      <c r="H556" s="315"/>
      <c r="I556" s="329">
        <f>SUMIFS(операции!$R:$R,операции!$X:$X,"&gt;="&amp;I$8,операции!$X:$X,"&lt;="&amp;I$9,операции!$O:$O,$F534)</f>
        <v>3</v>
      </c>
      <c r="J556" s="317">
        <f>I556-K556-L556</f>
        <v>0</v>
      </c>
      <c r="K556" s="329">
        <f>SUMIFS(операции!$R:$R,операции!$X:$X,"&gt;="&amp;I$8,операции!$X:$X,"&lt;="&amp;I$9,операции!$L:$L,K$9,операции!$O:$O,$F534)</f>
        <v>3</v>
      </c>
      <c r="L556" s="330">
        <f>SUMIFS(операции!$R:$R,операции!$X:$X,"&gt;="&amp;I$8,операции!$X:$X,"&lt;="&amp;I$9,операции!$L:$L,L$9,операции!$O:$O,$F534)</f>
        <v>0</v>
      </c>
      <c r="M556" s="402"/>
      <c r="N556" s="156">
        <f>SUMIFS(операции!$R:$R,операции!$X:$X,"&gt;="&amp;N$8,операции!$X:$X,"&lt;="&amp;N$9,операции!$O:$O,$F534)</f>
        <v>2</v>
      </c>
      <c r="O556" s="196">
        <f t="shared" ref="O556" si="954">N556-P556-Q556</f>
        <v>0</v>
      </c>
      <c r="P556" s="156">
        <f>SUMIFS(операции!$R:$R,операции!$X:$X,"&gt;="&amp;N$8,операции!$X:$X,"&lt;="&amp;N$9,операции!$L:$L,P$9,операции!$O:$O,$F534)</f>
        <v>2</v>
      </c>
      <c r="Q556" s="245">
        <f>SUMIFS(операции!$R:$R,операции!$X:$X,"&gt;="&amp;N$8,операции!$X:$X,"&lt;="&amp;N$9,операции!$L:$L,Q$9,операции!$O:$O,$F534)</f>
        <v>0</v>
      </c>
      <c r="R556" s="403"/>
      <c r="S556" s="156">
        <f>SUMIFS(операции!$R:$R,операции!$X:$X,"&gt;="&amp;S$8,операции!$X:$X,"&lt;="&amp;S$9,операции!$O:$O,$F534)</f>
        <v>1</v>
      </c>
      <c r="T556" s="196">
        <f t="shared" ref="T556" si="955">S556-U556-V556</f>
        <v>0</v>
      </c>
      <c r="U556" s="156">
        <f>SUMIFS(операции!$R:$R,операции!$X:$X,"&gt;="&amp;S$8,операции!$X:$X,"&lt;="&amp;S$9,операции!$L:$L,U$9,операции!$O:$O,$F534)</f>
        <v>1</v>
      </c>
      <c r="V556" s="245">
        <f>SUMIFS(операции!$R:$R,операции!$X:$X,"&gt;="&amp;S$8,операции!$X:$X,"&lt;="&amp;S$9,операции!$L:$L,V$9,операции!$O:$O,$F534)</f>
        <v>0</v>
      </c>
      <c r="W556" s="403"/>
      <c r="X556" s="156">
        <f>SUMIFS(операции!$R:$R,операции!$X:$X,"&gt;="&amp;X$8,операции!$X:$X,"&lt;="&amp;X$9,операции!$O:$O,$F534)</f>
        <v>0</v>
      </c>
      <c r="Y556" s="196">
        <f t="shared" ref="Y556" si="956">X556-Z556-AA556</f>
        <v>0</v>
      </c>
      <c r="Z556" s="156">
        <f>SUMIFS(операции!$R:$R,операции!$X:$X,"&gt;="&amp;X$8,операции!$X:$X,"&lt;="&amp;X$9,операции!$L:$L,Z$9,операции!$O:$O,$F534)</f>
        <v>0</v>
      </c>
      <c r="AA556" s="245">
        <f>SUMIFS(операции!$R:$R,операции!$X:$X,"&gt;="&amp;X$8,операции!$X:$X,"&lt;="&amp;X$9,операции!$L:$L,AA$9,операции!$O:$O,$F534)</f>
        <v>0</v>
      </c>
      <c r="AB556" s="265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</row>
    <row r="557" spans="1:42" s="192" customFormat="1" ht="11.25">
      <c r="A557" s="37"/>
      <c r="B557" s="37"/>
      <c r="C557" s="37"/>
      <c r="D557" s="191" t="s">
        <v>333</v>
      </c>
      <c r="E557" s="191"/>
      <c r="F557" s="191" t="str">
        <f t="shared" si="914"/>
        <v>АвтоКомп</v>
      </c>
      <c r="G557" s="191" t="s">
        <v>261</v>
      </c>
      <c r="H557" s="315"/>
      <c r="I557" s="329">
        <f>IF(I556=0,0,I554/I556)</f>
        <v>3230</v>
      </c>
      <c r="J557" s="317"/>
      <c r="K557" s="329">
        <f t="shared" ref="K557" si="957">IF(K556=0,0,K554/K556)</f>
        <v>3230</v>
      </c>
      <c r="L557" s="330">
        <f t="shared" ref="L557" si="958">IF(L556=0,0,L554/L556)</f>
        <v>0</v>
      </c>
      <c r="M557" s="402"/>
      <c r="N557" s="156">
        <f>IF(N556=0,0,N554/N556)</f>
        <v>3230</v>
      </c>
      <c r="O557" s="196"/>
      <c r="P557" s="156">
        <f>IF(P556=0,0,P554/P556)</f>
        <v>3230</v>
      </c>
      <c r="Q557" s="245">
        <f>IF(Q556=0,0,Q554/Q556)</f>
        <v>0</v>
      </c>
      <c r="R557" s="403"/>
      <c r="S557" s="156">
        <f>IF(S556=0,0,S554/S556)</f>
        <v>3230</v>
      </c>
      <c r="T557" s="196"/>
      <c r="U557" s="156">
        <f>IF(U556=0,0,U554/U556)</f>
        <v>3230</v>
      </c>
      <c r="V557" s="245">
        <f>IF(V556=0,0,V554/V556)</f>
        <v>0</v>
      </c>
      <c r="W557" s="403"/>
      <c r="X557" s="156">
        <f>IF(X556=0,0,X554/X556)</f>
        <v>0</v>
      </c>
      <c r="Y557" s="196"/>
      <c r="Z557" s="156">
        <f>IF(Z556=0,0,Z554/Z556)</f>
        <v>0</v>
      </c>
      <c r="AA557" s="245">
        <f>IF(AA556=0,0,AA554/AA556)</f>
        <v>0</v>
      </c>
      <c r="AB557" s="265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</row>
    <row r="558" spans="1:42" s="192" customFormat="1" ht="11.25">
      <c r="A558" s="37"/>
      <c r="B558" s="37"/>
      <c r="C558" s="37"/>
      <c r="D558" s="191" t="s">
        <v>290</v>
      </c>
      <c r="E558" s="191"/>
      <c r="F558" s="191" t="str">
        <f>F554</f>
        <v>АвтоКомп</v>
      </c>
      <c r="G558" s="191" t="s">
        <v>262</v>
      </c>
      <c r="H558" s="315"/>
      <c r="I558" s="316">
        <f>IF(I554=0,0,SUMIFS(операции!$AG:$AG,операции!$X:$X,"&gt;="&amp;I$8,операции!$X:$X,"&lt;="&amp;I$9,операции!$O:$O,$F534)/I554)</f>
        <v>42308.333333333336</v>
      </c>
      <c r="J558" s="317"/>
      <c r="K558" s="316">
        <f>IF(K554=0,0,SUMIFS(операции!$AG:$AG,операции!$X:$X,"&gt;="&amp;I$8,операции!$X:$X,"&lt;="&amp;I$9,операции!$L:$L,K$9,операции!$O:$O,$F534)/K554)</f>
        <v>42308.333333333336</v>
      </c>
      <c r="L558" s="318">
        <f>IF(L554=0,0,SUMIFS(операции!$AG:$AG,операции!$X:$X,"&gt;="&amp;I$8,операции!$X:$X,"&lt;="&amp;I$9,операции!$L:$L,L$9,операции!$O:$O,$F534)/L554)</f>
        <v>0</v>
      </c>
      <c r="M558" s="274"/>
      <c r="N558" s="193">
        <f>IF(N554=0,0,SUMIFS(операции!$AG:$AG,операции!$X:$X,"&gt;="&amp;N$8,операции!$X:$X,"&lt;="&amp;N$9,операции!$O:$O,$F534)/N554)</f>
        <v>42298</v>
      </c>
      <c r="O558" s="196"/>
      <c r="P558" s="193">
        <f>IF(P554=0,0,SUMIFS(операции!$AG:$AG,операции!$X:$X,"&gt;="&amp;N$8,операции!$X:$X,"&lt;="&amp;N$9,операции!$L:$L,P$9,операции!$O:$O,$F534)/P554)</f>
        <v>42298</v>
      </c>
      <c r="Q558" s="237">
        <f>IF(Q554=0,0,SUMIFS(операции!$AG:$AG,операции!$X:$X,"&gt;="&amp;N$8,операции!$X:$X,"&lt;="&amp;N$9,операции!$L:$L,Q$9,операции!$O:$O,$F534)/Q554)</f>
        <v>0</v>
      </c>
      <c r="R558" s="238"/>
      <c r="S558" s="193">
        <f>IF(S554=0,0,SUMIFS(операции!$AG:$AG,операции!$X:$X,"&gt;="&amp;S$8,операции!$X:$X,"&lt;="&amp;S$9,операции!$O:$O,$F534)/S554)</f>
        <v>42329</v>
      </c>
      <c r="T558" s="196"/>
      <c r="U558" s="193">
        <f>IF(U554=0,0,SUMIFS(операции!$AG:$AG,операции!$X:$X,"&gt;="&amp;S$8,операции!$X:$X,"&lt;="&amp;S$9,операции!$L:$L,U$9,операции!$O:$O,$F534)/U554)</f>
        <v>42329</v>
      </c>
      <c r="V558" s="237">
        <f>IF(V554=0,0,SUMIFS(операции!$AG:$AG,операции!$X:$X,"&gt;="&amp;S$8,операции!$X:$X,"&lt;="&amp;S$9,операции!$L:$L,V$9,операции!$O:$O,$F534)/V554)</f>
        <v>0</v>
      </c>
      <c r="W558" s="238"/>
      <c r="X558" s="193">
        <f>IF(X554=0,0,SUMIFS(операции!$AG:$AG,операции!$X:$X,"&gt;="&amp;X$8,операции!$X:$X,"&lt;="&amp;X$9,операции!$O:$O,$F534)/X554)</f>
        <v>0</v>
      </c>
      <c r="Y558" s="196"/>
      <c r="Z558" s="193">
        <f>IF(Z554=0,0,SUMIFS(операции!$AG:$AG,операции!$X:$X,"&gt;="&amp;X$8,операции!$X:$X,"&lt;="&amp;X$9,операции!$L:$L,Z$9,операции!$O:$O,$F534)/Z554)</f>
        <v>0</v>
      </c>
      <c r="AA558" s="237">
        <f>IF(AA554=0,0,SUMIFS(операции!$AG:$AG,операции!$X:$X,"&gt;="&amp;X$8,операции!$X:$X,"&lt;="&amp;X$9,операции!$L:$L,AA$9,операции!$O:$O,$F534)/AA554)</f>
        <v>0</v>
      </c>
      <c r="AB558" s="265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</row>
    <row r="559" spans="1:42" s="93" customFormat="1" ht="15">
      <c r="A559" s="92"/>
      <c r="B559" s="92"/>
      <c r="C559" s="92"/>
      <c r="D559" s="151" t="s">
        <v>275</v>
      </c>
      <c r="E559" s="151"/>
      <c r="F559" s="151" t="str">
        <f t="shared" si="914"/>
        <v>АвтоКомп</v>
      </c>
      <c r="G559" s="151" t="s">
        <v>261</v>
      </c>
      <c r="H559" s="311"/>
      <c r="I559" s="312">
        <f>SUMIFS(операции!$V:$V,операции!$X:$X,"&gt;="&amp;I$8,операции!$X:$X,"&lt;="&amp;I$9,операции!$O:$O,$F534)</f>
        <v>15300</v>
      </c>
      <c r="J559" s="313">
        <f>I559-I569-I579</f>
        <v>0</v>
      </c>
      <c r="K559" s="312">
        <f>SUMIFS(операции!$V:$V,операции!$X:$X,"&gt;="&amp;I$8,операции!$X:$X,"&lt;="&amp;I$9,операции!$L:$L,K$9,операции!$O:$O,$F534)</f>
        <v>15300</v>
      </c>
      <c r="L559" s="314">
        <f>SUMIFS(операции!$V:$V,операции!$X:$X,"&gt;="&amp;I$8,операции!$X:$X,"&lt;="&amp;I$9,операции!$L:$L,L$9,операции!$O:$O,$F534)</f>
        <v>0</v>
      </c>
      <c r="M559" s="273"/>
      <c r="N559" s="152">
        <f>SUMIFS(операции!$V:$V,операции!$X:$X,"&gt;="&amp;N$8,операции!$X:$X,"&lt;="&amp;N$9,операции!$O:$O,$F534)</f>
        <v>10200</v>
      </c>
      <c r="O559" s="170">
        <f>N559-N569-N579</f>
        <v>0</v>
      </c>
      <c r="P559" s="152">
        <f>SUMIFS(операции!$V:$V,операции!$X:$X,"&gt;="&amp;N$8,операции!$X:$X,"&lt;="&amp;N$9,операции!$L:$L,P$9,операции!$O:$O,$F534)</f>
        <v>10200</v>
      </c>
      <c r="Q559" s="235">
        <f>SUMIFS(операции!$V:$V,операции!$X:$X,"&gt;="&amp;N$8,операции!$X:$X,"&lt;="&amp;N$9,операции!$L:$L,Q$9,операции!$O:$O,$F534)</f>
        <v>0</v>
      </c>
      <c r="R559" s="236"/>
      <c r="S559" s="152">
        <f>SUMIFS(операции!$V:$V,операции!$X:$X,"&gt;="&amp;S$8,операции!$X:$X,"&lt;="&amp;S$9,операции!$O:$O,$F534)</f>
        <v>5100</v>
      </c>
      <c r="T559" s="170">
        <f>S559-S569-S579</f>
        <v>0</v>
      </c>
      <c r="U559" s="152">
        <f>SUMIFS(операции!$V:$V,операции!$X:$X,"&gt;="&amp;S$8,операции!$X:$X,"&lt;="&amp;S$9,операции!$L:$L,U$9,операции!$O:$O,$F534)</f>
        <v>5100</v>
      </c>
      <c r="V559" s="235">
        <f>SUMIFS(операции!$V:$V,операции!$X:$X,"&gt;="&amp;S$8,операции!$X:$X,"&lt;="&amp;S$9,операции!$L:$L,V$9,операции!$O:$O,$F534)</f>
        <v>0</v>
      </c>
      <c r="W559" s="236"/>
      <c r="X559" s="152">
        <f>SUMIFS(операции!$V:$V,операции!$X:$X,"&gt;="&amp;X$8,операции!$X:$X,"&lt;="&amp;X$9,операции!$O:$O,$F534)</f>
        <v>0</v>
      </c>
      <c r="Y559" s="170">
        <f>X559-X569-X579</f>
        <v>0</v>
      </c>
      <c r="Z559" s="152">
        <f>SUMIFS(операции!$V:$V,операции!$X:$X,"&gt;="&amp;X$8,операции!$X:$X,"&lt;="&amp;X$9,операции!$L:$L,Z$9,операции!$O:$O,$F534)</f>
        <v>0</v>
      </c>
      <c r="AA559" s="235">
        <f>SUMIFS(операции!$V:$V,операции!$X:$X,"&gt;="&amp;X$8,операции!$X:$X,"&lt;="&amp;X$9,операции!$L:$L,AA$9,операции!$O:$O,$F534)</f>
        <v>0</v>
      </c>
      <c r="AB559" s="264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</row>
    <row r="560" spans="1:42" s="192" customFormat="1" ht="11.25">
      <c r="A560" s="37"/>
      <c r="B560" s="37"/>
      <c r="C560" s="37"/>
      <c r="D560" s="191" t="s">
        <v>291</v>
      </c>
      <c r="E560" s="191"/>
      <c r="F560" s="191" t="str">
        <f t="shared" si="914"/>
        <v>АвтоКомп</v>
      </c>
      <c r="G560" s="191" t="s">
        <v>262</v>
      </c>
      <c r="H560" s="315"/>
      <c r="I560" s="316">
        <f>IF(I559=0,0,SUMIFS(операции!$AF:$AF,операции!$X:$X,"&gt;="&amp;I$8,операции!$X:$X,"&lt;="&amp;I$9,операции!$O:$O,$F534)/I559)</f>
        <v>42147.333333333336</v>
      </c>
      <c r="J560" s="317"/>
      <c r="K560" s="316">
        <f>IF(K559=0,0,SUMIFS(операции!$AF:$AF,операции!$X:$X,"&gt;="&amp;I$8,операции!$X:$X,"&lt;="&amp;I$9,операции!$L:$L,K$9,операции!$O:$O,$F534)/K559)</f>
        <v>42147.333333333336</v>
      </c>
      <c r="L560" s="318">
        <f>IF(L559=0,0,SUMIFS(операции!$AF:$AF,операции!$X:$X,"&gt;="&amp;I$8,операции!$X:$X,"&lt;="&amp;I$9,операции!$L:$L,L$9,операции!$O:$O,$F534)/L559)</f>
        <v>0</v>
      </c>
      <c r="M560" s="274"/>
      <c r="N560" s="193">
        <f>IF(N559=0,0,SUMIFS(операции!$AF:$AF,операции!$X:$X,"&gt;="&amp;N$8,операции!$X:$X,"&lt;="&amp;N$9,операции!$O:$O,$F534)/N559)</f>
        <v>42145.5</v>
      </c>
      <c r="O560" s="196"/>
      <c r="P560" s="193">
        <f>IF(P559=0,0,SUMIFS(операции!$AF:$AF,операции!$X:$X,"&gt;="&amp;N$8,операции!$X:$X,"&lt;="&amp;N$9,операции!$L:$L,P$9,операции!$O:$O,$F534)/P559)</f>
        <v>42145.5</v>
      </c>
      <c r="Q560" s="237">
        <f>IF(Q559=0,0,SUMIFS(операции!$AF:$AF,операции!$X:$X,"&gt;="&amp;N$8,операции!$X:$X,"&lt;="&amp;N$9,операции!$L:$L,Q$9,операции!$O:$O,$F534)/Q559)</f>
        <v>0</v>
      </c>
      <c r="R560" s="238"/>
      <c r="S560" s="193">
        <f>IF(S559=0,0,SUMIFS(операции!$AF:$AF,операции!$X:$X,"&gt;="&amp;S$8,операции!$X:$X,"&lt;="&amp;S$9,операции!$O:$O,$F534)/S559)</f>
        <v>42151</v>
      </c>
      <c r="T560" s="196"/>
      <c r="U560" s="193">
        <f>IF(U559=0,0,SUMIFS(операции!$AF:$AF,операции!$X:$X,"&gt;="&amp;S$8,операции!$X:$X,"&lt;="&amp;S$9,операции!$L:$L,U$9,операции!$O:$O,$F534)/U559)</f>
        <v>42151</v>
      </c>
      <c r="V560" s="237">
        <f>IF(V559=0,0,SUMIFS(операции!$AF:$AF,операции!$X:$X,"&gt;="&amp;S$8,операции!$X:$X,"&lt;="&amp;S$9,операции!$L:$L,V$9,операции!$O:$O,$F534)/V559)</f>
        <v>0</v>
      </c>
      <c r="W560" s="238"/>
      <c r="X560" s="193">
        <f>IF(X559=0,0,SUMIFS(операции!$AF:$AF,операции!$X:$X,"&gt;="&amp;X$8,операции!$X:$X,"&lt;="&amp;X$9,операции!$O:$O,$F534)/X559)</f>
        <v>0</v>
      </c>
      <c r="Y560" s="196"/>
      <c r="Z560" s="193">
        <f>IF(Z559=0,0,SUMIFS(операции!$AF:$AF,операции!$X:$X,"&gt;="&amp;X$8,операции!$X:$X,"&lt;="&amp;X$9,операции!$L:$L,Z$9,операции!$O:$O,$F534)/Z559)</f>
        <v>0</v>
      </c>
      <c r="AA560" s="237">
        <f>IF(AA559=0,0,SUMIFS(операции!$AF:$AF,операции!$X:$X,"&gt;="&amp;X$8,операции!$X:$X,"&lt;="&amp;X$9,операции!$L:$L,AA$9,операции!$O:$O,$F534)/AA559)</f>
        <v>0</v>
      </c>
      <c r="AB560" s="265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</row>
    <row r="561" spans="1:42" s="192" customFormat="1" ht="11.25">
      <c r="A561" s="37"/>
      <c r="B561" s="37"/>
      <c r="C561" s="37"/>
      <c r="D561" s="191" t="s">
        <v>308</v>
      </c>
      <c r="E561" s="191"/>
      <c r="F561" s="191" t="str">
        <f t="shared" si="914"/>
        <v>АвтоКомп</v>
      </c>
      <c r="G561" s="191" t="s">
        <v>262</v>
      </c>
      <c r="H561" s="315"/>
      <c r="I561" s="316">
        <f>IF(I559=0,0,(I569*I571+I579*I581)/I559)</f>
        <v>42174</v>
      </c>
      <c r="J561" s="317"/>
      <c r="K561" s="316">
        <f t="shared" ref="K561:L561" si="959">IF(K559=0,0,(K569*K571+K579*K581)/K559)</f>
        <v>42174</v>
      </c>
      <c r="L561" s="318">
        <f t="shared" si="959"/>
        <v>0</v>
      </c>
      <c r="M561" s="274"/>
      <c r="N561" s="193">
        <f>IF(N559=0,0,(N569*N571+N579*N581)/N559)</f>
        <v>42170.5</v>
      </c>
      <c r="O561" s="196"/>
      <c r="P561" s="193">
        <f t="shared" ref="P561:Q561" si="960">IF(P559=0,0,(P569*P571+P579*P581)/P559)</f>
        <v>42170.5</v>
      </c>
      <c r="Q561" s="237">
        <f t="shared" si="960"/>
        <v>0</v>
      </c>
      <c r="R561" s="238"/>
      <c r="S561" s="193">
        <f>IF(S559=0,0,(S569*S571+S579*S581)/S559)</f>
        <v>42181</v>
      </c>
      <c r="T561" s="196"/>
      <c r="U561" s="193">
        <f t="shared" ref="U561:V561" si="961">IF(U559=0,0,(U569*U571+U579*U581)/U559)</f>
        <v>42181</v>
      </c>
      <c r="V561" s="237">
        <f t="shared" si="961"/>
        <v>0</v>
      </c>
      <c r="W561" s="238"/>
      <c r="X561" s="193">
        <f>IF(X559=0,0,(X569*X571+X579*X581)/X559)</f>
        <v>0</v>
      </c>
      <c r="Y561" s="196"/>
      <c r="Z561" s="193">
        <f t="shared" ref="Z561:AA561" si="962">IF(Z559=0,0,(Z569*Z571+Z579*Z581)/Z559)</f>
        <v>0</v>
      </c>
      <c r="AA561" s="237">
        <f t="shared" si="962"/>
        <v>0</v>
      </c>
      <c r="AB561" s="265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</row>
    <row r="562" spans="1:42" s="93" customFormat="1" ht="15">
      <c r="A562" s="92"/>
      <c r="B562" s="92"/>
      <c r="C562" s="92"/>
      <c r="D562" s="151" t="s">
        <v>278</v>
      </c>
      <c r="E562" s="151"/>
      <c r="F562" s="151" t="str">
        <f t="shared" si="914"/>
        <v>АвтоКомп</v>
      </c>
      <c r="G562" s="151" t="s">
        <v>261</v>
      </c>
      <c r="H562" s="311"/>
      <c r="I562" s="312">
        <f>I554-I559</f>
        <v>-5610</v>
      </c>
      <c r="J562" s="313">
        <f>I562-K562-L562</f>
        <v>0</v>
      </c>
      <c r="K562" s="312">
        <f t="shared" ref="K562:L562" si="963">K554-K559</f>
        <v>-5610</v>
      </c>
      <c r="L562" s="314">
        <f t="shared" si="963"/>
        <v>0</v>
      </c>
      <c r="M562" s="273"/>
      <c r="N562" s="152">
        <f>N554-N559</f>
        <v>-3740</v>
      </c>
      <c r="O562" s="170">
        <f>N562-P562-Q562</f>
        <v>0</v>
      </c>
      <c r="P562" s="152">
        <f t="shared" ref="P562:Q562" si="964">P554-P559</f>
        <v>-3740</v>
      </c>
      <c r="Q562" s="235">
        <f t="shared" si="964"/>
        <v>0</v>
      </c>
      <c r="R562" s="236"/>
      <c r="S562" s="152">
        <f>S554-S559</f>
        <v>-1870</v>
      </c>
      <c r="T562" s="170">
        <f>S562-U562-V562</f>
        <v>0</v>
      </c>
      <c r="U562" s="152">
        <f t="shared" ref="U562:V562" si="965">U554-U559</f>
        <v>-1870</v>
      </c>
      <c r="V562" s="235">
        <f t="shared" si="965"/>
        <v>0</v>
      </c>
      <c r="W562" s="236"/>
      <c r="X562" s="152">
        <f>X554-X559</f>
        <v>0</v>
      </c>
      <c r="Y562" s="170">
        <f>X562-Z562-AA562</f>
        <v>0</v>
      </c>
      <c r="Z562" s="152">
        <f t="shared" ref="Z562:AA562" si="966">Z554-Z559</f>
        <v>0</v>
      </c>
      <c r="AA562" s="235">
        <f t="shared" si="966"/>
        <v>0</v>
      </c>
      <c r="AB562" s="264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</row>
    <row r="563" spans="1:42" s="211" customFormat="1">
      <c r="A563" s="210"/>
      <c r="B563" s="210"/>
      <c r="C563" s="210"/>
      <c r="D563" s="218" t="s">
        <v>277</v>
      </c>
      <c r="E563" s="218"/>
      <c r="F563" s="218" t="str">
        <f t="shared" si="914"/>
        <v>АвтоКомп</v>
      </c>
      <c r="G563" s="218" t="s">
        <v>218</v>
      </c>
      <c r="H563" s="343"/>
      <c r="I563" s="344">
        <f>IF(I554=0,0,(I562/I554))</f>
        <v>-0.57894736842105265</v>
      </c>
      <c r="J563" s="345"/>
      <c r="K563" s="344">
        <f t="shared" ref="K563" si="967">IF(K554=0,0,(K562/K554))</f>
        <v>-0.57894736842105265</v>
      </c>
      <c r="L563" s="346">
        <f t="shared" ref="L563" si="968">IF(L554=0,0,(L562/L554))</f>
        <v>0</v>
      </c>
      <c r="M563" s="280"/>
      <c r="N563" s="219">
        <f>IF(N554=0,0,(N562/N554))</f>
        <v>-0.57894736842105265</v>
      </c>
      <c r="O563" s="220"/>
      <c r="P563" s="219">
        <f t="shared" ref="P563" si="969">IF(P554=0,0,(P562/P554))</f>
        <v>-0.57894736842105265</v>
      </c>
      <c r="Q563" s="252">
        <f t="shared" ref="Q563" si="970">IF(Q554=0,0,(Q562/Q554))</f>
        <v>0</v>
      </c>
      <c r="R563" s="253"/>
      <c r="S563" s="219">
        <f>IF(S554=0,0,(S562/S554))</f>
        <v>-0.57894736842105265</v>
      </c>
      <c r="T563" s="220"/>
      <c r="U563" s="219">
        <f t="shared" ref="U563" si="971">IF(U554=0,0,(U562/U554))</f>
        <v>-0.57894736842105265</v>
      </c>
      <c r="V563" s="252">
        <f t="shared" ref="V563" si="972">IF(V554=0,0,(V562/V554))</f>
        <v>0</v>
      </c>
      <c r="W563" s="253"/>
      <c r="X563" s="219">
        <f>IF(X554=0,0,(X562/X554))</f>
        <v>0</v>
      </c>
      <c r="Y563" s="220"/>
      <c r="Z563" s="219">
        <f t="shared" ref="Z563" si="973">IF(Z554=0,0,(Z562/Z554))</f>
        <v>0</v>
      </c>
      <c r="AA563" s="252">
        <f t="shared" ref="AA563" si="974">IF(AA554=0,0,(AA562/AA554))</f>
        <v>0</v>
      </c>
      <c r="AB563" s="267"/>
      <c r="AC563" s="210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</row>
    <row r="564" spans="1:42" s="93" customFormat="1" ht="15">
      <c r="A564" s="92"/>
      <c r="B564" s="92"/>
      <c r="C564" s="92"/>
      <c r="D564" s="198" t="s">
        <v>220</v>
      </c>
      <c r="E564" s="198"/>
      <c r="F564" s="198" t="str">
        <f t="shared" si="914"/>
        <v>АвтоКомп</v>
      </c>
      <c r="G564" s="198" t="s">
        <v>219</v>
      </c>
      <c r="H564" s="323"/>
      <c r="I564" s="324">
        <f>I558-I560</f>
        <v>161</v>
      </c>
      <c r="J564" s="321">
        <f>I564-SUMIFS(ПОбТЗ!$I:$I,ПОбТЗ!$E:$E,$D564,ПОбТЗ!$F:$F,$F564)</f>
        <v>0</v>
      </c>
      <c r="K564" s="324">
        <f t="shared" ref="K564:L564" si="975">K558-K560</f>
        <v>161</v>
      </c>
      <c r="L564" s="325">
        <f t="shared" si="975"/>
        <v>0</v>
      </c>
      <c r="M564" s="276"/>
      <c r="N564" s="199">
        <f>N558-N560</f>
        <v>152.5</v>
      </c>
      <c r="O564" s="173">
        <f>N564-SUMIFS(ПОбТЗ_3!$J:$J,ПОбТЗ_3!$D:$D,$D564,ПОбТЗ_3!$E:$E,$F564)</f>
        <v>0</v>
      </c>
      <c r="P564" s="199">
        <f t="shared" ref="P564:Q564" si="976">P558-P560</f>
        <v>152.5</v>
      </c>
      <c r="Q564" s="241">
        <f t="shared" si="976"/>
        <v>0</v>
      </c>
      <c r="R564" s="242"/>
      <c r="S564" s="199">
        <f>S558-S560</f>
        <v>178</v>
      </c>
      <c r="T564" s="173">
        <f>S564-SUMIFS(ПОбТЗ_3!$K:$K,ПОбТЗ_3!$D:$D,$D564,ПОбТЗ_3!$E:$E,$F564)</f>
        <v>0</v>
      </c>
      <c r="U564" s="199">
        <f t="shared" ref="U564:V564" si="977">U558-U560</f>
        <v>178</v>
      </c>
      <c r="V564" s="241">
        <f t="shared" si="977"/>
        <v>0</v>
      </c>
      <c r="W564" s="242"/>
      <c r="X564" s="199">
        <f>X558-X560</f>
        <v>0</v>
      </c>
      <c r="Y564" s="173">
        <f>X564-SUMIFS(ПОбТЗ_3!$L:$L,ПОбТЗ_3!$D:$D,$D564,ПОбТЗ_3!$E:$E,$F564)</f>
        <v>0</v>
      </c>
      <c r="Z564" s="199">
        <f t="shared" ref="Z564:AA564" si="978">Z558-Z560</f>
        <v>0</v>
      </c>
      <c r="AA564" s="241">
        <f t="shared" si="978"/>
        <v>0</v>
      </c>
      <c r="AB564" s="264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</row>
    <row r="565" spans="1:42" s="5" customFormat="1">
      <c r="A565" s="1"/>
      <c r="B565" s="1"/>
      <c r="C565" s="1"/>
      <c r="D565" s="227" t="s">
        <v>309</v>
      </c>
      <c r="E565" s="227"/>
      <c r="F565" s="227" t="str">
        <f t="shared" si="914"/>
        <v>АвтоКомп</v>
      </c>
      <c r="G565" s="227" t="s">
        <v>219</v>
      </c>
      <c r="H565" s="347"/>
      <c r="I565" s="348">
        <f>I561-I560</f>
        <v>26.666666666664241</v>
      </c>
      <c r="J565" s="321"/>
      <c r="K565" s="348">
        <f t="shared" ref="K565:L565" si="979">K561-K560</f>
        <v>26.666666666664241</v>
      </c>
      <c r="L565" s="349">
        <f t="shared" si="979"/>
        <v>0</v>
      </c>
      <c r="M565" s="281"/>
      <c r="N565" s="228">
        <f>N561-N560</f>
        <v>25</v>
      </c>
      <c r="O565" s="173"/>
      <c r="P565" s="228">
        <f t="shared" ref="P565:Q565" si="980">P561-P560</f>
        <v>25</v>
      </c>
      <c r="Q565" s="254">
        <f t="shared" si="980"/>
        <v>0</v>
      </c>
      <c r="R565" s="255"/>
      <c r="S565" s="228">
        <f>S561-S560</f>
        <v>30</v>
      </c>
      <c r="T565" s="173"/>
      <c r="U565" s="228">
        <f t="shared" ref="U565:V565" si="981">U561-U560</f>
        <v>30</v>
      </c>
      <c r="V565" s="254">
        <f t="shared" si="981"/>
        <v>0</v>
      </c>
      <c r="W565" s="255"/>
      <c r="X565" s="228">
        <f>X561-X560</f>
        <v>0</v>
      </c>
      <c r="Y565" s="173"/>
      <c r="Z565" s="228">
        <f t="shared" ref="Z565:AA565" si="982">Z561-Z560</f>
        <v>0</v>
      </c>
      <c r="AA565" s="254">
        <f t="shared" si="982"/>
        <v>0</v>
      </c>
      <c r="AB565" s="266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s="5" customFormat="1">
      <c r="A566" s="1"/>
      <c r="B566" s="1"/>
      <c r="C566" s="1"/>
      <c r="D566" s="225" t="s">
        <v>310</v>
      </c>
      <c r="E566" s="225"/>
      <c r="F566" s="225" t="str">
        <f t="shared" si="914"/>
        <v>АвтоКомп</v>
      </c>
      <c r="G566" s="225" t="s">
        <v>219</v>
      </c>
      <c r="H566" s="350"/>
      <c r="I566" s="351">
        <f>I564-I565</f>
        <v>134.33333333333576</v>
      </c>
      <c r="J566" s="352"/>
      <c r="K566" s="351">
        <f t="shared" ref="K566" si="983">K564-K565</f>
        <v>134.33333333333576</v>
      </c>
      <c r="L566" s="353">
        <f t="shared" ref="L566" si="984">L564-L565</f>
        <v>0</v>
      </c>
      <c r="M566" s="282"/>
      <c r="N566" s="226">
        <f>N564-N565</f>
        <v>127.5</v>
      </c>
      <c r="O566" s="181"/>
      <c r="P566" s="226">
        <f t="shared" ref="P566" si="985">P564-P565</f>
        <v>127.5</v>
      </c>
      <c r="Q566" s="256">
        <f t="shared" ref="Q566" si="986">Q564-Q565</f>
        <v>0</v>
      </c>
      <c r="R566" s="257"/>
      <c r="S566" s="226">
        <f>S564-S565</f>
        <v>148</v>
      </c>
      <c r="T566" s="181"/>
      <c r="U566" s="226">
        <f t="shared" ref="U566" si="987">U564-U565</f>
        <v>148</v>
      </c>
      <c r="V566" s="256">
        <f t="shared" ref="V566" si="988">V564-V565</f>
        <v>0</v>
      </c>
      <c r="W566" s="257"/>
      <c r="X566" s="226">
        <f>X564-X565</f>
        <v>0</v>
      </c>
      <c r="Y566" s="181"/>
      <c r="Z566" s="226">
        <f t="shared" ref="Z566" si="989">Z564-Z565</f>
        <v>0</v>
      </c>
      <c r="AA566" s="256">
        <f t="shared" ref="AA566" si="990">AA564-AA565</f>
        <v>0</v>
      </c>
      <c r="AB566" s="266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s="5" customFormat="1">
      <c r="A567" s="1"/>
      <c r="B567" s="1"/>
      <c r="C567" s="1"/>
      <c r="D567" s="223"/>
      <c r="E567" s="223" t="s">
        <v>293</v>
      </c>
      <c r="F567" s="223" t="str">
        <f t="shared" si="914"/>
        <v>АвтоКомп</v>
      </c>
      <c r="G567" s="223" t="s">
        <v>261</v>
      </c>
      <c r="H567" s="354"/>
      <c r="I567" s="355">
        <f>SUMIFS(операции!$Z:$Z,операции!$X:$X,"&gt;="&amp;I$8,операции!$X:$X,"&lt;="&amp;I$9,операции!$AB:$AB,"&lt;&gt;"&amp;"",операции!$O:$O,$F534)</f>
        <v>9690</v>
      </c>
      <c r="J567" s="341">
        <f>I567-K567-L567</f>
        <v>0</v>
      </c>
      <c r="K567" s="355">
        <f>SUMIFS(операции!$Z:$Z,операции!$X:$X,"&gt;="&amp;I$8,операции!$X:$X,"&lt;="&amp;I$9,операции!$AB:$AB,"&lt;&gt;"&amp;"",операции!$L:$L,K$9,операции!$O:$O,$F534)</f>
        <v>9690</v>
      </c>
      <c r="L567" s="356">
        <f>SUMIFS(операции!$Z:$Z,операции!$X:$X,"&gt;="&amp;I$8,операции!$X:$X,"&lt;="&amp;I$9,операции!$AB:$AB,"&lt;&gt;"&amp;"",операции!$L:$L,L$9,операции!$O:$O,$F534)</f>
        <v>0</v>
      </c>
      <c r="M567" s="283"/>
      <c r="N567" s="224">
        <f>SUMIFS(операции!$Z:$Z,операции!$X:$X,"&gt;="&amp;N$8,операции!$X:$X,"&lt;="&amp;N$9,операции!$AB:$AB,"&lt;&gt;"&amp;"",операции!$O:$O,$F534)</f>
        <v>6460</v>
      </c>
      <c r="O567" s="216">
        <f>N567-P567-Q567</f>
        <v>0</v>
      </c>
      <c r="P567" s="224">
        <f>SUMIFS(операции!$Z:$Z,операции!$X:$X,"&gt;="&amp;N$8,операции!$X:$X,"&lt;="&amp;N$9,операции!$AB:$AB,"&lt;&gt;"&amp;"",операции!$L:$L,P$9,операции!$O:$O,$F534)</f>
        <v>6460</v>
      </c>
      <c r="Q567" s="258">
        <f>SUMIFS(операции!$Z:$Z,операции!$X:$X,"&gt;="&amp;N$8,операции!$X:$X,"&lt;="&amp;N$9,операции!$AB:$AB,"&lt;&gt;"&amp;"",операции!$L:$L,Q$9,операции!$O:$O,$F534)</f>
        <v>0</v>
      </c>
      <c r="R567" s="259"/>
      <c r="S567" s="224">
        <f>SUMIFS(операции!$Z:$Z,операции!$X:$X,"&gt;="&amp;S$8,операции!$X:$X,"&lt;="&amp;S$9,операции!$AB:$AB,"&lt;&gt;"&amp;"",операции!$O:$O,$F534)</f>
        <v>3230</v>
      </c>
      <c r="T567" s="216">
        <f>S567-U567-V567</f>
        <v>0</v>
      </c>
      <c r="U567" s="224">
        <f>SUMIFS(операции!$Z:$Z,операции!$X:$X,"&gt;="&amp;S$8,операции!$X:$X,"&lt;="&amp;S$9,операции!$AB:$AB,"&lt;&gt;"&amp;"",операции!$L:$L,U$9,операции!$O:$O,$F534)</f>
        <v>3230</v>
      </c>
      <c r="V567" s="258">
        <f>SUMIFS(операции!$Z:$Z,операции!$X:$X,"&gt;="&amp;S$8,операции!$X:$X,"&lt;="&amp;S$9,операции!$AB:$AB,"&lt;&gt;"&amp;"",операции!$L:$L,V$9,операции!$O:$O,$F534)</f>
        <v>0</v>
      </c>
      <c r="W567" s="259"/>
      <c r="X567" s="224">
        <f>SUMIFS(операции!$Z:$Z,операции!$X:$X,"&gt;="&amp;X$8,операции!$X:$X,"&lt;="&amp;X$9,операции!$AB:$AB,"&lt;&gt;"&amp;"",операции!$O:$O,$F534)</f>
        <v>0</v>
      </c>
      <c r="Y567" s="216">
        <f>X567-Z567-AA567</f>
        <v>0</v>
      </c>
      <c r="Z567" s="224">
        <f>SUMIFS(операции!$Z:$Z,операции!$X:$X,"&gt;="&amp;X$8,операции!$X:$X,"&lt;="&amp;X$9,операции!$AB:$AB,"&lt;&gt;"&amp;"",операции!$L:$L,Z$9,операции!$O:$O,$F534)</f>
        <v>0</v>
      </c>
      <c r="AA567" s="258">
        <f>SUMIFS(операции!$Z:$Z,операции!$X:$X,"&gt;="&amp;X$8,операции!$X:$X,"&lt;="&amp;X$9,операции!$AB:$AB,"&lt;&gt;"&amp;"",операции!$L:$L,AA$9,операции!$O:$O,$F534)</f>
        <v>0</v>
      </c>
      <c r="AB567" s="266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s="192" customFormat="1" ht="11.25">
      <c r="A568" s="37"/>
      <c r="B568" s="37"/>
      <c r="C568" s="37"/>
      <c r="D568" s="191"/>
      <c r="E568" s="191" t="s">
        <v>295</v>
      </c>
      <c r="F568" s="191" t="str">
        <f t="shared" si="914"/>
        <v>АвтоКомп</v>
      </c>
      <c r="G568" s="191" t="s">
        <v>262</v>
      </c>
      <c r="H568" s="315"/>
      <c r="I568" s="316">
        <f>IF(I567=0,0,SUMIFS(операции!$AG:$AG,операции!$X:$X,"&gt;="&amp;I$8,операции!$X:$X,"&lt;="&amp;I$9,операции!$AB:$AB,"&lt;&gt;"&amp;"",операции!$O:$O,$F534)/I567)</f>
        <v>42308.333333333336</v>
      </c>
      <c r="J568" s="317"/>
      <c r="K568" s="316">
        <f>IF(K567=0,0,SUMIFS(операции!$AG:$AG,операции!$X:$X,"&gt;="&amp;I$8,операции!$X:$X,"&lt;="&amp;I$9,операции!$AB:$AB,"&lt;&gt;"&amp;"",операции!$L:$L,K$9,операции!$O:$O,$F534)/K567)</f>
        <v>42308.333333333336</v>
      </c>
      <c r="L568" s="318">
        <f>IF(L567=0,0,SUMIFS(операции!$AG:$AG,операции!$X:$X,"&gt;="&amp;I$8,операции!$X:$X,"&lt;="&amp;I$9,операции!$AB:$AB,"&lt;&gt;"&amp;"",операции!$L:$L,L$9,операции!$O:$O,$F534)/L567)</f>
        <v>0</v>
      </c>
      <c r="M568" s="274"/>
      <c r="N568" s="193">
        <f>IF(N567=0,0,SUMIFS(операции!$AG:$AG,операции!$X:$X,"&gt;="&amp;N$8,операции!$X:$X,"&lt;="&amp;N$9,операции!$AB:$AB,"&lt;&gt;"&amp;"",операции!$O:$O,$F534)/N567)</f>
        <v>42298</v>
      </c>
      <c r="O568" s="196"/>
      <c r="P568" s="193">
        <f>IF(P567=0,0,SUMIFS(операции!$AG:$AG,операции!$X:$X,"&gt;="&amp;N$8,операции!$X:$X,"&lt;="&amp;N$9,операции!$AB:$AB,"&lt;&gt;"&amp;"",операции!$L:$L,P$9,операции!$O:$O,$F534)/P567)</f>
        <v>42298</v>
      </c>
      <c r="Q568" s="237">
        <f>IF(Q567=0,0,SUMIFS(операции!$AG:$AG,операции!$X:$X,"&gt;="&amp;N$8,операции!$X:$X,"&lt;="&amp;N$9,операции!$AB:$AB,"&lt;&gt;"&amp;"",операции!$L:$L,Q$9,операции!$O:$O,$F534)/Q567)</f>
        <v>0</v>
      </c>
      <c r="R568" s="238"/>
      <c r="S568" s="193">
        <f>IF(S567=0,0,SUMIFS(операции!$AG:$AG,операции!$X:$X,"&gt;="&amp;S$8,операции!$X:$X,"&lt;="&amp;S$9,операции!$AB:$AB,"&lt;&gt;"&amp;"",операции!$O:$O,$F534)/S567)</f>
        <v>42329</v>
      </c>
      <c r="T568" s="196"/>
      <c r="U568" s="193">
        <f>IF(U567=0,0,SUMIFS(операции!$AG:$AG,операции!$X:$X,"&gt;="&amp;S$8,операции!$X:$X,"&lt;="&amp;S$9,операции!$AB:$AB,"&lt;&gt;"&amp;"",операции!$L:$L,U$9,операции!$O:$O,$F534)/U567)</f>
        <v>42329</v>
      </c>
      <c r="V568" s="237">
        <f>IF(V567=0,0,SUMIFS(операции!$AG:$AG,операции!$X:$X,"&gt;="&amp;S$8,операции!$X:$X,"&lt;="&amp;S$9,операции!$AB:$AB,"&lt;&gt;"&amp;"",операции!$L:$L,V$9,операции!$O:$O,$F534)/V567)</f>
        <v>0</v>
      </c>
      <c r="W568" s="238"/>
      <c r="X568" s="193">
        <f>IF(X567=0,0,SUMIFS(операции!$AG:$AG,операции!$X:$X,"&gt;="&amp;X$8,операции!$X:$X,"&lt;="&amp;X$9,операции!$AB:$AB,"&lt;&gt;"&amp;"",операции!$O:$O,$F534)/X567)</f>
        <v>0</v>
      </c>
      <c r="Y568" s="196"/>
      <c r="Z568" s="193">
        <f>IF(Z567=0,0,SUMIFS(операции!$AG:$AG,операции!$X:$X,"&gt;="&amp;X$8,операции!$X:$X,"&lt;="&amp;X$9,операции!$AB:$AB,"&lt;&gt;"&amp;"",операции!$L:$L,Z$9,операции!$O:$O,$F534)/Z567)</f>
        <v>0</v>
      </c>
      <c r="AA568" s="237">
        <f>IF(AA567=0,0,SUMIFS(операции!$AG:$AG,операции!$X:$X,"&gt;="&amp;X$8,операции!$X:$X,"&lt;="&amp;X$9,операции!$AB:$AB,"&lt;&gt;"&amp;"",операции!$L:$L,AA$9,операции!$O:$O,$F534)/AA567)</f>
        <v>0</v>
      </c>
      <c r="AB568" s="265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</row>
    <row r="569" spans="1:42" s="93" customFormat="1" ht="15">
      <c r="A569" s="92"/>
      <c r="B569" s="92"/>
      <c r="C569" s="92"/>
      <c r="D569" s="151"/>
      <c r="E569" s="151" t="s">
        <v>292</v>
      </c>
      <c r="F569" s="151" t="str">
        <f t="shared" si="914"/>
        <v>АвтоКомп</v>
      </c>
      <c r="G569" s="151" t="s">
        <v>261</v>
      </c>
      <c r="H569" s="311"/>
      <c r="I569" s="312">
        <f>SUMIFS(операции!$V:$V,операции!$X:$X,"&gt;="&amp;I$8,операции!$X:$X,"&lt;="&amp;I$9,операции!$AB:$AB,"&lt;&gt;"&amp;"",операции!$O:$O,$F534)</f>
        <v>15300</v>
      </c>
      <c r="J569" s="313">
        <f>I569-K569-L569</f>
        <v>0</v>
      </c>
      <c r="K569" s="312">
        <f>SUMIFS(операции!$V:$V,операции!$X:$X,"&gt;="&amp;I$8,операции!$X:$X,"&lt;="&amp;I$9,операции!$AB:$AB,"&lt;&gt;"&amp;"",операции!$L:$L,K$9,операции!$O:$O,$F534)</f>
        <v>15300</v>
      </c>
      <c r="L569" s="314">
        <f>SUMIFS(операции!$V:$V,операции!$X:$X,"&gt;="&amp;I$8,операции!$X:$X,"&lt;="&amp;I$9,операции!$AB:$AB,"&lt;&gt;"&amp;"",операции!$L:$L,L$9,операции!$O:$O,$F534)</f>
        <v>0</v>
      </c>
      <c r="M569" s="273"/>
      <c r="N569" s="152">
        <f>SUMIFS(операции!$V:$V,операции!$X:$X,"&gt;="&amp;N$8,операции!$X:$X,"&lt;="&amp;N$9,операции!$AB:$AB,"&lt;&gt;"&amp;"",операции!$O:$O,$F534)</f>
        <v>10200</v>
      </c>
      <c r="O569" s="170">
        <f>N569-P569-Q569</f>
        <v>0</v>
      </c>
      <c r="P569" s="152">
        <f>SUMIFS(операции!$V:$V,операции!$X:$X,"&gt;="&amp;N$8,операции!$X:$X,"&lt;="&amp;N$9,операции!$AB:$AB,"&lt;&gt;"&amp;"",операции!$L:$L,P$9,операции!$O:$O,$F534)</f>
        <v>10200</v>
      </c>
      <c r="Q569" s="235">
        <f>SUMIFS(операции!$V:$V,операции!$X:$X,"&gt;="&amp;N$8,операции!$X:$X,"&lt;="&amp;N$9,операции!$AB:$AB,"&lt;&gt;"&amp;"",операции!$L:$L,Q$9,операции!$O:$O,$F534)</f>
        <v>0</v>
      </c>
      <c r="R569" s="236"/>
      <c r="S569" s="152">
        <f>SUMIFS(операции!$V:$V,операции!$X:$X,"&gt;="&amp;S$8,операции!$X:$X,"&lt;="&amp;S$9,операции!$AB:$AB,"&lt;&gt;"&amp;"",операции!$O:$O,$F534)</f>
        <v>5100</v>
      </c>
      <c r="T569" s="170">
        <f>S569-U569-V569</f>
        <v>0</v>
      </c>
      <c r="U569" s="152">
        <f>SUMIFS(операции!$V:$V,операции!$X:$X,"&gt;="&amp;S$8,операции!$X:$X,"&lt;="&amp;S$9,операции!$AB:$AB,"&lt;&gt;"&amp;"",операции!$L:$L,U$9,операции!$O:$O,$F534)</f>
        <v>5100</v>
      </c>
      <c r="V569" s="235">
        <f>SUMIFS(операции!$V:$V,операции!$X:$X,"&gt;="&amp;S$8,операции!$X:$X,"&lt;="&amp;S$9,операции!$AB:$AB,"&lt;&gt;"&amp;"",операции!$L:$L,V$9,операции!$O:$O,$F534)</f>
        <v>0</v>
      </c>
      <c r="W569" s="236"/>
      <c r="X569" s="152">
        <f>SUMIFS(операции!$V:$V,операции!$X:$X,"&gt;="&amp;X$8,операции!$X:$X,"&lt;="&amp;X$9,операции!$AB:$AB,"&lt;&gt;"&amp;"",операции!$O:$O,$F534)</f>
        <v>0</v>
      </c>
      <c r="Y569" s="170">
        <f>X569-Z569-AA569</f>
        <v>0</v>
      </c>
      <c r="Z569" s="152">
        <f>SUMIFS(операции!$V:$V,операции!$X:$X,"&gt;="&amp;X$8,операции!$X:$X,"&lt;="&amp;X$9,операции!$AB:$AB,"&lt;&gt;"&amp;"",операции!$L:$L,Z$9,операции!$O:$O,$F534)</f>
        <v>0</v>
      </c>
      <c r="AA569" s="235">
        <f>SUMIFS(операции!$V:$V,операции!$X:$X,"&gt;="&amp;X$8,операции!$X:$X,"&lt;="&amp;X$9,операции!$AB:$AB,"&lt;&gt;"&amp;"",операции!$L:$L,AA$9,операции!$O:$O,$F534)</f>
        <v>0</v>
      </c>
      <c r="AB569" s="264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</row>
    <row r="570" spans="1:42" s="192" customFormat="1" ht="11.25">
      <c r="A570" s="37"/>
      <c r="B570" s="37"/>
      <c r="C570" s="37"/>
      <c r="D570" s="191"/>
      <c r="E570" s="191" t="s">
        <v>294</v>
      </c>
      <c r="F570" s="191" t="str">
        <f t="shared" si="914"/>
        <v>АвтоКомп</v>
      </c>
      <c r="G570" s="191" t="s">
        <v>262</v>
      </c>
      <c r="H570" s="315"/>
      <c r="I570" s="316">
        <f>IF(I569=0,0,SUMIFS(операции!$AF:$AF,операции!$X:$X,"&gt;="&amp;I$8,операции!$X:$X,"&lt;="&amp;I$9,операции!$AB:$AB,"&lt;&gt;"&amp;"",операции!$O:$O,$F534)/I569)</f>
        <v>42147.333333333336</v>
      </c>
      <c r="J570" s="317"/>
      <c r="K570" s="316">
        <f>IF(K569=0,0,SUMIFS(операции!$AF:$AF,операции!$X:$X,"&gt;="&amp;I$8,операции!$X:$X,"&lt;="&amp;I$9,операции!$AB:$AB,"&lt;&gt;"&amp;"",операции!$L:$L,K$9,операции!$O:$O,$F534)/K569)</f>
        <v>42147.333333333336</v>
      </c>
      <c r="L570" s="318">
        <f>IF(L569=0,0,SUMIFS(операции!$AF:$AF,операции!$X:$X,"&gt;="&amp;I$8,операции!$X:$X,"&lt;="&amp;I$9,операции!$AB:$AB,"&lt;&gt;"&amp;"",операции!$L:$L,L$9,операции!$O:$O,$F534)/L569)</f>
        <v>0</v>
      </c>
      <c r="M570" s="274"/>
      <c r="N570" s="193">
        <f>IF(N569=0,0,SUMIFS(операции!$AF:$AF,операции!$X:$X,"&gt;="&amp;N$8,операции!$X:$X,"&lt;="&amp;N$9,операции!$AB:$AB,"&lt;&gt;"&amp;"",операции!$O:$O,$F534)/N569)</f>
        <v>42145.5</v>
      </c>
      <c r="O570" s="196"/>
      <c r="P570" s="193">
        <f>IF(P569=0,0,SUMIFS(операции!$AF:$AF,операции!$X:$X,"&gt;="&amp;N$8,операции!$X:$X,"&lt;="&amp;N$9,операции!$AB:$AB,"&lt;&gt;"&amp;"",операции!$L:$L,P$9,операции!$O:$O,$F534)/P569)</f>
        <v>42145.5</v>
      </c>
      <c r="Q570" s="237">
        <f>IF(Q569=0,0,SUMIFS(операции!$AF:$AF,операции!$X:$X,"&gt;="&amp;N$8,операции!$X:$X,"&lt;="&amp;N$9,операции!$AB:$AB,"&lt;&gt;"&amp;"",операции!$L:$L,Q$9,операции!$O:$O,$F534)/Q569)</f>
        <v>0</v>
      </c>
      <c r="R570" s="238"/>
      <c r="S570" s="193">
        <f>IF(S569=0,0,SUMIFS(операции!$AF:$AF,операции!$X:$X,"&gt;="&amp;S$8,операции!$X:$X,"&lt;="&amp;S$9,операции!$AB:$AB,"&lt;&gt;"&amp;"",операции!$O:$O,$F534)/S569)</f>
        <v>42151</v>
      </c>
      <c r="T570" s="196"/>
      <c r="U570" s="193">
        <f>IF(U569=0,0,SUMIFS(операции!$AF:$AF,операции!$X:$X,"&gt;="&amp;S$8,операции!$X:$X,"&lt;="&amp;S$9,операции!$AB:$AB,"&lt;&gt;"&amp;"",операции!$L:$L,U$9,операции!$O:$O,$F534)/U569)</f>
        <v>42151</v>
      </c>
      <c r="V570" s="237">
        <f>IF(V569=0,0,SUMIFS(операции!$AF:$AF,операции!$X:$X,"&gt;="&amp;S$8,операции!$X:$X,"&lt;="&amp;S$9,операции!$AB:$AB,"&lt;&gt;"&amp;"",операции!$L:$L,V$9,операции!$O:$O,$F534)/V569)</f>
        <v>0</v>
      </c>
      <c r="W570" s="238"/>
      <c r="X570" s="193">
        <f>IF(X569=0,0,SUMIFS(операции!$AF:$AF,операции!$X:$X,"&gt;="&amp;X$8,операции!$X:$X,"&lt;="&amp;X$9,операции!$AB:$AB,"&lt;&gt;"&amp;"",операции!$O:$O,$F534)/X569)</f>
        <v>0</v>
      </c>
      <c r="Y570" s="196"/>
      <c r="Z570" s="193">
        <f>IF(Z569=0,0,SUMIFS(операции!$AF:$AF,операции!$X:$X,"&gt;="&amp;X$8,операции!$X:$X,"&lt;="&amp;X$9,операции!$AB:$AB,"&lt;&gt;"&amp;"",операции!$L:$L,Z$9,операции!$O:$O,$F534)/Z569)</f>
        <v>0</v>
      </c>
      <c r="AA570" s="237">
        <f>IF(AA569=0,0,SUMIFS(операции!$AF:$AF,операции!$X:$X,"&gt;="&amp;X$8,операции!$X:$X,"&lt;="&amp;X$9,операции!$AB:$AB,"&lt;&gt;"&amp;"",операции!$L:$L,AA$9,операции!$O:$O,$F534)/AA569)</f>
        <v>0</v>
      </c>
      <c r="AB570" s="265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</row>
    <row r="571" spans="1:42" s="192" customFormat="1" ht="11.25">
      <c r="A571" s="37"/>
      <c r="B571" s="37"/>
      <c r="C571" s="37"/>
      <c r="D571" s="191"/>
      <c r="E571" s="191" t="s">
        <v>299</v>
      </c>
      <c r="F571" s="191" t="str">
        <f t="shared" si="914"/>
        <v>АвтоКомп</v>
      </c>
      <c r="G571" s="191" t="s">
        <v>262</v>
      </c>
      <c r="H571" s="315"/>
      <c r="I571" s="316">
        <f>IF(I569=0,0,SUMIFS(операции!$AH:$AH,операции!$X:$X,"&gt;="&amp;I$8,операции!$X:$X,"&lt;="&amp;I$9,операции!$AB:$AB,"&lt;&gt;"&amp;"",операции!$O:$O,$F534)/I569)</f>
        <v>42174</v>
      </c>
      <c r="J571" s="317"/>
      <c r="K571" s="316">
        <f>IF(K569=0,0,SUMIFS(операции!$AH:$AH,операции!$X:$X,"&gt;="&amp;I$8,операции!$X:$X,"&lt;="&amp;I$9,операции!$AB:$AB,"&lt;&gt;"&amp;"",операции!$L:$L,K$9,операции!$O:$O,$F534)/K569)</f>
        <v>42174</v>
      </c>
      <c r="L571" s="318">
        <f>IF(L569=0,0,SUMIFS(операции!$AH:$AH,операции!$X:$X,"&gt;="&amp;I$8,операции!$X:$X,"&lt;="&amp;I$9,операции!$AB:$AB,"&lt;&gt;"&amp;"",операции!$L:$L,L$9,операции!$O:$O,$F534)/L569)</f>
        <v>0</v>
      </c>
      <c r="M571" s="274"/>
      <c r="N571" s="193">
        <f>IF(N569=0,0,SUMIFS(операции!$AH:$AH,операции!$X:$X,"&gt;="&amp;N$8,операции!$X:$X,"&lt;="&amp;N$9,операции!$AB:$AB,"&lt;&gt;"&amp;"",операции!$O:$O,$F534)/N569)</f>
        <v>42170.5</v>
      </c>
      <c r="O571" s="196"/>
      <c r="P571" s="193">
        <f>IF(P569=0,0,SUMIFS(операции!$AH:$AH,операции!$X:$X,"&gt;="&amp;N$8,операции!$X:$X,"&lt;="&amp;N$9,операции!$AB:$AB,"&lt;&gt;"&amp;"",операции!$L:$L,P$9,операции!$O:$O,$F534)/P569)</f>
        <v>42170.5</v>
      </c>
      <c r="Q571" s="237">
        <f>IF(Q569=0,0,SUMIFS(операции!$AH:$AH,операции!$X:$X,"&gt;="&amp;N$8,операции!$X:$X,"&lt;="&amp;N$9,операции!$AB:$AB,"&lt;&gt;"&amp;"",операции!$L:$L,Q$9,операции!$O:$O,$F534)/Q569)</f>
        <v>0</v>
      </c>
      <c r="R571" s="238"/>
      <c r="S571" s="193">
        <f>IF(S569=0,0,SUMIFS(операции!$AH:$AH,операции!$X:$X,"&gt;="&amp;S$8,операции!$X:$X,"&lt;="&amp;S$9,операции!$AB:$AB,"&lt;&gt;"&amp;"",операции!$O:$O,$F534)/S569)</f>
        <v>42181</v>
      </c>
      <c r="T571" s="196"/>
      <c r="U571" s="193">
        <f>IF(U569=0,0,SUMIFS(операции!$AH:$AH,операции!$X:$X,"&gt;="&amp;S$8,операции!$X:$X,"&lt;="&amp;S$9,операции!$AB:$AB,"&lt;&gt;"&amp;"",операции!$L:$L,U$9,операции!$O:$O,$F534)/U569)</f>
        <v>42181</v>
      </c>
      <c r="V571" s="237">
        <f>IF(V569=0,0,SUMIFS(операции!$AH:$AH,операции!$X:$X,"&gt;="&amp;S$8,операции!$X:$X,"&lt;="&amp;S$9,операции!$AB:$AB,"&lt;&gt;"&amp;"",операции!$L:$L,V$9,операции!$O:$O,$F534)/V569)</f>
        <v>0</v>
      </c>
      <c r="W571" s="238"/>
      <c r="X571" s="193">
        <f>IF(X569=0,0,SUMIFS(операции!$AH:$AH,операции!$X:$X,"&gt;="&amp;X$8,операции!$X:$X,"&lt;="&amp;X$9,операции!$AB:$AB,"&lt;&gt;"&amp;"",операции!$O:$O,$F534)/X569)</f>
        <v>0</v>
      </c>
      <c r="Y571" s="196"/>
      <c r="Z571" s="193">
        <f>IF(Z569=0,0,SUMIFS(операции!$AH:$AH,операции!$X:$X,"&gt;="&amp;X$8,операции!$X:$X,"&lt;="&amp;X$9,операции!$AB:$AB,"&lt;&gt;"&amp;"",операции!$L:$L,Z$9,операции!$O:$O,$F534)/Z569)</f>
        <v>0</v>
      </c>
      <c r="AA571" s="237">
        <f>IF(AA569=0,0,SUMIFS(операции!$AH:$AH,операции!$X:$X,"&gt;="&amp;X$8,операции!$X:$X,"&lt;="&amp;X$9,операции!$AB:$AB,"&lt;&gt;"&amp;"",операции!$L:$L,AA$9,операции!$O:$O,$F534)/AA569)</f>
        <v>0</v>
      </c>
      <c r="AB571" s="265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</row>
    <row r="572" spans="1:42" s="5" customFormat="1">
      <c r="A572" s="1"/>
      <c r="B572" s="1"/>
      <c r="C572" s="1"/>
      <c r="D572" s="168"/>
      <c r="E572" s="168" t="s">
        <v>296</v>
      </c>
      <c r="F572" s="168" t="str">
        <f t="shared" si="914"/>
        <v>АвтоКомп</v>
      </c>
      <c r="G572" s="168" t="s">
        <v>261</v>
      </c>
      <c r="H572" s="326"/>
      <c r="I572" s="327">
        <f>I567-I569</f>
        <v>-5610</v>
      </c>
      <c r="J572" s="313">
        <f>I572-K572-L572</f>
        <v>0</v>
      </c>
      <c r="K572" s="327">
        <f t="shared" ref="K572:L572" si="991">K567-K569</f>
        <v>-5610</v>
      </c>
      <c r="L572" s="328">
        <f t="shared" si="991"/>
        <v>0</v>
      </c>
      <c r="M572" s="277"/>
      <c r="N572" s="169">
        <f>N567-N569</f>
        <v>-3740</v>
      </c>
      <c r="O572" s="170">
        <f>N572-P572-Q572</f>
        <v>0</v>
      </c>
      <c r="P572" s="169">
        <f t="shared" ref="P572:Q572" si="992">P567-P569</f>
        <v>-3740</v>
      </c>
      <c r="Q572" s="243">
        <f t="shared" si="992"/>
        <v>0</v>
      </c>
      <c r="R572" s="244"/>
      <c r="S572" s="169">
        <f>S567-S569</f>
        <v>-1870</v>
      </c>
      <c r="T572" s="170">
        <f>S572-U572-V572</f>
        <v>0</v>
      </c>
      <c r="U572" s="169">
        <f t="shared" ref="U572:V572" si="993">U567-U569</f>
        <v>-1870</v>
      </c>
      <c r="V572" s="243">
        <f t="shared" si="993"/>
        <v>0</v>
      </c>
      <c r="W572" s="244"/>
      <c r="X572" s="169">
        <f>X567-X569</f>
        <v>0</v>
      </c>
      <c r="Y572" s="170">
        <f>X572-Z572-AA572</f>
        <v>0</v>
      </c>
      <c r="Z572" s="169">
        <f t="shared" ref="Z572:AA572" si="994">Z567-Z569</f>
        <v>0</v>
      </c>
      <c r="AA572" s="243">
        <f t="shared" si="994"/>
        <v>0</v>
      </c>
      <c r="AB572" s="266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s="211" customFormat="1">
      <c r="A573" s="210"/>
      <c r="B573" s="210"/>
      <c r="C573" s="210"/>
      <c r="D573" s="218"/>
      <c r="E573" s="218" t="s">
        <v>297</v>
      </c>
      <c r="F573" s="218" t="str">
        <f t="shared" si="914"/>
        <v>АвтоКомп</v>
      </c>
      <c r="G573" s="218" t="s">
        <v>218</v>
      </c>
      <c r="H573" s="343"/>
      <c r="I573" s="344">
        <f>IF(I567=0,0,(I572/I567))</f>
        <v>-0.57894736842105265</v>
      </c>
      <c r="J573" s="345"/>
      <c r="K573" s="344">
        <f t="shared" ref="K573" si="995">IF(K567=0,0,(K572/K567))</f>
        <v>-0.57894736842105265</v>
      </c>
      <c r="L573" s="346">
        <f t="shared" ref="L573" si="996">IF(L567=0,0,(L572/L567))</f>
        <v>0</v>
      </c>
      <c r="M573" s="280"/>
      <c r="N573" s="219">
        <f>IF(N567=0,0,(N572/N567))</f>
        <v>-0.57894736842105265</v>
      </c>
      <c r="O573" s="220"/>
      <c r="P573" s="219">
        <f t="shared" ref="P573" si="997">IF(P567=0,0,(P572/P567))</f>
        <v>-0.57894736842105265</v>
      </c>
      <c r="Q573" s="252">
        <f t="shared" ref="Q573" si="998">IF(Q567=0,0,(Q572/Q567))</f>
        <v>0</v>
      </c>
      <c r="R573" s="253"/>
      <c r="S573" s="219">
        <f>IF(S567=0,0,(S572/S567))</f>
        <v>-0.57894736842105265</v>
      </c>
      <c r="T573" s="220"/>
      <c r="U573" s="219">
        <f t="shared" ref="U573" si="999">IF(U567=0,0,(U572/U567))</f>
        <v>-0.57894736842105265</v>
      </c>
      <c r="V573" s="252">
        <f t="shared" ref="V573" si="1000">IF(V567=0,0,(V572/V567))</f>
        <v>0</v>
      </c>
      <c r="W573" s="253"/>
      <c r="X573" s="219">
        <f>IF(X567=0,0,(X572/X567))</f>
        <v>0</v>
      </c>
      <c r="Y573" s="220"/>
      <c r="Z573" s="219">
        <f t="shared" ref="Z573" si="1001">IF(Z567=0,0,(Z572/Z567))</f>
        <v>0</v>
      </c>
      <c r="AA573" s="252">
        <f t="shared" ref="AA573" si="1002">IF(AA567=0,0,(AA572/AA567))</f>
        <v>0</v>
      </c>
      <c r="AB573" s="267"/>
      <c r="AC573" s="210"/>
      <c r="AD573" s="210"/>
      <c r="AE573" s="210"/>
      <c r="AF573" s="210"/>
      <c r="AG573" s="210"/>
      <c r="AH573" s="210"/>
      <c r="AI573" s="210"/>
      <c r="AJ573" s="210"/>
      <c r="AK573" s="210"/>
      <c r="AL573" s="210"/>
      <c r="AM573" s="210"/>
      <c r="AN573" s="210"/>
      <c r="AO573" s="210"/>
      <c r="AP573" s="210"/>
    </row>
    <row r="574" spans="1:42" s="5" customFormat="1">
      <c r="A574" s="1"/>
      <c r="B574" s="1"/>
      <c r="C574" s="1"/>
      <c r="D574" s="227"/>
      <c r="E574" s="227" t="s">
        <v>298</v>
      </c>
      <c r="F574" s="227" t="str">
        <f t="shared" si="914"/>
        <v>АвтоКомп</v>
      </c>
      <c r="G574" s="227" t="s">
        <v>219</v>
      </c>
      <c r="H574" s="347"/>
      <c r="I574" s="348">
        <f>I568-I570</f>
        <v>161</v>
      </c>
      <c r="J574" s="321"/>
      <c r="K574" s="348">
        <f t="shared" ref="K574:L574" si="1003">K568-K570</f>
        <v>161</v>
      </c>
      <c r="L574" s="349">
        <f t="shared" si="1003"/>
        <v>0</v>
      </c>
      <c r="M574" s="281"/>
      <c r="N574" s="228">
        <f>N568-N570</f>
        <v>152.5</v>
      </c>
      <c r="O574" s="173"/>
      <c r="P574" s="228">
        <f t="shared" ref="P574:Q574" si="1004">P568-P570</f>
        <v>152.5</v>
      </c>
      <c r="Q574" s="254">
        <f t="shared" si="1004"/>
        <v>0</v>
      </c>
      <c r="R574" s="255"/>
      <c r="S574" s="228">
        <f>S568-S570</f>
        <v>178</v>
      </c>
      <c r="T574" s="173"/>
      <c r="U574" s="228">
        <f t="shared" ref="U574:V574" si="1005">U568-U570</f>
        <v>178</v>
      </c>
      <c r="V574" s="254">
        <f t="shared" si="1005"/>
        <v>0</v>
      </c>
      <c r="W574" s="255"/>
      <c r="X574" s="228">
        <f>X568-X570</f>
        <v>0</v>
      </c>
      <c r="Y574" s="173"/>
      <c r="Z574" s="228">
        <f t="shared" ref="Z574:AA574" si="1006">Z568-Z570</f>
        <v>0</v>
      </c>
      <c r="AA574" s="254">
        <f t="shared" si="1006"/>
        <v>0</v>
      </c>
      <c r="AB574" s="266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s="5" customFormat="1">
      <c r="A575" s="1"/>
      <c r="B575" s="1"/>
      <c r="C575" s="1"/>
      <c r="D575" s="227"/>
      <c r="E575" s="227" t="s">
        <v>300</v>
      </c>
      <c r="F575" s="227" t="str">
        <f t="shared" si="914"/>
        <v>АвтоКомп</v>
      </c>
      <c r="G575" s="227" t="s">
        <v>219</v>
      </c>
      <c r="H575" s="347"/>
      <c r="I575" s="348">
        <f>I571-I570</f>
        <v>26.666666666664241</v>
      </c>
      <c r="J575" s="321"/>
      <c r="K575" s="348">
        <f t="shared" ref="K575:L575" si="1007">K571-K570</f>
        <v>26.666666666664241</v>
      </c>
      <c r="L575" s="349">
        <f t="shared" si="1007"/>
        <v>0</v>
      </c>
      <c r="M575" s="281"/>
      <c r="N575" s="228">
        <f>N571-N570</f>
        <v>25</v>
      </c>
      <c r="O575" s="173"/>
      <c r="P575" s="228">
        <f t="shared" ref="P575:Q575" si="1008">P571-P570</f>
        <v>25</v>
      </c>
      <c r="Q575" s="254">
        <f t="shared" si="1008"/>
        <v>0</v>
      </c>
      <c r="R575" s="255"/>
      <c r="S575" s="228">
        <f>S571-S570</f>
        <v>30</v>
      </c>
      <c r="T575" s="173"/>
      <c r="U575" s="228">
        <f t="shared" ref="U575:V575" si="1009">U571-U570</f>
        <v>30</v>
      </c>
      <c r="V575" s="254">
        <f t="shared" si="1009"/>
        <v>0</v>
      </c>
      <c r="W575" s="255"/>
      <c r="X575" s="228">
        <f>X571-X570</f>
        <v>0</v>
      </c>
      <c r="Y575" s="173"/>
      <c r="Z575" s="228">
        <f t="shared" ref="Z575:AA575" si="1010">Z571-Z570</f>
        <v>0</v>
      </c>
      <c r="AA575" s="254">
        <f t="shared" si="1010"/>
        <v>0</v>
      </c>
      <c r="AB575" s="266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s="93" customFormat="1" ht="15">
      <c r="A576" s="92"/>
      <c r="B576" s="92"/>
      <c r="C576" s="92"/>
      <c r="D576" s="221"/>
      <c r="E576" s="221" t="s">
        <v>301</v>
      </c>
      <c r="F576" s="221" t="str">
        <f t="shared" si="914"/>
        <v>АвтоКомп</v>
      </c>
      <c r="G576" s="221" t="s">
        <v>219</v>
      </c>
      <c r="H576" s="357"/>
      <c r="I576" s="358">
        <f>I574-I575</f>
        <v>134.33333333333576</v>
      </c>
      <c r="J576" s="352"/>
      <c r="K576" s="358">
        <f t="shared" ref="K576" si="1011">K574-K575</f>
        <v>134.33333333333576</v>
      </c>
      <c r="L576" s="359">
        <f t="shared" ref="L576" si="1012">L574-L575</f>
        <v>0</v>
      </c>
      <c r="M576" s="284"/>
      <c r="N576" s="222">
        <f>N574-N575</f>
        <v>127.5</v>
      </c>
      <c r="O576" s="181"/>
      <c r="P576" s="222">
        <f t="shared" ref="P576" si="1013">P574-P575</f>
        <v>127.5</v>
      </c>
      <c r="Q576" s="260">
        <f t="shared" ref="Q576" si="1014">Q574-Q575</f>
        <v>0</v>
      </c>
      <c r="R576" s="261"/>
      <c r="S576" s="222">
        <f>S574-S575</f>
        <v>148</v>
      </c>
      <c r="T576" s="181"/>
      <c r="U576" s="222">
        <f t="shared" ref="U576" si="1015">U574-U575</f>
        <v>148</v>
      </c>
      <c r="V576" s="260">
        <f t="shared" ref="V576" si="1016">V574-V575</f>
        <v>0</v>
      </c>
      <c r="W576" s="261"/>
      <c r="X576" s="222">
        <f>X574-X575</f>
        <v>0</v>
      </c>
      <c r="Y576" s="181"/>
      <c r="Z576" s="222">
        <f t="shared" ref="Z576" si="1017">Z574-Z575</f>
        <v>0</v>
      </c>
      <c r="AA576" s="260">
        <f t="shared" ref="AA576" si="1018">AA574-AA575</f>
        <v>0</v>
      </c>
      <c r="AB576" s="264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</row>
    <row r="577" spans="1:42" s="5" customFormat="1">
      <c r="A577" s="1"/>
      <c r="B577" s="1"/>
      <c r="C577" s="1"/>
      <c r="D577" s="223"/>
      <c r="E577" s="223" t="s">
        <v>302</v>
      </c>
      <c r="F577" s="223" t="str">
        <f t="shared" si="914"/>
        <v>АвтоКомп</v>
      </c>
      <c r="G577" s="223" t="s">
        <v>261</v>
      </c>
      <c r="H577" s="354"/>
      <c r="I577" s="355">
        <f>SUMIFS(операции!$Z:$Z,операции!$X:$X,"&gt;="&amp;I$8,операции!$X:$X,"&lt;="&amp;I$9,операции!$AB:$AB,"",операции!$O:$O,$F534)</f>
        <v>0</v>
      </c>
      <c r="J577" s="341">
        <f>I577-K577-L577</f>
        <v>0</v>
      </c>
      <c r="K577" s="355">
        <f>SUMIFS(операции!$Z:$Z,операции!$X:$X,"&gt;="&amp;I$8,операции!$X:$X,"&lt;="&amp;I$9,операции!$AB:$AB,"",операции!$L:$L,K$9,операции!$O:$O,$F534)</f>
        <v>0</v>
      </c>
      <c r="L577" s="356">
        <f>SUMIFS(операции!$Z:$Z,операции!$X:$X,"&gt;="&amp;I$8,операции!$X:$X,"&lt;="&amp;I$9,операции!$AB:$AB,"",операции!$L:$L,L$9,операции!$O:$O,$F534)</f>
        <v>0</v>
      </c>
      <c r="M577" s="283"/>
      <c r="N577" s="224">
        <f>SUMIFS(операции!$Z:$Z,операции!$X:$X,"&gt;="&amp;N$8,операции!$X:$X,"&lt;="&amp;N$9,операции!$AB:$AB,"",операции!$O:$O,$F534)</f>
        <v>0</v>
      </c>
      <c r="O577" s="216">
        <f>N577-P577-Q577</f>
        <v>0</v>
      </c>
      <c r="P577" s="224">
        <f>SUMIFS(операции!$Z:$Z,операции!$X:$X,"&gt;="&amp;N$8,операции!$X:$X,"&lt;="&amp;N$9,операции!$AB:$AB,"",операции!$L:$L,P$9,операции!$O:$O,$F534)</f>
        <v>0</v>
      </c>
      <c r="Q577" s="258">
        <f>SUMIFS(операции!$Z:$Z,операции!$X:$X,"&gt;="&amp;N$8,операции!$X:$X,"&lt;="&amp;N$9,операции!$AB:$AB,"",операции!$L:$L,Q$9,операции!$O:$O,$F534)</f>
        <v>0</v>
      </c>
      <c r="R577" s="259"/>
      <c r="S577" s="224">
        <f>SUMIFS(операции!$Z:$Z,операции!$X:$X,"&gt;="&amp;S$8,операции!$X:$X,"&lt;="&amp;S$9,операции!$AB:$AB,"",операции!$O:$O,$F534)</f>
        <v>0</v>
      </c>
      <c r="T577" s="216">
        <f>S577-U577-V577</f>
        <v>0</v>
      </c>
      <c r="U577" s="224">
        <f>SUMIFS(операции!$Z:$Z,операции!$X:$X,"&gt;="&amp;S$8,операции!$X:$X,"&lt;="&amp;S$9,операции!$AB:$AB,"",операции!$L:$L,U$9,операции!$O:$O,$F534)</f>
        <v>0</v>
      </c>
      <c r="V577" s="258">
        <f>SUMIFS(операции!$Z:$Z,операции!$X:$X,"&gt;="&amp;S$8,операции!$X:$X,"&lt;="&amp;S$9,операции!$AB:$AB,"",операции!$L:$L,V$9,операции!$O:$O,$F534)</f>
        <v>0</v>
      </c>
      <c r="W577" s="259"/>
      <c r="X577" s="224">
        <f>SUMIFS(операции!$Z:$Z,операции!$X:$X,"&gt;="&amp;X$8,операции!$X:$X,"&lt;="&amp;X$9,операции!$AB:$AB,"",операции!$O:$O,$F534)</f>
        <v>0</v>
      </c>
      <c r="Y577" s="216">
        <f>X577-Z577-AA577</f>
        <v>0</v>
      </c>
      <c r="Z577" s="224">
        <f>SUMIFS(операции!$Z:$Z,операции!$X:$X,"&gt;="&amp;X$8,операции!$X:$X,"&lt;="&amp;X$9,операции!$AB:$AB,"",операции!$L:$L,Z$9,операции!$O:$O,$F534)</f>
        <v>0</v>
      </c>
      <c r="AA577" s="258">
        <f>SUMIFS(операции!$Z:$Z,операции!$X:$X,"&gt;="&amp;X$8,операции!$X:$X,"&lt;="&amp;X$9,операции!$AB:$AB,"",операции!$L:$L,AA$9,операции!$O:$O,$F534)</f>
        <v>0</v>
      </c>
      <c r="AB577" s="266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s="192" customFormat="1" ht="11.25">
      <c r="A578" s="37"/>
      <c r="B578" s="37"/>
      <c r="C578" s="37"/>
      <c r="D578" s="191"/>
      <c r="E578" s="191" t="s">
        <v>303</v>
      </c>
      <c r="F578" s="191" t="str">
        <f t="shared" si="914"/>
        <v>АвтоКомп</v>
      </c>
      <c r="G578" s="191" t="s">
        <v>262</v>
      </c>
      <c r="H578" s="315"/>
      <c r="I578" s="316">
        <f>IF(I577=0,0,SUMIFS(операции!$AG:$AG,операции!$X:$X,"&gt;="&amp;I$8,операции!$X:$X,"&lt;="&amp;I$9,операции!$AB:$AB,"",операции!$O:$O,$F534)/I577)</f>
        <v>0</v>
      </c>
      <c r="J578" s="317"/>
      <c r="K578" s="316">
        <f>IF(K577=0,0,SUMIFS(операции!$AG:$AG,операции!$X:$X,"&gt;="&amp;I$8,операции!$X:$X,"&lt;="&amp;I$9,операции!$AB:$AB,"",операции!$L:$L,K$9,операции!$O:$O,$F534)/K577)</f>
        <v>0</v>
      </c>
      <c r="L578" s="318">
        <f>IF(L577=0,0,SUMIFS(операции!$AG:$AG,операции!$X:$X,"&gt;="&amp;I$8,операции!$X:$X,"&lt;="&amp;I$9,операции!$AB:$AB,"",операции!$L:$L,L$9,операции!$O:$O,$F534)/L577)</f>
        <v>0</v>
      </c>
      <c r="M578" s="274"/>
      <c r="N578" s="193">
        <f>IF(N577=0,0,SUMIFS(операции!$AG:$AG,операции!$X:$X,"&gt;="&amp;N$8,операции!$X:$X,"&lt;="&amp;N$9,операции!$AB:$AB,"",операции!$O:$O,$F534)/N577)</f>
        <v>0</v>
      </c>
      <c r="O578" s="196"/>
      <c r="P578" s="193">
        <f>IF(P577=0,0,SUMIFS(операции!$AG:$AG,операции!$X:$X,"&gt;="&amp;N$8,операции!$X:$X,"&lt;="&amp;N$9,операции!$AB:$AB,"",операции!$L:$L,P$9,операции!$O:$O,$F534)/P577)</f>
        <v>0</v>
      </c>
      <c r="Q578" s="237">
        <f>IF(Q577=0,0,SUMIFS(операции!$AG:$AG,операции!$X:$X,"&gt;="&amp;N$8,операции!$X:$X,"&lt;="&amp;N$9,операции!$AB:$AB,"",операции!$L:$L,Q$9,операции!$O:$O,$F534)/Q577)</f>
        <v>0</v>
      </c>
      <c r="R578" s="238"/>
      <c r="S578" s="193">
        <f>IF(S577=0,0,SUMIFS(операции!$AG:$AG,операции!$X:$X,"&gt;="&amp;S$8,операции!$X:$X,"&lt;="&amp;S$9,операции!$AB:$AB,"",операции!$O:$O,$F534)/S577)</f>
        <v>0</v>
      </c>
      <c r="T578" s="196"/>
      <c r="U578" s="193">
        <f>IF(U577=0,0,SUMIFS(операции!$AG:$AG,операции!$X:$X,"&gt;="&amp;S$8,операции!$X:$X,"&lt;="&amp;S$9,операции!$AB:$AB,"",операции!$L:$L,U$9,операции!$O:$O,$F534)/U577)</f>
        <v>0</v>
      </c>
      <c r="V578" s="237">
        <f>IF(V577=0,0,SUMIFS(операции!$AG:$AG,операции!$X:$X,"&gt;="&amp;S$8,операции!$X:$X,"&lt;="&amp;S$9,операции!$AB:$AB,"",операции!$L:$L,V$9,операции!$O:$O,$F534)/V577)</f>
        <v>0</v>
      </c>
      <c r="W578" s="238"/>
      <c r="X578" s="193">
        <f>IF(X577=0,0,SUMIFS(операции!$AG:$AG,операции!$X:$X,"&gt;="&amp;X$8,операции!$X:$X,"&lt;="&amp;X$9,операции!$AB:$AB,"",операции!$O:$O,$F534)/X577)</f>
        <v>0</v>
      </c>
      <c r="Y578" s="196"/>
      <c r="Z578" s="193">
        <f>IF(Z577=0,0,SUMIFS(операции!$AG:$AG,операции!$X:$X,"&gt;="&amp;X$8,операции!$X:$X,"&lt;="&amp;X$9,операции!$AB:$AB,"",операции!$L:$L,Z$9,операции!$O:$O,$F534)/Z577)</f>
        <v>0</v>
      </c>
      <c r="AA578" s="237">
        <f>IF(AA577=0,0,SUMIFS(операции!$AG:$AG,операции!$X:$X,"&gt;="&amp;X$8,операции!$X:$X,"&lt;="&amp;X$9,операции!$AB:$AB,"",операции!$L:$L,AA$9,операции!$O:$O,$F534)/AA577)</f>
        <v>0</v>
      </c>
      <c r="AB578" s="265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</row>
    <row r="579" spans="1:42" s="5" customFormat="1">
      <c r="A579" s="1"/>
      <c r="B579" s="1"/>
      <c r="C579" s="1"/>
      <c r="D579" s="168"/>
      <c r="E579" s="168" t="s">
        <v>304</v>
      </c>
      <c r="F579" s="168" t="str">
        <f t="shared" si="914"/>
        <v>АвтоКомп</v>
      </c>
      <c r="G579" s="168" t="s">
        <v>261</v>
      </c>
      <c r="H579" s="326"/>
      <c r="I579" s="327">
        <f>SUMIFS(операции!$V:$V,операции!$X:$X,"&gt;="&amp;I$8,операции!$X:$X,"&lt;="&amp;I$9,операции!$AB:$AB,"",операции!$O:$O,$F534)</f>
        <v>0</v>
      </c>
      <c r="J579" s="313">
        <f>I579-K579-L579</f>
        <v>0</v>
      </c>
      <c r="K579" s="327">
        <f>SUMIFS(операции!$V:$V,операции!$X:$X,"&gt;="&amp;I$8,операции!$X:$X,"&lt;="&amp;I$9,операции!$AB:$AB,"",операции!$L:$L,K$9,операции!$O:$O,$F534)</f>
        <v>0</v>
      </c>
      <c r="L579" s="328">
        <f>SUMIFS(операции!$V:$V,операции!$X:$X,"&gt;="&amp;I$8,операции!$X:$X,"&lt;="&amp;I$9,операции!$AB:$AB,"",операции!$L:$L,L$9,операции!$O:$O,$F534)</f>
        <v>0</v>
      </c>
      <c r="M579" s="277"/>
      <c r="N579" s="169">
        <f>SUMIFS(операции!$V:$V,операции!$X:$X,"&gt;="&amp;N$8,операции!$X:$X,"&lt;="&amp;N$9,операции!$AB:$AB,"",операции!$O:$O,$F534)</f>
        <v>0</v>
      </c>
      <c r="O579" s="170">
        <f>N579-P579-Q579</f>
        <v>0</v>
      </c>
      <c r="P579" s="169">
        <f>SUMIFS(операции!$V:$V,операции!$X:$X,"&gt;="&amp;N$8,операции!$X:$X,"&lt;="&amp;N$9,операции!$AB:$AB,"",операции!$L:$L,P$9,операции!$O:$O,$F534)</f>
        <v>0</v>
      </c>
      <c r="Q579" s="243">
        <f>SUMIFS(операции!$V:$V,операции!$X:$X,"&gt;="&amp;N$8,операции!$X:$X,"&lt;="&amp;N$9,операции!$AB:$AB,"",операции!$L:$L,Q$9,операции!$O:$O,$F534)</f>
        <v>0</v>
      </c>
      <c r="R579" s="244"/>
      <c r="S579" s="169">
        <f>SUMIFS(операции!$V:$V,операции!$X:$X,"&gt;="&amp;S$8,операции!$X:$X,"&lt;="&amp;S$9,операции!$AB:$AB,"",операции!$O:$O,$F534)</f>
        <v>0</v>
      </c>
      <c r="T579" s="170">
        <f>S579-U579-V579</f>
        <v>0</v>
      </c>
      <c r="U579" s="169">
        <f>SUMIFS(операции!$V:$V,операции!$X:$X,"&gt;="&amp;S$8,операции!$X:$X,"&lt;="&amp;S$9,операции!$AB:$AB,"",операции!$L:$L,U$9,операции!$O:$O,$F534)</f>
        <v>0</v>
      </c>
      <c r="V579" s="243">
        <f>SUMIFS(операции!$V:$V,операции!$X:$X,"&gt;="&amp;S$8,операции!$X:$X,"&lt;="&amp;S$9,операции!$AB:$AB,"",операции!$L:$L,V$9,операции!$O:$O,$F534)</f>
        <v>0</v>
      </c>
      <c r="W579" s="244"/>
      <c r="X579" s="169">
        <f>SUMIFS(операции!$V:$V,операции!$X:$X,"&gt;="&amp;X$8,операции!$X:$X,"&lt;="&amp;X$9,операции!$AB:$AB,"",операции!$O:$O,$F534)</f>
        <v>0</v>
      </c>
      <c r="Y579" s="170">
        <f>X579-Z579-AA579</f>
        <v>0</v>
      </c>
      <c r="Z579" s="169">
        <f>SUMIFS(операции!$V:$V,операции!$X:$X,"&gt;="&amp;X$8,операции!$X:$X,"&lt;="&amp;X$9,операции!$AB:$AB,"",операции!$L:$L,Z$9,операции!$O:$O,$F534)</f>
        <v>0</v>
      </c>
      <c r="AA579" s="243">
        <f>SUMIFS(операции!$V:$V,операции!$X:$X,"&gt;="&amp;X$8,операции!$X:$X,"&lt;="&amp;X$9,операции!$AB:$AB,"",операции!$L:$L,AA$9,операции!$O:$O,$F534)</f>
        <v>0</v>
      </c>
      <c r="AB579" s="266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s="192" customFormat="1" ht="11.25">
      <c r="A580" s="37"/>
      <c r="B580" s="37"/>
      <c r="C580" s="37"/>
      <c r="D580" s="191"/>
      <c r="E580" s="191" t="s">
        <v>305</v>
      </c>
      <c r="F580" s="191" t="str">
        <f t="shared" si="914"/>
        <v>АвтоКомп</v>
      </c>
      <c r="G580" s="191" t="s">
        <v>262</v>
      </c>
      <c r="H580" s="315"/>
      <c r="I580" s="316">
        <f>IF(I579=0,0,SUMIFS(операции!$AF:$AF,операции!$X:$X,"&gt;="&amp;I$8,операции!$X:$X,"&lt;="&amp;I$9,операции!$AB:$AB,"",операции!$O:$O,$F534)/I579)</f>
        <v>0</v>
      </c>
      <c r="J580" s="317"/>
      <c r="K580" s="316">
        <f>IF(K579=0,0,SUMIFS(операции!$AF:$AF,операции!$X:$X,"&gt;="&amp;I$8,операции!$X:$X,"&lt;="&amp;I$9,операции!$AB:$AB,"",операции!$L:$L,K$9,операции!$O:$O,$F534)/K579)</f>
        <v>0</v>
      </c>
      <c r="L580" s="318">
        <f>IF(L579=0,0,SUMIFS(операции!$AF:$AF,операции!$X:$X,"&gt;="&amp;I$8,операции!$X:$X,"&lt;="&amp;I$9,операции!$AB:$AB,"",операции!$L:$L,L$9,операции!$O:$O,$F534)/L579)</f>
        <v>0</v>
      </c>
      <c r="M580" s="274"/>
      <c r="N580" s="193">
        <f>IF(N579=0,0,SUMIFS(операции!$AF:$AF,операции!$X:$X,"&gt;="&amp;N$8,операции!$X:$X,"&lt;="&amp;N$9,операции!$AB:$AB,"",операции!$O:$O,$F534)/N579)</f>
        <v>0</v>
      </c>
      <c r="O580" s="196"/>
      <c r="P580" s="193">
        <f>IF(P579=0,0,SUMIFS(операции!$AF:$AF,операции!$X:$X,"&gt;="&amp;N$8,операции!$X:$X,"&lt;="&amp;N$9,операции!$AB:$AB,"",операции!$L:$L,P$9,операции!$O:$O,$F534)/P579)</f>
        <v>0</v>
      </c>
      <c r="Q580" s="237">
        <f>IF(Q579=0,0,SUMIFS(операции!$AF:$AF,операции!$X:$X,"&gt;="&amp;N$8,операции!$X:$X,"&lt;="&amp;N$9,операции!$AB:$AB,"",операции!$L:$L,Q$9,операции!$O:$O,$F534)/Q579)</f>
        <v>0</v>
      </c>
      <c r="R580" s="238"/>
      <c r="S580" s="193">
        <f>IF(S579=0,0,SUMIFS(операции!$AF:$AF,операции!$X:$X,"&gt;="&amp;S$8,операции!$X:$X,"&lt;="&amp;S$9,операции!$AB:$AB,"",операции!$O:$O,$F534)/S579)</f>
        <v>0</v>
      </c>
      <c r="T580" s="196"/>
      <c r="U580" s="193">
        <f>IF(U579=0,0,SUMIFS(операции!$AF:$AF,операции!$X:$X,"&gt;="&amp;S$8,операции!$X:$X,"&lt;="&amp;S$9,операции!$AB:$AB,"",операции!$L:$L,U$9,операции!$O:$O,$F534)/U579)</f>
        <v>0</v>
      </c>
      <c r="V580" s="237">
        <f>IF(V579=0,0,SUMIFS(операции!$AF:$AF,операции!$X:$X,"&gt;="&amp;S$8,операции!$X:$X,"&lt;="&amp;S$9,операции!$AB:$AB,"",операции!$L:$L,V$9,операции!$O:$O,$F534)/V579)</f>
        <v>0</v>
      </c>
      <c r="W580" s="238"/>
      <c r="X580" s="193">
        <f>IF(X579=0,0,SUMIFS(операции!$AF:$AF,операции!$X:$X,"&gt;="&amp;X$8,операции!$X:$X,"&lt;="&amp;X$9,операции!$AB:$AB,"",операции!$O:$O,$F534)/X579)</f>
        <v>0</v>
      </c>
      <c r="Y580" s="196"/>
      <c r="Z580" s="193">
        <f>IF(Z579=0,0,SUMIFS(операции!$AF:$AF,операции!$X:$X,"&gt;="&amp;X$8,операции!$X:$X,"&lt;="&amp;X$9,операции!$AB:$AB,"",операции!$L:$L,Z$9,операции!$O:$O,$F534)/Z579)</f>
        <v>0</v>
      </c>
      <c r="AA580" s="237">
        <f>IF(AA579=0,0,SUMIFS(операции!$AF:$AF,операции!$X:$X,"&gt;="&amp;X$8,операции!$X:$X,"&lt;="&amp;X$9,операции!$AB:$AB,"",операции!$L:$L,AA$9,операции!$O:$O,$F534)/AA579)</f>
        <v>0</v>
      </c>
      <c r="AB580" s="265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</row>
    <row r="581" spans="1:42" s="192" customFormat="1" ht="11.25">
      <c r="A581" s="37"/>
      <c r="B581" s="37"/>
      <c r="C581" s="37"/>
      <c r="D581" s="191"/>
      <c r="E581" s="191" t="s">
        <v>307</v>
      </c>
      <c r="F581" s="191" t="str">
        <f t="shared" si="914"/>
        <v>АвтоКомп</v>
      </c>
      <c r="G581" s="191" t="s">
        <v>262</v>
      </c>
      <c r="H581" s="315"/>
      <c r="I581" s="316">
        <f>I$9</f>
        <v>42369</v>
      </c>
      <c r="J581" s="317"/>
      <c r="K581" s="316">
        <f>I$9</f>
        <v>42369</v>
      </c>
      <c r="L581" s="318">
        <f>I$9</f>
        <v>42369</v>
      </c>
      <c r="M581" s="274"/>
      <c r="N581" s="193">
        <f>N$9</f>
        <v>42308</v>
      </c>
      <c r="O581" s="196"/>
      <c r="P581" s="193">
        <f>N$9</f>
        <v>42308</v>
      </c>
      <c r="Q581" s="237">
        <f>N$9</f>
        <v>42308</v>
      </c>
      <c r="R581" s="238"/>
      <c r="S581" s="193">
        <f>S$9</f>
        <v>42338</v>
      </c>
      <c r="T581" s="196"/>
      <c r="U581" s="193">
        <f>S$9</f>
        <v>42338</v>
      </c>
      <c r="V581" s="237">
        <f>S$9</f>
        <v>42338</v>
      </c>
      <c r="W581" s="238"/>
      <c r="X581" s="193">
        <f>X$9</f>
        <v>42369</v>
      </c>
      <c r="Y581" s="196"/>
      <c r="Z581" s="193">
        <f>X$9</f>
        <v>42369</v>
      </c>
      <c r="AA581" s="237">
        <f>X$9</f>
        <v>42369</v>
      </c>
      <c r="AB581" s="265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</row>
    <row r="582" spans="1:42" s="5" customFormat="1">
      <c r="A582" s="1"/>
      <c r="B582" s="1"/>
      <c r="C582" s="1"/>
      <c r="D582" s="168"/>
      <c r="E582" s="168" t="s">
        <v>380</v>
      </c>
      <c r="F582" s="168" t="str">
        <f t="shared" si="914"/>
        <v>АвтоКомп</v>
      </c>
      <c r="G582" s="168" t="s">
        <v>261</v>
      </c>
      <c r="H582" s="326"/>
      <c r="I582" s="327">
        <f>I577-I579</f>
        <v>0</v>
      </c>
      <c r="J582" s="313">
        <f>I582-K582-L582</f>
        <v>0</v>
      </c>
      <c r="K582" s="327">
        <f t="shared" ref="K582:L582" si="1019">K577-K579</f>
        <v>0</v>
      </c>
      <c r="L582" s="328">
        <f t="shared" si="1019"/>
        <v>0</v>
      </c>
      <c r="M582" s="277"/>
      <c r="N582" s="169">
        <f>N577-N579</f>
        <v>0</v>
      </c>
      <c r="O582" s="170">
        <f>N582-P582-Q582</f>
        <v>0</v>
      </c>
      <c r="P582" s="169">
        <f t="shared" ref="P582:Q582" si="1020">P577-P579</f>
        <v>0</v>
      </c>
      <c r="Q582" s="243">
        <f t="shared" si="1020"/>
        <v>0</v>
      </c>
      <c r="R582" s="244"/>
      <c r="S582" s="169">
        <f>S577-S579</f>
        <v>0</v>
      </c>
      <c r="T582" s="170">
        <f>S582-U582-V582</f>
        <v>0</v>
      </c>
      <c r="U582" s="169">
        <f t="shared" ref="U582:V582" si="1021">U577-U579</f>
        <v>0</v>
      </c>
      <c r="V582" s="243">
        <f t="shared" si="1021"/>
        <v>0</v>
      </c>
      <c r="W582" s="244"/>
      <c r="X582" s="169">
        <f>X577-X579</f>
        <v>0</v>
      </c>
      <c r="Y582" s="170">
        <f>X582-Z582-AA582</f>
        <v>0</v>
      </c>
      <c r="Z582" s="169">
        <f t="shared" ref="Z582:AA582" si="1022">Z577-Z579</f>
        <v>0</v>
      </c>
      <c r="AA582" s="243">
        <f t="shared" si="1022"/>
        <v>0</v>
      </c>
      <c r="AB582" s="266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s="211" customFormat="1">
      <c r="A583" s="210"/>
      <c r="B583" s="210"/>
      <c r="C583" s="210"/>
      <c r="D583" s="218"/>
      <c r="E583" s="218" t="s">
        <v>381</v>
      </c>
      <c r="F583" s="218" t="str">
        <f t="shared" si="914"/>
        <v>АвтоКомп</v>
      </c>
      <c r="G583" s="218" t="s">
        <v>218</v>
      </c>
      <c r="H583" s="343"/>
      <c r="I583" s="344">
        <f>IF(I577=0,0,(I582/I577))</f>
        <v>0</v>
      </c>
      <c r="J583" s="345"/>
      <c r="K583" s="344">
        <f t="shared" ref="K583" si="1023">IF(K577=0,0,(K582/K577))</f>
        <v>0</v>
      </c>
      <c r="L583" s="346">
        <f t="shared" ref="L583" si="1024">IF(L577=0,0,(L582/L577))</f>
        <v>0</v>
      </c>
      <c r="M583" s="280"/>
      <c r="N583" s="219">
        <f>IF(N577=0,0,(N582/N577))</f>
        <v>0</v>
      </c>
      <c r="O583" s="220"/>
      <c r="P583" s="219">
        <f t="shared" ref="P583" si="1025">IF(P577=0,0,(P582/P577))</f>
        <v>0</v>
      </c>
      <c r="Q583" s="252">
        <f t="shared" ref="Q583" si="1026">IF(Q577=0,0,(Q582/Q577))</f>
        <v>0</v>
      </c>
      <c r="R583" s="253"/>
      <c r="S583" s="219">
        <f>IF(S577=0,0,(S582/S577))</f>
        <v>0</v>
      </c>
      <c r="T583" s="220"/>
      <c r="U583" s="219">
        <f t="shared" ref="U583" si="1027">IF(U577=0,0,(U582/U577))</f>
        <v>0</v>
      </c>
      <c r="V583" s="252">
        <f t="shared" ref="V583" si="1028">IF(V577=0,0,(V582/V577))</f>
        <v>0</v>
      </c>
      <c r="W583" s="253"/>
      <c r="X583" s="219">
        <f>IF(X577=0,0,(X582/X577))</f>
        <v>0</v>
      </c>
      <c r="Y583" s="220"/>
      <c r="Z583" s="219">
        <f t="shared" ref="Z583" si="1029">IF(Z577=0,0,(Z582/Z577))</f>
        <v>0</v>
      </c>
      <c r="AA583" s="252">
        <f t="shared" ref="AA583" si="1030">IF(AA577=0,0,(AA582/AA577))</f>
        <v>0</v>
      </c>
      <c r="AB583" s="267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</row>
    <row r="584" spans="1:42" s="5" customFormat="1">
      <c r="A584" s="1"/>
      <c r="B584" s="1"/>
      <c r="C584" s="1"/>
      <c r="D584" s="227"/>
      <c r="E584" s="227" t="s">
        <v>306</v>
      </c>
      <c r="F584" s="227" t="str">
        <f t="shared" si="914"/>
        <v>АвтоКомп</v>
      </c>
      <c r="G584" s="227" t="s">
        <v>219</v>
      </c>
      <c r="H584" s="347"/>
      <c r="I584" s="348">
        <f>I578-I580</f>
        <v>0</v>
      </c>
      <c r="J584" s="321"/>
      <c r="K584" s="348">
        <f t="shared" ref="K584:L584" si="1031">K578-K580</f>
        <v>0</v>
      </c>
      <c r="L584" s="349">
        <f t="shared" si="1031"/>
        <v>0</v>
      </c>
      <c r="M584" s="281"/>
      <c r="N584" s="228">
        <f>N578-N580</f>
        <v>0</v>
      </c>
      <c r="O584" s="173"/>
      <c r="P584" s="228">
        <f t="shared" ref="P584:Q584" si="1032">P578-P580</f>
        <v>0</v>
      </c>
      <c r="Q584" s="254">
        <f t="shared" si="1032"/>
        <v>0</v>
      </c>
      <c r="R584" s="255"/>
      <c r="S584" s="228">
        <f>S578-S580</f>
        <v>0</v>
      </c>
      <c r="T584" s="173"/>
      <c r="U584" s="228">
        <f t="shared" ref="U584:V584" si="1033">U578-U580</f>
        <v>0</v>
      </c>
      <c r="V584" s="254">
        <f t="shared" si="1033"/>
        <v>0</v>
      </c>
      <c r="W584" s="255"/>
      <c r="X584" s="228">
        <f>X578-X580</f>
        <v>0</v>
      </c>
      <c r="Y584" s="173"/>
      <c r="Z584" s="228">
        <f t="shared" ref="Z584:AA584" si="1034">Z578-Z580</f>
        <v>0</v>
      </c>
      <c r="AA584" s="254">
        <f t="shared" si="1034"/>
        <v>0</v>
      </c>
      <c r="AB584" s="266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s="5" customFormat="1">
      <c r="A585" s="1"/>
      <c r="B585" s="1"/>
      <c r="C585" s="1"/>
      <c r="D585" s="227"/>
      <c r="E585" s="227" t="s">
        <v>382</v>
      </c>
      <c r="F585" s="227" t="str">
        <f t="shared" si="914"/>
        <v>АвтоКомп</v>
      </c>
      <c r="G585" s="227" t="s">
        <v>219</v>
      </c>
      <c r="H585" s="347"/>
      <c r="I585" s="348">
        <f>I581-I580</f>
        <v>42369</v>
      </c>
      <c r="J585" s="321"/>
      <c r="K585" s="348">
        <f t="shared" ref="K585:L585" si="1035">K581-K580</f>
        <v>42369</v>
      </c>
      <c r="L585" s="349">
        <f t="shared" si="1035"/>
        <v>42369</v>
      </c>
      <c r="M585" s="281"/>
      <c r="N585" s="228">
        <f>N581-N580</f>
        <v>42308</v>
      </c>
      <c r="O585" s="173"/>
      <c r="P585" s="228">
        <f t="shared" ref="P585:Q585" si="1036">P581-P580</f>
        <v>42308</v>
      </c>
      <c r="Q585" s="254">
        <f t="shared" si="1036"/>
        <v>42308</v>
      </c>
      <c r="R585" s="255"/>
      <c r="S585" s="228">
        <f>S581-S580</f>
        <v>42338</v>
      </c>
      <c r="T585" s="173"/>
      <c r="U585" s="228">
        <f t="shared" ref="U585:V585" si="1037">U581-U580</f>
        <v>42338</v>
      </c>
      <c r="V585" s="254">
        <f t="shared" si="1037"/>
        <v>42338</v>
      </c>
      <c r="W585" s="255"/>
      <c r="X585" s="228">
        <f>X581-X580</f>
        <v>42369</v>
      </c>
      <c r="Y585" s="173"/>
      <c r="Z585" s="228">
        <f t="shared" ref="Z585:AA585" si="1038">Z581-Z580</f>
        <v>42369</v>
      </c>
      <c r="AA585" s="254">
        <f t="shared" si="1038"/>
        <v>42369</v>
      </c>
      <c r="AB585" s="266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s="5" customFormat="1">
      <c r="A586" s="1"/>
      <c r="B586" s="1"/>
      <c r="C586" s="1"/>
      <c r="D586" s="225"/>
      <c r="E586" s="225" t="s">
        <v>383</v>
      </c>
      <c r="F586" s="225" t="str">
        <f t="shared" si="914"/>
        <v>АвтоКомп</v>
      </c>
      <c r="G586" s="225" t="s">
        <v>219</v>
      </c>
      <c r="H586" s="350"/>
      <c r="I586" s="351">
        <f>I584-I585</f>
        <v>-42369</v>
      </c>
      <c r="J586" s="352"/>
      <c r="K586" s="351">
        <f t="shared" ref="K586" si="1039">K584-K585</f>
        <v>-42369</v>
      </c>
      <c r="L586" s="353">
        <f t="shared" ref="L586" si="1040">L584-L585</f>
        <v>-42369</v>
      </c>
      <c r="M586" s="282"/>
      <c r="N586" s="226">
        <f>N584-N585</f>
        <v>-42308</v>
      </c>
      <c r="O586" s="181"/>
      <c r="P586" s="226">
        <f t="shared" ref="P586" si="1041">P584-P585</f>
        <v>-42308</v>
      </c>
      <c r="Q586" s="256">
        <f t="shared" ref="Q586" si="1042">Q584-Q585</f>
        <v>-42308</v>
      </c>
      <c r="R586" s="257"/>
      <c r="S586" s="226">
        <f>S584-S585</f>
        <v>-42338</v>
      </c>
      <c r="T586" s="181"/>
      <c r="U586" s="226">
        <f t="shared" ref="U586" si="1043">U584-U585</f>
        <v>-42338</v>
      </c>
      <c r="V586" s="256">
        <f t="shared" ref="V586" si="1044">V584-V585</f>
        <v>-42338</v>
      </c>
      <c r="W586" s="257"/>
      <c r="X586" s="226">
        <f>X584-X585</f>
        <v>-42369</v>
      </c>
      <c r="Y586" s="181"/>
      <c r="Z586" s="226">
        <f t="shared" ref="Z586" si="1045">Z584-Z585</f>
        <v>-42369</v>
      </c>
      <c r="AA586" s="256">
        <f t="shared" ref="AA586" si="1046">AA584-AA585</f>
        <v>-42369</v>
      </c>
      <c r="AB586" s="266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s="5" customFormat="1">
      <c r="A587" s="1"/>
      <c r="B587" s="1"/>
      <c r="C587" s="1"/>
      <c r="D587" s="168" t="s">
        <v>312</v>
      </c>
      <c r="E587" s="168"/>
      <c r="F587" s="168" t="str">
        <f t="shared" si="914"/>
        <v>АвтоКомп</v>
      </c>
      <c r="G587" s="168" t="s">
        <v>261</v>
      </c>
      <c r="H587" s="326"/>
      <c r="I587" s="327">
        <f>SUMIFS(операции!$AC:$AC,операции!$AB:$AB,"&gt;="&amp;I$8,операции!$AB:$AB,"&lt;="&amp;I$9,операции!$O:$O,$F534)</f>
        <v>0</v>
      </c>
      <c r="J587" s="313">
        <f>I587-K587-L587</f>
        <v>0</v>
      </c>
      <c r="K587" s="327">
        <f>SUMIFS(операции!$AC:$AC,операции!$AB:$AB,"&gt;="&amp;I$8,операции!$AB:$AB,"&lt;="&amp;I$9,операции!$L:$L,K$9,операции!$O:$O,$F534)</f>
        <v>0</v>
      </c>
      <c r="L587" s="328">
        <f>SUMIFS(операции!$AC:$AC,операции!$AB:$AB,"&gt;="&amp;I$8,операции!$AB:$AB,"&lt;="&amp;I$9,операции!$L:$L,L$9,операции!$O:$O,$F534)</f>
        <v>0</v>
      </c>
      <c r="M587" s="277"/>
      <c r="N587" s="169">
        <f>SUMIFS(операции!$AC:$AC,операции!$AB:$AB,"&gt;="&amp;N$8,операции!$AB:$AB,"&lt;="&amp;N$9,операции!$O:$O,$F534)</f>
        <v>0</v>
      </c>
      <c r="O587" s="170">
        <f>N587-P587-Q587</f>
        <v>0</v>
      </c>
      <c r="P587" s="169">
        <f>SUMIFS(операции!$AC:$AC,операции!$AB:$AB,"&gt;="&amp;N$8,операции!$AB:$AB,"&lt;="&amp;N$9,операции!$L:$L,P$9,операции!$O:$O,$F534)</f>
        <v>0</v>
      </c>
      <c r="Q587" s="243">
        <f>SUMIFS(операции!$AC:$AC,операции!$AB:$AB,"&gt;="&amp;N$8,операции!$AB:$AB,"&lt;="&amp;N$9,операции!$L:$L,Q$9,операции!$O:$O,$F534)</f>
        <v>0</v>
      </c>
      <c r="R587" s="244"/>
      <c r="S587" s="169">
        <f>SUMIFS(операции!$AC:$AC,операции!$AB:$AB,"&gt;="&amp;S$8,операции!$AB:$AB,"&lt;="&amp;S$9,операции!$O:$O,$F534)</f>
        <v>0</v>
      </c>
      <c r="T587" s="170">
        <f>S587-U587-V587</f>
        <v>0</v>
      </c>
      <c r="U587" s="169">
        <f>SUMIFS(операции!$AC:$AC,операции!$AB:$AB,"&gt;="&amp;S$8,операции!$AB:$AB,"&lt;="&amp;S$9,операции!$L:$L,U$9,операции!$O:$O,$F534)</f>
        <v>0</v>
      </c>
      <c r="V587" s="243">
        <f>SUMIFS(операции!$AC:$AC,операции!$AB:$AB,"&gt;="&amp;S$8,операции!$AB:$AB,"&lt;="&amp;S$9,операции!$L:$L,V$9,операции!$O:$O,$F534)</f>
        <v>0</v>
      </c>
      <c r="W587" s="244"/>
      <c r="X587" s="169">
        <f>SUMIFS(операции!$AC:$AC,операции!$AB:$AB,"&gt;="&amp;X$8,операции!$AB:$AB,"&lt;="&amp;X$9,операции!$O:$O,$F534)</f>
        <v>0</v>
      </c>
      <c r="Y587" s="170">
        <f>X587-Z587-AA587</f>
        <v>0</v>
      </c>
      <c r="Z587" s="169">
        <f>SUMIFS(операции!$AC:$AC,операции!$AB:$AB,"&gt;="&amp;X$8,операции!$AB:$AB,"&lt;="&amp;X$9,операции!$L:$L,Z$9,операции!$O:$O,$F534)</f>
        <v>0</v>
      </c>
      <c r="AA587" s="243">
        <f>SUMIFS(операции!$AC:$AC,операции!$AB:$AB,"&gt;="&amp;X$8,операции!$AB:$AB,"&lt;="&amp;X$9,операции!$L:$L,AA$9,операции!$O:$O,$F534)</f>
        <v>0</v>
      </c>
      <c r="AB587" s="266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s="192" customFormat="1" ht="11.25">
      <c r="A588" s="37"/>
      <c r="B588" s="37"/>
      <c r="C588" s="37"/>
      <c r="D588" s="207" t="s">
        <v>255</v>
      </c>
      <c r="E588" s="207"/>
      <c r="F588" s="207" t="str">
        <f t="shared" si="914"/>
        <v>АвтоКомп</v>
      </c>
      <c r="G588" s="207" t="s">
        <v>262</v>
      </c>
      <c r="H588" s="331"/>
      <c r="I588" s="337">
        <f>IF(I587=0,0,SUMIFS(операции!$AH:$AH,операции!$AB:$AB,"&gt;="&amp;I$8,операции!$AB:$AB,"&lt;="&amp;I$9,операции!$O:$O,$F534)/I587)</f>
        <v>0</v>
      </c>
      <c r="J588" s="333"/>
      <c r="K588" s="337">
        <f>IF(K587=0,0,SUMIFS(операции!$AH:$AH,операции!$AB:$AB,"&gt;="&amp;I$8,операции!$AB:$AB,"&lt;="&amp;I$9,операции!$L:$L,K$9,операции!$O:$O,$F534)/K587)</f>
        <v>0</v>
      </c>
      <c r="L588" s="338">
        <f>IF(L587=0,0,SUMIFS(операции!$AH:$AH,операции!$AB:$AB,"&gt;="&amp;I$8,операции!$AB:$AB,"&lt;="&amp;I$9,операции!$L:$L,L$9,операции!$O:$O,$F534)/L587)</f>
        <v>0</v>
      </c>
      <c r="M588" s="278"/>
      <c r="N588" s="217">
        <f>IF(N587=0,0,SUMIFS(операции!$AH:$AH,операции!$AB:$AB,"&gt;="&amp;N$8,операции!$AB:$AB,"&lt;="&amp;N$9,операции!$O:$O,$F534)/N587)</f>
        <v>0</v>
      </c>
      <c r="O588" s="208"/>
      <c r="P588" s="217">
        <f>IF(P587=0,0,SUMIFS(операции!$AH:$AH,операции!$AB:$AB,"&gt;="&amp;N$8,операции!$AB:$AB,"&lt;="&amp;N$9,операции!$L:$L,P$9,операции!$O:$O,$F534)/P587)</f>
        <v>0</v>
      </c>
      <c r="Q588" s="249">
        <f>IF(Q587=0,0,SUMIFS(операции!$AH:$AH,операции!$AB:$AB,"&gt;="&amp;N$8,операции!$AB:$AB,"&lt;="&amp;N$9,операции!$L:$L,Q$9,операции!$O:$O,$F534)/Q587)</f>
        <v>0</v>
      </c>
      <c r="R588" s="247"/>
      <c r="S588" s="217">
        <f>IF(S587=0,0,SUMIFS(операции!$AH:$AH,операции!$AB:$AB,"&gt;="&amp;S$8,операции!$AB:$AB,"&lt;="&amp;S$9,операции!$O:$O,$F534)/S587)</f>
        <v>0</v>
      </c>
      <c r="T588" s="208"/>
      <c r="U588" s="217">
        <f>IF(U587=0,0,SUMIFS(операции!$AH:$AH,операции!$AB:$AB,"&gt;="&amp;S$8,операции!$AB:$AB,"&lt;="&amp;S$9,операции!$L:$L,U$9,операции!$O:$O,$F534)/U587)</f>
        <v>0</v>
      </c>
      <c r="V588" s="249">
        <f>IF(V587=0,0,SUMIFS(операции!$AH:$AH,операции!$AB:$AB,"&gt;="&amp;S$8,операции!$AB:$AB,"&lt;="&amp;S$9,операции!$L:$L,V$9,операции!$O:$O,$F534)/V587)</f>
        <v>0</v>
      </c>
      <c r="W588" s="247"/>
      <c r="X588" s="217">
        <f>IF(X587=0,0,SUMIFS(операции!$AH:$AH,операции!$AB:$AB,"&gt;="&amp;X$8,операции!$AB:$AB,"&lt;="&amp;X$9,операции!$O:$O,$F534)/X587)</f>
        <v>0</v>
      </c>
      <c r="Y588" s="208"/>
      <c r="Z588" s="217">
        <f>IF(Z587=0,0,SUMIFS(операции!$AH:$AH,операции!$AB:$AB,"&gt;="&amp;X$8,операции!$AB:$AB,"&lt;="&amp;X$9,операции!$L:$L,Z$9,операции!$O:$O,$F534)/Z587)</f>
        <v>0</v>
      </c>
      <c r="AA588" s="249">
        <f>IF(AA587=0,0,SUMIFS(операции!$AH:$AH,операции!$AB:$AB,"&gt;="&amp;X$8,операции!$AB:$AB,"&lt;="&amp;X$9,операции!$L:$L,AA$9,операции!$O:$O,$F534)/AA587)</f>
        <v>0</v>
      </c>
      <c r="AB588" s="265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</row>
    <row r="589" spans="1:42" s="111" customFormat="1" ht="11.25">
      <c r="A589" s="108"/>
      <c r="B589" s="108"/>
      <c r="C589" s="209" t="s">
        <v>279</v>
      </c>
      <c r="D589" s="109"/>
      <c r="E589" s="109"/>
      <c r="F589" s="109" t="str">
        <f t="shared" si="914"/>
        <v>АвтоКомп</v>
      </c>
      <c r="G589" s="109"/>
      <c r="H589" s="307"/>
      <c r="I589" s="308">
        <f>I590-K590-L590+K589+L589</f>
        <v>0</v>
      </c>
      <c r="J589" s="309">
        <f>I534+I552-I559-I590</f>
        <v>0</v>
      </c>
      <c r="K589" s="308">
        <f>K534+K552-K559-K590</f>
        <v>0</v>
      </c>
      <c r="L589" s="336">
        <f>L534+L552-L559-L590</f>
        <v>0</v>
      </c>
      <c r="M589" s="272"/>
      <c r="N589" s="110">
        <f>N590-P590-Q590</f>
        <v>0</v>
      </c>
      <c r="O589" s="215">
        <f>N534+N552-N559-N590</f>
        <v>0</v>
      </c>
      <c r="P589" s="110">
        <f>P534+P552-P559-P590</f>
        <v>0</v>
      </c>
      <c r="Q589" s="248">
        <f>Q534+Q552-Q559-Q590</f>
        <v>0</v>
      </c>
      <c r="R589" s="234"/>
      <c r="S589" s="110">
        <f>S590-U590-V590</f>
        <v>0</v>
      </c>
      <c r="T589" s="215">
        <f>S534+S552-S559-S590</f>
        <v>0</v>
      </c>
      <c r="U589" s="110">
        <f>U534+U552-U559-U590</f>
        <v>0</v>
      </c>
      <c r="V589" s="248">
        <f>V534+V552-V559-V590</f>
        <v>0</v>
      </c>
      <c r="W589" s="234"/>
      <c r="X589" s="110">
        <f>X590-Z590-AA590</f>
        <v>0</v>
      </c>
      <c r="Y589" s="215">
        <f>X534+X552-X559-X590</f>
        <v>0</v>
      </c>
      <c r="Z589" s="110">
        <f>Z534+Z552-Z559-Z590</f>
        <v>0</v>
      </c>
      <c r="AA589" s="248">
        <f>AA534+AA552-AA559-AA590</f>
        <v>0</v>
      </c>
      <c r="AB589" s="263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</row>
    <row r="590" spans="1:42" s="93" customFormat="1" ht="15">
      <c r="A590" s="92"/>
      <c r="B590" s="92"/>
      <c r="C590" s="214"/>
      <c r="D590" s="151" t="s">
        <v>238</v>
      </c>
      <c r="E590" s="151"/>
      <c r="F590" s="151" t="str">
        <f t="shared" si="914"/>
        <v>АвтоКомп</v>
      </c>
      <c r="G590" s="151" t="s">
        <v>261</v>
      </c>
      <c r="H590" s="311"/>
      <c r="I590" s="312">
        <f>SUMIFS(операции!$V:$V,операции!$T:$T,"&lt;="&amp;I$9,операции!$X:$X,"",операции!$O:$O,$F534)+SUMIFS(операции!$V:$V,операции!$T:$T,"&lt;="&amp;I$9,операции!$X:$X,"&gt;"&amp;I$9,операции!$O:$O,$F534)</f>
        <v>0</v>
      </c>
      <c r="J590" s="313">
        <f>I590-I595-I601</f>
        <v>0</v>
      </c>
      <c r="K590" s="312">
        <f>SUMIFS(операции!$V:$V,операции!$T:$T,"&lt;="&amp;I$9,операции!$X:$X,"",операции!$L:$L,K$9,операции!$O:$O,$F534)+SUMIFS(операции!$V:$V,операции!$T:$T,"&lt;="&amp;I$9,операции!$X:$X,"&gt;"&amp;I$9,операции!$L:$L,K$9,операции!$O:$O,$F534)</f>
        <v>0</v>
      </c>
      <c r="L590" s="314">
        <f>SUMIFS(операции!$V:$V,операции!$T:$T,"&lt;="&amp;I$9,операции!$X:$X,"",операции!$L:$L,L$9,операции!$O:$O,$F534)+SUMIFS(операции!$V:$V,операции!$T:$T,"&lt;="&amp;I$9,операции!$X:$X,"&gt;"&amp;I$9,операции!$L:$L,L$9,операции!$O:$O,$F534)</f>
        <v>0</v>
      </c>
      <c r="M590" s="273"/>
      <c r="N590" s="152">
        <f>SUMIFS(операции!$V:$V,операции!$T:$T,"&lt;="&amp;N$9,операции!$X:$X,"",операции!$O:$O,$F534)+SUMIFS(операции!$V:$V,операции!$T:$T,"&lt;="&amp;N$9,операции!$X:$X,"&gt;"&amp;N$9,операции!$O:$O,$F534)</f>
        <v>5100</v>
      </c>
      <c r="O590" s="170">
        <f>N590-N595-N601</f>
        <v>0</v>
      </c>
      <c r="P590" s="152">
        <f>SUMIFS(операции!$V:$V,операции!$T:$T,"&lt;="&amp;N$9,операции!$X:$X,"",операции!$L:$L,P$9,операции!$O:$O,$F534)+SUMIFS(операции!$V:$V,операции!$T:$T,"&lt;="&amp;N$9,операции!$X:$X,"&gt;"&amp;N$9,операции!$L:$L,P$9,операции!$O:$O,$F534)</f>
        <v>5100</v>
      </c>
      <c r="Q590" s="235">
        <f>SUMIFS(операции!$V:$V,операции!$T:$T,"&lt;="&amp;N$9,операции!$X:$X,"",операции!$L:$L,Q$9,операции!$O:$O,$F534)+SUMIFS(операции!$V:$V,операции!$T:$T,"&lt;="&amp;N$9,операции!$X:$X,"&gt;"&amp;N$9,операции!$L:$L,Q$9,операции!$O:$O,$F534)</f>
        <v>0</v>
      </c>
      <c r="R590" s="236"/>
      <c r="S590" s="152">
        <f>SUMIFS(операции!$V:$V,операции!$T:$T,"&lt;="&amp;S$9,операции!$X:$X,"",операции!$O:$O,$F534)+SUMIFS(операции!$V:$V,операции!$T:$T,"&lt;="&amp;S$9,операции!$X:$X,"&gt;"&amp;S$9,операции!$O:$O,$F534)</f>
        <v>0</v>
      </c>
      <c r="T590" s="170">
        <f>S590-S595-S601</f>
        <v>0</v>
      </c>
      <c r="U590" s="152">
        <f>SUMIFS(операции!$V:$V,операции!$T:$T,"&lt;="&amp;S$9,операции!$X:$X,"",операции!$L:$L,U$9,операции!$O:$O,$F534)+SUMIFS(операции!$V:$V,операции!$T:$T,"&lt;="&amp;S$9,операции!$X:$X,"&gt;"&amp;S$9,операции!$L:$L,U$9,операции!$O:$O,$F534)</f>
        <v>0</v>
      </c>
      <c r="V590" s="235">
        <f>SUMIFS(операции!$V:$V,операции!$T:$T,"&lt;="&amp;S$9,операции!$X:$X,"",операции!$L:$L,V$9,операции!$O:$O,$F534)+SUMIFS(операции!$V:$V,операции!$T:$T,"&lt;="&amp;S$9,операции!$X:$X,"&gt;"&amp;S$9,операции!$L:$L,V$9,операции!$O:$O,$F534)</f>
        <v>0</v>
      </c>
      <c r="W590" s="236"/>
      <c r="X590" s="152">
        <f>SUMIFS(операции!$V:$V,операции!$T:$T,"&lt;="&amp;X$9,операции!$X:$X,"",операции!$O:$O,$F534)+SUMIFS(операции!$V:$V,операции!$T:$T,"&lt;="&amp;X$9,операции!$X:$X,"&gt;"&amp;X$9,операции!$O:$O,$F534)</f>
        <v>0</v>
      </c>
      <c r="Y590" s="170">
        <f>X590-X595-X601</f>
        <v>0</v>
      </c>
      <c r="Z590" s="152">
        <f>SUMIFS(операции!$V:$V,операции!$T:$T,"&lt;="&amp;X$9,операции!$X:$X,"",операции!$L:$L,Z$9,операции!$O:$O,$F534)+SUMIFS(операции!$V:$V,операции!$T:$T,"&lt;="&amp;X$9,операции!$X:$X,"&gt;"&amp;X$9,операции!$L:$L,Z$9,операции!$O:$O,$F534)</f>
        <v>0</v>
      </c>
      <c r="AA590" s="235">
        <f>SUMIFS(операции!$V:$V,операции!$T:$T,"&lt;="&amp;X$9,операции!$X:$X,"",операции!$L:$L,AA$9,операции!$O:$O,$F534)+SUMIFS(операции!$V:$V,операции!$T:$T,"&lt;="&amp;X$9,операции!$X:$X,"&gt;"&amp;X$9,операции!$L:$L,AA$9,операции!$O:$O,$F534)</f>
        <v>0</v>
      </c>
      <c r="AB590" s="264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</row>
    <row r="591" spans="1:42" s="192" customFormat="1" ht="11.25">
      <c r="A591" s="37"/>
      <c r="B591" s="37"/>
      <c r="C591" s="37"/>
      <c r="D591" s="191" t="s">
        <v>255</v>
      </c>
      <c r="E591" s="191"/>
      <c r="F591" s="191" t="str">
        <f t="shared" si="914"/>
        <v>АвтоКомп</v>
      </c>
      <c r="G591" s="191" t="s">
        <v>262</v>
      </c>
      <c r="H591" s="315"/>
      <c r="I591" s="316">
        <f>IF(I590=0,0,(SUMIFS(операции!$AF:$AF,операции!$T:$T,"&lt;="&amp;I$9,операции!$X:$X,"",операции!$O:$O,$F534)+SUMIFS(операции!$AF:$AF,операции!$T:$T,"&lt;="&amp;I$9,операции!$X:$X,"&gt;"&amp;I$9,операции!$O:$O,$F534))/I590)</f>
        <v>0</v>
      </c>
      <c r="J591" s="317"/>
      <c r="K591" s="316">
        <f>IF(K590=0,0,(SUMIFS(операции!$AF:$AF,операции!$T:$T,"&lt;="&amp;I$9,операции!$X:$X,"",операции!$L:$L,K$9,операции!$O:$O,$F534)+SUMIFS(операции!$AF:$AF,операции!$T:$T,"&lt;="&amp;I$9,операции!$X:$X,"&gt;"&amp;I$9,операции!$L:$L,K$9,операции!$O:$O,$F534))/K590)</f>
        <v>0</v>
      </c>
      <c r="L591" s="318">
        <f>IF(L590=0,0,(SUMIFS(операции!$AF:$AF,операции!$T:$T,"&lt;="&amp;I$9,операции!$X:$X,"",операции!$L:$L,L$9,операции!$O:$O,$F534)+SUMIFS(операции!$AF:$AF,операции!$T:$T,"&lt;="&amp;I$9,операции!$X:$X,"&gt;"&amp;I$9,операции!$L:$L,L$9,операции!$O:$O,$F534))/L590)</f>
        <v>0</v>
      </c>
      <c r="M591" s="274"/>
      <c r="N591" s="193">
        <f>IF(N590=0,0,(SUMIFS(операции!$AF:$AF,операции!$T:$T,"&lt;="&amp;N$9,операции!$X:$X,"",операции!$O:$O,$F534)+SUMIFS(операции!$AF:$AF,операции!$T:$T,"&lt;="&amp;N$9,операции!$X:$X,"&gt;"&amp;N$9,операции!$O:$O,$F534))/N590)</f>
        <v>42151</v>
      </c>
      <c r="O591" s="196"/>
      <c r="P591" s="193">
        <f>IF(P590=0,0,(SUMIFS(операции!$AF:$AF,операции!$T:$T,"&lt;="&amp;N$9,операции!$X:$X,"",операции!$L:$L,P$9,операции!$O:$O,$F534)+SUMIFS(операции!$AF:$AF,операции!$T:$T,"&lt;="&amp;N$9,операции!$X:$X,"&gt;"&amp;N$9,операции!$L:$L,P$9,операции!$O:$O,$F534))/P590)</f>
        <v>42151</v>
      </c>
      <c r="Q591" s="237">
        <f>IF(Q590=0,0,(SUMIFS(операции!$AF:$AF,операции!$T:$T,"&lt;="&amp;N$9,операции!$X:$X,"",операции!$L:$L,Q$9,операции!$O:$O,$F534)+SUMIFS(операции!$AF:$AF,операции!$T:$T,"&lt;="&amp;N$9,операции!$X:$X,"&gt;"&amp;N$9,операции!$L:$L,Q$9,операции!$O:$O,$F534))/Q590)</f>
        <v>0</v>
      </c>
      <c r="R591" s="238"/>
      <c r="S591" s="193">
        <f>IF(S590=0,0,(SUMIFS(операции!$AF:$AF,операции!$T:$T,"&lt;="&amp;S$9,операции!$X:$X,"",операции!$O:$O,$F534)+SUMIFS(операции!$AF:$AF,операции!$T:$T,"&lt;="&amp;S$9,операции!$X:$X,"&gt;"&amp;S$9,операции!$O:$O,$F534))/S590)</f>
        <v>0</v>
      </c>
      <c r="T591" s="196"/>
      <c r="U591" s="193">
        <f>IF(U590=0,0,(SUMIFS(операции!$AF:$AF,операции!$T:$T,"&lt;="&amp;S$9,операции!$X:$X,"",операции!$L:$L,U$9,операции!$O:$O,$F534)+SUMIFS(операции!$AF:$AF,операции!$T:$T,"&lt;="&amp;S$9,операции!$X:$X,"&gt;"&amp;S$9,операции!$L:$L,U$9,операции!$O:$O,$F534))/U590)</f>
        <v>0</v>
      </c>
      <c r="V591" s="237">
        <f>IF(V590=0,0,(SUMIFS(операции!$AF:$AF,операции!$T:$T,"&lt;="&amp;S$9,операции!$X:$X,"",операции!$L:$L,V$9,операции!$O:$O,$F534)+SUMIFS(операции!$AF:$AF,операции!$T:$T,"&lt;="&amp;S$9,операции!$X:$X,"&gt;"&amp;S$9,операции!$L:$L,V$9,операции!$O:$O,$F534))/V590)</f>
        <v>0</v>
      </c>
      <c r="W591" s="238"/>
      <c r="X591" s="193">
        <f>IF(X590=0,0,(SUMIFS(операции!$AF:$AF,операции!$T:$T,"&lt;="&amp;X$9,операции!$X:$X,"",операции!$O:$O,$F534)+SUMIFS(операции!$AF:$AF,операции!$T:$T,"&lt;="&amp;X$9,операции!$X:$X,"&gt;"&amp;X$9,операции!$O:$O,$F534))/X590)</f>
        <v>0</v>
      </c>
      <c r="Y591" s="196"/>
      <c r="Z591" s="193">
        <f>IF(Z590=0,0,(SUMIFS(операции!$AF:$AF,операции!$T:$T,"&lt;="&amp;X$9,операции!$X:$X,"",операции!$L:$L,Z$9,операции!$O:$O,$F534)+SUMIFS(операции!$AF:$AF,операции!$T:$T,"&lt;="&amp;X$9,операции!$X:$X,"&gt;"&amp;X$9,операции!$L:$L,Z$9,операции!$O:$O,$F534))/Z590)</f>
        <v>0</v>
      </c>
      <c r="AA591" s="237">
        <f>IF(AA590=0,0,(SUMIFS(операции!$AF:$AF,операции!$T:$T,"&lt;="&amp;X$9,операции!$X:$X,"",операции!$L:$L,AA$9,операции!$O:$O,$F534)+SUMIFS(операции!$AF:$AF,операции!$T:$T,"&lt;="&amp;X$9,операции!$X:$X,"&gt;"&amp;X$9,операции!$L:$L,AA$9,операции!$O:$O,$F534))/AA590)</f>
        <v>0</v>
      </c>
      <c r="AB591" s="265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</row>
    <row r="592" spans="1:42" s="50" customFormat="1" ht="11.25">
      <c r="A592" s="48"/>
      <c r="B592" s="48"/>
      <c r="C592" s="48"/>
      <c r="D592" s="154" t="s">
        <v>239</v>
      </c>
      <c r="E592" s="154"/>
      <c r="F592" s="154" t="str">
        <f t="shared" si="914"/>
        <v>АвтоКомп</v>
      </c>
      <c r="G592" s="154" t="s">
        <v>219</v>
      </c>
      <c r="H592" s="319"/>
      <c r="I592" s="320">
        <f>IF(I590=0,0,I$9-I591)</f>
        <v>0</v>
      </c>
      <c r="J592" s="321">
        <f>I592-SUMIFS(ПОбТЗ!$I:$I,ПОбТЗ!$E:$E,$D592,ПОбТЗ!$F:$F,$F592)</f>
        <v>0</v>
      </c>
      <c r="K592" s="320">
        <f>IF(K590=0,0,I$9-K591)</f>
        <v>0</v>
      </c>
      <c r="L592" s="322">
        <f>IF(L590=0,0,I$9-L591)</f>
        <v>0</v>
      </c>
      <c r="M592" s="275"/>
      <c r="N592" s="155">
        <f>IF(N590=0,0,N$9-N591)</f>
        <v>157</v>
      </c>
      <c r="O592" s="173">
        <f>N592-SUMIFS(ПОбТЗ_3!$J:$J,ПОбТЗ_3!$D:$D,$D592,ПОбТЗ_3!$E:$E,$F592)</f>
        <v>0</v>
      </c>
      <c r="P592" s="155">
        <f>IF(P590=0,0,N$9-P591)</f>
        <v>157</v>
      </c>
      <c r="Q592" s="239">
        <f>IF(Q590=0,0,N$9-Q591)</f>
        <v>0</v>
      </c>
      <c r="R592" s="240"/>
      <c r="S592" s="155">
        <f>IF(S590=0,0,S$9-S591)</f>
        <v>0</v>
      </c>
      <c r="T592" s="173">
        <f>S592-SUMIFS(ПОбТЗ_3!$K:$K,ПОбТЗ_3!$D:$D,$D592,ПОбТЗ_3!$E:$E,$F592)</f>
        <v>0</v>
      </c>
      <c r="U592" s="155">
        <f>IF(U590=0,0,S$9-U591)</f>
        <v>0</v>
      </c>
      <c r="V592" s="239">
        <f>IF(V590=0,0,S$9-V591)</f>
        <v>0</v>
      </c>
      <c r="W592" s="240"/>
      <c r="X592" s="155">
        <f>IF(X590=0,0,X$9-X591)</f>
        <v>0</v>
      </c>
      <c r="Y592" s="173">
        <f>X592-SUMIFS(ПОбТЗ_3!$L:$L,ПОбТЗ_3!$D:$D,$D592,ПОбТЗ_3!$E:$E,$F592)</f>
        <v>0</v>
      </c>
      <c r="Z592" s="155">
        <f>IF(Z590=0,0,X$9-Z591)</f>
        <v>0</v>
      </c>
      <c r="AA592" s="239">
        <f>IF(AA590=0,0,X$9-AA591)</f>
        <v>0</v>
      </c>
      <c r="AB592" s="230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</row>
    <row r="593" spans="1:42" s="93" customFormat="1" ht="15">
      <c r="A593" s="92"/>
      <c r="B593" s="92"/>
      <c r="C593" s="92"/>
      <c r="D593" s="198" t="s">
        <v>280</v>
      </c>
      <c r="E593" s="198"/>
      <c r="F593" s="198" t="str">
        <f t="shared" si="914"/>
        <v>АвтоКомп</v>
      </c>
      <c r="G593" s="198" t="s">
        <v>219</v>
      </c>
      <c r="H593" s="323"/>
      <c r="I593" s="324">
        <f>IF(I590=0,0,(I595*I599+I601*I605)/I590)</f>
        <v>0</v>
      </c>
      <c r="J593" s="321"/>
      <c r="K593" s="324">
        <f>IF(K590=0,0,(K595*K599+K601*K605)/K590)</f>
        <v>0</v>
      </c>
      <c r="L593" s="325">
        <f>IF(L590=0,0,(L595*L599+L601*L605)/L590)</f>
        <v>0</v>
      </c>
      <c r="M593" s="276"/>
      <c r="N593" s="199">
        <f>IF(N590=0,0,(N595*N599+N601*N605)/N590)</f>
        <v>30</v>
      </c>
      <c r="O593" s="173"/>
      <c r="P593" s="199">
        <f>IF(P590=0,0,(P595*P599+P601*P605)/P590)</f>
        <v>30</v>
      </c>
      <c r="Q593" s="241">
        <f>IF(Q590=0,0,(Q595*Q599+Q601*Q605)/Q590)</f>
        <v>0</v>
      </c>
      <c r="R593" s="242"/>
      <c r="S593" s="199">
        <f>IF(S590=0,0,(S595*S599+S601*S605)/S590)</f>
        <v>0</v>
      </c>
      <c r="T593" s="173"/>
      <c r="U593" s="199">
        <f>IF(U590=0,0,(U595*U599+U601*U605)/U590)</f>
        <v>0</v>
      </c>
      <c r="V593" s="241">
        <f>IF(V590=0,0,(V595*V599+V601*V605)/V590)</f>
        <v>0</v>
      </c>
      <c r="W593" s="242"/>
      <c r="X593" s="199">
        <f>IF(X590=0,0,(X595*X599+X601*X605)/X590)</f>
        <v>0</v>
      </c>
      <c r="Y593" s="173"/>
      <c r="Z593" s="199">
        <f>IF(Z590=0,0,(Z595*Z599+Z601*Z605)/Z590)</f>
        <v>0</v>
      </c>
      <c r="AA593" s="241">
        <f>IF(AA590=0,0,(AA595*AA599+AA601*AA605)/AA590)</f>
        <v>0</v>
      </c>
      <c r="AB593" s="264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</row>
    <row r="594" spans="1:42" s="50" customFormat="1" ht="11.25">
      <c r="A594" s="48"/>
      <c r="B594" s="48"/>
      <c r="C594" s="48"/>
      <c r="D594" s="154" t="s">
        <v>281</v>
      </c>
      <c r="E594" s="154"/>
      <c r="F594" s="154" t="str">
        <f t="shared" si="914"/>
        <v>АвтоКомп</v>
      </c>
      <c r="G594" s="154" t="s">
        <v>219</v>
      </c>
      <c r="H594" s="319"/>
      <c r="I594" s="320">
        <f>I592-I593</f>
        <v>0</v>
      </c>
      <c r="J594" s="321"/>
      <c r="K594" s="320">
        <f>K592-K593</f>
        <v>0</v>
      </c>
      <c r="L594" s="322">
        <f>L592-L593</f>
        <v>0</v>
      </c>
      <c r="M594" s="275"/>
      <c r="N594" s="155">
        <f>N592-N593</f>
        <v>127</v>
      </c>
      <c r="O594" s="173"/>
      <c r="P594" s="155">
        <f>P592-P593</f>
        <v>127</v>
      </c>
      <c r="Q594" s="239">
        <f>Q592-Q593</f>
        <v>0</v>
      </c>
      <c r="R594" s="240"/>
      <c r="S594" s="155">
        <f>S592-S593</f>
        <v>0</v>
      </c>
      <c r="T594" s="173"/>
      <c r="U594" s="155">
        <f>U592-U593</f>
        <v>0</v>
      </c>
      <c r="V594" s="239">
        <f>V592-V593</f>
        <v>0</v>
      </c>
      <c r="W594" s="240"/>
      <c r="X594" s="155">
        <f>X592-X593</f>
        <v>0</v>
      </c>
      <c r="Y594" s="173"/>
      <c r="Z594" s="155">
        <f>Z592-Z593</f>
        <v>0</v>
      </c>
      <c r="AA594" s="239">
        <f>AA592-AA593</f>
        <v>0</v>
      </c>
      <c r="AB594" s="230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</row>
    <row r="595" spans="1:42" s="5" customFormat="1">
      <c r="A595" s="1"/>
      <c r="B595" s="1"/>
      <c r="C595" s="1"/>
      <c r="D595" s="168"/>
      <c r="E595" s="168" t="s">
        <v>282</v>
      </c>
      <c r="F595" s="168" t="str">
        <f t="shared" si="914"/>
        <v>АвтоКомп</v>
      </c>
      <c r="G595" s="168" t="s">
        <v>261</v>
      </c>
      <c r="H595" s="326"/>
      <c r="I595" s="327">
        <f>SUMIFS(операции!$V:$V,операции!$T:$T,"&lt;="&amp;I$9,операции!$X:$X,"",операции!$AB:$AB,"&lt;&gt;"&amp;"",операции!$AB:$AB,"&lt;="&amp;I$9,операции!$O:$O,$F534)+SUMIFS(операции!$V:$V,операции!$T:$T,"&lt;="&amp;I$9,операции!$X:$X,"&gt;"&amp;I$9,операции!$AB:$AB,"&lt;&gt;"&amp;"",операции!$AB:$AB,"&lt;="&amp;I$9,операции!$O:$O,$F534)</f>
        <v>0</v>
      </c>
      <c r="J595" s="313">
        <f>I595-K595-L595</f>
        <v>0</v>
      </c>
      <c r="K595" s="327">
        <f>SUMIFS(операции!$V:$V,операции!$T:$T,"&lt;="&amp;I$9,операции!$X:$X,"",операции!$AB:$AB,"&lt;&gt;"&amp;"",операции!$AB:$AB,"&lt;="&amp;I$9,операции!$L:$L,K$9,операции!$O:$O,$F534)+SUMIFS(операции!$V:$V,операции!$T:$T,"&lt;="&amp;I$9,операции!$X:$X,"&gt;"&amp;I$9,операции!$AB:$AB,"&lt;&gt;"&amp;"",операции!$AB:$AB,"&lt;="&amp;I$9,операции!$L:$L,K$9,операции!$O:$O,$F534)</f>
        <v>0</v>
      </c>
      <c r="L595" s="328">
        <f>SUMIFS(операции!$V:$V,операции!$T:$T,"&lt;="&amp;I$9,операции!$X:$X,"",операции!$AB:$AB,"&lt;&gt;"&amp;"",операции!$AB:$AB,"&lt;="&amp;I$9,операции!$L:$L,L$9,операции!$O:$O,$F534)+SUMIFS(операции!$V:$V,операции!$T:$T,"&lt;="&amp;I$9,операции!$X:$X,"&gt;"&amp;I$9,операции!$AB:$AB,"&lt;&gt;"&amp;"",операции!$AB:$AB,"&lt;="&amp;I$9,операции!$L:$L,L$9,операции!$O:$O,$F534)</f>
        <v>0</v>
      </c>
      <c r="M595" s="277"/>
      <c r="N595" s="169">
        <f>SUMIFS(операции!$V:$V,операции!$T:$T,"&lt;="&amp;N$9,операции!$X:$X,"",операции!$AB:$AB,"&lt;&gt;"&amp;"",операции!$AB:$AB,"&lt;="&amp;N$9,операции!$O:$O,$F534)+SUMIFS(операции!$V:$V,операции!$T:$T,"&lt;="&amp;N$9,операции!$X:$X,"&gt;"&amp;N$9,операции!$AB:$AB,"&lt;&gt;"&amp;"",операции!$AB:$AB,"&lt;="&amp;N$9,операции!$O:$O,$F534)</f>
        <v>5100</v>
      </c>
      <c r="O595" s="170">
        <f>N595-P595-Q595</f>
        <v>0</v>
      </c>
      <c r="P595" s="169">
        <f>SUMIFS(операции!$V:$V,операции!$T:$T,"&lt;="&amp;N$9,операции!$X:$X,"",операции!$AB:$AB,"&lt;&gt;"&amp;"",операции!$AB:$AB,"&lt;="&amp;N$9,операции!$L:$L,P$9,операции!$O:$O,$F534)+SUMIFS(операции!$V:$V,операции!$T:$T,"&lt;="&amp;N$9,операции!$X:$X,"&gt;"&amp;N$9,операции!$AB:$AB,"&lt;&gt;"&amp;"",операции!$AB:$AB,"&lt;="&amp;N$9,операции!$L:$L,P$9,операции!$O:$O,$F534)</f>
        <v>5100</v>
      </c>
      <c r="Q595" s="243">
        <f>SUMIFS(операции!$V:$V,операции!$T:$T,"&lt;="&amp;N$9,операции!$X:$X,"",операции!$AB:$AB,"&lt;&gt;"&amp;"",операции!$AB:$AB,"&lt;="&amp;N$9,операции!$L:$L,Q$9,операции!$O:$O,$F534)+SUMIFS(операции!$V:$V,операции!$T:$T,"&lt;="&amp;N$9,операции!$X:$X,"&gt;"&amp;N$9,операции!$AB:$AB,"&lt;&gt;"&amp;"",операции!$AB:$AB,"&lt;="&amp;N$9,операции!$L:$L,Q$9,операции!$O:$O,$F534)</f>
        <v>0</v>
      </c>
      <c r="R595" s="244"/>
      <c r="S595" s="169">
        <f>SUMIFS(операции!$V:$V,операции!$T:$T,"&lt;="&amp;S$9,операции!$X:$X,"",операции!$AB:$AB,"&lt;&gt;"&amp;"",операции!$AB:$AB,"&lt;="&amp;S$9,операции!$O:$O,$F534)+SUMIFS(операции!$V:$V,операции!$T:$T,"&lt;="&amp;S$9,операции!$X:$X,"&gt;"&amp;S$9,операции!$AB:$AB,"&lt;&gt;"&amp;"",операции!$AB:$AB,"&lt;="&amp;S$9,операции!$O:$O,$F534)</f>
        <v>0</v>
      </c>
      <c r="T595" s="170">
        <f>S595-U595-V595</f>
        <v>0</v>
      </c>
      <c r="U595" s="169">
        <f>SUMIFS(операции!$V:$V,операции!$T:$T,"&lt;="&amp;S$9,операции!$X:$X,"",операции!$AB:$AB,"&lt;&gt;"&amp;"",операции!$AB:$AB,"&lt;="&amp;S$9,операции!$L:$L,U$9,операции!$O:$O,$F534)+SUMIFS(операции!$V:$V,операции!$T:$T,"&lt;="&amp;S$9,операции!$X:$X,"&gt;"&amp;S$9,операции!$AB:$AB,"&lt;&gt;"&amp;"",операции!$AB:$AB,"&lt;="&amp;S$9,операции!$L:$L,U$9,операции!$O:$O,$F534)</f>
        <v>0</v>
      </c>
      <c r="V595" s="243">
        <f>SUMIFS(операции!$V:$V,операции!$T:$T,"&lt;="&amp;S$9,операции!$X:$X,"",операции!$AB:$AB,"&lt;&gt;"&amp;"",операции!$AB:$AB,"&lt;="&amp;S$9,операции!$L:$L,V$9,операции!$O:$O,$F534)+SUMIFS(операции!$V:$V,операции!$T:$T,"&lt;="&amp;S$9,операции!$X:$X,"&gt;"&amp;S$9,операции!$AB:$AB,"&lt;&gt;"&amp;"",операции!$AB:$AB,"&lt;="&amp;S$9,операции!$L:$L,V$9,операции!$O:$O,$F534)</f>
        <v>0</v>
      </c>
      <c r="W595" s="244"/>
      <c r="X595" s="169">
        <f>SUMIFS(операции!$V:$V,операции!$T:$T,"&lt;="&amp;X$9,операции!$X:$X,"",операции!$AB:$AB,"&lt;&gt;"&amp;"",операции!$AB:$AB,"&lt;="&amp;X$9,операции!$O:$O,$F534)+SUMIFS(операции!$V:$V,операции!$T:$T,"&lt;="&amp;X$9,операции!$X:$X,"&gt;"&amp;X$9,операции!$AB:$AB,"&lt;&gt;"&amp;"",операции!$AB:$AB,"&lt;="&amp;X$9,операции!$O:$O,$F534)</f>
        <v>0</v>
      </c>
      <c r="Y595" s="170">
        <f>X595-Z595-AA595</f>
        <v>0</v>
      </c>
      <c r="Z595" s="169">
        <f>SUMIFS(операции!$V:$V,операции!$T:$T,"&lt;="&amp;X$9,операции!$X:$X,"",операции!$AB:$AB,"&lt;&gt;"&amp;"",операции!$AB:$AB,"&lt;="&amp;X$9,операции!$L:$L,Z$9,операции!$O:$O,$F534)+SUMIFS(операции!$V:$V,операции!$T:$T,"&lt;="&amp;X$9,операции!$X:$X,"&gt;"&amp;X$9,операции!$AB:$AB,"&lt;&gt;"&amp;"",операции!$AB:$AB,"&lt;="&amp;X$9,операции!$L:$L,Z$9,операции!$O:$O,$F534)</f>
        <v>0</v>
      </c>
      <c r="AA595" s="243">
        <f>SUMIFS(операции!$V:$V,операции!$T:$T,"&lt;="&amp;X$9,операции!$X:$X,"",операции!$AB:$AB,"&lt;&gt;"&amp;"",операции!$AB:$AB,"&lt;="&amp;X$9,операции!$L:$L,AA$9,операции!$O:$O,$F534)+SUMIFS(операции!$V:$V,операции!$T:$T,"&lt;="&amp;X$9,операции!$X:$X,"&gt;"&amp;X$9,операции!$AB:$AB,"&lt;&gt;"&amp;"",операции!$AB:$AB,"&lt;="&amp;X$9,операции!$L:$L,AA$9,операции!$O:$O,$F534)</f>
        <v>0</v>
      </c>
      <c r="AB595" s="266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s="192" customFormat="1" ht="11.25">
      <c r="A596" s="37"/>
      <c r="B596" s="37"/>
      <c r="C596" s="37"/>
      <c r="D596" s="191"/>
      <c r="E596" s="191" t="s">
        <v>255</v>
      </c>
      <c r="F596" s="191" t="str">
        <f t="shared" si="914"/>
        <v>АвтоКомп</v>
      </c>
      <c r="G596" s="191" t="s">
        <v>262</v>
      </c>
      <c r="H596" s="315"/>
      <c r="I596" s="316">
        <f>IF(I595=0,0,(SUMIFS(операции!$AF:$AF,операции!$T:$T,"&lt;="&amp;I$9,операции!$X:$X,"",операции!$AB:$AB,"&lt;&gt;"&amp;"",операции!$AB:$AB,"&lt;="&amp;I$9,операции!$O:$O,$F534)+SUMIFS(операции!$AF:$AF,операции!$T:$T,"&lt;="&amp;I$9,операции!$X:$X,"&gt;"&amp;I$9,операции!$AB:$AB,"&lt;&gt;"&amp;"",операции!$AB:$AB,"&lt;="&amp;I$9,операции!$O:$O,$F534))/I595)</f>
        <v>0</v>
      </c>
      <c r="J596" s="317"/>
      <c r="K596" s="316">
        <f>IF(K595=0,0,(SUMIFS(операции!$AF:$AF,операции!$T:$T,"&lt;="&amp;I$9,операции!$X:$X,"",операции!$AB:$AB,"&lt;&gt;"&amp;"",операции!$AB:$AB,"&lt;="&amp;I$9,операции!$L:$L,K$9,операции!$O:$O,$F534)+SUMIFS(операции!$AF:$AF,операции!$T:$T,"&lt;="&amp;I$9,операции!$X:$X,"&gt;"&amp;I$9,операции!$AB:$AB,"&lt;&gt;"&amp;"",операции!$AB:$AB,"&lt;="&amp;I$9,операции!$L:$L,K$9,операции!$O:$O,$F534))/K595)</f>
        <v>0</v>
      </c>
      <c r="L596" s="318">
        <f>IF(L595=0,0,(SUMIFS(операции!$AF:$AF,операции!$T:$T,"&lt;="&amp;I$9,операции!$X:$X,"",операции!$AB:$AB,"&lt;&gt;"&amp;"",операции!$AB:$AB,"&lt;="&amp;I$9,операции!$L:$L,L$9,операции!$O:$O,$F534)+SUMIFS(операции!$AF:$AF,операции!$T:$T,"&lt;="&amp;I$9,операции!$X:$X,"&gt;"&amp;I$9,операции!$AB:$AB,"&lt;&gt;"&amp;"",операции!$AB:$AB,"&lt;="&amp;I$9,операции!$L:$L,L$9,операции!$O:$O,$F534))/L595)</f>
        <v>0</v>
      </c>
      <c r="M596" s="274"/>
      <c r="N596" s="193">
        <f>IF(N595=0,0,(SUMIFS(операции!$AF:$AF,операции!$T:$T,"&lt;="&amp;N$9,операции!$X:$X,"",операции!$AB:$AB,"&lt;&gt;"&amp;"",операции!$AB:$AB,"&lt;="&amp;N$9,операции!$O:$O,$F534)+SUMIFS(операции!$AF:$AF,операции!$T:$T,"&lt;="&amp;N$9,операции!$X:$X,"&gt;"&amp;N$9,операции!$AB:$AB,"&lt;&gt;"&amp;"",операции!$AB:$AB,"&lt;="&amp;N$9,операции!$O:$O,$F534))/N595)</f>
        <v>42151</v>
      </c>
      <c r="O596" s="196"/>
      <c r="P596" s="193">
        <f>IF(P595=0,0,(SUMIFS(операции!$AF:$AF,операции!$T:$T,"&lt;="&amp;N$9,операции!$X:$X,"",операции!$AB:$AB,"&lt;&gt;"&amp;"",операции!$AB:$AB,"&lt;="&amp;N$9,операции!$L:$L,P$9,операции!$O:$O,$F534)+SUMIFS(операции!$AF:$AF,операции!$T:$T,"&lt;="&amp;N$9,операции!$X:$X,"&gt;"&amp;N$9,операции!$AB:$AB,"&lt;&gt;"&amp;"",операции!$AB:$AB,"&lt;="&amp;N$9,операции!$L:$L,P$9,операции!$O:$O,$F534))/P595)</f>
        <v>42151</v>
      </c>
      <c r="Q596" s="237">
        <f>IF(Q595=0,0,(SUMIFS(операции!$AF:$AF,операции!$T:$T,"&lt;="&amp;N$9,операции!$X:$X,"",операции!$AB:$AB,"&lt;&gt;"&amp;"",операции!$AB:$AB,"&lt;="&amp;N$9,операции!$L:$L,Q$9,операции!$O:$O,$F534)+SUMIFS(операции!$AF:$AF,операции!$T:$T,"&lt;="&amp;N$9,операции!$X:$X,"&gt;"&amp;N$9,операции!$AB:$AB,"&lt;&gt;"&amp;"",операции!$AB:$AB,"&lt;="&amp;N$9,операции!$L:$L,Q$9,операции!$O:$O,$F534))/Q595)</f>
        <v>0</v>
      </c>
      <c r="R596" s="238"/>
      <c r="S596" s="193">
        <f>IF(S595=0,0,(SUMIFS(операции!$AF:$AF,операции!$T:$T,"&lt;="&amp;S$9,операции!$X:$X,"",операции!$AB:$AB,"&lt;&gt;"&amp;"",операции!$AB:$AB,"&lt;="&amp;S$9,операции!$O:$O,$F534)+SUMIFS(операции!$AF:$AF,операции!$T:$T,"&lt;="&amp;S$9,операции!$X:$X,"&gt;"&amp;S$9,операции!$AB:$AB,"&lt;&gt;"&amp;"",операции!$AB:$AB,"&lt;="&amp;S$9,операции!$O:$O,$F534))/S595)</f>
        <v>0</v>
      </c>
      <c r="T596" s="196"/>
      <c r="U596" s="193">
        <f>IF(U595=0,0,(SUMIFS(операции!$AF:$AF,операции!$T:$T,"&lt;="&amp;S$9,операции!$X:$X,"",операции!$AB:$AB,"&lt;&gt;"&amp;"",операции!$AB:$AB,"&lt;="&amp;S$9,операции!$L:$L,U$9,операции!$O:$O,$F534)+SUMIFS(операции!$AF:$AF,операции!$T:$T,"&lt;="&amp;S$9,операции!$X:$X,"&gt;"&amp;S$9,операции!$AB:$AB,"&lt;&gt;"&amp;"",операции!$AB:$AB,"&lt;="&amp;S$9,операции!$L:$L,U$9,операции!$O:$O,$F534))/U595)</f>
        <v>0</v>
      </c>
      <c r="V596" s="237">
        <f>IF(V595=0,0,(SUMIFS(операции!$AF:$AF,операции!$T:$T,"&lt;="&amp;S$9,операции!$X:$X,"",операции!$AB:$AB,"&lt;&gt;"&amp;"",операции!$AB:$AB,"&lt;="&amp;S$9,операции!$L:$L,V$9,операции!$O:$O,$F534)+SUMIFS(операции!$AF:$AF,операции!$T:$T,"&lt;="&amp;S$9,операции!$X:$X,"&gt;"&amp;S$9,операции!$AB:$AB,"&lt;&gt;"&amp;"",операции!$AB:$AB,"&lt;="&amp;S$9,операции!$L:$L,V$9,операции!$O:$O,$F534))/V595)</f>
        <v>0</v>
      </c>
      <c r="W596" s="238"/>
      <c r="X596" s="193">
        <f>IF(X595=0,0,(SUMIFS(операции!$AF:$AF,операции!$T:$T,"&lt;="&amp;X$9,операции!$X:$X,"",операции!$AB:$AB,"&lt;&gt;"&amp;"",операции!$AB:$AB,"&lt;="&amp;X$9,операции!$O:$O,$F534)+SUMIFS(операции!$AF:$AF,операции!$T:$T,"&lt;="&amp;X$9,операции!$X:$X,"&gt;"&amp;X$9,операции!$AB:$AB,"&lt;&gt;"&amp;"",операции!$AB:$AB,"&lt;="&amp;X$9,операции!$O:$O,$F534))/X595)</f>
        <v>0</v>
      </c>
      <c r="Y596" s="196"/>
      <c r="Z596" s="193">
        <f>IF(Z595=0,0,(SUMIFS(операции!$AF:$AF,операции!$T:$T,"&lt;="&amp;X$9,операции!$X:$X,"",операции!$AB:$AB,"&lt;&gt;"&amp;"",операции!$AB:$AB,"&lt;="&amp;X$9,операции!$L:$L,Z$9,операции!$O:$O,$F534)+SUMIFS(операции!$AF:$AF,операции!$T:$T,"&lt;="&amp;X$9,операции!$X:$X,"&gt;"&amp;X$9,операции!$AB:$AB,"&lt;&gt;"&amp;"",операции!$AB:$AB,"&lt;="&amp;X$9,операции!$L:$L,Z$9,операции!$O:$O,$F534))/Z595)</f>
        <v>0</v>
      </c>
      <c r="AA596" s="237">
        <f>IF(AA595=0,0,(SUMIFS(операции!$AF:$AF,операции!$T:$T,"&lt;="&amp;X$9,операции!$X:$X,"",операции!$AB:$AB,"&lt;&gt;"&amp;"",операции!$AB:$AB,"&lt;="&amp;X$9,операции!$L:$L,AA$9,операции!$O:$O,$F534)+SUMIFS(операции!$AF:$AF,операции!$T:$T,"&lt;="&amp;X$9,операции!$X:$X,"&gt;"&amp;X$9,операции!$AB:$AB,"&lt;&gt;"&amp;"",операции!$AB:$AB,"&lt;="&amp;X$9,операции!$L:$L,AA$9,операции!$O:$O,$F534))/AA595)</f>
        <v>0</v>
      </c>
      <c r="AB596" s="265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</row>
    <row r="597" spans="1:42" s="192" customFormat="1" ht="11.25">
      <c r="A597" s="37"/>
      <c r="B597" s="37"/>
      <c r="C597" s="37"/>
      <c r="D597" s="191"/>
      <c r="E597" s="191" t="s">
        <v>283</v>
      </c>
      <c r="F597" s="191" t="str">
        <f t="shared" si="914"/>
        <v>АвтоКомп</v>
      </c>
      <c r="G597" s="191" t="s">
        <v>219</v>
      </c>
      <c r="H597" s="315"/>
      <c r="I597" s="329">
        <f>IF(I595=0,0,I$9-I596)</f>
        <v>0</v>
      </c>
      <c r="J597" s="317"/>
      <c r="K597" s="329">
        <f>IF(K595=0,0,I$9-K596)</f>
        <v>0</v>
      </c>
      <c r="L597" s="330">
        <f>IF(L595=0,0,I$9-L596)</f>
        <v>0</v>
      </c>
      <c r="M597" s="274"/>
      <c r="N597" s="156">
        <f>IF(N595=0,0,N$9-N596)</f>
        <v>157</v>
      </c>
      <c r="O597" s="196"/>
      <c r="P597" s="156">
        <f>IF(P595=0,0,N$9-P596)</f>
        <v>157</v>
      </c>
      <c r="Q597" s="245">
        <f>IF(Q595=0,0,N$9-Q596)</f>
        <v>0</v>
      </c>
      <c r="R597" s="238"/>
      <c r="S597" s="156">
        <f>IF(S595=0,0,S$9-S596)</f>
        <v>0</v>
      </c>
      <c r="T597" s="196"/>
      <c r="U597" s="156">
        <f>IF(U595=0,0,S$9-U596)</f>
        <v>0</v>
      </c>
      <c r="V597" s="245">
        <f>IF(V595=0,0,S$9-V596)</f>
        <v>0</v>
      </c>
      <c r="W597" s="238"/>
      <c r="X597" s="156">
        <f>IF(X595=0,0,X$9-X596)</f>
        <v>0</v>
      </c>
      <c r="Y597" s="196"/>
      <c r="Z597" s="156">
        <f>IF(Z595=0,0,X$9-Z596)</f>
        <v>0</v>
      </c>
      <c r="AA597" s="245">
        <f>IF(AA595=0,0,X$9-AA596)</f>
        <v>0</v>
      </c>
      <c r="AB597" s="265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</row>
    <row r="598" spans="1:42" s="192" customFormat="1" ht="11.25">
      <c r="A598" s="37"/>
      <c r="B598" s="37"/>
      <c r="C598" s="37"/>
      <c r="D598" s="191"/>
      <c r="E598" s="191" t="s">
        <v>259</v>
      </c>
      <c r="F598" s="191" t="str">
        <f t="shared" si="914"/>
        <v>АвтоКомп</v>
      </c>
      <c r="G598" s="191" t="s">
        <v>262</v>
      </c>
      <c r="H598" s="315"/>
      <c r="I598" s="316">
        <f>IF(I595=0,0,(SUMIFS(операции!$AH:$AH,операции!$T:$T,"&lt;="&amp;I$9,операции!$X:$X,"",операции!$AB:$AB,"&lt;&gt;"&amp;"",операции!$AB:$AB,"&lt;="&amp;I$9,операции!$O:$O,$F534)+SUMIFS(операции!$AH:$AH,операции!$T:$T,"&lt;="&amp;I$9,операции!$X:$X,"&gt;"&amp;I$9,операции!$AB:$AB,"&lt;&gt;"&amp;"",операции!$AB:$AB,"&lt;="&amp;I$9,операции!$O:$O,$F534))/I595)</f>
        <v>0</v>
      </c>
      <c r="J598" s="317"/>
      <c r="K598" s="316">
        <f>IF(K595=0,0,(SUMIFS(операции!$AH:$AH,операции!$T:$T,"&lt;="&amp;I$9,операции!$X:$X,"",операции!$AB:$AB,"&lt;&gt;"&amp;"",операции!$AB:$AB,"&lt;="&amp;I$9,операции!$L:$L,K$9,операции!$O:$O,$F534)+SUMIFS(операции!$AH:$AH,операции!$T:$T,"&lt;="&amp;I$9,операции!$X:$X,"&gt;"&amp;I$9,операции!$AB:$AB,"&lt;&gt;"&amp;"",операции!$AB:$AB,"&lt;="&amp;I$9,операции!$L:$L,K$9,операции!$O:$O,$F534))/K595)</f>
        <v>0</v>
      </c>
      <c r="L598" s="318">
        <f>IF(L595=0,0,(SUMIFS(операции!$AH:$AH,операции!$T:$T,"&lt;="&amp;I$9,операции!$X:$X,"",операции!$AB:$AB,"&lt;&gt;"&amp;"",операции!$AB:$AB,"&lt;="&amp;I$9,операции!$L:$L,L$9,операции!$O:$O,$F534)+SUMIFS(операции!$AH:$AH,операции!$T:$T,"&lt;="&amp;I$9,операции!$X:$X,"&gt;"&amp;I$9,операции!$AB:$AB,"&lt;&gt;"&amp;"",операции!$AB:$AB,"&lt;="&amp;I$9,операции!$L:$L,L$9,операции!$O:$O,$F534))/L595)</f>
        <v>0</v>
      </c>
      <c r="M598" s="274"/>
      <c r="N598" s="193">
        <f>IF(N595=0,0,(SUMIFS(операции!$AH:$AH,операции!$T:$T,"&lt;="&amp;N$9,операции!$X:$X,"",операции!$AB:$AB,"&lt;&gt;"&amp;"",операции!$AB:$AB,"&lt;="&amp;N$9,операции!$O:$O,$F534)+SUMIFS(операции!$AH:$AH,операции!$T:$T,"&lt;="&amp;N$9,операции!$X:$X,"&gt;"&amp;N$9,операции!$AB:$AB,"&lt;&gt;"&amp;"",операции!$AB:$AB,"&lt;="&amp;N$9,операции!$O:$O,$F534))/N595)</f>
        <v>42181</v>
      </c>
      <c r="O598" s="196"/>
      <c r="P598" s="193">
        <f>IF(P595=0,0,(SUMIFS(операции!$AH:$AH,операции!$T:$T,"&lt;="&amp;N$9,операции!$X:$X,"",операции!$AB:$AB,"&lt;&gt;"&amp;"",операции!$AB:$AB,"&lt;="&amp;N$9,операции!$L:$L,P$9,операции!$O:$O,$F534)+SUMIFS(операции!$AH:$AH,операции!$T:$T,"&lt;="&amp;N$9,операции!$X:$X,"&gt;"&amp;N$9,операции!$AB:$AB,"&lt;&gt;"&amp;"",операции!$AB:$AB,"&lt;="&amp;N$9,операции!$L:$L,P$9,операции!$O:$O,$F534))/P595)</f>
        <v>42181</v>
      </c>
      <c r="Q598" s="237">
        <f>IF(Q595=0,0,(SUMIFS(операции!$AH:$AH,операции!$T:$T,"&lt;="&amp;N$9,операции!$X:$X,"",операции!$AB:$AB,"&lt;&gt;"&amp;"",операции!$AB:$AB,"&lt;="&amp;N$9,операции!$L:$L,Q$9,операции!$O:$O,$F534)+SUMIFS(операции!$AH:$AH,операции!$T:$T,"&lt;="&amp;N$9,операции!$X:$X,"&gt;"&amp;N$9,операции!$AB:$AB,"&lt;&gt;"&amp;"",операции!$AB:$AB,"&lt;="&amp;N$9,операции!$L:$L,Q$9,операции!$O:$O,$F534))/Q595)</f>
        <v>0</v>
      </c>
      <c r="R598" s="238"/>
      <c r="S598" s="193">
        <f>IF(S595=0,0,(SUMIFS(операции!$AH:$AH,операции!$T:$T,"&lt;="&amp;S$9,операции!$X:$X,"",операции!$AB:$AB,"&lt;&gt;"&amp;"",операции!$AB:$AB,"&lt;="&amp;S$9,операции!$O:$O,$F534)+SUMIFS(операции!$AH:$AH,операции!$T:$T,"&lt;="&amp;S$9,операции!$X:$X,"&gt;"&amp;S$9,операции!$AB:$AB,"&lt;&gt;"&amp;"",операции!$AB:$AB,"&lt;="&amp;S$9,операции!$O:$O,$F534))/S595)</f>
        <v>0</v>
      </c>
      <c r="T598" s="196"/>
      <c r="U598" s="193">
        <f>IF(U595=0,0,(SUMIFS(операции!$AH:$AH,операции!$T:$T,"&lt;="&amp;S$9,операции!$X:$X,"",операции!$AB:$AB,"&lt;&gt;"&amp;"",операции!$AB:$AB,"&lt;="&amp;S$9,операции!$L:$L,U$9,операции!$O:$O,$F534)+SUMIFS(операции!$AH:$AH,операции!$T:$T,"&lt;="&amp;S$9,операции!$X:$X,"&gt;"&amp;S$9,операции!$AB:$AB,"&lt;&gt;"&amp;"",операции!$AB:$AB,"&lt;="&amp;S$9,операции!$L:$L,U$9,операции!$O:$O,$F534))/U595)</f>
        <v>0</v>
      </c>
      <c r="V598" s="237">
        <f>IF(V595=0,0,(SUMIFS(операции!$AH:$AH,операции!$T:$T,"&lt;="&amp;S$9,операции!$X:$X,"",операции!$AB:$AB,"&lt;&gt;"&amp;"",операции!$AB:$AB,"&lt;="&amp;S$9,операции!$L:$L,V$9,операции!$O:$O,$F534)+SUMIFS(операции!$AH:$AH,операции!$T:$T,"&lt;="&amp;S$9,операции!$X:$X,"&gt;"&amp;S$9,операции!$AB:$AB,"&lt;&gt;"&amp;"",операции!$AB:$AB,"&lt;="&amp;S$9,операции!$L:$L,V$9,операции!$O:$O,$F534))/V595)</f>
        <v>0</v>
      </c>
      <c r="W598" s="238"/>
      <c r="X598" s="193">
        <f>IF(X595=0,0,(SUMIFS(операции!$AH:$AH,операции!$T:$T,"&lt;="&amp;X$9,операции!$X:$X,"",операции!$AB:$AB,"&lt;&gt;"&amp;"",операции!$AB:$AB,"&lt;="&amp;X$9,операции!$O:$O,$F534)+SUMIFS(операции!$AH:$AH,операции!$T:$T,"&lt;="&amp;X$9,операции!$X:$X,"&gt;"&amp;X$9,операции!$AB:$AB,"&lt;&gt;"&amp;"",операции!$AB:$AB,"&lt;="&amp;X$9,операции!$O:$O,$F534))/X595)</f>
        <v>0</v>
      </c>
      <c r="Y598" s="196"/>
      <c r="Z598" s="193">
        <f>IF(Z595=0,0,(SUMIFS(операции!$AH:$AH,операции!$T:$T,"&lt;="&amp;X$9,операции!$X:$X,"",операции!$AB:$AB,"&lt;&gt;"&amp;"",операции!$AB:$AB,"&lt;="&amp;X$9,операции!$L:$L,Z$9,операции!$O:$O,$F534)+SUMIFS(операции!$AH:$AH,операции!$T:$T,"&lt;="&amp;X$9,операции!$X:$X,"&gt;"&amp;X$9,операции!$AB:$AB,"&lt;&gt;"&amp;"",операции!$AB:$AB,"&lt;="&amp;X$9,операции!$L:$L,Z$9,операции!$O:$O,$F534))/Z595)</f>
        <v>0</v>
      </c>
      <c r="AA598" s="237">
        <f>IF(AA595=0,0,(SUMIFS(операции!$AH:$AH,операции!$T:$T,"&lt;="&amp;X$9,операции!$X:$X,"",операции!$AB:$AB,"&lt;&gt;"&amp;"",операции!$AB:$AB,"&lt;="&amp;X$9,операции!$L:$L,AA$9,операции!$O:$O,$F534)+SUMIFS(операции!$AH:$AH,операции!$T:$T,"&lt;="&amp;X$9,операции!$X:$X,"&gt;"&amp;X$9,операции!$AB:$AB,"&lt;&gt;"&amp;"",операции!$AB:$AB,"&lt;="&amp;X$9,операции!$L:$L,AA$9,операции!$O:$O,$F534))/AA595)</f>
        <v>0</v>
      </c>
      <c r="AB598" s="265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</row>
    <row r="599" spans="1:42" s="192" customFormat="1" ht="11.25">
      <c r="A599" s="37"/>
      <c r="B599" s="37"/>
      <c r="C599" s="37"/>
      <c r="D599" s="191"/>
      <c r="E599" s="191" t="s">
        <v>284</v>
      </c>
      <c r="F599" s="191" t="str">
        <f t="shared" si="914"/>
        <v>АвтоКомп</v>
      </c>
      <c r="G599" s="191" t="s">
        <v>219</v>
      </c>
      <c r="H599" s="315"/>
      <c r="I599" s="329">
        <f>I598-I596</f>
        <v>0</v>
      </c>
      <c r="J599" s="317"/>
      <c r="K599" s="329">
        <f>K598-K596</f>
        <v>0</v>
      </c>
      <c r="L599" s="330">
        <f>L598-L596</f>
        <v>0</v>
      </c>
      <c r="M599" s="274"/>
      <c r="N599" s="156">
        <f>N598-N596</f>
        <v>30</v>
      </c>
      <c r="O599" s="196"/>
      <c r="P599" s="156">
        <f>P598-P596</f>
        <v>30</v>
      </c>
      <c r="Q599" s="245">
        <f>Q598-Q596</f>
        <v>0</v>
      </c>
      <c r="R599" s="238"/>
      <c r="S599" s="156">
        <f>S598-S596</f>
        <v>0</v>
      </c>
      <c r="T599" s="196"/>
      <c r="U599" s="156">
        <f>U598-U596</f>
        <v>0</v>
      </c>
      <c r="V599" s="245">
        <f>V598-V596</f>
        <v>0</v>
      </c>
      <c r="W599" s="238"/>
      <c r="X599" s="156">
        <f>X598-X596</f>
        <v>0</v>
      </c>
      <c r="Y599" s="196"/>
      <c r="Z599" s="156">
        <f>Z598-Z596</f>
        <v>0</v>
      </c>
      <c r="AA599" s="245">
        <f>AA598-AA596</f>
        <v>0</v>
      </c>
      <c r="AB599" s="265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</row>
    <row r="600" spans="1:42" s="192" customFormat="1" ht="11.25">
      <c r="A600" s="37"/>
      <c r="B600" s="37"/>
      <c r="C600" s="37"/>
      <c r="D600" s="191"/>
      <c r="E600" s="191" t="s">
        <v>285</v>
      </c>
      <c r="F600" s="191" t="str">
        <f t="shared" si="914"/>
        <v>АвтоКомп</v>
      </c>
      <c r="G600" s="191" t="s">
        <v>219</v>
      </c>
      <c r="H600" s="315"/>
      <c r="I600" s="329">
        <f>I597-I599</f>
        <v>0</v>
      </c>
      <c r="J600" s="317"/>
      <c r="K600" s="329">
        <f>K597-K599</f>
        <v>0</v>
      </c>
      <c r="L600" s="330">
        <f>L597-L599</f>
        <v>0</v>
      </c>
      <c r="M600" s="274"/>
      <c r="N600" s="156">
        <f>N597-N599</f>
        <v>127</v>
      </c>
      <c r="O600" s="196"/>
      <c r="P600" s="156">
        <f>P597-P599</f>
        <v>127</v>
      </c>
      <c r="Q600" s="245">
        <f>Q597-Q599</f>
        <v>0</v>
      </c>
      <c r="R600" s="238"/>
      <c r="S600" s="156">
        <f>S597-S599</f>
        <v>0</v>
      </c>
      <c r="T600" s="196"/>
      <c r="U600" s="156">
        <f>U597-U599</f>
        <v>0</v>
      </c>
      <c r="V600" s="245">
        <f>V597-V599</f>
        <v>0</v>
      </c>
      <c r="W600" s="238"/>
      <c r="X600" s="156">
        <f>X597-X599</f>
        <v>0</v>
      </c>
      <c r="Y600" s="196"/>
      <c r="Z600" s="156">
        <f>Z597-Z599</f>
        <v>0</v>
      </c>
      <c r="AA600" s="245">
        <f>AA597-AA599</f>
        <v>0</v>
      </c>
      <c r="AB600" s="265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</row>
    <row r="601" spans="1:42" s="5" customFormat="1">
      <c r="A601" s="1"/>
      <c r="B601" s="1"/>
      <c r="C601" s="1"/>
      <c r="D601" s="168"/>
      <c r="E601" s="168" t="s">
        <v>286</v>
      </c>
      <c r="F601" s="168" t="str">
        <f t="shared" si="914"/>
        <v>АвтоКомп</v>
      </c>
      <c r="G601" s="168" t="s">
        <v>261</v>
      </c>
      <c r="H601" s="326"/>
      <c r="I601" s="327">
        <f>SUMIFS(операции!$V:$V,операции!$T:$T,"&lt;="&amp;I$9,операции!$X:$X,"",операции!$AB:$AB,"",операции!$O:$O,$F534)+SUMIFS(операции!$V:$V,операции!$T:$T,"&lt;="&amp;I$9,операции!$X:$X,"&gt;"&amp;I$9,операции!$AB:$AB,"",операции!$O:$O,$F534)+SUMIFS(операции!$V:$V,операции!$T:$T,"&lt;="&amp;I$9,операции!$X:$X,"",операции!$AB:$AB,"&gt;"&amp;I$9,операции!$O:$O,$F534)+SUMIFS(операции!$V:$V,операции!$T:$T,"&lt;="&amp;I$9,операции!$X:$X,"&gt;"&amp;I$9,операции!$AB:$AB,"&gt;"&amp;I$9,операции!$O:$O,$F534)</f>
        <v>0</v>
      </c>
      <c r="J601" s="313">
        <f>I601-K601-L601</f>
        <v>0</v>
      </c>
      <c r="K601" s="327">
        <f>SUMIFS(операции!$V:$V,операции!$T:$T,"&lt;="&amp;I$9,операции!$X:$X,"",операции!$AB:$AB,"",операции!$L:$L,K$9,операции!$O:$O,$F534)+SUMIFS(операции!$V:$V,операции!$T:$T,"&lt;="&amp;I$9,операции!$X:$X,"&gt;"&amp;I$9,операции!$AB:$AB,"",операции!$L:$L,K$9,операции!$O:$O,$F534)+SUMIFS(операции!$V:$V,операции!$T:$T,"&lt;="&amp;I$9,операции!$X:$X,"",операции!$AB:$AB,"&gt;"&amp;I$9,операции!$L:$L,K$9,операции!$O:$O,$F534)+SUMIFS(операции!$V:$V,операции!$T:$T,"&lt;="&amp;I$9,операции!$X:$X,"&gt;"&amp;I$9,операции!$AB:$AB,"&gt;"&amp;I$9,операции!$L:$L,K$9,операции!$O:$O,$F534)</f>
        <v>0</v>
      </c>
      <c r="L601" s="328">
        <f>SUMIFS(операции!$V:$V,операции!$T:$T,"&lt;="&amp;I$9,операции!$X:$X,"",операции!$AB:$AB,"",операции!$L:$L,L$9,операции!$O:$O,$F534)+SUMIFS(операции!$V:$V,операции!$T:$T,"&lt;="&amp;I$9,операции!$X:$X,"&gt;"&amp;I$9,операции!$AB:$AB,"",операции!$L:$L,L$9,операции!$O:$O,$F534)+SUMIFS(операции!$V:$V,операции!$T:$T,"&lt;="&amp;I$9,операции!$X:$X,"",операции!$AB:$AB,"&gt;"&amp;I$9,операции!$L:$L,L$9,операции!$O:$O,$F534)+SUMIFS(операции!$V:$V,операции!$T:$T,"&lt;="&amp;I$9,операции!$X:$X,"&gt;"&amp;I$9,операции!$AB:$AB,"&gt;"&amp;I$9,операции!$L:$L,L$9,операции!$O:$O,$F534)</f>
        <v>0</v>
      </c>
      <c r="M601" s="277"/>
      <c r="N601" s="169">
        <f>SUMIFS(операции!$V:$V,операции!$T:$T,"&lt;="&amp;N$9,операции!$X:$X,"",операции!$AB:$AB,"",операции!$O:$O,$F534)+SUMIFS(операции!$V:$V,операции!$T:$T,"&lt;="&amp;N$9,операции!$X:$X,"&gt;"&amp;N$9,операции!$AB:$AB,"",операции!$O:$O,$F534)+SUMIFS(операции!$V:$V,операции!$T:$T,"&lt;="&amp;N$9,операции!$X:$X,"",операции!$AB:$AB,"&gt;"&amp;N$9,операции!$O:$O,$F534)+SUMIFS(операции!$V:$V,операции!$T:$T,"&lt;="&amp;N$9,операции!$X:$X,"&gt;"&amp;N$9,операции!$AB:$AB,"&gt;"&amp;N$9,операции!$O:$O,$F534)</f>
        <v>0</v>
      </c>
      <c r="O601" s="170">
        <f>N601-P601-Q601</f>
        <v>0</v>
      </c>
      <c r="P601" s="169">
        <f>SUMIFS(операции!$V:$V,операции!$T:$T,"&lt;="&amp;N$9,операции!$X:$X,"",операции!$AB:$AB,"",операции!$L:$L,P$9,операции!$O:$O,$F534)+SUMIFS(операции!$V:$V,операции!$T:$T,"&lt;="&amp;N$9,операции!$X:$X,"&gt;"&amp;N$9,операции!$AB:$AB,"",операции!$L:$L,P$9,операции!$O:$O,$F534)+SUMIFS(операции!$V:$V,операции!$T:$T,"&lt;="&amp;N$9,операции!$X:$X,"",операции!$AB:$AB,"&gt;"&amp;N$9,операции!$L:$L,P$9,операции!$O:$O,$F534)+SUMIFS(операции!$V:$V,операции!$T:$T,"&lt;="&amp;N$9,операции!$X:$X,"&gt;"&amp;N$9,операции!$AB:$AB,"&gt;"&amp;N$9,операции!$L:$L,P$9,операции!$O:$O,$F534)</f>
        <v>0</v>
      </c>
      <c r="Q601" s="243">
        <f>SUMIFS(операции!$V:$V,операции!$T:$T,"&lt;="&amp;N$9,операции!$X:$X,"",операции!$AB:$AB,"",операции!$L:$L,Q$9,операции!$O:$O,$F534)+SUMIFS(операции!$V:$V,операции!$T:$T,"&lt;="&amp;N$9,операции!$X:$X,"&gt;"&amp;N$9,операции!$AB:$AB,"",операции!$L:$L,Q$9,операции!$O:$O,$F534)+SUMIFS(операции!$V:$V,операции!$T:$T,"&lt;="&amp;N$9,операции!$X:$X,"",операции!$AB:$AB,"&gt;"&amp;N$9,операции!$L:$L,Q$9,операции!$O:$O,$F534)+SUMIFS(операции!$V:$V,операции!$T:$T,"&lt;="&amp;N$9,операции!$X:$X,"&gt;"&amp;N$9,операции!$AB:$AB,"&gt;"&amp;N$9,операции!$L:$L,Q$9,операции!$O:$O,$F534)</f>
        <v>0</v>
      </c>
      <c r="R601" s="244"/>
      <c r="S601" s="169">
        <f>SUMIFS(операции!$V:$V,операции!$T:$T,"&lt;="&amp;S$9,операции!$X:$X,"",операции!$AB:$AB,"",операции!$O:$O,$F534)+SUMIFS(операции!$V:$V,операции!$T:$T,"&lt;="&amp;S$9,операции!$X:$X,"&gt;"&amp;S$9,операции!$AB:$AB,"",операции!$O:$O,$F534)+SUMIFS(операции!$V:$V,операции!$T:$T,"&lt;="&amp;S$9,операции!$X:$X,"",операции!$AB:$AB,"&gt;"&amp;S$9,операции!$O:$O,$F534)+SUMIFS(операции!$V:$V,операции!$T:$T,"&lt;="&amp;S$9,операции!$X:$X,"&gt;"&amp;S$9,операции!$AB:$AB,"&gt;"&amp;S$9,операции!$O:$O,$F534)</f>
        <v>0</v>
      </c>
      <c r="T601" s="170">
        <f>S601-U601-V601</f>
        <v>0</v>
      </c>
      <c r="U601" s="169">
        <f>SUMIFS(операции!$V:$V,операции!$T:$T,"&lt;="&amp;S$9,операции!$X:$X,"",операции!$AB:$AB,"",операции!$L:$L,U$9,операции!$O:$O,$F534)+SUMIFS(операции!$V:$V,операции!$T:$T,"&lt;="&amp;S$9,операции!$X:$X,"&gt;"&amp;S$9,операции!$AB:$AB,"",операции!$L:$L,U$9,операции!$O:$O,$F534)+SUMIFS(операции!$V:$V,операции!$T:$T,"&lt;="&amp;S$9,операции!$X:$X,"",операции!$AB:$AB,"&gt;"&amp;S$9,операции!$L:$L,U$9,операции!$O:$O,$F534)+SUMIFS(операции!$V:$V,операции!$T:$T,"&lt;="&amp;S$9,операции!$X:$X,"&gt;"&amp;S$9,операции!$AB:$AB,"&gt;"&amp;S$9,операции!$L:$L,U$9,операции!$O:$O,$F534)</f>
        <v>0</v>
      </c>
      <c r="V601" s="243">
        <f>SUMIFS(операции!$V:$V,операции!$T:$T,"&lt;="&amp;S$9,операции!$X:$X,"",операции!$AB:$AB,"",операции!$L:$L,V$9,операции!$O:$O,$F534)+SUMIFS(операции!$V:$V,операции!$T:$T,"&lt;="&amp;S$9,операции!$X:$X,"&gt;"&amp;S$9,операции!$AB:$AB,"",операции!$L:$L,V$9,операции!$O:$O,$F534)+SUMIFS(операции!$V:$V,операции!$T:$T,"&lt;="&amp;S$9,операции!$X:$X,"",операции!$AB:$AB,"&gt;"&amp;S$9,операции!$L:$L,V$9,операции!$O:$O,$F534)+SUMIFS(операции!$V:$V,операции!$T:$T,"&lt;="&amp;S$9,операции!$X:$X,"&gt;"&amp;S$9,операции!$AB:$AB,"&gt;"&amp;S$9,операции!$L:$L,V$9,операции!$O:$O,$F534)</f>
        <v>0</v>
      </c>
      <c r="W601" s="244"/>
      <c r="X601" s="169">
        <f>SUMIFS(операции!$V:$V,операции!$T:$T,"&lt;="&amp;X$9,операции!$X:$X,"",операции!$AB:$AB,"",операции!$O:$O,$F534)+SUMIFS(операции!$V:$V,операции!$T:$T,"&lt;="&amp;X$9,операции!$X:$X,"&gt;"&amp;X$9,операции!$AB:$AB,"",операции!$O:$O,$F534)+SUMIFS(операции!$V:$V,операции!$T:$T,"&lt;="&amp;X$9,операции!$X:$X,"",операции!$AB:$AB,"&gt;"&amp;X$9,операции!$O:$O,$F534)+SUMIFS(операции!$V:$V,операции!$T:$T,"&lt;="&amp;X$9,операции!$X:$X,"&gt;"&amp;X$9,операции!$AB:$AB,"&gt;"&amp;X$9,операции!$O:$O,$F534)</f>
        <v>0</v>
      </c>
      <c r="Y601" s="170">
        <f>X601-Z601-AA601</f>
        <v>0</v>
      </c>
      <c r="Z601" s="169">
        <f>SUMIFS(операции!$V:$V,операции!$T:$T,"&lt;="&amp;X$9,операции!$X:$X,"",операции!$AB:$AB,"",операции!$L:$L,Z$9,операции!$O:$O,$F534)+SUMIFS(операции!$V:$V,операции!$T:$T,"&lt;="&amp;X$9,операции!$X:$X,"&gt;"&amp;X$9,операции!$AB:$AB,"",операции!$L:$L,Z$9,операции!$O:$O,$F534)+SUMIFS(операции!$V:$V,операции!$T:$T,"&lt;="&amp;X$9,операции!$X:$X,"",операции!$AB:$AB,"&gt;"&amp;X$9,операции!$L:$L,Z$9,операции!$O:$O,$F534)+SUMIFS(операции!$V:$V,операции!$T:$T,"&lt;="&amp;X$9,операции!$X:$X,"&gt;"&amp;X$9,операции!$AB:$AB,"&gt;"&amp;X$9,операции!$L:$L,Z$9,операции!$O:$O,$F534)</f>
        <v>0</v>
      </c>
      <c r="AA601" s="243">
        <f>SUMIFS(операции!$V:$V,операции!$T:$T,"&lt;="&amp;X$9,операции!$X:$X,"",операции!$AB:$AB,"",операции!$L:$L,AA$9,операции!$O:$O,$F534)+SUMIFS(операции!$V:$V,операции!$T:$T,"&lt;="&amp;X$9,операции!$X:$X,"&gt;"&amp;X$9,операции!$AB:$AB,"",операции!$L:$L,AA$9,операции!$O:$O,$F534)+SUMIFS(операции!$V:$V,операции!$T:$T,"&lt;="&amp;X$9,операции!$X:$X,"",операции!$AB:$AB,"&gt;"&amp;X$9,операции!$L:$L,AA$9,операции!$O:$O,$F534)+SUMIFS(операции!$V:$V,операции!$T:$T,"&lt;="&amp;X$9,операции!$X:$X,"&gt;"&amp;X$9,операции!$AB:$AB,"&gt;"&amp;X$9,операции!$L:$L,AA$9,операции!$O:$O,$F534)</f>
        <v>0</v>
      </c>
      <c r="AB601" s="266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s="192" customFormat="1" ht="11.25">
      <c r="A602" s="37"/>
      <c r="B602" s="37"/>
      <c r="C602" s="37"/>
      <c r="D602" s="191"/>
      <c r="E602" s="191" t="s">
        <v>255</v>
      </c>
      <c r="F602" s="191" t="str">
        <f t="shared" si="914"/>
        <v>АвтоКомп</v>
      </c>
      <c r="G602" s="191" t="s">
        <v>262</v>
      </c>
      <c r="H602" s="315"/>
      <c r="I602" s="316">
        <f>IF(I601=0,0,(SUMIFS(операции!$AF:$AF,операции!$T:$T,"&lt;="&amp;I$9,операции!$X:$X,"",операции!$AB:$AB,"",операции!$O:$O,$F534)+SUMIFS(операции!$AF:$AF,операции!$T:$T,"&lt;="&amp;I$9,операции!$X:$X,"&gt;"&amp;I$9,операции!$AB:$AB,"",операции!$O:$O,$F534)+SUMIFS(операции!$AF:$AF,операции!$T:$T,"&lt;="&amp;I$9,операции!$X:$X,"",операции!$AB:$AB,"&gt;"&amp;I$9,операции!$O:$O,$F534)+SUMIFS(операции!$AF:$AF,операции!$T:$T,"&lt;="&amp;I$9,операции!$X:$X,"&gt;"&amp;I$9,операции!$AB:$AB,"&gt;"&amp;I$9,операции!$O:$O,$F534))/I601)</f>
        <v>0</v>
      </c>
      <c r="J602" s="317"/>
      <c r="K602" s="316">
        <f>IF(K601=0,0,(SUMIFS(операции!$AF:$AF,операции!$T:$T,"&lt;="&amp;I$9,операции!$X:$X,"",операции!$AB:$AB,"",операции!$L:$L,K$9,операции!$O:$O,$F534)+SUMIFS(операции!$AF:$AF,операции!$T:$T,"&lt;="&amp;I$9,операции!$X:$X,"&gt;"&amp;I$9,операции!$AB:$AB,"",операции!$L:$L,K$9,операции!$O:$O,$F534)+SUMIFS(операции!$AF:$AF,операции!$T:$T,"&lt;="&amp;I$9,операции!$X:$X,"",операции!$AB:$AB,"&gt;"&amp;I$9,операции!$L:$L,K$9,операции!$O:$O,$F534)+SUMIFS(операции!$AF:$AF,операции!$T:$T,"&lt;="&amp;I$9,операции!$X:$X,"&gt;"&amp;I$9,операции!$AB:$AB,"&gt;"&amp;I$9,операции!$L:$L,K$9,операции!$O:$O,$F534))/K601)</f>
        <v>0</v>
      </c>
      <c r="L602" s="318">
        <f>IF(L601=0,0,(SUMIFS(операции!$AF:$AF,операции!$T:$T,"&lt;="&amp;I$9,операции!$X:$X,"",операции!$AB:$AB,"",операции!$L:$L,L$9,операции!$O:$O,$F534)+SUMIFS(операции!$AF:$AF,операции!$T:$T,"&lt;="&amp;I$9,операции!$X:$X,"&gt;"&amp;I$9,операции!$AB:$AB,"",операции!$L:$L,L$9,операции!$O:$O,$F534)+SUMIFS(операции!$AF:$AF,операции!$T:$T,"&lt;="&amp;I$9,операции!$X:$X,"",операции!$AB:$AB,"&gt;"&amp;I$9,операции!$L:$L,L$9,операции!$O:$O,$F534)+SUMIFS(операции!$AF:$AF,операции!$T:$T,"&lt;="&amp;I$9,операции!$X:$X,"&gt;"&amp;I$9,операции!$AB:$AB,"&gt;"&amp;I$9,операции!$L:$L,L$9,операции!$O:$O,$F534))/L601)</f>
        <v>0</v>
      </c>
      <c r="M602" s="274"/>
      <c r="N602" s="193">
        <f>IF(N601=0,0,(SUMIFS(операции!$AF:$AF,операции!$T:$T,"&lt;="&amp;N$9,операции!$X:$X,"",операции!$AB:$AB,"",операции!$O:$O,$F534)+SUMIFS(операции!$AF:$AF,операции!$T:$T,"&lt;="&amp;N$9,операции!$X:$X,"&gt;"&amp;N$9,операции!$AB:$AB,"",операции!$O:$O,$F534)+SUMIFS(операции!$AF:$AF,операции!$T:$T,"&lt;="&amp;N$9,операции!$X:$X,"",операции!$AB:$AB,"&gt;"&amp;N$9,операции!$O:$O,$F534)+SUMIFS(операции!$AF:$AF,операции!$T:$T,"&lt;="&amp;N$9,операции!$X:$X,"&gt;"&amp;N$9,операции!$AB:$AB,"&gt;"&amp;N$9,операции!$O:$O,$F534))/N601)</f>
        <v>0</v>
      </c>
      <c r="O602" s="196"/>
      <c r="P602" s="193">
        <f>IF(P601=0,0,(SUMIFS(операции!$AF:$AF,операции!$T:$T,"&lt;="&amp;N$9,операции!$X:$X,"",операции!$AB:$AB,"",операции!$L:$L,P$9,операции!$O:$O,$F534)+SUMIFS(операции!$AF:$AF,операции!$T:$T,"&lt;="&amp;N$9,операции!$X:$X,"&gt;"&amp;N$9,операции!$AB:$AB,"",операции!$L:$L,P$9,операции!$O:$O,$F534)+SUMIFS(операции!$AF:$AF,операции!$T:$T,"&lt;="&amp;N$9,операции!$X:$X,"",операции!$AB:$AB,"&gt;"&amp;N$9,операции!$L:$L,P$9,операции!$O:$O,$F534)+SUMIFS(операции!$AF:$AF,операции!$T:$T,"&lt;="&amp;N$9,операции!$X:$X,"&gt;"&amp;N$9,операции!$AB:$AB,"&gt;"&amp;N$9,операции!$L:$L,P$9,операции!$O:$O,$F534))/P601)</f>
        <v>0</v>
      </c>
      <c r="Q602" s="237">
        <f>IF(Q601=0,0,(SUMIFS(операции!$AF:$AF,операции!$T:$T,"&lt;="&amp;N$9,операции!$X:$X,"",операции!$AB:$AB,"",операции!$L:$L,Q$9,операции!$O:$O,$F534)+SUMIFS(операции!$AF:$AF,операции!$T:$T,"&lt;="&amp;N$9,операции!$X:$X,"&gt;"&amp;N$9,операции!$AB:$AB,"",операции!$L:$L,Q$9,операции!$O:$O,$F534)+SUMIFS(операции!$AF:$AF,операции!$T:$T,"&lt;="&amp;N$9,операции!$X:$X,"",операции!$AB:$AB,"&gt;"&amp;N$9,операции!$L:$L,Q$9,операции!$O:$O,$F534)+SUMIFS(операции!$AF:$AF,операции!$T:$T,"&lt;="&amp;N$9,операции!$X:$X,"&gt;"&amp;N$9,операции!$AB:$AB,"&gt;"&amp;N$9,операции!$L:$L,Q$9,операции!$O:$O,$F534))/Q601)</f>
        <v>0</v>
      </c>
      <c r="R602" s="238"/>
      <c r="S602" s="193">
        <f>IF(S601=0,0,(SUMIFS(операции!$AF:$AF,операции!$T:$T,"&lt;="&amp;S$9,операции!$X:$X,"",операции!$AB:$AB,"",операции!$O:$O,$F534)+SUMIFS(операции!$AF:$AF,операции!$T:$T,"&lt;="&amp;S$9,операции!$X:$X,"&gt;"&amp;S$9,операции!$AB:$AB,"",операции!$O:$O,$F534)+SUMIFS(операции!$AF:$AF,операции!$T:$T,"&lt;="&amp;S$9,операции!$X:$X,"",операции!$AB:$AB,"&gt;"&amp;S$9,операции!$O:$O,$F534)+SUMIFS(операции!$AF:$AF,операции!$T:$T,"&lt;="&amp;S$9,операции!$X:$X,"&gt;"&amp;S$9,операции!$AB:$AB,"&gt;"&amp;S$9,операции!$O:$O,$F534))/S601)</f>
        <v>0</v>
      </c>
      <c r="T602" s="196"/>
      <c r="U602" s="193">
        <f>IF(U601=0,0,(SUMIFS(операции!$AF:$AF,операции!$T:$T,"&lt;="&amp;S$9,операции!$X:$X,"",операции!$AB:$AB,"",операции!$L:$L,U$9,операции!$O:$O,$F534)+SUMIFS(операции!$AF:$AF,операции!$T:$T,"&lt;="&amp;S$9,операции!$X:$X,"&gt;"&amp;S$9,операции!$AB:$AB,"",операции!$L:$L,U$9,операции!$O:$O,$F534)+SUMIFS(операции!$AF:$AF,операции!$T:$T,"&lt;="&amp;S$9,операции!$X:$X,"",операции!$AB:$AB,"&gt;"&amp;S$9,операции!$L:$L,U$9,операции!$O:$O,$F534)+SUMIFS(операции!$AF:$AF,операции!$T:$T,"&lt;="&amp;S$9,операции!$X:$X,"&gt;"&amp;S$9,операции!$AB:$AB,"&gt;"&amp;S$9,операции!$L:$L,U$9,операции!$O:$O,$F534))/U601)</f>
        <v>0</v>
      </c>
      <c r="V602" s="237">
        <f>IF(V601=0,0,(SUMIFS(операции!$AF:$AF,операции!$T:$T,"&lt;="&amp;S$9,операции!$X:$X,"",операции!$AB:$AB,"",операции!$L:$L,V$9,операции!$O:$O,$F534)+SUMIFS(операции!$AF:$AF,операции!$T:$T,"&lt;="&amp;S$9,операции!$X:$X,"&gt;"&amp;S$9,операции!$AB:$AB,"",операции!$L:$L,V$9,операции!$O:$O,$F534)+SUMIFS(операции!$AF:$AF,операции!$T:$T,"&lt;="&amp;S$9,операции!$X:$X,"",операции!$AB:$AB,"&gt;"&amp;S$9,операции!$L:$L,V$9,операции!$O:$O,$F534)+SUMIFS(операции!$AF:$AF,операции!$T:$T,"&lt;="&amp;S$9,операции!$X:$X,"&gt;"&amp;S$9,операции!$AB:$AB,"&gt;"&amp;S$9,операции!$L:$L,V$9,операции!$O:$O,$F534))/V601)</f>
        <v>0</v>
      </c>
      <c r="W602" s="238"/>
      <c r="X602" s="193">
        <f>IF(X601=0,0,(SUMIFS(операции!$AF:$AF,операции!$T:$T,"&lt;="&amp;X$9,операции!$X:$X,"",операции!$AB:$AB,"",операции!$O:$O,$F534)+SUMIFS(операции!$AF:$AF,операции!$T:$T,"&lt;="&amp;X$9,операции!$X:$X,"&gt;"&amp;X$9,операции!$AB:$AB,"",операции!$O:$O,$F534)+SUMIFS(операции!$AF:$AF,операции!$T:$T,"&lt;="&amp;X$9,операции!$X:$X,"",операции!$AB:$AB,"&gt;"&amp;X$9,операции!$O:$O,$F534)+SUMIFS(операции!$AF:$AF,операции!$T:$T,"&lt;="&amp;X$9,операции!$X:$X,"&gt;"&amp;X$9,операции!$AB:$AB,"&gt;"&amp;X$9,операции!$O:$O,$F534))/X601)</f>
        <v>0</v>
      </c>
      <c r="Y602" s="196"/>
      <c r="Z602" s="193">
        <f>IF(Z601=0,0,(SUMIFS(операции!$AF:$AF,операции!$T:$T,"&lt;="&amp;X$9,операции!$X:$X,"",операции!$AB:$AB,"",операции!$L:$L,Z$9,операции!$O:$O,$F534)+SUMIFS(операции!$AF:$AF,операции!$T:$T,"&lt;="&amp;X$9,операции!$X:$X,"&gt;"&amp;X$9,операции!$AB:$AB,"",операции!$L:$L,Z$9,операции!$O:$O,$F534)+SUMIFS(операции!$AF:$AF,операции!$T:$T,"&lt;="&amp;X$9,операции!$X:$X,"",операции!$AB:$AB,"&gt;"&amp;X$9,операции!$L:$L,Z$9,операции!$O:$O,$F534)+SUMIFS(операции!$AF:$AF,операции!$T:$T,"&lt;="&amp;X$9,операции!$X:$X,"&gt;"&amp;X$9,операции!$AB:$AB,"&gt;"&amp;X$9,операции!$L:$L,Z$9,операции!$O:$O,$F534))/Z601)</f>
        <v>0</v>
      </c>
      <c r="AA602" s="237">
        <f>IF(AA601=0,0,(SUMIFS(операции!$AF:$AF,операции!$T:$T,"&lt;="&amp;X$9,операции!$X:$X,"",операции!$AB:$AB,"",операции!$L:$L,AA$9,операции!$O:$O,$F534)+SUMIFS(операции!$AF:$AF,операции!$T:$T,"&lt;="&amp;X$9,операции!$X:$X,"&gt;"&amp;X$9,операции!$AB:$AB,"",операции!$L:$L,AA$9,операции!$O:$O,$F534)+SUMIFS(операции!$AF:$AF,операции!$T:$T,"&lt;="&amp;X$9,операции!$X:$X,"",операции!$AB:$AB,"&gt;"&amp;X$9,операции!$L:$L,AA$9,операции!$O:$O,$F534)+SUMIFS(операции!$AF:$AF,операции!$T:$T,"&lt;="&amp;X$9,операции!$X:$X,"&gt;"&amp;X$9,операции!$AB:$AB,"&gt;"&amp;X$9,операции!$L:$L,AA$9,операции!$O:$O,$F534))/AA601)</f>
        <v>0</v>
      </c>
      <c r="AB602" s="265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</row>
    <row r="603" spans="1:42" s="192" customFormat="1" ht="11.25">
      <c r="A603" s="37"/>
      <c r="B603" s="37"/>
      <c r="C603" s="37"/>
      <c r="D603" s="191"/>
      <c r="E603" s="191" t="s">
        <v>287</v>
      </c>
      <c r="F603" s="191" t="str">
        <f t="shared" ref="F603:F606" si="1047">F602</f>
        <v>АвтоКомп</v>
      </c>
      <c r="G603" s="191" t="s">
        <v>219</v>
      </c>
      <c r="H603" s="315"/>
      <c r="I603" s="329">
        <f>IF(I601=0,0,I$9-I602)</f>
        <v>0</v>
      </c>
      <c r="J603" s="317"/>
      <c r="K603" s="329">
        <f>IF(K601=0,0,I$9-K602)</f>
        <v>0</v>
      </c>
      <c r="L603" s="330">
        <f>IF(L601=0,0,I$9-L602)</f>
        <v>0</v>
      </c>
      <c r="M603" s="274"/>
      <c r="N603" s="156">
        <f>IF(N601=0,0,N$9-N602)</f>
        <v>0</v>
      </c>
      <c r="O603" s="196"/>
      <c r="P603" s="156">
        <f>IF(P601=0,0,N$9-P602)</f>
        <v>0</v>
      </c>
      <c r="Q603" s="245">
        <f>IF(Q601=0,0,N$9-Q602)</f>
        <v>0</v>
      </c>
      <c r="R603" s="238"/>
      <c r="S603" s="156">
        <f>IF(S601=0,0,S$9-S602)</f>
        <v>0</v>
      </c>
      <c r="T603" s="196"/>
      <c r="U603" s="156">
        <f>IF(U601=0,0,S$9-U602)</f>
        <v>0</v>
      </c>
      <c r="V603" s="245">
        <f>IF(V601=0,0,S$9-V602)</f>
        <v>0</v>
      </c>
      <c r="W603" s="238"/>
      <c r="X603" s="156">
        <f>IF(X601=0,0,X$9-X602)</f>
        <v>0</v>
      </c>
      <c r="Y603" s="196"/>
      <c r="Z603" s="156">
        <f>IF(Z601=0,0,X$9-Z602)</f>
        <v>0</v>
      </c>
      <c r="AA603" s="245">
        <f>IF(AA601=0,0,X$9-AA602)</f>
        <v>0</v>
      </c>
      <c r="AB603" s="265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</row>
    <row r="604" spans="1:42" s="192" customFormat="1" ht="11.25">
      <c r="A604" s="37"/>
      <c r="B604" s="37"/>
      <c r="C604" s="37"/>
      <c r="D604" s="191"/>
      <c r="E604" s="191" t="s">
        <v>311</v>
      </c>
      <c r="F604" s="191" t="str">
        <f t="shared" si="1047"/>
        <v>АвтоКомп</v>
      </c>
      <c r="G604" s="191" t="s">
        <v>262</v>
      </c>
      <c r="H604" s="315"/>
      <c r="I604" s="316">
        <f>I$9</f>
        <v>42369</v>
      </c>
      <c r="J604" s="317"/>
      <c r="K604" s="316">
        <f>I$9</f>
        <v>42369</v>
      </c>
      <c r="L604" s="318">
        <f>I$9</f>
        <v>42369</v>
      </c>
      <c r="M604" s="274"/>
      <c r="N604" s="193">
        <f>N$9</f>
        <v>42308</v>
      </c>
      <c r="O604" s="196"/>
      <c r="P604" s="193">
        <f>N$9</f>
        <v>42308</v>
      </c>
      <c r="Q604" s="237">
        <f>N$9</f>
        <v>42308</v>
      </c>
      <c r="R604" s="238"/>
      <c r="S604" s="193">
        <f>S$9</f>
        <v>42338</v>
      </c>
      <c r="T604" s="196"/>
      <c r="U604" s="193">
        <f>S$9</f>
        <v>42338</v>
      </c>
      <c r="V604" s="237">
        <f>S$9</f>
        <v>42338</v>
      </c>
      <c r="W604" s="238"/>
      <c r="X604" s="193">
        <f>X$9</f>
        <v>42369</v>
      </c>
      <c r="Y604" s="196"/>
      <c r="Z604" s="193">
        <f>X$9</f>
        <v>42369</v>
      </c>
      <c r="AA604" s="237">
        <f>X$9</f>
        <v>42369</v>
      </c>
      <c r="AB604" s="265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</row>
    <row r="605" spans="1:42" s="192" customFormat="1" ht="11.25">
      <c r="A605" s="37"/>
      <c r="B605" s="37"/>
      <c r="C605" s="37"/>
      <c r="D605" s="191"/>
      <c r="E605" s="191" t="s">
        <v>288</v>
      </c>
      <c r="F605" s="191" t="str">
        <f t="shared" si="1047"/>
        <v>АвтоКомп</v>
      </c>
      <c r="G605" s="191" t="s">
        <v>219</v>
      </c>
      <c r="H605" s="315"/>
      <c r="I605" s="329">
        <f>IF(I601=0,0,I604-I602)</f>
        <v>0</v>
      </c>
      <c r="J605" s="317"/>
      <c r="K605" s="329">
        <f>IF(K601=0,0,K604-K602)</f>
        <v>0</v>
      </c>
      <c r="L605" s="330">
        <f>IF(L601=0,0,L604-L602)</f>
        <v>0</v>
      </c>
      <c r="M605" s="274"/>
      <c r="N605" s="156">
        <f>IF(N601=0,0,N604-N602)</f>
        <v>0</v>
      </c>
      <c r="O605" s="196"/>
      <c r="P605" s="156">
        <f>IF(P601=0,0,P604-P602)</f>
        <v>0</v>
      </c>
      <c r="Q605" s="245">
        <f>IF(Q601=0,0,Q604-Q602)</f>
        <v>0</v>
      </c>
      <c r="R605" s="238"/>
      <c r="S605" s="156">
        <f>IF(S601=0,0,S604-S602)</f>
        <v>0</v>
      </c>
      <c r="T605" s="196"/>
      <c r="U605" s="156">
        <f>IF(U601=0,0,U604-U602)</f>
        <v>0</v>
      </c>
      <c r="V605" s="245">
        <f>IF(V601=0,0,V604-V602)</f>
        <v>0</v>
      </c>
      <c r="W605" s="238"/>
      <c r="X605" s="156">
        <f>IF(X601=0,0,X604-X602)</f>
        <v>0</v>
      </c>
      <c r="Y605" s="196"/>
      <c r="Z605" s="156">
        <f>IF(Z601=0,0,Z604-Z602)</f>
        <v>0</v>
      </c>
      <c r="AA605" s="245">
        <f>IF(AA601=0,0,AA604-AA602)</f>
        <v>0</v>
      </c>
      <c r="AB605" s="265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</row>
    <row r="606" spans="1:42" s="192" customFormat="1" ht="12" thickBot="1">
      <c r="A606" s="37"/>
      <c r="B606" s="37"/>
      <c r="C606" s="37"/>
      <c r="D606" s="297"/>
      <c r="E606" s="297" t="s">
        <v>289</v>
      </c>
      <c r="F606" s="297" t="str">
        <f t="shared" si="1047"/>
        <v>АвтоКомп</v>
      </c>
      <c r="G606" s="297" t="s">
        <v>219</v>
      </c>
      <c r="H606" s="377"/>
      <c r="I606" s="378">
        <f>I603-I605</f>
        <v>0</v>
      </c>
      <c r="J606" s="379"/>
      <c r="K606" s="378">
        <f>K603-K605</f>
        <v>0</v>
      </c>
      <c r="L606" s="380">
        <f>L603-L605</f>
        <v>0</v>
      </c>
      <c r="M606" s="300"/>
      <c r="N606" s="298">
        <f>N603-N605</f>
        <v>0</v>
      </c>
      <c r="O606" s="299"/>
      <c r="P606" s="298">
        <f>P603-P605</f>
        <v>0</v>
      </c>
      <c r="Q606" s="301">
        <f>Q603-Q605</f>
        <v>0</v>
      </c>
      <c r="R606" s="302"/>
      <c r="S606" s="298">
        <f>S603-S605</f>
        <v>0</v>
      </c>
      <c r="T606" s="299"/>
      <c r="U606" s="298">
        <f>U603-U605</f>
        <v>0</v>
      </c>
      <c r="V606" s="301">
        <f>V603-V605</f>
        <v>0</v>
      </c>
      <c r="W606" s="302"/>
      <c r="X606" s="298">
        <f>X603-X605</f>
        <v>0</v>
      </c>
      <c r="Y606" s="299"/>
      <c r="Z606" s="298">
        <f>Z603-Z605</f>
        <v>0</v>
      </c>
      <c r="AA606" s="301">
        <f>AA603-AA605</f>
        <v>0</v>
      </c>
      <c r="AB606" s="265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</row>
    <row r="607" spans="1:42" s="111" customFormat="1" ht="11.25">
      <c r="A607" s="108"/>
      <c r="B607" s="108"/>
      <c r="C607" s="108" t="s">
        <v>271</v>
      </c>
      <c r="D607" s="291"/>
      <c r="E607" s="291"/>
      <c r="F607" s="291" t="str">
        <f>F608</f>
        <v>ВалентаСпорт</v>
      </c>
      <c r="G607" s="291"/>
      <c r="H607" s="373"/>
      <c r="I607" s="374">
        <f>I608-K608-L608</f>
        <v>0</v>
      </c>
      <c r="J607" s="375">
        <f>N607+N625+N663+SUM(O:O)+S607+S625+S663+SUM(T:T)+X607+X625+X663+SUM(Y:Y)</f>
        <v>3.7104683769939584E-9</v>
      </c>
      <c r="K607" s="373"/>
      <c r="L607" s="376"/>
      <c r="M607" s="293"/>
      <c r="N607" s="292">
        <f>N608-P608-Q608</f>
        <v>0</v>
      </c>
      <c r="O607" s="294"/>
      <c r="P607" s="291"/>
      <c r="Q607" s="295"/>
      <c r="R607" s="296"/>
      <c r="S607" s="292">
        <f>S608-U608-V608</f>
        <v>0</v>
      </c>
      <c r="T607" s="294"/>
      <c r="U607" s="291"/>
      <c r="V607" s="295"/>
      <c r="W607" s="296"/>
      <c r="X607" s="292">
        <f>X608-Z608-AA608</f>
        <v>0</v>
      </c>
      <c r="Y607" s="294"/>
      <c r="Z607" s="291"/>
      <c r="AA607" s="295"/>
      <c r="AB607" s="263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</row>
    <row r="608" spans="1:42" s="93" customFormat="1" ht="15">
      <c r="A608" s="92"/>
      <c r="B608" s="92"/>
      <c r="C608" s="92"/>
      <c r="D608" s="151" t="s">
        <v>256</v>
      </c>
      <c r="E608" s="151"/>
      <c r="F608" s="286" t="str">
        <f>микс!$H$25</f>
        <v>ВалентаСпорт</v>
      </c>
      <c r="G608" s="151" t="s">
        <v>261</v>
      </c>
      <c r="H608" s="311"/>
      <c r="I608" s="312">
        <f>SUMIFS(операции!$V:$V,операции!$T:$T,"&lt;"&amp;I$8,операции!$X:$X,"",операции!$O:$O,$F608)+SUMIFS(операции!$V:$V,операции!$T:$T,"&lt;"&amp;I$8,операции!$X:$X,"&gt;="&amp;I$8,операции!$O:$O,$F608)</f>
        <v>11759.48</v>
      </c>
      <c r="J608" s="313">
        <f>I608-I613-I619</f>
        <v>0</v>
      </c>
      <c r="K608" s="312">
        <f>SUMIFS(операции!$V:$V,операции!$T:$T,"&lt;"&amp;I$8,операции!$X:$X,"",операции!$L:$L,K$9,операции!$O:$O,$F608)+SUMIFS(операции!$V:$V,операции!$T:$T,"&lt;"&amp;I$8,операции!$X:$X,"&gt;="&amp;I$8,операции!$L:$L,K$9,операции!$O:$O,$F608)</f>
        <v>11759.48</v>
      </c>
      <c r="L608" s="314">
        <f>SUMIFS(операции!$V:$V,операции!$T:$T,"&lt;"&amp;I$8,операции!$X:$X,"",операции!$L:$L,L$9,операции!$O:$O,$F608)+SUMIFS(операции!$V:$V,операции!$T:$T,"&lt;"&amp;I$8,операции!$X:$X,"&gt;="&amp;I$8,операции!$L:$L,L$9,операции!$O:$O,$F608)</f>
        <v>0</v>
      </c>
      <c r="M608" s="273"/>
      <c r="N608" s="152">
        <f>SUMIFS(операции!$V:$V,операции!$T:$T,"&lt;"&amp;N$8,операции!$X:$X,"",операции!$O:$O,$F608)+SUMIFS(операции!$V:$V,операции!$T:$T,"&lt;"&amp;N$8,операции!$X:$X,"&gt;="&amp;N$8,операции!$O:$O,$F608)</f>
        <v>11759.48</v>
      </c>
      <c r="O608" s="170">
        <f>N608-N613-N619</f>
        <v>0</v>
      </c>
      <c r="P608" s="152">
        <f>SUMIFS(операции!$V:$V,операции!$T:$T,"&lt;"&amp;N$8,операции!$X:$X,"",операции!$L:$L,P$9,операции!$O:$O,$F608)+SUMIFS(операции!$V:$V,операции!$T:$T,"&lt;"&amp;N$8,операции!$X:$X,"&gt;="&amp;N$8,операции!$L:$L,P$9,операции!$O:$O,$F608)</f>
        <v>11759.48</v>
      </c>
      <c r="Q608" s="235">
        <f>SUMIFS(операции!$V:$V,операции!$T:$T,"&lt;"&amp;N$8,операции!$X:$X,"",операции!$L:$L,Q$9,операции!$O:$O,$F608)+SUMIFS(операции!$V:$V,операции!$T:$T,"&lt;"&amp;N$8,операции!$X:$X,"&gt;="&amp;N$8,операции!$L:$L,Q$9,операции!$O:$O,$F608)</f>
        <v>0</v>
      </c>
      <c r="R608" s="236"/>
      <c r="S608" s="152">
        <f>SUMIFS(операции!$V:$V,операции!$T:$T,"&lt;"&amp;S$8,операции!$X:$X,"",операции!$O:$O,$F608)+SUMIFS(операции!$V:$V,операции!$T:$T,"&lt;"&amp;S$8,операции!$X:$X,"&gt;="&amp;S$8,операции!$O:$O,$F608)</f>
        <v>18498.079999999998</v>
      </c>
      <c r="T608" s="170">
        <f>S608-S613-S619</f>
        <v>0</v>
      </c>
      <c r="U608" s="152">
        <f>SUMIFS(операции!$V:$V,операции!$T:$T,"&lt;"&amp;S$8,операции!$X:$X,"",операции!$L:$L,U$9,операции!$O:$O,$F608)+SUMIFS(операции!$V:$V,операции!$T:$T,"&lt;"&amp;S$8,операции!$X:$X,"&gt;="&amp;S$8,операции!$L:$L,U$9,операции!$O:$O,$F608)</f>
        <v>8242.2400000000016</v>
      </c>
      <c r="V608" s="235">
        <f>SUMIFS(операции!$V:$V,операции!$T:$T,"&lt;"&amp;S$8,операции!$X:$X,"",операции!$L:$L,V$9,операции!$O:$O,$F608)+SUMIFS(операции!$V:$V,операции!$T:$T,"&lt;"&amp;S$8,операции!$X:$X,"&gt;="&amp;S$8,операции!$L:$L,V$9,операции!$O:$O,$F608)</f>
        <v>10255.84</v>
      </c>
      <c r="W608" s="236"/>
      <c r="X608" s="152">
        <f>SUMIFS(операции!$V:$V,операции!$T:$T,"&lt;"&amp;X$8,операции!$X:$X,"",операции!$O:$O,$F608)+SUMIFS(операции!$V:$V,операции!$T:$T,"&lt;"&amp;X$8,операции!$X:$X,"&gt;="&amp;X$8,операции!$O:$O,$F608)</f>
        <v>20732.64</v>
      </c>
      <c r="Y608" s="170">
        <f>X608-X613-X619</f>
        <v>0</v>
      </c>
      <c r="Z608" s="152">
        <f>SUMIFS(операции!$V:$V,операции!$T:$T,"&lt;"&amp;X$8,операции!$X:$X,"",операции!$L:$L,Z$9,операции!$O:$O,$F608)+SUMIFS(операции!$V:$V,операции!$T:$T,"&lt;"&amp;X$8,операции!$X:$X,"&gt;="&amp;X$8,операции!$L:$L,Z$9,операции!$O:$O,$F608)</f>
        <v>4874.6400000000003</v>
      </c>
      <c r="AA608" s="235">
        <f>SUMIFS(операции!$V:$V,операции!$T:$T,"&lt;"&amp;X$8,операции!$X:$X,"",операции!$L:$L,AA$9,операции!$O:$O,$F608)+SUMIFS(операции!$V:$V,операции!$T:$T,"&lt;"&amp;X$8,операции!$X:$X,"&gt;="&amp;X$8,операции!$L:$L,AA$9,операции!$O:$O,$F608)</f>
        <v>15858</v>
      </c>
      <c r="AB608" s="264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</row>
    <row r="609" spans="1:42" s="192" customFormat="1" ht="11.25">
      <c r="A609" s="37"/>
      <c r="B609" s="37"/>
      <c r="C609" s="37"/>
      <c r="D609" s="191" t="s">
        <v>255</v>
      </c>
      <c r="E609" s="191"/>
      <c r="F609" s="191" t="str">
        <f>F608</f>
        <v>ВалентаСпорт</v>
      </c>
      <c r="G609" s="191" t="s">
        <v>262</v>
      </c>
      <c r="H609" s="315"/>
      <c r="I609" s="316">
        <f>IF(I608=0,0,(SUMIFS(операции!$AF:$AF,операции!$T:$T,"&lt;"&amp;I$8,операции!$X:$X,"",операции!$O:$O,$F608)+SUMIFS(операции!$AF:$AF,операции!$T:$T,"&lt;"&amp;I$8,операции!$X:$X,"&gt;="&amp;I$8,операции!$O:$O,$F608))/I608)</f>
        <v>42177.508798008072</v>
      </c>
      <c r="J609" s="317"/>
      <c r="K609" s="316">
        <f>IF(K608=0,0,(SUMIFS(операции!$AF:$AF,операции!$T:$T,"&lt;"&amp;I$8,операции!$X:$X,"",операции!$L:$L,K$9,операции!$O:$O,$F608)+SUMIFS(операции!$AF:$AF,операции!$T:$T,"&lt;"&amp;I$8,операции!$X:$X,"&gt;="&amp;I$8,операции!$L:$L,K$9,операции!$O:$O,$F608))/K608)</f>
        <v>42177.508798008072</v>
      </c>
      <c r="L609" s="318">
        <f>IF(L608=0,0,(SUMIFS(операции!$AF:$AF,операции!$T:$T,"&lt;"&amp;I$8,операции!$X:$X,"",операции!$L:$L,L$9,операции!$O:$O,$F608)+SUMIFS(операции!$AF:$AF,операции!$T:$T,"&lt;"&amp;I$8,операции!$X:$X,"&gt;="&amp;I$8,операции!$L:$L,L$9,операции!$O:$O,$F608))/L608)</f>
        <v>0</v>
      </c>
      <c r="M609" s="274"/>
      <c r="N609" s="193">
        <f>IF(N608=0,0,(SUMIFS(операции!$AF:$AF,операции!$T:$T,"&lt;"&amp;N$8,операции!$X:$X,"",операции!$O:$O,$F608)+SUMIFS(операции!$AF:$AF,операции!$T:$T,"&lt;"&amp;N$8,операции!$X:$X,"&gt;="&amp;N$8,операции!$O:$O,$F608))/N608)</f>
        <v>42177.508798008072</v>
      </c>
      <c r="O609" s="196"/>
      <c r="P609" s="193">
        <f>IF(P608=0,0,(SUMIFS(операции!$AF:$AF,операции!$T:$T,"&lt;"&amp;N$8,операции!$X:$X,"",операции!$L:$L,P$9,операции!$O:$O,$F608)+SUMIFS(операции!$AF:$AF,операции!$T:$T,"&lt;"&amp;N$8,операции!$X:$X,"&gt;="&amp;N$8,операции!$L:$L,P$9,операции!$O:$O,$F608))/P608)</f>
        <v>42177.508798008072</v>
      </c>
      <c r="Q609" s="237">
        <f>IF(Q608=0,0,(SUMIFS(операции!$AF:$AF,операции!$T:$T,"&lt;"&amp;N$8,операции!$X:$X,"",операции!$L:$L,Q$9,операции!$O:$O,$F608)+SUMIFS(операции!$AF:$AF,операции!$T:$T,"&lt;"&amp;N$8,операции!$X:$X,"&gt;="&amp;N$8,операции!$L:$L,Q$9,операции!$O:$O,$F608))/Q608)</f>
        <v>0</v>
      </c>
      <c r="R609" s="238"/>
      <c r="S609" s="193">
        <f>IF(S608=0,0,(SUMIFS(операции!$AF:$AF,операции!$T:$T,"&lt;"&amp;S$8,операции!$X:$X,"",операции!$O:$O,$F608)+SUMIFS(операции!$AF:$AF,операции!$T:$T,"&lt;"&amp;S$8,операции!$X:$X,"&gt;="&amp;S$8,операции!$O:$O,$F608))/S608)</f>
        <v>42255.810546824323</v>
      </c>
      <c r="T609" s="196"/>
      <c r="U609" s="193">
        <f>IF(U608=0,0,(SUMIFS(операции!$AF:$AF,операции!$T:$T,"&lt;"&amp;S$8,операции!$X:$X,"",операции!$L:$L,U$9,операции!$O:$O,$F608)+SUMIFS(операции!$AF:$AF,операции!$T:$T,"&lt;"&amp;S$8,операции!$X:$X,"&gt;="&amp;S$8,операции!$L:$L,U$9,операции!$O:$O,$F608))/U608)</f>
        <v>42192.351268587161</v>
      </c>
      <c r="V609" s="237">
        <f>IF(V608=0,0,(SUMIFS(операции!$AF:$AF,операции!$T:$T,"&lt;"&amp;S$8,операции!$X:$X,"",операции!$L:$L,V$9,операции!$O:$O,$F608)+SUMIFS(операции!$AF:$AF,операции!$T:$T,"&lt;"&amp;S$8,операции!$X:$X,"&gt;="&amp;S$8,операции!$L:$L,V$9,операции!$O:$O,$F608))/V608)</f>
        <v>42306.810426059688</v>
      </c>
      <c r="W609" s="238"/>
      <c r="X609" s="193">
        <f>IF(X608=0,0,(SUMIFS(операции!$AF:$AF,операции!$T:$T,"&lt;"&amp;X$8,операции!$X:$X,"",операции!$O:$O,$F608)+SUMIFS(операции!$AF:$AF,операции!$T:$T,"&lt;"&amp;X$8,операции!$X:$X,"&gt;="&amp;X$8,операции!$O:$O,$F608))/X608)</f>
        <v>42297.677820094301</v>
      </c>
      <c r="Y609" s="196"/>
      <c r="Z609" s="193">
        <f>IF(Z608=0,0,(SUMIFS(операции!$AF:$AF,операции!$T:$T,"&lt;"&amp;X$8,операции!$X:$X,"",операции!$L:$L,Z$9,операции!$O:$O,$F608)+SUMIFS(операции!$AF:$AF,операции!$T:$T,"&lt;"&amp;X$8,операции!$X:$X,"&gt;="&amp;X$8,операции!$L:$L,Z$9,операции!$O:$O,$F608))/Z608)</f>
        <v>42170.886276730176</v>
      </c>
      <c r="AA609" s="237">
        <f>IF(AA608=0,0,(SUMIFS(операции!$AF:$AF,операции!$T:$T,"&lt;"&amp;X$8,операции!$X:$X,"",операции!$L:$L,AA$9,операции!$O:$O,$F608)+SUMIFS(операции!$AF:$AF,операции!$T:$T,"&lt;"&amp;X$8,операции!$X:$X,"&gt;="&amp;X$8,операции!$L:$L,AA$9,операции!$O:$O,$F608))/AA608)</f>
        <v>42336.652667423383</v>
      </c>
      <c r="AB609" s="265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</row>
    <row r="610" spans="1:42" s="50" customFormat="1" ht="11.25">
      <c r="A610" s="48"/>
      <c r="B610" s="48"/>
      <c r="C610" s="48"/>
      <c r="D610" s="154" t="s">
        <v>257</v>
      </c>
      <c r="E610" s="154"/>
      <c r="F610" s="154" t="str">
        <f t="shared" ref="F610:F676" si="1048">F609</f>
        <v>ВалентаСпорт</v>
      </c>
      <c r="G610" s="154" t="s">
        <v>219</v>
      </c>
      <c r="H610" s="319"/>
      <c r="I610" s="320">
        <f>IF(I608=0,0,I$8-I609)</f>
        <v>100.49120199192839</v>
      </c>
      <c r="J610" s="321">
        <f>I610-IF(I608=0,0,(I613*I615+I619*I621)/I608)</f>
        <v>3.0127011996228248E-12</v>
      </c>
      <c r="K610" s="320">
        <f>IF(K608=0,0,I$8-K609)</f>
        <v>100.49120199192839</v>
      </c>
      <c r="L610" s="322">
        <f>IF(L608=0,0,I$8-L609)</f>
        <v>0</v>
      </c>
      <c r="M610" s="275"/>
      <c r="N610" s="155">
        <f>IF(N608=0,0,N$8-N609)</f>
        <v>100.49120199192839</v>
      </c>
      <c r="O610" s="173">
        <f>N610-IF(N608=0,0,(N613*N615+N619*N621)/N608)</f>
        <v>3.0127011996228248E-12</v>
      </c>
      <c r="P610" s="155">
        <f>IF(P608=0,0,N$8-P609)</f>
        <v>100.49120199192839</v>
      </c>
      <c r="Q610" s="239">
        <f>IF(Q608=0,0,N$8-Q609)</f>
        <v>0</v>
      </c>
      <c r="R610" s="240"/>
      <c r="S610" s="155">
        <f>IF(S608=0,0,S$8-S609)</f>
        <v>53.189453175677045</v>
      </c>
      <c r="T610" s="173">
        <f>S610-IF(S608=0,0,(S613*S615+S619*S621)/S608)</f>
        <v>-4.7748471843078732E-12</v>
      </c>
      <c r="U610" s="155">
        <f>IF(U608=0,0,S$8-U609)</f>
        <v>116.64873141283897</v>
      </c>
      <c r="V610" s="239">
        <f>IF(V608=0,0,S$8-V609)</f>
        <v>2.189573940311675</v>
      </c>
      <c r="W610" s="240"/>
      <c r="X610" s="155">
        <f>IF(X608=0,0,X$8-X609)</f>
        <v>41.322179905699159</v>
      </c>
      <c r="Y610" s="173">
        <f>X610-IF(X608=0,0,(X613*X615+X619*X621)/X608)</f>
        <v>2.9913849175500218E-12</v>
      </c>
      <c r="Z610" s="155">
        <f>IF(Z608=0,0,X$8-Z609)</f>
        <v>168.11372326982382</v>
      </c>
      <c r="AA610" s="239">
        <f>IF(AA608=0,0,X$8-AA609)</f>
        <v>2.3473325766171911</v>
      </c>
      <c r="AB610" s="230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</row>
    <row r="611" spans="1:42" s="93" customFormat="1" ht="15">
      <c r="A611" s="92"/>
      <c r="B611" s="92"/>
      <c r="C611" s="92"/>
      <c r="D611" s="198" t="s">
        <v>267</v>
      </c>
      <c r="E611" s="198"/>
      <c r="F611" s="198" t="str">
        <f t="shared" si="1048"/>
        <v>ВалентаСпорт</v>
      </c>
      <c r="G611" s="198" t="s">
        <v>219</v>
      </c>
      <c r="H611" s="323"/>
      <c r="I611" s="324">
        <f>IF(I608=0,0,(I613*I617+I619*I623)/I608)</f>
        <v>46.463496685228456</v>
      </c>
      <c r="J611" s="321"/>
      <c r="K611" s="324">
        <f t="shared" ref="K611" si="1049">IF(K608=0,0,(K613*K617+K619*K623)/K608)</f>
        <v>46.463496685228456</v>
      </c>
      <c r="L611" s="325">
        <f>IF(L608=0,0,(L613*L617+L619*L623)/L608)</f>
        <v>0</v>
      </c>
      <c r="M611" s="276"/>
      <c r="N611" s="199">
        <f>IF(N608=0,0,(N613*N617+N619*N623)/N608)</f>
        <v>46.463496685228456</v>
      </c>
      <c r="O611" s="173"/>
      <c r="P611" s="199">
        <f t="shared" ref="P611" si="1050">IF(P608=0,0,(P613*P617+P619*P623)/P608)</f>
        <v>46.463496685228456</v>
      </c>
      <c r="Q611" s="241">
        <f>IF(Q608=0,0,(Q613*Q617+Q619*Q623)/Q608)</f>
        <v>0</v>
      </c>
      <c r="R611" s="242"/>
      <c r="S611" s="199">
        <f>IF(S608=0,0,(S613*S617+S619*S623)/S608)</f>
        <v>16.448009739390027</v>
      </c>
      <c r="T611" s="173"/>
      <c r="U611" s="199">
        <f t="shared" ref="U611" si="1051">IF(U608=0,0,(U613*U617+U619*U623)/U608)</f>
        <v>34.189817331214051</v>
      </c>
      <c r="V611" s="241">
        <f>IF(V608=0,0,(V613*V617+V619*V623)/V608)</f>
        <v>2.1895739403043986</v>
      </c>
      <c r="W611" s="242"/>
      <c r="X611" s="199">
        <f>IF(X608=0,0,(X613*X617+X619*X623)/X608)</f>
        <v>13.544729470052586</v>
      </c>
      <c r="Y611" s="173"/>
      <c r="Z611" s="199">
        <f t="shared" ref="Z611" si="1052">IF(Z608=0,0,(Z613*Z617+Z619*Z623)/Z608)</f>
        <v>49.971690217116603</v>
      </c>
      <c r="AA611" s="241">
        <f>IF(AA608=0,0,(AA613*AA617+AA619*AA623)/AA608)</f>
        <v>2.3473325766171911</v>
      </c>
      <c r="AB611" s="264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</row>
    <row r="612" spans="1:42" s="50" customFormat="1" ht="11.25">
      <c r="A612" s="48"/>
      <c r="B612" s="48"/>
      <c r="C612" s="48"/>
      <c r="D612" s="154" t="s">
        <v>270</v>
      </c>
      <c r="E612" s="154"/>
      <c r="F612" s="154" t="str">
        <f t="shared" si="1048"/>
        <v>ВалентаСпорт</v>
      </c>
      <c r="G612" s="154" t="s">
        <v>219</v>
      </c>
      <c r="H612" s="319"/>
      <c r="I612" s="320">
        <f>I610-I611</f>
        <v>54.027705306699936</v>
      </c>
      <c r="J612" s="321"/>
      <c r="K612" s="320">
        <f t="shared" ref="K612" si="1053">K610-K611</f>
        <v>54.027705306699936</v>
      </c>
      <c r="L612" s="322">
        <f t="shared" ref="L612" si="1054">L610-L611</f>
        <v>0</v>
      </c>
      <c r="M612" s="275"/>
      <c r="N612" s="155">
        <f>N610-N611</f>
        <v>54.027705306699936</v>
      </c>
      <c r="O612" s="173"/>
      <c r="P612" s="155">
        <f t="shared" ref="P612" si="1055">P610-P611</f>
        <v>54.027705306699936</v>
      </c>
      <c r="Q612" s="239">
        <f t="shared" ref="Q612" si="1056">Q610-Q611</f>
        <v>0</v>
      </c>
      <c r="R612" s="240"/>
      <c r="S612" s="155">
        <f>S610-S611</f>
        <v>36.741443436287014</v>
      </c>
      <c r="T612" s="173"/>
      <c r="U612" s="155">
        <f t="shared" ref="U612" si="1057">U610-U611</f>
        <v>82.458914081624926</v>
      </c>
      <c r="V612" s="239">
        <f t="shared" ref="V612" si="1058">V610-V611</f>
        <v>7.276401703393276E-12</v>
      </c>
      <c r="W612" s="240"/>
      <c r="X612" s="155">
        <f>X610-X611</f>
        <v>27.777450435646571</v>
      </c>
      <c r="Y612" s="173"/>
      <c r="Z612" s="155">
        <f t="shared" ref="Z612" si="1059">Z610-Z611</f>
        <v>118.14203305270722</v>
      </c>
      <c r="AA612" s="239">
        <f t="shared" ref="AA612" si="1060">AA610-AA611</f>
        <v>0</v>
      </c>
      <c r="AB612" s="230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</row>
    <row r="613" spans="1:42" s="5" customFormat="1">
      <c r="A613" s="1"/>
      <c r="B613" s="1"/>
      <c r="C613" s="1"/>
      <c r="D613" s="168"/>
      <c r="E613" s="168" t="s">
        <v>258</v>
      </c>
      <c r="F613" s="168" t="str">
        <f t="shared" si="1048"/>
        <v>ВалентаСпорт</v>
      </c>
      <c r="G613" s="168" t="s">
        <v>261</v>
      </c>
      <c r="H613" s="326"/>
      <c r="I613" s="327">
        <f>SUMIFS(операции!$V:$V,операции!$T:$T,"&lt;"&amp;I$8,операции!$X:$X,"",операции!$AB:$AB,"&lt;&gt;"&amp;"",операции!$AB:$AB,"&lt;"&amp;I$8,операции!$O:$O,$F608)+SUMIFS(операции!$V:$V,операции!$T:$T,"&lt;"&amp;I$8,операции!$X:$X,"&gt;="&amp;I$8,операции!$AB:$AB,"&lt;&gt;"&amp;"",операции!$AB:$AB,"&lt;"&amp;I$8,операции!$O:$O,$F608)</f>
        <v>6156.3600000000006</v>
      </c>
      <c r="J613" s="313">
        <f>I613-K613-L613</f>
        <v>0</v>
      </c>
      <c r="K613" s="327">
        <f>SUMIFS(операции!$V:$V,операции!$T:$T,"&lt;"&amp;I$8,операции!$X:$X,"",операции!$AB:$AB,"&lt;&gt;"&amp;"",операции!$AB:$AB,"&lt;"&amp;I$8,операции!$L:$L,K$9,операции!$O:$O,$F608)+SUMIFS(операции!$V:$V,операции!$T:$T,"&lt;"&amp;I$8,операции!$X:$X,"&gt;="&amp;I$8,операции!$AB:$AB,"&lt;&gt;"&amp;"",операции!$AB:$AB,"&lt;"&amp;I$8,операции!$L:$L,K$9,операции!$O:$O,$F608)</f>
        <v>6156.3600000000006</v>
      </c>
      <c r="L613" s="328">
        <f>SUMIFS(операции!$V:$V,операции!$T:$T,"&lt;"&amp;I$8,операции!$X:$X,"",операции!$AB:$AB,"&lt;&gt;"&amp;"",операции!$AB:$AB,"&lt;"&amp;I$8,операции!$L:$L,L$9,операции!$O:$O,$F608)+SUMIFS(операции!$V:$V,операции!$T:$T,"&lt;"&amp;I$8,операции!$X:$X,"&gt;="&amp;I$8,операции!$AB:$AB,"&lt;&gt;"&amp;"",операции!$AB:$AB,"&lt;"&amp;I$8,операции!$L:$L,L$9,операции!$O:$O,$F608)</f>
        <v>0</v>
      </c>
      <c r="M613" s="277"/>
      <c r="N613" s="169">
        <f>SUMIFS(операции!$V:$V,операции!$T:$T,"&lt;"&amp;N$8,операции!$X:$X,"",операции!$AB:$AB,"&lt;&gt;"&amp;"",операции!$AB:$AB,"&lt;"&amp;N$8,операции!$O:$O,$F608)+SUMIFS(операции!$V:$V,операции!$T:$T,"&lt;"&amp;N$8,операции!$X:$X,"&gt;="&amp;N$8,операции!$AB:$AB,"&lt;&gt;"&amp;"",операции!$AB:$AB,"&lt;"&amp;N$8,операции!$O:$O,$F608)</f>
        <v>6156.3600000000006</v>
      </c>
      <c r="O613" s="170">
        <f>N613-P613-Q613</f>
        <v>0</v>
      </c>
      <c r="P613" s="169">
        <f>SUMIFS(операции!$V:$V,операции!$T:$T,"&lt;"&amp;N$8,операции!$X:$X,"",операции!$AB:$AB,"&lt;&gt;"&amp;"",операции!$AB:$AB,"&lt;"&amp;N$8,операции!$L:$L,P$9,операции!$O:$O,$F608)+SUMIFS(операции!$V:$V,операции!$T:$T,"&lt;"&amp;N$8,операции!$X:$X,"&gt;="&amp;N$8,операции!$AB:$AB,"&lt;&gt;"&amp;"",операции!$AB:$AB,"&lt;"&amp;N$8,операции!$L:$L,P$9,операции!$O:$O,$F608)</f>
        <v>6156.3600000000006</v>
      </c>
      <c r="Q613" s="243">
        <f>SUMIFS(операции!$V:$V,операции!$T:$T,"&lt;"&amp;N$8,операции!$X:$X,"",операции!$AB:$AB,"&lt;&gt;"&amp;"",операции!$AB:$AB,"&lt;"&amp;N$8,операции!$L:$L,Q$9,операции!$O:$O,$F608)+SUMIFS(операции!$V:$V,операции!$T:$T,"&lt;"&amp;N$8,операции!$X:$X,"&gt;="&amp;N$8,операции!$AB:$AB,"&lt;&gt;"&amp;"",операции!$AB:$AB,"&lt;"&amp;N$8,операции!$L:$L,Q$9,операции!$O:$O,$F608)</f>
        <v>0</v>
      </c>
      <c r="R613" s="244"/>
      <c r="S613" s="169">
        <f>SUMIFS(операции!$V:$V,операции!$T:$T,"&lt;"&amp;S$8,операции!$X:$X,"",операции!$AB:$AB,"&lt;&gt;"&amp;"",операции!$AB:$AB,"&lt;"&amp;S$8,операции!$O:$O,$F608)+SUMIFS(операции!$V:$V,операции!$T:$T,"&lt;"&amp;S$8,операции!$X:$X,"&gt;="&amp;S$8,операции!$AB:$AB,"&lt;&gt;"&amp;"",операции!$AB:$AB,"&lt;"&amp;S$8,операции!$O:$O,$F608)</f>
        <v>5181.6000000000004</v>
      </c>
      <c r="T613" s="170">
        <f>S613-U613-V613</f>
        <v>0</v>
      </c>
      <c r="U613" s="169">
        <f>SUMIFS(операции!$V:$V,операции!$T:$T,"&lt;"&amp;S$8,операции!$X:$X,"",операции!$AB:$AB,"&lt;&gt;"&amp;"",операции!$AB:$AB,"&lt;"&amp;S$8,операции!$L:$L,U$9,операции!$O:$O,$F608)+SUMIFS(операции!$V:$V,операции!$T:$T,"&lt;"&amp;S$8,операции!$X:$X,"&gt;="&amp;S$8,операции!$AB:$AB,"&lt;&gt;"&amp;"",операции!$AB:$AB,"&lt;"&amp;S$8,операции!$L:$L,U$9,операции!$O:$O,$F608)</f>
        <v>5181.6000000000004</v>
      </c>
      <c r="V613" s="243">
        <f>SUMIFS(операции!$V:$V,операции!$T:$T,"&lt;"&amp;S$8,операции!$X:$X,"",операции!$AB:$AB,"&lt;&gt;"&amp;"",операции!$AB:$AB,"&lt;"&amp;S$8,операции!$L:$L,V$9,операции!$O:$O,$F608)+SUMIFS(операции!$V:$V,операции!$T:$T,"&lt;"&amp;S$8,операции!$X:$X,"&gt;="&amp;S$8,операции!$AB:$AB,"&lt;&gt;"&amp;"",операции!$AB:$AB,"&lt;"&amp;S$8,операции!$L:$L,V$9,операции!$O:$O,$F608)</f>
        <v>0</v>
      </c>
      <c r="W613" s="244"/>
      <c r="X613" s="169">
        <f>SUMIFS(операции!$V:$V,операции!$T:$T,"&lt;"&amp;X$8,операции!$X:$X,"",операции!$AB:$AB,"&lt;&gt;"&amp;"",операции!$AB:$AB,"&lt;"&amp;X$8,операции!$O:$O,$F608)+SUMIFS(операции!$V:$V,операции!$T:$T,"&lt;"&amp;X$8,операции!$X:$X,"&gt;="&amp;X$8,операции!$AB:$AB,"&lt;&gt;"&amp;"",операции!$AB:$AB,"&lt;"&amp;X$8,операции!$O:$O,$F608)</f>
        <v>4126.6400000000003</v>
      </c>
      <c r="Y613" s="170">
        <f>X613-Z613-AA613</f>
        <v>0</v>
      </c>
      <c r="Z613" s="169">
        <f>SUMIFS(операции!$V:$V,операции!$T:$T,"&lt;"&amp;X$8,операции!$X:$X,"",операции!$AB:$AB,"&lt;&gt;"&amp;"",операции!$AB:$AB,"&lt;"&amp;X$8,операции!$L:$L,Z$9,операции!$O:$O,$F608)+SUMIFS(операции!$V:$V,операции!$T:$T,"&lt;"&amp;X$8,операции!$X:$X,"&gt;="&amp;X$8,операции!$AB:$AB,"&lt;&gt;"&amp;"",операции!$AB:$AB,"&lt;"&amp;X$8,операции!$L:$L,Z$9,операции!$O:$O,$F608)</f>
        <v>4126.6400000000003</v>
      </c>
      <c r="AA613" s="243">
        <f>SUMIFS(операции!$V:$V,операции!$T:$T,"&lt;"&amp;X$8,операции!$X:$X,"",операции!$AB:$AB,"&lt;&gt;"&amp;"",операции!$AB:$AB,"&lt;"&amp;X$8,операции!$L:$L,AA$9,операции!$O:$O,$F608)+SUMIFS(операции!$V:$V,операции!$T:$T,"&lt;"&amp;X$8,операции!$X:$X,"&gt;="&amp;X$8,операции!$AB:$AB,"&lt;&gt;"&amp;"",операции!$AB:$AB,"&lt;"&amp;X$8,операции!$L:$L,AA$9,операции!$O:$O,$F608)</f>
        <v>0</v>
      </c>
      <c r="AB613" s="266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s="192" customFormat="1" ht="11.25">
      <c r="A614" s="37"/>
      <c r="B614" s="37"/>
      <c r="C614" s="37"/>
      <c r="D614" s="191"/>
      <c r="E614" s="191" t="s">
        <v>255</v>
      </c>
      <c r="F614" s="191" t="str">
        <f t="shared" si="1048"/>
        <v>ВалентаСпорт</v>
      </c>
      <c r="G614" s="191" t="s">
        <v>262</v>
      </c>
      <c r="H614" s="315"/>
      <c r="I614" s="316">
        <f>IF(I613=0,0,(SUMIFS(операции!$AF:$AF,операции!$T:$T,"&lt;"&amp;I$8,операции!$X:$X,"",операции!$AB:$AB,"&lt;&gt;"&amp;"",операции!$AB:$AB,"&lt;"&amp;I$8,операции!$O:$O,$F608)+SUMIFS(операции!$AF:$AF,операции!$T:$T,"&lt;"&amp;I$8,операции!$X:$X,"&gt;="&amp;I$8,операции!$AB:$AB,"&lt;&gt;"&amp;"",операции!$AB:$AB,"&lt;"&amp;I$8,операции!$O:$O,$F608))/I613)</f>
        <v>42152.164356860216</v>
      </c>
      <c r="J614" s="317"/>
      <c r="K614" s="316">
        <f>IF(K613=0,0,(SUMIFS(операции!$AF:$AF,операции!$T:$T,"&lt;"&amp;I$8,операции!$X:$X,"",операции!$AB:$AB,"&lt;&gt;"&amp;"",операции!$AB:$AB,"&lt;"&amp;I$8,операции!$L:$L,K$9,операции!$O:$O,$F608)+SUMIFS(операции!$AF:$AF,операции!$T:$T,"&lt;"&amp;I$8,операции!$X:$X,"&gt;="&amp;I$8,операции!$AB:$AB,"&lt;&gt;"&amp;"",операции!$AB:$AB,"&lt;"&amp;I$8,операции!$L:$L,K$9,операции!$O:$O,$F608))/K613)</f>
        <v>42152.164356860216</v>
      </c>
      <c r="L614" s="318">
        <f>IF(L613=0,0,(SUMIFS(операции!$AF:$AF,операции!$T:$T,"&lt;"&amp;I$8,операции!$X:$X,"",операции!$AB:$AB,"&lt;&gt;"&amp;"",операции!$AB:$AB,"&lt;"&amp;I$8,операции!$L:$L,L$9,операции!$O:$O,$F608)+SUMIFS(операции!$AF:$AF,операции!$T:$T,"&lt;"&amp;I$8,операции!$X:$X,"&gt;="&amp;I$8,операции!$AB:$AB,"&lt;&gt;"&amp;"",операции!$AB:$AB,"&lt;"&amp;I$8,операции!$L:$L,L$9,операции!$O:$O,$F608))/L613)</f>
        <v>0</v>
      </c>
      <c r="M614" s="274"/>
      <c r="N614" s="193">
        <f>IF(N613=0,0,(SUMIFS(операции!$AF:$AF,операции!$T:$T,"&lt;"&amp;N$8,операции!$X:$X,"",операции!$AB:$AB,"&lt;&gt;"&amp;"",операции!$AB:$AB,"&lt;"&amp;N$8,операции!$O:$O,$F608)+SUMIFS(операции!$AF:$AF,операции!$T:$T,"&lt;"&amp;N$8,операции!$X:$X,"&gt;="&amp;N$8,операции!$AB:$AB,"&lt;&gt;"&amp;"",операции!$AB:$AB,"&lt;"&amp;N$8,операции!$O:$O,$F608))/N613)</f>
        <v>42152.164356860216</v>
      </c>
      <c r="O614" s="196"/>
      <c r="P614" s="193">
        <f>IF(P613=0,0,(SUMIFS(операции!$AF:$AF,операции!$T:$T,"&lt;"&amp;N$8,операции!$X:$X,"",операции!$AB:$AB,"&lt;&gt;"&amp;"",операции!$AB:$AB,"&lt;"&amp;N$8,операции!$L:$L,P$9,операции!$O:$O,$F608)+SUMIFS(операции!$AF:$AF,операции!$T:$T,"&lt;"&amp;N$8,операции!$X:$X,"&gt;="&amp;N$8,операции!$AB:$AB,"&lt;&gt;"&amp;"",операции!$AB:$AB,"&lt;"&amp;N$8,операции!$L:$L,P$9,операции!$O:$O,$F608))/P613)</f>
        <v>42152.164356860216</v>
      </c>
      <c r="Q614" s="237">
        <f>IF(Q613=0,0,(SUMIFS(операции!$AF:$AF,операции!$T:$T,"&lt;"&amp;N$8,операции!$X:$X,"",операции!$AB:$AB,"&lt;&gt;"&amp;"",операции!$AB:$AB,"&lt;"&amp;N$8,операции!$L:$L,Q$9,операции!$O:$O,$F608)+SUMIFS(операции!$AF:$AF,операции!$T:$T,"&lt;"&amp;N$8,операции!$X:$X,"&gt;="&amp;N$8,операции!$AB:$AB,"&lt;&gt;"&amp;"",операции!$AB:$AB,"&lt;"&amp;N$8,операции!$L:$L,Q$9,операции!$O:$O,$F608))/Q613)</f>
        <v>0</v>
      </c>
      <c r="R614" s="238"/>
      <c r="S614" s="193">
        <f>IF(S613=0,0,(SUMIFS(операции!$AF:$AF,операции!$T:$T,"&lt;"&amp;S$8,операции!$X:$X,"",операции!$AB:$AB,"&lt;&gt;"&amp;"",операции!$AB:$AB,"&lt;"&amp;S$8,операции!$O:$O,$F608)+SUMIFS(операции!$AF:$AF,операции!$T:$T,"&lt;"&amp;S$8,операции!$X:$X,"&gt;="&amp;S$8,операции!$AB:$AB,"&lt;&gt;"&amp;"",операции!$AB:$AB,"&lt;"&amp;S$8,операции!$O:$O,$F608))/S613)</f>
        <v>42153.533124903501</v>
      </c>
      <c r="T614" s="196"/>
      <c r="U614" s="193">
        <f>IF(U613=0,0,(SUMIFS(операции!$AF:$AF,операции!$T:$T,"&lt;"&amp;S$8,операции!$X:$X,"",операции!$AB:$AB,"&lt;&gt;"&amp;"",операции!$AB:$AB,"&lt;"&amp;S$8,операции!$L:$L,U$9,операции!$O:$O,$F608)+SUMIFS(операции!$AF:$AF,операции!$T:$T,"&lt;"&amp;S$8,операции!$X:$X,"&gt;="&amp;S$8,операции!$AB:$AB,"&lt;&gt;"&amp;"",операции!$AB:$AB,"&lt;"&amp;S$8,операции!$L:$L,U$9,операции!$O:$O,$F608))/U613)</f>
        <v>42153.533124903501</v>
      </c>
      <c r="V614" s="237">
        <f>IF(V613=0,0,(SUMIFS(операции!$AF:$AF,операции!$T:$T,"&lt;"&amp;S$8,операции!$X:$X,"",операции!$AB:$AB,"&lt;&gt;"&amp;"",операции!$AB:$AB,"&lt;"&amp;S$8,операции!$L:$L,V$9,операции!$O:$O,$F608)+SUMIFS(операции!$AF:$AF,операции!$T:$T,"&lt;"&amp;S$8,операции!$X:$X,"&gt;="&amp;S$8,операции!$AB:$AB,"&lt;&gt;"&amp;"",операции!$AB:$AB,"&lt;"&amp;S$8,операции!$L:$L,V$9,операции!$O:$O,$F608))/V613)</f>
        <v>0</v>
      </c>
      <c r="W614" s="238"/>
      <c r="X614" s="193">
        <f>IF(X613=0,0,(SUMIFS(операции!$AF:$AF,операции!$T:$T,"&lt;"&amp;X$8,операции!$X:$X,"",операции!$AB:$AB,"&lt;&gt;"&amp;"",операции!$AB:$AB,"&lt;"&amp;X$8,операции!$O:$O,$F608)+SUMIFS(операции!$AF:$AF,операции!$T:$T,"&lt;"&amp;X$8,операции!$X:$X,"&gt;="&amp;X$8,операции!$AB:$AB,"&lt;&gt;"&amp;"",операции!$AB:$AB,"&lt;"&amp;X$8,операции!$O:$O,$F608))/X613)</f>
        <v>42162.89016730318</v>
      </c>
      <c r="Y614" s="196"/>
      <c r="Z614" s="193">
        <f>IF(Z613=0,0,(SUMIFS(операции!$AF:$AF,операции!$T:$T,"&lt;"&amp;X$8,операции!$X:$X,"",операции!$AB:$AB,"&lt;&gt;"&amp;"",операции!$AB:$AB,"&lt;"&amp;X$8,операции!$L:$L,Z$9,операции!$O:$O,$F608)+SUMIFS(операции!$AF:$AF,операции!$T:$T,"&lt;"&amp;X$8,операции!$X:$X,"&gt;="&amp;X$8,операции!$AB:$AB,"&lt;&gt;"&amp;"",операции!$AB:$AB,"&lt;"&amp;X$8,операции!$L:$L,Z$9,операции!$O:$O,$F608))/Z613)</f>
        <v>42162.89016730318</v>
      </c>
      <c r="AA614" s="237">
        <f>IF(AA613=0,0,(SUMIFS(операции!$AF:$AF,операции!$T:$T,"&lt;"&amp;X$8,операции!$X:$X,"",операции!$AB:$AB,"&lt;&gt;"&amp;"",операции!$AB:$AB,"&lt;"&amp;X$8,операции!$L:$L,AA$9,операции!$O:$O,$F608)+SUMIFS(операции!$AF:$AF,операции!$T:$T,"&lt;"&amp;X$8,операции!$X:$X,"&gt;="&amp;X$8,операции!$AB:$AB,"&lt;&gt;"&amp;"",операции!$AB:$AB,"&lt;"&amp;X$8,операции!$L:$L,AA$9,операции!$O:$O,$F608))/AA613)</f>
        <v>0</v>
      </c>
      <c r="AB614" s="265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</row>
    <row r="615" spans="1:42" s="192" customFormat="1" ht="11.25">
      <c r="A615" s="37"/>
      <c r="B615" s="37"/>
      <c r="C615" s="37"/>
      <c r="D615" s="191"/>
      <c r="E615" s="191" t="s">
        <v>260</v>
      </c>
      <c r="F615" s="191" t="str">
        <f t="shared" si="1048"/>
        <v>ВалентаСпорт</v>
      </c>
      <c r="G615" s="191" t="s">
        <v>219</v>
      </c>
      <c r="H615" s="315"/>
      <c r="I615" s="329">
        <f>IF(I613=0,0,I$8-I614)</f>
        <v>125.83564313978422</v>
      </c>
      <c r="J615" s="317"/>
      <c r="K615" s="329">
        <f>IF(K613=0,0,I$8-K614)</f>
        <v>125.83564313978422</v>
      </c>
      <c r="L615" s="330">
        <f>IF(L613=0,0,I$8-L614)</f>
        <v>0</v>
      </c>
      <c r="M615" s="274"/>
      <c r="N615" s="156">
        <f>IF(N613=0,0,N$8-N614)</f>
        <v>125.83564313978422</v>
      </c>
      <c r="O615" s="196"/>
      <c r="P615" s="156">
        <f>IF(P613=0,0,N$8-P614)</f>
        <v>125.83564313978422</v>
      </c>
      <c r="Q615" s="245">
        <f>IF(Q613=0,0,N$8-Q614)</f>
        <v>0</v>
      </c>
      <c r="R615" s="238"/>
      <c r="S615" s="156">
        <f>IF(S613=0,0,S$8-S614)</f>
        <v>155.46687509649928</v>
      </c>
      <c r="T615" s="196"/>
      <c r="U615" s="156">
        <f>IF(U613=0,0,S$8-U614)</f>
        <v>155.46687509649928</v>
      </c>
      <c r="V615" s="245">
        <f>IF(V613=0,0,S$8-V614)</f>
        <v>0</v>
      </c>
      <c r="W615" s="238"/>
      <c r="X615" s="156">
        <f>IF(X613=0,0,X$8-X614)</f>
        <v>176.10983269682038</v>
      </c>
      <c r="Y615" s="196"/>
      <c r="Z615" s="156">
        <f>IF(Z613=0,0,X$8-Z614)</f>
        <v>176.10983269682038</v>
      </c>
      <c r="AA615" s="245">
        <f>IF(AA613=0,0,X$8-AA614)</f>
        <v>0</v>
      </c>
      <c r="AB615" s="265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</row>
    <row r="616" spans="1:42" s="192" customFormat="1" ht="11.25">
      <c r="A616" s="37"/>
      <c r="B616" s="37"/>
      <c r="C616" s="37"/>
      <c r="D616" s="191"/>
      <c r="E616" s="191" t="s">
        <v>259</v>
      </c>
      <c r="F616" s="191" t="str">
        <f t="shared" si="1048"/>
        <v>ВалентаСпорт</v>
      </c>
      <c r="G616" s="191" t="s">
        <v>262</v>
      </c>
      <c r="H616" s="315"/>
      <c r="I616" s="316">
        <f>IF(I613=0,0,(SUMIFS(операции!$AH:$AH,операции!$T:$T,"&lt;"&amp;I$8,операции!$X:$X,"",операции!$AB:$AB,"&lt;&gt;"&amp;"",операции!$AB:$AB,"&lt;"&amp;I$8,операции!$O:$O,$F608)+SUMIFS(операции!$AH:$AH,операции!$T:$T,"&lt;"&amp;I$8,операции!$X:$X,"&gt;="&amp;I$8,операции!$AB:$AB,"&lt;&gt;"&amp;"",операции!$AB:$AB,"&lt;"&amp;I$8,операции!$O:$O,$F608))/I613)</f>
        <v>42174.799777790773</v>
      </c>
      <c r="J616" s="317"/>
      <c r="K616" s="316">
        <f>IF(K613=0,0,(SUMIFS(операции!$AH:$AH,операции!$T:$T,"&lt;"&amp;I$8,операции!$X:$X,"",операции!$AB:$AB,"&lt;&gt;"&amp;"",операции!$AB:$AB,"&lt;"&amp;I$8,операции!$L:$L,K$9,операции!$O:$O,$F608)+SUMIFS(операции!$AH:$AH,операции!$T:$T,"&lt;"&amp;I$8,операции!$X:$X,"&gt;="&amp;I$8,операции!$AB:$AB,"&lt;&gt;"&amp;"",операции!$AB:$AB,"&lt;"&amp;I$8,операции!$L:$L,K$9,операции!$O:$O,$F608))/K613)</f>
        <v>42174.799777790773</v>
      </c>
      <c r="L616" s="318">
        <f>IF(L613=0,0,(SUMIFS(операции!$AH:$AH,операции!$T:$T,"&lt;"&amp;I$8,операции!$X:$X,"",операции!$AB:$AB,"&lt;&gt;"&amp;"",операции!$AB:$AB,"&lt;"&amp;I$8,операции!$L:$L,L$9,операции!$O:$O,$F608)+SUMIFS(операции!$AH:$AH,операции!$T:$T,"&lt;"&amp;I$8,операции!$X:$X,"&gt;="&amp;I$8,операции!$AB:$AB,"&lt;&gt;"&amp;"",операции!$AB:$AB,"&lt;"&amp;I$8,операции!$L:$L,L$9,операции!$O:$O,$F608))/L613)</f>
        <v>0</v>
      </c>
      <c r="M616" s="274"/>
      <c r="N616" s="193">
        <f>IF(N613=0,0,(SUMIFS(операции!$AH:$AH,операции!$T:$T,"&lt;"&amp;N$8,операции!$X:$X,"",операции!$AB:$AB,"&lt;&gt;"&amp;"",операции!$AB:$AB,"&lt;"&amp;N$8,операции!$O:$O,$F608)+SUMIFS(операции!$AH:$AH,операции!$T:$T,"&lt;"&amp;N$8,операции!$X:$X,"&gt;="&amp;N$8,операции!$AB:$AB,"&lt;&gt;"&amp;"",операции!$AB:$AB,"&lt;"&amp;N$8,операции!$O:$O,$F608))/N613)</f>
        <v>42174.799777790773</v>
      </c>
      <c r="O616" s="196"/>
      <c r="P616" s="193">
        <f>IF(P613=0,0,(SUMIFS(операции!$AH:$AH,операции!$T:$T,"&lt;"&amp;N$8,операции!$X:$X,"",операции!$AB:$AB,"&lt;&gt;"&amp;"",операции!$AB:$AB,"&lt;"&amp;N$8,операции!$L:$L,P$9,операции!$O:$O,$F608)+SUMIFS(операции!$AH:$AH,операции!$T:$T,"&lt;"&amp;N$8,операции!$X:$X,"&gt;="&amp;N$8,операции!$AB:$AB,"&lt;&gt;"&amp;"",операции!$AB:$AB,"&lt;"&amp;N$8,операции!$L:$L,P$9,операции!$O:$O,$F608))/P613)</f>
        <v>42174.799777790773</v>
      </c>
      <c r="Q616" s="237">
        <f>IF(Q613=0,0,(SUMIFS(операции!$AH:$AH,операции!$T:$T,"&lt;"&amp;N$8,операции!$X:$X,"",операции!$AB:$AB,"&lt;&gt;"&amp;"",операции!$AB:$AB,"&lt;"&amp;N$8,операции!$L:$L,Q$9,операции!$O:$O,$F608)+SUMIFS(операции!$AH:$AH,операции!$T:$T,"&lt;"&amp;N$8,операции!$X:$X,"&gt;="&amp;N$8,операции!$AB:$AB,"&lt;&gt;"&amp;"",операции!$AB:$AB,"&lt;"&amp;N$8,операции!$L:$L,Q$9,операции!$O:$O,$F608))/Q613)</f>
        <v>0</v>
      </c>
      <c r="R616" s="238"/>
      <c r="S616" s="193">
        <f>IF(S613=0,0,(SUMIFS(операции!$AH:$AH,операции!$T:$T,"&lt;"&amp;S$8,операции!$X:$X,"",операции!$AB:$AB,"&lt;&gt;"&amp;"",операции!$AB:$AB,"&lt;"&amp;S$8,операции!$O:$O,$F608)+SUMIFS(операции!$AH:$AH,операции!$T:$T,"&lt;"&amp;S$8,операции!$X:$X,"&gt;="&amp;S$8,операции!$AB:$AB,"&lt;&gt;"&amp;"",операции!$AB:$AB,"&lt;"&amp;S$8,операции!$O:$O,$F608))/S613)</f>
        <v>42177.834691987031</v>
      </c>
      <c r="T616" s="196"/>
      <c r="U616" s="193">
        <f>IF(U613=0,0,(SUMIFS(операции!$AH:$AH,операции!$T:$T,"&lt;"&amp;S$8,операции!$X:$X,"",операции!$AB:$AB,"&lt;&gt;"&amp;"",операции!$AB:$AB,"&lt;"&amp;S$8,операции!$L:$L,U$9,операции!$O:$O,$F608)+SUMIFS(операции!$AH:$AH,операции!$T:$T,"&lt;"&amp;S$8,операции!$X:$X,"&gt;="&amp;S$8,операции!$AB:$AB,"&lt;&gt;"&amp;"",операции!$AB:$AB,"&lt;"&amp;S$8,операции!$L:$L,U$9,операции!$O:$O,$F608))/U613)</f>
        <v>42177.834691987031</v>
      </c>
      <c r="V616" s="237">
        <f>IF(V613=0,0,(SUMIFS(операции!$AH:$AH,операции!$T:$T,"&lt;"&amp;S$8,операции!$X:$X,"",операции!$AB:$AB,"&lt;&gt;"&amp;"",операции!$AB:$AB,"&lt;"&amp;S$8,операции!$L:$L,V$9,операции!$O:$O,$F608)+SUMIFS(операции!$AH:$AH,операции!$T:$T,"&lt;"&amp;S$8,операции!$X:$X,"&gt;="&amp;S$8,операции!$AB:$AB,"&lt;&gt;"&amp;"",операции!$AB:$AB,"&lt;"&amp;S$8,операции!$L:$L,V$9,операции!$O:$O,$F608))/V613)</f>
        <v>0</v>
      </c>
      <c r="W616" s="238"/>
      <c r="X616" s="193">
        <f>IF(X613=0,0,(SUMIFS(операции!$AH:$AH,операции!$T:$T,"&lt;"&amp;X$8,операции!$X:$X,"",операции!$AB:$AB,"&lt;&gt;"&amp;"",операции!$AB:$AB,"&lt;"&amp;X$8,операции!$O:$O,$F608)+SUMIFS(операции!$AH:$AH,операции!$T:$T,"&lt;"&amp;X$8,операции!$X:$X,"&gt;="&amp;X$8,операции!$AB:$AB,"&lt;&gt;"&amp;"",операции!$AB:$AB,"&lt;"&amp;X$8,операции!$O:$O,$F608))/X613)</f>
        <v>42199.443392202847</v>
      </c>
      <c r="Y616" s="196"/>
      <c r="Z616" s="193">
        <f>IF(Z613=0,0,(SUMIFS(операции!$AH:$AH,операции!$T:$T,"&lt;"&amp;X$8,операции!$X:$X,"",операции!$AB:$AB,"&lt;&gt;"&amp;"",операции!$AB:$AB,"&lt;"&amp;X$8,операции!$L:$L,Z$9,операции!$O:$O,$F608)+SUMIFS(операции!$AH:$AH,операции!$T:$T,"&lt;"&amp;X$8,операции!$X:$X,"&gt;="&amp;X$8,операции!$AB:$AB,"&lt;&gt;"&amp;"",операции!$AB:$AB,"&lt;"&amp;X$8,операции!$L:$L,Z$9,операции!$O:$O,$F608))/Z613)</f>
        <v>42199.443392202847</v>
      </c>
      <c r="AA616" s="237">
        <f>IF(AA613=0,0,(SUMIFS(операции!$AH:$AH,операции!$T:$T,"&lt;"&amp;X$8,операции!$X:$X,"",операции!$AB:$AB,"&lt;&gt;"&amp;"",операции!$AB:$AB,"&lt;"&amp;X$8,операции!$L:$L,AA$9,операции!$O:$O,$F608)+SUMIFS(операции!$AH:$AH,операции!$T:$T,"&lt;"&amp;X$8,операции!$X:$X,"&gt;="&amp;X$8,операции!$AB:$AB,"&lt;&gt;"&amp;"",операции!$AB:$AB,"&lt;"&amp;X$8,операции!$L:$L,AA$9,операции!$O:$O,$F608))/AA613)</f>
        <v>0</v>
      </c>
      <c r="AB616" s="265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</row>
    <row r="617" spans="1:42" s="192" customFormat="1" ht="11.25">
      <c r="A617" s="37"/>
      <c r="B617" s="37"/>
      <c r="C617" s="37"/>
      <c r="D617" s="191"/>
      <c r="E617" s="191" t="s">
        <v>265</v>
      </c>
      <c r="F617" s="191" t="str">
        <f t="shared" si="1048"/>
        <v>ВалентаСпорт</v>
      </c>
      <c r="G617" s="191" t="s">
        <v>219</v>
      </c>
      <c r="H617" s="315"/>
      <c r="I617" s="329">
        <f>I616-I614</f>
        <v>22.635420930557302</v>
      </c>
      <c r="J617" s="317"/>
      <c r="K617" s="329">
        <f t="shared" ref="K617" si="1061">K616-K614</f>
        <v>22.635420930557302</v>
      </c>
      <c r="L617" s="330">
        <f>L616-L614</f>
        <v>0</v>
      </c>
      <c r="M617" s="274"/>
      <c r="N617" s="156">
        <f>N616-N614</f>
        <v>22.635420930557302</v>
      </c>
      <c r="O617" s="196"/>
      <c r="P617" s="156">
        <f t="shared" ref="P617" si="1062">P616-P614</f>
        <v>22.635420930557302</v>
      </c>
      <c r="Q617" s="245">
        <f>Q616-Q614</f>
        <v>0</v>
      </c>
      <c r="R617" s="238"/>
      <c r="S617" s="156">
        <f>S616-S614</f>
        <v>24.301567083530244</v>
      </c>
      <c r="T617" s="196"/>
      <c r="U617" s="156">
        <f t="shared" ref="U617" si="1063">U616-U614</f>
        <v>24.301567083530244</v>
      </c>
      <c r="V617" s="245">
        <f>V616-V614</f>
        <v>0</v>
      </c>
      <c r="W617" s="238"/>
      <c r="X617" s="156">
        <f>X616-X614</f>
        <v>36.553224899667839</v>
      </c>
      <c r="Y617" s="196"/>
      <c r="Z617" s="156">
        <f t="shared" ref="Z617" si="1064">Z616-Z614</f>
        <v>36.553224899667839</v>
      </c>
      <c r="AA617" s="245">
        <f>AA616-AA614</f>
        <v>0</v>
      </c>
      <c r="AB617" s="265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</row>
    <row r="618" spans="1:42" s="192" customFormat="1" ht="11.25">
      <c r="A618" s="37"/>
      <c r="B618" s="37"/>
      <c r="C618" s="37"/>
      <c r="D618" s="191"/>
      <c r="E618" s="191" t="s">
        <v>268</v>
      </c>
      <c r="F618" s="191" t="str">
        <f t="shared" si="1048"/>
        <v>ВалентаСпорт</v>
      </c>
      <c r="G618" s="191" t="s">
        <v>219</v>
      </c>
      <c r="H618" s="315"/>
      <c r="I618" s="329">
        <f>I615-I617</f>
        <v>103.20022220922692</v>
      </c>
      <c r="J618" s="317"/>
      <c r="K618" s="329">
        <f t="shared" ref="K618" si="1065">K615-K617</f>
        <v>103.20022220922692</v>
      </c>
      <c r="L618" s="330">
        <f t="shared" ref="L618" si="1066">L615-L617</f>
        <v>0</v>
      </c>
      <c r="M618" s="274"/>
      <c r="N618" s="156">
        <f>N615-N617</f>
        <v>103.20022220922692</v>
      </c>
      <c r="O618" s="196"/>
      <c r="P618" s="156">
        <f t="shared" ref="P618" si="1067">P615-P617</f>
        <v>103.20022220922692</v>
      </c>
      <c r="Q618" s="245">
        <f t="shared" ref="Q618" si="1068">Q615-Q617</f>
        <v>0</v>
      </c>
      <c r="R618" s="238"/>
      <c r="S618" s="156">
        <f>S615-S617</f>
        <v>131.16530801296904</v>
      </c>
      <c r="T618" s="196"/>
      <c r="U618" s="156">
        <f t="shared" ref="U618" si="1069">U615-U617</f>
        <v>131.16530801296904</v>
      </c>
      <c r="V618" s="245">
        <f t="shared" ref="V618" si="1070">V615-V617</f>
        <v>0</v>
      </c>
      <c r="W618" s="238"/>
      <c r="X618" s="156">
        <f>X615-X617</f>
        <v>139.55660779715254</v>
      </c>
      <c r="Y618" s="196"/>
      <c r="Z618" s="156">
        <f t="shared" ref="Z618" si="1071">Z615-Z617</f>
        <v>139.55660779715254</v>
      </c>
      <c r="AA618" s="245">
        <f t="shared" ref="AA618" si="1072">AA615-AA617</f>
        <v>0</v>
      </c>
      <c r="AB618" s="265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</row>
    <row r="619" spans="1:42" s="5" customFormat="1">
      <c r="A619" s="1"/>
      <c r="B619" s="1"/>
      <c r="C619" s="1"/>
      <c r="D619" s="168"/>
      <c r="E619" s="168" t="s">
        <v>276</v>
      </c>
      <c r="F619" s="168" t="str">
        <f t="shared" si="1048"/>
        <v>ВалентаСпорт</v>
      </c>
      <c r="G619" s="168" t="s">
        <v>261</v>
      </c>
      <c r="H619" s="326"/>
      <c r="I619" s="327">
        <f>SUMIFS(операции!$V:$V,операции!$T:$T,"&lt;"&amp;I$8,операции!$X:$X,"",операции!$AB:$AB,"",операции!$O:$O,$F608)+SUMIFS(операции!$V:$V,операции!$T:$T,"&lt;"&amp;I$8,операции!$X:$X,"&gt;="&amp;I$8,операции!$AB:$AB,"",операции!$O:$O,$F608)+SUMIFS(операции!$V:$V,операции!$T:$T,"&lt;"&amp;I$8,операции!$X:$X,"",операции!$AB:$AB,"&gt;="&amp;I$8,операции!$O:$O,$F608)+SUMIFS(операции!$V:$V,операции!$T:$T,"&lt;"&amp;I$8,операции!$X:$X,"&gt;="&amp;I$8,операции!$AB:$AB,"&gt;="&amp;I$8,операции!$O:$O,$F608)</f>
        <v>5603.119999999999</v>
      </c>
      <c r="J619" s="313">
        <f>I619-K619-L619</f>
        <v>0</v>
      </c>
      <c r="K619" s="327">
        <f>SUMIFS(операции!$V:$V,операции!$T:$T,"&lt;"&amp;I$8,операции!$X:$X,"",операции!$AB:$AB,"",операции!$L:$L,K$9,операции!$O:$O,$F608)+SUMIFS(операции!$V:$V,операции!$T:$T,"&lt;"&amp;I$8,операции!$X:$X,"&gt;="&amp;I$8,операции!$AB:$AB,"",операции!$L:$L,K$9,операции!$O:$O,$F608)+SUMIFS(операции!$V:$V,операции!$T:$T,"&lt;"&amp;I$8,операции!$X:$X,"",операции!$AB:$AB,"&gt;="&amp;I$8,операции!$L:$L,K$9,операции!$O:$O,$F608)+SUMIFS(операции!$V:$V,операции!$T:$T,"&lt;"&amp;I$8,операции!$X:$X,"&gt;="&amp;I$8,операции!$AB:$AB,"&gt;="&amp;I$8,операции!$L:$L,K$9,операции!$O:$O,$F608)</f>
        <v>5603.119999999999</v>
      </c>
      <c r="L619" s="328">
        <f>SUMIFS(операции!$V:$V,операции!$T:$T,"&lt;"&amp;I$8,операции!$X:$X,"",операции!$AB:$AB,"",операции!$L:$L,L$9,операции!$O:$O,$F608)+SUMIFS(операции!$V:$V,операции!$T:$T,"&lt;"&amp;I$8,операции!$X:$X,"&gt;="&amp;I$8,операции!$AB:$AB,"",операции!$L:$L,L$9,операции!$O:$O,$F608)+SUMIFS(операции!$V:$V,операции!$T:$T,"&lt;"&amp;I$8,операции!$X:$X,"",операции!$AB:$AB,"&gt;="&amp;I$8,операции!$L:$L,L$9,операции!$O:$O,$F608)+SUMIFS(операции!$V:$V,операции!$T:$T,"&lt;"&amp;I$8,операции!$X:$X,"&gt;="&amp;I$8,операции!$AB:$AB,"&gt;="&amp;I$8,операции!$L:$L,L$9,операции!$O:$O,$F608)</f>
        <v>0</v>
      </c>
      <c r="M619" s="277"/>
      <c r="N619" s="169">
        <f>SUMIFS(операции!$V:$V,операции!$T:$T,"&lt;"&amp;N$8,операции!$X:$X,"",операции!$AB:$AB,"",операции!$O:$O,$F608)+SUMIFS(операции!$V:$V,операции!$T:$T,"&lt;"&amp;N$8,операции!$X:$X,"&gt;="&amp;N$8,операции!$AB:$AB,"",операции!$O:$O,$F608)+SUMIFS(операции!$V:$V,операции!$T:$T,"&lt;"&amp;N$8,операции!$X:$X,"",операции!$AB:$AB,"&gt;="&amp;N$8,операции!$O:$O,$F608)+SUMIFS(операции!$V:$V,операции!$T:$T,"&lt;"&amp;N$8,операции!$X:$X,"&gt;="&amp;N$8,операции!$AB:$AB,"&gt;="&amp;N$8,операции!$O:$O,$F608)</f>
        <v>5603.119999999999</v>
      </c>
      <c r="O619" s="170">
        <f>N619-P619-Q619</f>
        <v>0</v>
      </c>
      <c r="P619" s="169">
        <f>SUMIFS(операции!$V:$V,операции!$T:$T,"&lt;"&amp;N$8,операции!$X:$X,"",операции!$AB:$AB,"",операции!$L:$L,P$9,операции!$O:$O,$F608)+SUMIFS(операции!$V:$V,операции!$T:$T,"&lt;"&amp;N$8,операции!$X:$X,"&gt;="&amp;N$8,операции!$AB:$AB,"",операции!$L:$L,P$9,операции!$O:$O,$F608)+SUMIFS(операции!$V:$V,операции!$T:$T,"&lt;"&amp;N$8,операции!$X:$X,"",операции!$AB:$AB,"&gt;="&amp;N$8,операции!$L:$L,P$9,операции!$O:$O,$F608)+SUMIFS(операции!$V:$V,операции!$T:$T,"&lt;"&amp;N$8,операции!$X:$X,"&gt;="&amp;N$8,операции!$AB:$AB,"&gt;="&amp;N$8,операции!$L:$L,P$9,операции!$O:$O,$F608)</f>
        <v>5603.119999999999</v>
      </c>
      <c r="Q619" s="243">
        <f>SUMIFS(операции!$V:$V,операции!$T:$T,"&lt;"&amp;N$8,операции!$X:$X,"",операции!$AB:$AB,"",операции!$L:$L,Q$9,операции!$O:$O,$F608)+SUMIFS(операции!$V:$V,операции!$T:$T,"&lt;"&amp;N$8,операции!$X:$X,"&gt;="&amp;N$8,операции!$AB:$AB,"",операции!$L:$L,Q$9,операции!$O:$O,$F608)+SUMIFS(операции!$V:$V,операции!$T:$T,"&lt;"&amp;N$8,операции!$X:$X,"",операции!$AB:$AB,"&gt;="&amp;N$8,операции!$L:$L,Q$9,операции!$O:$O,$F608)+SUMIFS(операции!$V:$V,операции!$T:$T,"&lt;"&amp;N$8,операции!$X:$X,"&gt;="&amp;N$8,операции!$AB:$AB,"&gt;="&amp;N$8,операции!$L:$L,Q$9,операции!$O:$O,$F608)</f>
        <v>0</v>
      </c>
      <c r="R619" s="244"/>
      <c r="S619" s="169">
        <f>SUMIFS(операции!$V:$V,операции!$T:$T,"&lt;"&amp;S$8,операции!$X:$X,"",операции!$AB:$AB,"",операции!$O:$O,$F608)+SUMIFS(операции!$V:$V,операции!$T:$T,"&lt;"&amp;S$8,операции!$X:$X,"&gt;="&amp;S$8,операции!$AB:$AB,"",операции!$O:$O,$F608)+SUMIFS(операции!$V:$V,операции!$T:$T,"&lt;"&amp;S$8,операции!$X:$X,"",операции!$AB:$AB,"&gt;="&amp;S$8,операции!$O:$O,$F608)+SUMIFS(операции!$V:$V,операции!$T:$T,"&lt;"&amp;S$8,операции!$X:$X,"&gt;="&amp;S$8,операции!$AB:$AB,"&gt;="&amp;S$8,операции!$O:$O,$F608)</f>
        <v>13316.48</v>
      </c>
      <c r="T619" s="170">
        <f>S619-U619-V619</f>
        <v>0</v>
      </c>
      <c r="U619" s="169">
        <f>SUMIFS(операции!$V:$V,операции!$T:$T,"&lt;"&amp;S$8,операции!$X:$X,"",операции!$AB:$AB,"",операции!$L:$L,U$9,операции!$O:$O,$F608)+SUMIFS(операции!$V:$V,операции!$T:$T,"&lt;"&amp;S$8,операции!$X:$X,"&gt;="&amp;S$8,операции!$AB:$AB,"",операции!$L:$L,U$9,операции!$O:$O,$F608)+SUMIFS(операции!$V:$V,операции!$T:$T,"&lt;"&amp;S$8,операции!$X:$X,"",операции!$AB:$AB,"&gt;="&amp;S$8,операции!$L:$L,U$9,операции!$O:$O,$F608)+SUMIFS(операции!$V:$V,операции!$T:$T,"&lt;"&amp;S$8,операции!$X:$X,"&gt;="&amp;S$8,операции!$AB:$AB,"&gt;="&amp;S$8,операции!$L:$L,U$9,операции!$O:$O,$F608)</f>
        <v>3060.64</v>
      </c>
      <c r="V619" s="243">
        <f>SUMIFS(операции!$V:$V,операции!$T:$T,"&lt;"&amp;S$8,операции!$X:$X,"",операции!$AB:$AB,"",операции!$L:$L,V$9,операции!$O:$O,$F608)+SUMIFS(операции!$V:$V,операции!$T:$T,"&lt;"&amp;S$8,операции!$X:$X,"&gt;="&amp;S$8,операции!$AB:$AB,"",операции!$L:$L,V$9,операции!$O:$O,$F608)+SUMIFS(операции!$V:$V,операции!$T:$T,"&lt;"&amp;S$8,операции!$X:$X,"",операции!$AB:$AB,"&gt;="&amp;S$8,операции!$L:$L,V$9,операции!$O:$O,$F608)+SUMIFS(операции!$V:$V,операции!$T:$T,"&lt;"&amp;S$8,операции!$X:$X,"&gt;="&amp;S$8,операции!$AB:$AB,"&gt;="&amp;S$8,операции!$L:$L,V$9,операции!$O:$O,$F608)</f>
        <v>10255.839999999998</v>
      </c>
      <c r="W619" s="244"/>
      <c r="X619" s="169">
        <f>SUMIFS(операции!$V:$V,операции!$T:$T,"&lt;"&amp;X$8,операции!$X:$X,"",операции!$AB:$AB,"",операции!$O:$O,$F608)+SUMIFS(операции!$V:$V,операции!$T:$T,"&lt;"&amp;X$8,операции!$X:$X,"&gt;="&amp;X$8,операции!$AB:$AB,"",операции!$O:$O,$F608)+SUMIFS(операции!$V:$V,операции!$T:$T,"&lt;"&amp;X$8,операции!$X:$X,"",операции!$AB:$AB,"&gt;="&amp;X$8,операции!$O:$O,$F608)+SUMIFS(операции!$V:$V,операции!$T:$T,"&lt;"&amp;X$8,операции!$X:$X,"&gt;="&amp;X$8,операции!$AB:$AB,"&gt;="&amp;X$8,операции!$O:$O,$F608)</f>
        <v>16606</v>
      </c>
      <c r="Y619" s="170">
        <f>X619-Z619-AA619</f>
        <v>0</v>
      </c>
      <c r="Z619" s="169">
        <f>SUMIFS(операции!$V:$V,операции!$T:$T,"&lt;"&amp;X$8,операции!$X:$X,"",операции!$AB:$AB,"",операции!$L:$L,Z$9,операции!$O:$O,$F608)+SUMIFS(операции!$V:$V,операции!$T:$T,"&lt;"&amp;X$8,операции!$X:$X,"&gt;="&amp;X$8,операции!$AB:$AB,"",операции!$L:$L,Z$9,операции!$O:$O,$F608)+SUMIFS(операции!$V:$V,операции!$T:$T,"&lt;"&amp;X$8,операции!$X:$X,"",операции!$AB:$AB,"&gt;="&amp;X$8,операции!$L:$L,Z$9,операции!$O:$O,$F608)+SUMIFS(операции!$V:$V,операции!$T:$T,"&lt;"&amp;X$8,операции!$X:$X,"&gt;="&amp;X$8,операции!$AB:$AB,"&gt;="&amp;X$8,операции!$L:$L,Z$9,операции!$O:$O,$F608)</f>
        <v>748</v>
      </c>
      <c r="AA619" s="243">
        <f>SUMIFS(операции!$V:$V,операции!$T:$T,"&lt;"&amp;X$8,операции!$X:$X,"",операции!$AB:$AB,"",операции!$L:$L,AA$9,операции!$O:$O,$F608)+SUMIFS(операции!$V:$V,операции!$T:$T,"&lt;"&amp;X$8,операции!$X:$X,"&gt;="&amp;X$8,операции!$AB:$AB,"",операции!$L:$L,AA$9,операции!$O:$O,$F608)+SUMIFS(операции!$V:$V,операции!$T:$T,"&lt;"&amp;X$8,операции!$X:$X,"",операции!$AB:$AB,"&gt;="&amp;X$8,операции!$L:$L,AA$9,операции!$O:$O,$F608)+SUMIFS(операции!$V:$V,операции!$T:$T,"&lt;"&amp;X$8,операции!$X:$X,"&gt;="&amp;X$8,операции!$AB:$AB,"&gt;="&amp;X$8,операции!$L:$L,AA$9,операции!$O:$O,$F608)</f>
        <v>15858</v>
      </c>
      <c r="AB619" s="266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s="192" customFormat="1" ht="11.25">
      <c r="A620" s="37"/>
      <c r="B620" s="37"/>
      <c r="C620" s="37"/>
      <c r="D620" s="191"/>
      <c r="E620" s="191" t="s">
        <v>255</v>
      </c>
      <c r="F620" s="191" t="str">
        <f t="shared" si="1048"/>
        <v>ВалентаСпорт</v>
      </c>
      <c r="G620" s="191" t="s">
        <v>262</v>
      </c>
      <c r="H620" s="315"/>
      <c r="I620" s="316">
        <f>IF(I619=0,0,(SUMIFS(операции!$AF:$AF,операции!$T:$T,"&lt;"&amp;I$8,операции!$X:$X,"",операции!$AB:$AB,"",операции!$O:$O,$F608)+SUMIFS(операции!$AF:$AF,операции!$T:$T,"&lt;"&amp;I$8,операции!$X:$X,"&gt;="&amp;I$8,операции!$AB:$AB,"",операции!$O:$O,$F608)+SUMIFS(операции!$AF:$AF,операции!$T:$T,"&lt;"&amp;I$8,операции!$X:$X,"",операции!$AB:$AB,"&gt;="&amp;I$8,операции!$O:$O,$F608)+SUMIFS(операции!$AF:$AF,операции!$T:$T,"&lt;"&amp;I$8,операции!$X:$X,"&gt;="&amp;I$8,операции!$AB:$AB,"&gt;="&amp;I$8,операции!$O:$O,$F608))/I619)</f>
        <v>42205.355694684396</v>
      </c>
      <c r="J620" s="317"/>
      <c r="K620" s="316">
        <f>IF(K619=0,0,(SUMIFS(операции!$AF:$AF,операции!$T:$T,"&lt;"&amp;I$8,операции!$X:$X,"",операции!$AB:$AB,"",операции!$L:$L,K$9,операции!$O:$O,$F608)+SUMIFS(операции!$AF:$AF,операции!$T:$T,"&lt;"&amp;I$8,операции!$X:$X,"&gt;="&amp;I$8,операции!$AB:$AB,"",операции!$L:$L,K$9,операции!$O:$O,$F608)+SUMIFS(операции!$AF:$AF,операции!$T:$T,"&lt;"&amp;I$8,операции!$X:$X,"",операции!$AB:$AB,"&gt;="&amp;I$8,операции!$L:$L,K$9,операции!$O:$O,$F608)+SUMIFS(операции!$AF:$AF,операции!$T:$T,"&lt;"&amp;I$8,операции!$X:$X,"&gt;="&amp;I$8,операции!$AB:$AB,"&gt;="&amp;I$8,операции!$L:$L,K$9,операции!$O:$O,$F608))/K619)</f>
        <v>42205.355694684396</v>
      </c>
      <c r="L620" s="318">
        <f>IF(L619=0,0,(SUMIFS(операции!$AF:$AF,операции!$T:$T,"&lt;"&amp;I$8,операции!$X:$X,"",операции!$AB:$AB,"",операции!$L:$L,L$9,операции!$O:$O,$F608)+SUMIFS(операции!$AF:$AF,операции!$T:$T,"&lt;"&amp;I$8,операции!$X:$X,"&gt;="&amp;I$8,операции!$AB:$AB,"",операции!$L:$L,L$9,операции!$O:$O,$F608)+SUMIFS(операции!$AF:$AF,операции!$T:$T,"&lt;"&amp;I$8,операции!$X:$X,"",операции!$AB:$AB,"&gt;="&amp;I$8,операции!$L:$L,L$9,операции!$O:$O,$F608)+SUMIFS(операции!$AF:$AF,операции!$T:$T,"&lt;"&amp;I$8,операции!$X:$X,"&gt;="&amp;I$8,операции!$AB:$AB,"&gt;="&amp;I$8,операции!$L:$L,L$9,операции!$O:$O,$F608))/L619)</f>
        <v>0</v>
      </c>
      <c r="M620" s="274"/>
      <c r="N620" s="193">
        <f>IF(N619=0,0,(SUMIFS(операции!$AF:$AF,операции!$T:$T,"&lt;"&amp;N$8,операции!$X:$X,"",операции!$AB:$AB,"",операции!$O:$O,$F608)+SUMIFS(операции!$AF:$AF,операции!$T:$T,"&lt;"&amp;N$8,операции!$X:$X,"&gt;="&amp;N$8,операции!$AB:$AB,"",операции!$O:$O,$F608)+SUMIFS(операции!$AF:$AF,операции!$T:$T,"&lt;"&amp;N$8,операции!$X:$X,"",операции!$AB:$AB,"&gt;="&amp;N$8,операции!$O:$O,$F608)+SUMIFS(операции!$AF:$AF,операции!$T:$T,"&lt;"&amp;N$8,операции!$X:$X,"&gt;="&amp;N$8,операции!$AB:$AB,"&gt;="&amp;N$8,операции!$O:$O,$F608))/N619)</f>
        <v>42205.355694684396</v>
      </c>
      <c r="O620" s="196"/>
      <c r="P620" s="193">
        <f>IF(P619=0,0,(SUMIFS(операции!$AF:$AF,операции!$T:$T,"&lt;"&amp;N$8,операции!$X:$X,"",операции!$AB:$AB,"",операции!$L:$L,P$9,операции!$O:$O,$F608)+SUMIFS(операции!$AF:$AF,операции!$T:$T,"&lt;"&amp;N$8,операции!$X:$X,"&gt;="&amp;N$8,операции!$AB:$AB,"",операции!$L:$L,P$9,операции!$O:$O,$F608)+SUMIFS(операции!$AF:$AF,операции!$T:$T,"&lt;"&amp;N$8,операции!$X:$X,"",операции!$AB:$AB,"&gt;="&amp;N$8,операции!$L:$L,P$9,операции!$O:$O,$F608)+SUMIFS(операции!$AF:$AF,операции!$T:$T,"&lt;"&amp;N$8,операции!$X:$X,"&gt;="&amp;N$8,операции!$AB:$AB,"&gt;="&amp;N$8,операции!$L:$L,P$9,операции!$O:$O,$F608))/P619)</f>
        <v>42205.355694684396</v>
      </c>
      <c r="Q620" s="237">
        <f>IF(Q619=0,0,(SUMIFS(операции!$AF:$AF,операции!$T:$T,"&lt;"&amp;N$8,операции!$X:$X,"",операции!$AB:$AB,"",операции!$L:$L,Q$9,операции!$O:$O,$F608)+SUMIFS(операции!$AF:$AF,операции!$T:$T,"&lt;"&amp;N$8,операции!$X:$X,"&gt;="&amp;N$8,операции!$AB:$AB,"",операции!$L:$L,Q$9,операции!$O:$O,$F608)+SUMIFS(операции!$AF:$AF,операции!$T:$T,"&lt;"&amp;N$8,операции!$X:$X,"",операции!$AB:$AB,"&gt;="&amp;N$8,операции!$L:$L,Q$9,операции!$O:$O,$F608)+SUMIFS(операции!$AF:$AF,операции!$T:$T,"&lt;"&amp;N$8,операции!$X:$X,"&gt;="&amp;N$8,операции!$AB:$AB,"&gt;="&amp;N$8,операции!$L:$L,Q$9,операции!$O:$O,$F608))/Q619)</f>
        <v>0</v>
      </c>
      <c r="R620" s="238"/>
      <c r="S620" s="193">
        <f>IF(S619=0,0,(SUMIFS(операции!$AF:$AF,операции!$T:$T,"&lt;"&amp;S$8,операции!$X:$X,"",операции!$AB:$AB,"",операции!$O:$O,$F608)+SUMIFS(операции!$AF:$AF,операции!$T:$T,"&lt;"&amp;S$8,операции!$X:$X,"&gt;="&amp;S$8,операции!$AB:$AB,"",операции!$O:$O,$F608)+SUMIFS(операции!$AF:$AF,операции!$T:$T,"&lt;"&amp;S$8,операции!$X:$X,"",операции!$AB:$AB,"&gt;="&amp;S$8,операции!$O:$O,$F608)+SUMIFS(операции!$AF:$AF,операции!$T:$T,"&lt;"&amp;S$8,операции!$X:$X,"&gt;="&amp;S$8,операции!$AB:$AB,"&gt;="&amp;S$8,операции!$O:$O,$F608))/S619)</f>
        <v>42295.60790238862</v>
      </c>
      <c r="T620" s="196"/>
      <c r="U620" s="193">
        <f>IF(U619=0,0,(SUMIFS(операции!$AF:$AF,операции!$T:$T,"&lt;"&amp;S$8,операции!$X:$X,"",операции!$AB:$AB,"",операции!$L:$L,U$9,операции!$O:$O,$F608)+SUMIFS(операции!$AF:$AF,операции!$T:$T,"&lt;"&amp;S$8,операции!$X:$X,"&gt;="&amp;S$8,операции!$AB:$AB,"",операции!$L:$L,U$9,операции!$O:$O,$F608)+SUMIFS(операции!$AF:$AF,операции!$T:$T,"&lt;"&amp;S$8,операции!$X:$X,"",операции!$AB:$AB,"&gt;="&amp;S$8,операции!$L:$L,U$9,операции!$O:$O,$F608)+SUMIFS(операции!$AF:$AF,операции!$T:$T,"&lt;"&amp;S$8,операции!$X:$X,"&gt;="&amp;S$8,операции!$AB:$AB,"&gt;="&amp;S$8,операции!$L:$L,U$9,операции!$O:$O,$F608))/U619)</f>
        <v>42258.069580218515</v>
      </c>
      <c r="V620" s="237">
        <f>IF(V619=0,0,(SUMIFS(операции!$AF:$AF,операции!$T:$T,"&lt;"&amp;S$8,операции!$X:$X,"",операции!$AB:$AB,"",операции!$L:$L,V$9,операции!$O:$O,$F608)+SUMIFS(операции!$AF:$AF,операции!$T:$T,"&lt;"&amp;S$8,операции!$X:$X,"&gt;="&amp;S$8,операции!$AB:$AB,"",операции!$L:$L,V$9,операции!$O:$O,$F608)+SUMIFS(операции!$AF:$AF,операции!$T:$T,"&lt;"&amp;S$8,операции!$X:$X,"",операции!$AB:$AB,"&gt;="&amp;S$8,операции!$L:$L,V$9,операции!$O:$O,$F608)+SUMIFS(операции!$AF:$AF,операции!$T:$T,"&lt;"&amp;S$8,операции!$X:$X,"&gt;="&amp;S$8,операции!$AB:$AB,"&gt;="&amp;S$8,операции!$L:$L,V$9,операции!$O:$O,$F608))/V619)</f>
        <v>42306.810426059696</v>
      </c>
      <c r="W620" s="238"/>
      <c r="X620" s="193">
        <f>IF(X619=0,0,(SUMIFS(операции!$AF:$AF,операции!$T:$T,"&lt;"&amp;X$8,операции!$X:$X,"",операции!$AB:$AB,"",операции!$O:$O,$F608)+SUMIFS(операции!$AF:$AF,операции!$T:$T,"&lt;"&amp;X$8,операции!$X:$X,"&gt;="&amp;X$8,операции!$AB:$AB,"",операции!$O:$O,$F608)+SUMIFS(операции!$AF:$AF,операции!$T:$T,"&lt;"&amp;X$8,операции!$X:$X,"",операции!$AB:$AB,"&gt;="&amp;X$8,операции!$O:$O,$F608)+SUMIFS(операции!$AF:$AF,операции!$T:$T,"&lt;"&amp;X$8,операции!$X:$X,"&gt;="&amp;X$8,операции!$AB:$AB,"&gt;="&amp;X$8,операции!$O:$O,$F608))/X619)</f>
        <v>42331.172949536311</v>
      </c>
      <c r="Y620" s="196"/>
      <c r="Z620" s="193">
        <f>IF(Z619=0,0,(SUMIFS(операции!$AF:$AF,операции!$T:$T,"&lt;"&amp;X$8,операции!$X:$X,"",операции!$AB:$AB,"",операции!$L:$L,Z$9,операции!$O:$O,$F608)+SUMIFS(операции!$AF:$AF,операции!$T:$T,"&lt;"&amp;X$8,операции!$X:$X,"&gt;="&amp;X$8,операции!$AB:$AB,"",операции!$L:$L,Z$9,операции!$O:$O,$F608)+SUMIFS(операции!$AF:$AF,операции!$T:$T,"&lt;"&amp;X$8,операции!$X:$X,"",операции!$AB:$AB,"&gt;="&amp;X$8,операции!$L:$L,Z$9,операции!$O:$O,$F608)+SUMIFS(операции!$AF:$AF,операции!$T:$T,"&lt;"&amp;X$8,операции!$X:$X,"&gt;="&amp;X$8,операции!$AB:$AB,"&gt;="&amp;X$8,операции!$L:$L,Z$9,операции!$O:$O,$F608))/Z619)</f>
        <v>42215</v>
      </c>
      <c r="AA620" s="237">
        <f>IF(AA619=0,0,(SUMIFS(операции!$AF:$AF,операции!$T:$T,"&lt;"&amp;X$8,операции!$X:$X,"",операции!$AB:$AB,"",операции!$L:$L,AA$9,операции!$O:$O,$F608)+SUMIFS(операции!$AF:$AF,операции!$T:$T,"&lt;"&amp;X$8,операции!$X:$X,"&gt;="&amp;X$8,операции!$AB:$AB,"",операции!$L:$L,AA$9,операции!$O:$O,$F608)+SUMIFS(операции!$AF:$AF,операции!$T:$T,"&lt;"&amp;X$8,операции!$X:$X,"",операции!$AB:$AB,"&gt;="&amp;X$8,операции!$L:$L,AA$9,операции!$O:$O,$F608)+SUMIFS(операции!$AF:$AF,операции!$T:$T,"&lt;"&amp;X$8,операции!$X:$X,"&gt;="&amp;X$8,операции!$AB:$AB,"&gt;="&amp;X$8,операции!$L:$L,AA$9,операции!$O:$O,$F608))/AA619)</f>
        <v>42336.652667423383</v>
      </c>
      <c r="AB620" s="265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</row>
    <row r="621" spans="1:42" s="192" customFormat="1" ht="11.25">
      <c r="A621" s="37"/>
      <c r="B621" s="37"/>
      <c r="C621" s="37"/>
      <c r="D621" s="191"/>
      <c r="E621" s="191" t="s">
        <v>263</v>
      </c>
      <c r="F621" s="191" t="str">
        <f t="shared" si="1048"/>
        <v>ВалентаСпорт</v>
      </c>
      <c r="G621" s="191" t="s">
        <v>219</v>
      </c>
      <c r="H621" s="315"/>
      <c r="I621" s="329">
        <f>IF(I619=0,0,I$8-I620)</f>
        <v>72.64430531560356</v>
      </c>
      <c r="J621" s="317"/>
      <c r="K621" s="329">
        <f>IF(K619=0,0,I$8-K620)</f>
        <v>72.64430531560356</v>
      </c>
      <c r="L621" s="330">
        <f>IF(L619=0,0,I$8-L620)</f>
        <v>0</v>
      </c>
      <c r="M621" s="274"/>
      <c r="N621" s="156">
        <f>IF(N619=0,0,N$8-N620)</f>
        <v>72.64430531560356</v>
      </c>
      <c r="O621" s="196"/>
      <c r="P621" s="156">
        <f>IF(P619=0,0,N$8-P620)</f>
        <v>72.64430531560356</v>
      </c>
      <c r="Q621" s="245">
        <f>IF(Q619=0,0,N$8-Q620)</f>
        <v>0</v>
      </c>
      <c r="R621" s="238"/>
      <c r="S621" s="156">
        <f>IF(S619=0,0,S$8-S620)</f>
        <v>13.39209761138045</v>
      </c>
      <c r="T621" s="196"/>
      <c r="U621" s="156">
        <f>IF(U619=0,0,S$8-U620)</f>
        <v>50.930419781485398</v>
      </c>
      <c r="V621" s="245">
        <f>IF(V619=0,0,S$8-V620)</f>
        <v>2.189573940304399</v>
      </c>
      <c r="W621" s="238"/>
      <c r="X621" s="156">
        <f>IF(X619=0,0,X$8-X620)</f>
        <v>7.8270504636893747</v>
      </c>
      <c r="Y621" s="196"/>
      <c r="Z621" s="156">
        <f>IF(Z619=0,0,X$8-Z620)</f>
        <v>124</v>
      </c>
      <c r="AA621" s="245">
        <f>IF(AA619=0,0,X$8-AA620)</f>
        <v>2.3473325766171911</v>
      </c>
      <c r="AB621" s="265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</row>
    <row r="622" spans="1:42" s="192" customFormat="1" ht="11.25">
      <c r="A622" s="37"/>
      <c r="B622" s="37"/>
      <c r="C622" s="37"/>
      <c r="D622" s="191"/>
      <c r="E622" s="191" t="s">
        <v>311</v>
      </c>
      <c r="F622" s="191" t="str">
        <f t="shared" si="1048"/>
        <v>ВалентаСпорт</v>
      </c>
      <c r="G622" s="191" t="s">
        <v>262</v>
      </c>
      <c r="H622" s="315"/>
      <c r="I622" s="316">
        <f>I$8</f>
        <v>42278</v>
      </c>
      <c r="J622" s="317"/>
      <c r="K622" s="316">
        <f>I$8</f>
        <v>42278</v>
      </c>
      <c r="L622" s="318">
        <f>I$8</f>
        <v>42278</v>
      </c>
      <c r="M622" s="274"/>
      <c r="N622" s="193">
        <f>N$8</f>
        <v>42278</v>
      </c>
      <c r="O622" s="196"/>
      <c r="P622" s="193">
        <f>N$8</f>
        <v>42278</v>
      </c>
      <c r="Q622" s="237">
        <f>N$8</f>
        <v>42278</v>
      </c>
      <c r="R622" s="238"/>
      <c r="S622" s="193">
        <f>S$8</f>
        <v>42309</v>
      </c>
      <c r="T622" s="196"/>
      <c r="U622" s="193">
        <f>S$8</f>
        <v>42309</v>
      </c>
      <c r="V622" s="237">
        <f>S$8</f>
        <v>42309</v>
      </c>
      <c r="W622" s="238"/>
      <c r="X622" s="193">
        <f>X$8</f>
        <v>42339</v>
      </c>
      <c r="Y622" s="196"/>
      <c r="Z622" s="193">
        <f>X$8</f>
        <v>42339</v>
      </c>
      <c r="AA622" s="237">
        <f>X$8</f>
        <v>42339</v>
      </c>
      <c r="AB622" s="265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</row>
    <row r="623" spans="1:42" s="192" customFormat="1" ht="11.25">
      <c r="A623" s="37"/>
      <c r="B623" s="37"/>
      <c r="C623" s="37"/>
      <c r="D623" s="191"/>
      <c r="E623" s="191" t="s">
        <v>264</v>
      </c>
      <c r="F623" s="191" t="str">
        <f t="shared" si="1048"/>
        <v>ВалентаСпорт</v>
      </c>
      <c r="G623" s="191" t="s">
        <v>219</v>
      </c>
      <c r="H623" s="315"/>
      <c r="I623" s="329">
        <f>IF(I619=0,0,I622-I620)</f>
        <v>72.64430531560356</v>
      </c>
      <c r="J623" s="317"/>
      <c r="K623" s="329">
        <f>IF(K619=0,0,K622-K620)</f>
        <v>72.64430531560356</v>
      </c>
      <c r="L623" s="330">
        <f>IF(L619=0,0,L622-L620)</f>
        <v>0</v>
      </c>
      <c r="M623" s="274"/>
      <c r="N623" s="156">
        <f>IF(N619=0,0,N622-N620)</f>
        <v>72.64430531560356</v>
      </c>
      <c r="O623" s="196"/>
      <c r="P623" s="156">
        <f>IF(P619=0,0,P622-P620)</f>
        <v>72.64430531560356</v>
      </c>
      <c r="Q623" s="245">
        <f>IF(Q619=0,0,Q622-Q620)</f>
        <v>0</v>
      </c>
      <c r="R623" s="238"/>
      <c r="S623" s="156">
        <f>IF(S619=0,0,S622-S620)</f>
        <v>13.39209761138045</v>
      </c>
      <c r="T623" s="196"/>
      <c r="U623" s="156">
        <f>IF(U619=0,0,U622-U620)</f>
        <v>50.930419781485398</v>
      </c>
      <c r="V623" s="245">
        <f>IF(V619=0,0,V622-V620)</f>
        <v>2.189573940304399</v>
      </c>
      <c r="W623" s="238"/>
      <c r="X623" s="156">
        <f>IF(X619=0,0,X622-X620)</f>
        <v>7.8270504636893747</v>
      </c>
      <c r="Y623" s="196"/>
      <c r="Z623" s="156">
        <f>IF(Z619=0,0,Z622-Z620)</f>
        <v>124</v>
      </c>
      <c r="AA623" s="245">
        <f>IF(AA619=0,0,AA622-AA620)</f>
        <v>2.3473325766171911</v>
      </c>
      <c r="AB623" s="265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</row>
    <row r="624" spans="1:42" s="192" customFormat="1" ht="11.25">
      <c r="A624" s="37"/>
      <c r="B624" s="37"/>
      <c r="C624" s="37"/>
      <c r="D624" s="207"/>
      <c r="E624" s="207" t="s">
        <v>269</v>
      </c>
      <c r="F624" s="207" t="str">
        <f t="shared" si="1048"/>
        <v>ВалентаСпорт</v>
      </c>
      <c r="G624" s="207" t="s">
        <v>219</v>
      </c>
      <c r="H624" s="331"/>
      <c r="I624" s="332">
        <f>I621-I623</f>
        <v>0</v>
      </c>
      <c r="J624" s="333"/>
      <c r="K624" s="332">
        <f t="shared" ref="K624" si="1073">K621-K623</f>
        <v>0</v>
      </c>
      <c r="L624" s="334">
        <f>L621-L623</f>
        <v>0</v>
      </c>
      <c r="M624" s="278"/>
      <c r="N624" s="162">
        <f>N621-N623</f>
        <v>0</v>
      </c>
      <c r="O624" s="208"/>
      <c r="P624" s="162">
        <f t="shared" ref="P624" si="1074">P621-P623</f>
        <v>0</v>
      </c>
      <c r="Q624" s="246">
        <f>Q621-Q623</f>
        <v>0</v>
      </c>
      <c r="R624" s="247"/>
      <c r="S624" s="162">
        <f>S621-S623</f>
        <v>0</v>
      </c>
      <c r="T624" s="208"/>
      <c r="U624" s="162">
        <f t="shared" ref="U624" si="1075">U621-U623</f>
        <v>0</v>
      </c>
      <c r="V624" s="246">
        <f>V621-V623</f>
        <v>0</v>
      </c>
      <c r="W624" s="247"/>
      <c r="X624" s="162">
        <f>X621-X623</f>
        <v>0</v>
      </c>
      <c r="Y624" s="208"/>
      <c r="Z624" s="162">
        <f t="shared" ref="Z624" si="1076">Z621-Z623</f>
        <v>0</v>
      </c>
      <c r="AA624" s="246">
        <f>AA621-AA623</f>
        <v>0</v>
      </c>
      <c r="AB624" s="265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</row>
    <row r="625" spans="1:42" s="111" customFormat="1" ht="11.25">
      <c r="A625" s="108"/>
      <c r="B625" s="108"/>
      <c r="C625" s="108" t="s">
        <v>272</v>
      </c>
      <c r="D625" s="109"/>
      <c r="E625" s="109"/>
      <c r="F625" s="109" t="str">
        <f t="shared" si="1048"/>
        <v>ВалентаСпорт</v>
      </c>
      <c r="G625" s="109"/>
      <c r="H625" s="307"/>
      <c r="I625" s="308">
        <f>I626-K626-L626</f>
        <v>0</v>
      </c>
      <c r="J625" s="335"/>
      <c r="K625" s="308"/>
      <c r="L625" s="336"/>
      <c r="M625" s="272"/>
      <c r="N625" s="110">
        <f>N626-P626-Q626</f>
        <v>0</v>
      </c>
      <c r="O625" s="105"/>
      <c r="P625" s="110"/>
      <c r="Q625" s="248"/>
      <c r="R625" s="234"/>
      <c r="S625" s="110">
        <f>S626-U626-V626</f>
        <v>0</v>
      </c>
      <c r="T625" s="105"/>
      <c r="U625" s="110"/>
      <c r="V625" s="248"/>
      <c r="W625" s="234"/>
      <c r="X625" s="110">
        <f>X626-Z626-AA626</f>
        <v>0</v>
      </c>
      <c r="Y625" s="105"/>
      <c r="Z625" s="110"/>
      <c r="AA625" s="248"/>
      <c r="AB625" s="263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</row>
    <row r="626" spans="1:42" s="5" customFormat="1">
      <c r="A626" s="1"/>
      <c r="B626" s="1"/>
      <c r="C626" s="1"/>
      <c r="D626" s="168" t="s">
        <v>273</v>
      </c>
      <c r="E626" s="168"/>
      <c r="F626" s="168" t="str">
        <f t="shared" si="1048"/>
        <v>ВалентаСпорт</v>
      </c>
      <c r="G626" s="168" t="s">
        <v>261</v>
      </c>
      <c r="H626" s="326"/>
      <c r="I626" s="327">
        <f>SUMIFS(операции!$V:$V,операции!$T:$T,"&gt;="&amp;I$8,операции!$T:$T,"&lt;="&amp;I$9,операции!$O:$O,$F608)</f>
        <v>71042</v>
      </c>
      <c r="J626" s="313"/>
      <c r="K626" s="327">
        <f>SUMIFS(операции!$V:$V,операции!$T:$T,"&gt;="&amp;I$8,операции!$T:$T,"&lt;="&amp;I$9,операции!$L:$L,K$9,операции!$O:$O,$F608)</f>
        <v>0</v>
      </c>
      <c r="L626" s="328">
        <f>SUMIFS(операции!$V:$V,операции!$T:$T,"&gt;="&amp;I$8,операции!$T:$T,"&lt;="&amp;I$9,операции!$L:$L,L$9,операции!$O:$O,$F608)</f>
        <v>71042</v>
      </c>
      <c r="M626" s="277"/>
      <c r="N626" s="169">
        <f>SUMIFS(операции!$V:$V,операции!$T:$T,"&gt;="&amp;N$8,операции!$T:$T,"&lt;="&amp;N$9,операции!$O:$O,$F608)</f>
        <v>24486.84</v>
      </c>
      <c r="O626" s="170"/>
      <c r="P626" s="169">
        <f>SUMIFS(операции!$V:$V,операции!$T:$T,"&gt;="&amp;N$8,операции!$T:$T,"&lt;="&amp;N$9,операции!$L:$L,P$9,операции!$O:$O,$F608)</f>
        <v>0</v>
      </c>
      <c r="Q626" s="243">
        <f>SUMIFS(операции!$V:$V,операции!$T:$T,"&gt;="&amp;N$8,операции!$T:$T,"&lt;="&amp;N$9,операции!$L:$L,Q$9,операции!$O:$O,$F608)</f>
        <v>24486.84</v>
      </c>
      <c r="R626" s="244"/>
      <c r="S626" s="169">
        <f>SUMIFS(операции!$V:$V,операции!$T:$T,"&gt;="&amp;S$8,операции!$T:$T,"&lt;="&amp;S$9,операции!$O:$O,$F608)</f>
        <v>35553.160000000003</v>
      </c>
      <c r="T626" s="170"/>
      <c r="U626" s="169">
        <f>SUMIFS(операции!$V:$V,операции!$T:$T,"&gt;="&amp;S$8,операции!$T:$T,"&lt;="&amp;S$9,операции!$L:$L,U$9,операции!$O:$O,$F608)</f>
        <v>0</v>
      </c>
      <c r="V626" s="243">
        <f>SUMIFS(операции!$V:$V,операции!$T:$T,"&gt;="&amp;S$8,операции!$T:$T,"&lt;="&amp;S$9,операции!$L:$L,V$9,операции!$O:$O,$F608)</f>
        <v>35553.160000000003</v>
      </c>
      <c r="W626" s="244"/>
      <c r="X626" s="169">
        <f>SUMIFS(операции!$V:$V,операции!$T:$T,"&gt;="&amp;X$8,операции!$T:$T,"&lt;="&amp;X$9,операции!$O:$O,$F608)</f>
        <v>11002</v>
      </c>
      <c r="Y626" s="170"/>
      <c r="Z626" s="169">
        <f>SUMIFS(операции!$V:$V,операции!$T:$T,"&gt;="&amp;X$8,операции!$T:$T,"&lt;="&amp;X$9,операции!$L:$L,Z$9,операции!$O:$O,$F608)</f>
        <v>0</v>
      </c>
      <c r="AA626" s="243">
        <f>SUMIFS(операции!$V:$V,операции!$T:$T,"&gt;="&amp;X$8,операции!$T:$T,"&lt;="&amp;X$9,операции!$L:$L,AA$9,операции!$O:$O,$F608)</f>
        <v>11002</v>
      </c>
      <c r="AB626" s="266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s="192" customFormat="1" ht="11.25">
      <c r="A627" s="37"/>
      <c r="B627" s="37"/>
      <c r="C627" s="37"/>
      <c r="D627" s="207" t="s">
        <v>255</v>
      </c>
      <c r="E627" s="207"/>
      <c r="F627" s="207" t="str">
        <f t="shared" si="1048"/>
        <v>ВалентаСпорт</v>
      </c>
      <c r="G627" s="207" t="s">
        <v>262</v>
      </c>
      <c r="H627" s="331"/>
      <c r="I627" s="337">
        <f>IF(I626=0,0,SUMIFS(операции!$AF:$AF,операции!$T:$T,"&gt;="&amp;I$8,операции!$T:$T,"&lt;="&amp;I$9,операции!$O:$O,$F608)/I626)</f>
        <v>42321.788382646882</v>
      </c>
      <c r="J627" s="333"/>
      <c r="K627" s="337">
        <f>IF(K626=0,0,SUMIFS(операции!$AF:$AF,операции!$T:$T,"&gt;="&amp;I$8,операции!$T:$T,"&lt;="&amp;I$9,операции!$L:$L,K$9,операции!$O:$O,$F608)/K626)</f>
        <v>0</v>
      </c>
      <c r="L627" s="338">
        <f>IF(L626=0,0,SUMIFS(операции!$AF:$AF,операции!$T:$T,"&gt;="&amp;I$8,операции!$T:$T,"&lt;="&amp;I$9,операции!$L:$L,L$9,операции!$O:$O,$F608)/L626)</f>
        <v>42321.788382646882</v>
      </c>
      <c r="M627" s="278"/>
      <c r="N627" s="217">
        <f>IF(N626=0,0,SUMIFS(операции!$AF:$AF,операции!$T:$T,"&gt;="&amp;N$8,операции!$T:$T,"&lt;="&amp;N$9,операции!$O:$O,$F608)/N626)</f>
        <v>42302.271246106073</v>
      </c>
      <c r="O627" s="208"/>
      <c r="P627" s="217">
        <f>IF(P626=0,0,SUMIFS(операции!$AF:$AF,операции!$T:$T,"&gt;="&amp;N$8,операции!$T:$T,"&lt;="&amp;N$9,операции!$L:$L,P$9,операции!$O:$O,$F608)/P626)</f>
        <v>0</v>
      </c>
      <c r="Q627" s="249">
        <f>IF(Q626=0,0,SUMIFS(операции!$AF:$AF,операции!$T:$T,"&gt;="&amp;N$8,операции!$T:$T,"&lt;="&amp;N$9,операции!$L:$L,Q$9,операции!$O:$O,$F608)/Q626)</f>
        <v>42302.271246106073</v>
      </c>
      <c r="R627" s="247"/>
      <c r="S627" s="217">
        <f>IF(S626=0,0,SUMIFS(операции!$AF:$AF,операции!$T:$T,"&gt;="&amp;S$8,операции!$T:$T,"&lt;="&amp;S$9,операции!$O:$O,$F608)/S626)</f>
        <v>42324.637602958494</v>
      </c>
      <c r="T627" s="208"/>
      <c r="U627" s="217">
        <f>IF(U626=0,0,SUMIFS(операции!$AF:$AF,операции!$T:$T,"&gt;="&amp;S$8,операции!$T:$T,"&lt;="&amp;S$9,операции!$L:$L,U$9,операции!$O:$O,$F608)/U626)</f>
        <v>0</v>
      </c>
      <c r="V627" s="249">
        <f>IF(V626=0,0,SUMIFS(операции!$AF:$AF,операции!$T:$T,"&gt;="&amp;S$8,операции!$T:$T,"&lt;="&amp;S$9,операции!$L:$L,V$9,операции!$O:$O,$F608)/V626)</f>
        <v>42324.637602958494</v>
      </c>
      <c r="W627" s="247"/>
      <c r="X627" s="217">
        <f>IF(X626=0,0,SUMIFS(операции!$AF:$AF,операции!$T:$T,"&gt;="&amp;X$8,операции!$T:$T,"&lt;="&amp;X$9,операции!$O:$O,$F608)/X626)</f>
        <v>42356.019814579166</v>
      </c>
      <c r="Y627" s="208"/>
      <c r="Z627" s="217">
        <f>IF(Z626=0,0,SUMIFS(операции!$AF:$AF,операции!$T:$T,"&gt;="&amp;X$8,операции!$T:$T,"&lt;="&amp;X$9,операции!$L:$L,Z$9,операции!$O:$O,$F608)/Z626)</f>
        <v>0</v>
      </c>
      <c r="AA627" s="249">
        <f>IF(AA626=0,0,SUMIFS(операции!$AF:$AF,операции!$T:$T,"&gt;="&amp;X$8,операции!$T:$T,"&lt;="&amp;X$9,операции!$L:$L,AA$9,операции!$O:$O,$F608)/AA626)</f>
        <v>42356.019814579166</v>
      </c>
      <c r="AB627" s="265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</row>
    <row r="628" spans="1:42" s="93" customFormat="1" ht="15">
      <c r="A628" s="92"/>
      <c r="B628" s="92"/>
      <c r="C628" s="92"/>
      <c r="D628" s="212" t="s">
        <v>274</v>
      </c>
      <c r="E628" s="212"/>
      <c r="F628" s="212" t="str">
        <f t="shared" si="1048"/>
        <v>ВалентаСпорт</v>
      </c>
      <c r="G628" s="212" t="s">
        <v>261</v>
      </c>
      <c r="H628" s="339"/>
      <c r="I628" s="340">
        <f>SUMIFS(операции!$Z:$Z,операции!$X:$X,"&gt;="&amp;I$8,операции!$X:$X,"&lt;="&amp;I$9,операции!$O:$O,$F608)</f>
        <v>76300</v>
      </c>
      <c r="J628" s="341">
        <f>I628-I641-I651</f>
        <v>0</v>
      </c>
      <c r="K628" s="340">
        <f>SUMIFS(операции!$Z:$Z,операции!$X:$X,"&gt;="&amp;I$8,операции!$X:$X,"&lt;="&amp;I$9,операции!$L:$L,K$9,операции!$O:$O,$F608)</f>
        <v>8267</v>
      </c>
      <c r="L628" s="342">
        <f>SUMIFS(операции!$Z:$Z,операции!$X:$X,"&gt;="&amp;I$8,операции!$X:$X,"&lt;="&amp;I$9,операции!$L:$L,L$9,операции!$O:$O,$F608)</f>
        <v>68033</v>
      </c>
      <c r="M628" s="279"/>
      <c r="N628" s="213">
        <f>SUMIFS(операции!$Z:$Z,операции!$X:$X,"&gt;="&amp;N$8,операции!$X:$X,"&lt;="&amp;N$9,операции!$O:$O,$F608)</f>
        <v>18679</v>
      </c>
      <c r="O628" s="216">
        <f>N628-N641-N651</f>
        <v>0</v>
      </c>
      <c r="P628" s="213">
        <f>SUMIFS(операции!$Z:$Z,операции!$X:$X,"&gt;="&amp;N$8,операции!$X:$X,"&lt;="&amp;N$9,операции!$L:$L,P$9,операции!$O:$O,$F608)</f>
        <v>4448</v>
      </c>
      <c r="Q628" s="250">
        <f>SUMIFS(операции!$Z:$Z,операции!$X:$X,"&gt;="&amp;N$8,операции!$X:$X,"&lt;="&amp;N$9,операции!$L:$L,Q$9,операции!$O:$O,$F608)</f>
        <v>14231</v>
      </c>
      <c r="R628" s="251"/>
      <c r="S628" s="213">
        <f>SUMIFS(операции!$Z:$Z,операции!$X:$X,"&gt;="&amp;S$8,операции!$X:$X,"&lt;="&amp;S$9,операции!$O:$O,$F608)</f>
        <v>40496</v>
      </c>
      <c r="T628" s="216">
        <f>S628-S641-S651</f>
        <v>0</v>
      </c>
      <c r="U628" s="213">
        <f>SUMIFS(операции!$Z:$Z,операции!$X:$X,"&gt;="&amp;S$8,операции!$X:$X,"&lt;="&amp;S$9,операции!$L:$L,U$9,операции!$O:$O,$F608)</f>
        <v>3819</v>
      </c>
      <c r="V628" s="250">
        <f>SUMIFS(операции!$Z:$Z,операции!$X:$X,"&gt;="&amp;S$8,операции!$X:$X,"&lt;="&amp;S$9,операции!$L:$L,V$9,операции!$O:$O,$F608)</f>
        <v>36677</v>
      </c>
      <c r="W628" s="251"/>
      <c r="X628" s="213">
        <f>SUMIFS(операции!$Z:$Z,операции!$X:$X,"&gt;="&amp;X$8,операции!$X:$X,"&lt;="&amp;X$9,операции!$O:$O,$F608)</f>
        <v>17125</v>
      </c>
      <c r="Y628" s="216">
        <f>X628-X641-X651</f>
        <v>0</v>
      </c>
      <c r="Z628" s="213">
        <f>SUMIFS(операции!$Z:$Z,операции!$X:$X,"&gt;="&amp;X$8,операции!$X:$X,"&lt;="&amp;X$9,операции!$L:$L,Z$9,операции!$O:$O,$F608)</f>
        <v>0</v>
      </c>
      <c r="AA628" s="250">
        <f>SUMIFS(операции!$Z:$Z,операции!$X:$X,"&gt;="&amp;X$8,операции!$X:$X,"&lt;="&amp;X$9,операции!$L:$L,AA$9,операции!$O:$O,$F608)</f>
        <v>17125</v>
      </c>
      <c r="AB628" s="264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</row>
    <row r="629" spans="1:42" s="407" customFormat="1" ht="11.25">
      <c r="A629" s="404"/>
      <c r="B629" s="404"/>
      <c r="C629" s="404"/>
      <c r="D629" s="405" t="s">
        <v>332</v>
      </c>
      <c r="E629" s="405"/>
      <c r="F629" s="405" t="str">
        <f>F627</f>
        <v>ВалентаСпорт</v>
      </c>
      <c r="G629" s="405" t="s">
        <v>218</v>
      </c>
      <c r="H629" s="408"/>
      <c r="I629" s="408">
        <f>IF(I$31=0,0,I628/I$31)</f>
        <v>2.0567279533858649E-2</v>
      </c>
      <c r="J629" s="409"/>
      <c r="K629" s="408">
        <f t="shared" ref="K629" si="1077">IF(K$31=0,0,K628/K$31)</f>
        <v>6.3500768891613163E-3</v>
      </c>
      <c r="L629" s="410">
        <f t="shared" ref="L629" si="1078">IF(L$31=0,0,L628/L$31)</f>
        <v>2.825405685115092E-2</v>
      </c>
      <c r="M629" s="411"/>
      <c r="N629" s="412">
        <f t="shared" ref="N629" si="1079">IF(N$31=0,0,N628/N$31)</f>
        <v>2.4101842186417342E-2</v>
      </c>
      <c r="O629" s="413"/>
      <c r="P629" s="412">
        <f t="shared" ref="P629" si="1080">IF(P$31=0,0,P628/P$31)</f>
        <v>8.8875390628122032E-3</v>
      </c>
      <c r="Q629" s="414">
        <f t="shared" ref="Q629" si="1081">IF(Q$31=0,0,Q628/Q$31)</f>
        <v>5.1838252703741344E-2</v>
      </c>
      <c r="R629" s="415"/>
      <c r="S629" s="412">
        <f t="shared" ref="S629" si="1082">IF(S$31=0,0,S628/S$31)</f>
        <v>2.2818568824502238E-2</v>
      </c>
      <c r="T629" s="413"/>
      <c r="U629" s="412">
        <f t="shared" ref="U629" si="1083">IF(U$31=0,0,U628/U$31)</f>
        <v>6.0642630864383767E-3</v>
      </c>
      <c r="V629" s="414">
        <f t="shared" ref="V629" si="1084">IF(V$31=0,0,V628/V$31)</f>
        <v>3.2033993047670621E-2</v>
      </c>
      <c r="W629" s="415"/>
      <c r="X629" s="412">
        <f t="shared" ref="X629" si="1085">IF(X$31=0,0,X628/X$31)</f>
        <v>1.4761938421382011E-2</v>
      </c>
      <c r="Y629" s="413"/>
      <c r="Z629" s="412">
        <f t="shared" ref="Z629" si="1086">IF(Z$31=0,0,Z628/Z$31)</f>
        <v>0</v>
      </c>
      <c r="AA629" s="414">
        <f t="shared" ref="AA629" si="1087">IF(AA$31=0,0,AA628/AA$31)</f>
        <v>1.7325367879526727E-2</v>
      </c>
      <c r="AB629" s="406"/>
      <c r="AC629" s="404"/>
      <c r="AD629" s="404"/>
      <c r="AE629" s="404"/>
      <c r="AF629" s="404"/>
      <c r="AG629" s="404"/>
      <c r="AH629" s="404"/>
      <c r="AI629" s="404"/>
      <c r="AJ629" s="404"/>
      <c r="AK629" s="404"/>
      <c r="AL629" s="404"/>
      <c r="AM629" s="404"/>
      <c r="AN629" s="404"/>
      <c r="AO629" s="404"/>
      <c r="AP629" s="404"/>
    </row>
    <row r="630" spans="1:42" s="192" customFormat="1" ht="11.25">
      <c r="A630" s="37"/>
      <c r="B630" s="37"/>
      <c r="C630" s="37"/>
      <c r="D630" s="191" t="s">
        <v>331</v>
      </c>
      <c r="E630" s="191"/>
      <c r="F630" s="191" t="str">
        <f>F628</f>
        <v>ВалентаСпорт</v>
      </c>
      <c r="G630" s="191" t="s">
        <v>334</v>
      </c>
      <c r="H630" s="315"/>
      <c r="I630" s="329">
        <f>SUMIFS(операции!$R:$R,операции!$X:$X,"&gt;="&amp;I$8,операции!$X:$X,"&lt;="&amp;I$9,операции!$O:$O,$F608)</f>
        <v>43</v>
      </c>
      <c r="J630" s="317">
        <f>I630-K630-L630</f>
        <v>0</v>
      </c>
      <c r="K630" s="329">
        <f>SUMIFS(операции!$R:$R,операции!$X:$X,"&gt;="&amp;I$8,операции!$X:$X,"&lt;="&amp;I$9,операции!$L:$L,K$9,операции!$O:$O,$F608)</f>
        <v>11</v>
      </c>
      <c r="L630" s="330">
        <f>SUMIFS(операции!$R:$R,операции!$X:$X,"&gt;="&amp;I$8,операции!$X:$X,"&lt;="&amp;I$9,операции!$L:$L,L$9,операции!$O:$O,$F608)</f>
        <v>32</v>
      </c>
      <c r="M630" s="402"/>
      <c r="N630" s="156">
        <f>SUMIFS(операции!$R:$R,операции!$X:$X,"&gt;="&amp;N$8,операции!$X:$X,"&lt;="&amp;N$9,операции!$O:$O,$F608)</f>
        <v>13</v>
      </c>
      <c r="O630" s="196">
        <f t="shared" ref="O630" si="1088">N630-P630-Q630</f>
        <v>0</v>
      </c>
      <c r="P630" s="156">
        <f>SUMIFS(операции!$R:$R,операции!$X:$X,"&gt;="&amp;N$8,операции!$X:$X,"&lt;="&amp;N$9,операции!$L:$L,P$9,операции!$O:$O,$F608)</f>
        <v>6</v>
      </c>
      <c r="Q630" s="245">
        <f>SUMIFS(операции!$R:$R,операции!$X:$X,"&gt;="&amp;N$8,операции!$X:$X,"&lt;="&amp;N$9,операции!$L:$L,Q$9,операции!$O:$O,$F608)</f>
        <v>7</v>
      </c>
      <c r="R630" s="403"/>
      <c r="S630" s="156">
        <f>SUMIFS(операции!$R:$R,операции!$X:$X,"&gt;="&amp;S$8,операции!$X:$X,"&lt;="&amp;S$9,операции!$O:$O,$F608)</f>
        <v>25</v>
      </c>
      <c r="T630" s="196">
        <f t="shared" ref="T630" si="1089">S630-U630-V630</f>
        <v>0</v>
      </c>
      <c r="U630" s="156">
        <f>SUMIFS(операции!$R:$R,операции!$X:$X,"&gt;="&amp;S$8,операции!$X:$X,"&lt;="&amp;S$9,операции!$L:$L,U$9,операции!$O:$O,$F608)</f>
        <v>5</v>
      </c>
      <c r="V630" s="245">
        <f>SUMIFS(операции!$R:$R,операции!$X:$X,"&gt;="&amp;S$8,операции!$X:$X,"&lt;="&amp;S$9,операции!$L:$L,V$9,операции!$O:$O,$F608)</f>
        <v>20</v>
      </c>
      <c r="W630" s="403"/>
      <c r="X630" s="156">
        <f>SUMIFS(операции!$R:$R,операции!$X:$X,"&gt;="&amp;X$8,операции!$X:$X,"&lt;="&amp;X$9,операции!$O:$O,$F608)</f>
        <v>5</v>
      </c>
      <c r="Y630" s="196">
        <f t="shared" ref="Y630" si="1090">X630-Z630-AA630</f>
        <v>0</v>
      </c>
      <c r="Z630" s="156">
        <f>SUMIFS(операции!$R:$R,операции!$X:$X,"&gt;="&amp;X$8,операции!$X:$X,"&lt;="&amp;X$9,операции!$L:$L,Z$9,операции!$O:$O,$F608)</f>
        <v>0</v>
      </c>
      <c r="AA630" s="245">
        <f>SUMIFS(операции!$R:$R,операции!$X:$X,"&gt;="&amp;X$8,операции!$X:$X,"&lt;="&amp;X$9,операции!$L:$L,AA$9,операции!$O:$O,$F608)</f>
        <v>5</v>
      </c>
      <c r="AB630" s="265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</row>
    <row r="631" spans="1:42" s="192" customFormat="1" ht="11.25">
      <c r="A631" s="37"/>
      <c r="B631" s="37"/>
      <c r="C631" s="37"/>
      <c r="D631" s="191" t="s">
        <v>333</v>
      </c>
      <c r="E631" s="191"/>
      <c r="F631" s="191" t="str">
        <f t="shared" si="1048"/>
        <v>ВалентаСпорт</v>
      </c>
      <c r="G631" s="191" t="s">
        <v>261</v>
      </c>
      <c r="H631" s="315"/>
      <c r="I631" s="329">
        <f>IF(I630=0,0,I628/I630)</f>
        <v>1774.4186046511627</v>
      </c>
      <c r="J631" s="317"/>
      <c r="K631" s="329">
        <f t="shared" ref="K631" si="1091">IF(K630=0,0,K628/K630)</f>
        <v>751.5454545454545</v>
      </c>
      <c r="L631" s="330">
        <f t="shared" ref="L631" si="1092">IF(L630=0,0,L628/L630)</f>
        <v>2126.03125</v>
      </c>
      <c r="M631" s="402"/>
      <c r="N631" s="156">
        <f>IF(N630=0,0,N628/N630)</f>
        <v>1436.8461538461538</v>
      </c>
      <c r="O631" s="196"/>
      <c r="P631" s="156">
        <f>IF(P630=0,0,P628/P630)</f>
        <v>741.33333333333337</v>
      </c>
      <c r="Q631" s="245">
        <f>IF(Q630=0,0,Q628/Q630)</f>
        <v>2033</v>
      </c>
      <c r="R631" s="403"/>
      <c r="S631" s="156">
        <f>IF(S630=0,0,S628/S630)</f>
        <v>1619.84</v>
      </c>
      <c r="T631" s="196"/>
      <c r="U631" s="156">
        <f>IF(U630=0,0,U628/U630)</f>
        <v>763.8</v>
      </c>
      <c r="V631" s="245">
        <f>IF(V630=0,0,V628/V630)</f>
        <v>1833.85</v>
      </c>
      <c r="W631" s="403"/>
      <c r="X631" s="156">
        <f>IF(X630=0,0,X628/X630)</f>
        <v>3425</v>
      </c>
      <c r="Y631" s="196"/>
      <c r="Z631" s="156">
        <f>IF(Z630=0,0,Z628/Z630)</f>
        <v>0</v>
      </c>
      <c r="AA631" s="245">
        <f>IF(AA630=0,0,AA628/AA630)</f>
        <v>3425</v>
      </c>
      <c r="AB631" s="265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</row>
    <row r="632" spans="1:42" s="192" customFormat="1" ht="11.25">
      <c r="A632" s="37"/>
      <c r="B632" s="37"/>
      <c r="C632" s="37"/>
      <c r="D632" s="191" t="s">
        <v>290</v>
      </c>
      <c r="E632" s="191"/>
      <c r="F632" s="191" t="str">
        <f>F628</f>
        <v>ВалентаСпорт</v>
      </c>
      <c r="G632" s="191" t="s">
        <v>262</v>
      </c>
      <c r="H632" s="315"/>
      <c r="I632" s="316">
        <f>IF(I628=0,0,SUMIFS(операции!$AG:$AG,операции!$X:$X,"&gt;="&amp;I$8,операции!$X:$X,"&lt;="&amp;I$9,операции!$O:$O,$F608)/I628)</f>
        <v>42321.487903014415</v>
      </c>
      <c r="J632" s="317"/>
      <c r="K632" s="316">
        <f>IF(K628=0,0,SUMIFS(операции!$AG:$AG,операции!$X:$X,"&gt;="&amp;I$8,операции!$X:$X,"&lt;="&amp;I$9,операции!$L:$L,K$9,операции!$O:$O,$F608)/K628)</f>
        <v>42311.089512519655</v>
      </c>
      <c r="L632" s="318">
        <f>IF(L628=0,0,SUMIFS(операции!$AG:$AG,операции!$X:$X,"&gt;="&amp;I$8,операции!$X:$X,"&lt;="&amp;I$9,операции!$L:$L,L$9,операции!$O:$O,$F608)/L628)</f>
        <v>42322.751458850849</v>
      </c>
      <c r="M632" s="274"/>
      <c r="N632" s="193">
        <f>IF(N628=0,0,SUMIFS(операции!$AG:$AG,операции!$X:$X,"&gt;="&amp;N$8,операции!$X:$X,"&lt;="&amp;N$9,операции!$O:$O,$F608)/N628)</f>
        <v>42304.469082927353</v>
      </c>
      <c r="O632" s="196"/>
      <c r="P632" s="193">
        <f>IF(P628=0,0,SUMIFS(операции!$AG:$AG,операции!$X:$X,"&gt;="&amp;N$8,операции!$X:$X,"&lt;="&amp;N$9,операции!$L:$L,P$9,операции!$O:$O,$F608)/P628)</f>
        <v>42299.571043165466</v>
      </c>
      <c r="Q632" s="237">
        <f>IF(Q628=0,0,SUMIFS(операции!$AG:$AG,операции!$X:$X,"&gt;="&amp;N$8,операции!$X:$X,"&lt;="&amp;N$9,операции!$L:$L,Q$9,операции!$O:$O,$F608)/Q628)</f>
        <v>42306</v>
      </c>
      <c r="R632" s="238"/>
      <c r="S632" s="193">
        <f>IF(S628=0,0,SUMIFS(операции!$AG:$AG,операции!$X:$X,"&gt;="&amp;S$8,операции!$X:$X,"&lt;="&amp;S$9,операции!$O:$O,$F608)/S628)</f>
        <v>42319.849096207035</v>
      </c>
      <c r="T632" s="196"/>
      <c r="U632" s="193">
        <f>IF(U628=0,0,SUMIFS(операции!$AG:$AG,операции!$X:$X,"&gt;="&amp;S$8,операции!$X:$X,"&lt;="&amp;S$9,операции!$L:$L,U$9,операции!$O:$O,$F608)/U628)</f>
        <v>42324.505106048702</v>
      </c>
      <c r="V632" s="237">
        <f>IF(V628=0,0,SUMIFS(операции!$AG:$AG,операции!$X:$X,"&gt;="&amp;S$8,операции!$X:$X,"&lt;="&amp;S$9,операции!$L:$L,V$9,операции!$O:$O,$F608)/V628)</f>
        <v>42319.364288246041</v>
      </c>
      <c r="W632" s="238"/>
      <c r="X632" s="193">
        <f>IF(X628=0,0,SUMIFS(операции!$AG:$AG,операции!$X:$X,"&gt;="&amp;X$8,операции!$X:$X,"&lt;="&amp;X$9,операции!$O:$O,$F608)/X628)</f>
        <v>42343.926423357661</v>
      </c>
      <c r="Y632" s="196"/>
      <c r="Z632" s="193">
        <f>IF(Z628=0,0,SUMIFS(операции!$AG:$AG,операции!$X:$X,"&gt;="&amp;X$8,операции!$X:$X,"&lt;="&amp;X$9,операции!$L:$L,Z$9,операции!$O:$O,$F608)/Z628)</f>
        <v>0</v>
      </c>
      <c r="AA632" s="237">
        <f>IF(AA628=0,0,SUMIFS(операции!$AG:$AG,операции!$X:$X,"&gt;="&amp;X$8,операции!$X:$X,"&lt;="&amp;X$9,операции!$L:$L,AA$9,операции!$O:$O,$F608)/AA628)</f>
        <v>42343.926423357661</v>
      </c>
      <c r="AB632" s="265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</row>
    <row r="633" spans="1:42" s="93" customFormat="1" ht="15">
      <c r="A633" s="92"/>
      <c r="B633" s="92"/>
      <c r="C633" s="92"/>
      <c r="D633" s="151" t="s">
        <v>275</v>
      </c>
      <c r="E633" s="151"/>
      <c r="F633" s="151" t="str">
        <f t="shared" si="1048"/>
        <v>ВалентаСпорт</v>
      </c>
      <c r="G633" s="151" t="s">
        <v>261</v>
      </c>
      <c r="H633" s="311"/>
      <c r="I633" s="312">
        <f>SUMIFS(операции!$V:$V,операции!$X:$X,"&gt;="&amp;I$8,операции!$X:$X,"&lt;="&amp;I$9,операции!$O:$O,$F608)</f>
        <v>66924.840000000011</v>
      </c>
      <c r="J633" s="313">
        <f>I633-I643-I653</f>
        <v>1.4551915228366852E-11</v>
      </c>
      <c r="K633" s="312">
        <f>SUMIFS(операции!$V:$V,операции!$X:$X,"&gt;="&amp;I$8,операции!$X:$X,"&lt;="&amp;I$9,операции!$L:$L,K$9,операции!$O:$O,$F608)</f>
        <v>6884.8399999999983</v>
      </c>
      <c r="L633" s="314">
        <f>SUMIFS(операции!$V:$V,операции!$X:$X,"&gt;="&amp;I$8,операции!$X:$X,"&lt;="&amp;I$9,операции!$L:$L,L$9,операции!$O:$O,$F608)</f>
        <v>60039.999999999993</v>
      </c>
      <c r="M633" s="273"/>
      <c r="N633" s="152">
        <f>SUMIFS(операции!$V:$V,операции!$X:$X,"&gt;="&amp;N$8,операции!$X:$X,"&lt;="&amp;N$9,операции!$O:$O,$F608)</f>
        <v>17748.240000000005</v>
      </c>
      <c r="O633" s="170">
        <f>N633-N643-N653</f>
        <v>6.1390892369672656E-12</v>
      </c>
      <c r="P633" s="152">
        <f>SUMIFS(операции!$V:$V,операции!$X:$X,"&gt;="&amp;N$8,операции!$X:$X,"&lt;="&amp;N$9,операции!$L:$L,P$9,операции!$O:$O,$F608)</f>
        <v>3517.2400000000002</v>
      </c>
      <c r="Q633" s="235">
        <f>SUMIFS(операции!$V:$V,операции!$X:$X,"&gt;="&amp;N$8,операции!$X:$X,"&lt;="&amp;N$9,операции!$L:$L,Q$9,операции!$O:$O,$F608)</f>
        <v>14231</v>
      </c>
      <c r="R633" s="236"/>
      <c r="S633" s="152">
        <f>SUMIFS(операции!$V:$V,операции!$X:$X,"&gt;="&amp;S$8,операции!$X:$X,"&lt;="&amp;S$9,операции!$O:$O,$F608)</f>
        <v>33318.600000000006</v>
      </c>
      <c r="T633" s="170">
        <f>S633-S643-S653</f>
        <v>0</v>
      </c>
      <c r="U633" s="152">
        <f>SUMIFS(операции!$V:$V,операции!$X:$X,"&gt;="&amp;S$8,операции!$X:$X,"&lt;="&amp;S$9,операции!$L:$L,U$9,операции!$O:$O,$F608)</f>
        <v>3367.6000000000004</v>
      </c>
      <c r="V633" s="235">
        <f>SUMIFS(операции!$V:$V,операции!$X:$X,"&gt;="&amp;S$8,операции!$X:$X,"&lt;="&amp;S$9,операции!$L:$L,V$9,операции!$O:$O,$F608)</f>
        <v>29951.000000000004</v>
      </c>
      <c r="W633" s="236"/>
      <c r="X633" s="152">
        <f>SUMIFS(операции!$V:$V,операции!$X:$X,"&gt;="&amp;X$8,операции!$X:$X,"&lt;="&amp;X$9,операции!$O:$O,$F608)</f>
        <v>15858</v>
      </c>
      <c r="Y633" s="170">
        <f>X633-X643-X653</f>
        <v>0</v>
      </c>
      <c r="Z633" s="152">
        <f>SUMIFS(операции!$V:$V,операции!$X:$X,"&gt;="&amp;X$8,операции!$X:$X,"&lt;="&amp;X$9,операции!$L:$L,Z$9,операции!$O:$O,$F608)</f>
        <v>0</v>
      </c>
      <c r="AA633" s="235">
        <f>SUMIFS(операции!$V:$V,операции!$X:$X,"&gt;="&amp;X$8,операции!$X:$X,"&lt;="&amp;X$9,операции!$L:$L,AA$9,операции!$O:$O,$F608)</f>
        <v>15858</v>
      </c>
      <c r="AB633" s="264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</row>
    <row r="634" spans="1:42" s="192" customFormat="1" ht="11.25">
      <c r="A634" s="37"/>
      <c r="B634" s="37"/>
      <c r="C634" s="37"/>
      <c r="D634" s="191" t="s">
        <v>291</v>
      </c>
      <c r="E634" s="191"/>
      <c r="F634" s="191" t="str">
        <f t="shared" si="1048"/>
        <v>ВалентаСпорт</v>
      </c>
      <c r="G634" s="191" t="s">
        <v>262</v>
      </c>
      <c r="H634" s="315"/>
      <c r="I634" s="316">
        <f>IF(I633=0,0,SUMIFS(операции!$AF:$AF,операции!$X:$X,"&gt;="&amp;I$8,операции!$X:$X,"&lt;="&amp;I$9,операции!$O:$O,$F608)/I633)</f>
        <v>42301.800682078574</v>
      </c>
      <c r="J634" s="317"/>
      <c r="K634" s="316">
        <f>IF(K633=0,0,SUMIFS(операции!$AF:$AF,операции!$X:$X,"&gt;="&amp;I$8,операции!$X:$X,"&lt;="&amp;I$9,операции!$L:$L,K$9,операции!$O:$O,$F608)/K633)</f>
        <v>42182.197709750704</v>
      </c>
      <c r="L634" s="318">
        <f>IF(L633=0,0,SUMIFS(операции!$AF:$AF,операции!$X:$X,"&gt;="&amp;I$8,операции!$X:$X,"&lt;="&amp;I$9,операции!$L:$L,L$9,операции!$O:$O,$F608)/L633)</f>
        <v>42315.515660892735</v>
      </c>
      <c r="M634" s="274"/>
      <c r="N634" s="193">
        <f>IF(N633=0,0,SUMIFS(операции!$AF:$AF,операции!$X:$X,"&gt;="&amp;N$8,операции!$X:$X,"&lt;="&amp;N$9,операции!$O:$O,$F608)/N633)</f>
        <v>42268.030792912417</v>
      </c>
      <c r="O634" s="196"/>
      <c r="P634" s="193">
        <f>IF(P633=0,0,SUMIFS(операции!$AF:$AF,операции!$X:$X,"&gt;="&amp;N$8,операции!$X:$X,"&lt;="&amp;N$9,операции!$L:$L,P$9,операции!$O:$O,$F608)/P633)</f>
        <v>42142.727206559684</v>
      </c>
      <c r="Q634" s="237">
        <f>IF(Q633=0,0,SUMIFS(операции!$AF:$AF,операции!$X:$X,"&gt;="&amp;N$8,операции!$X:$X,"&lt;="&amp;N$9,операции!$L:$L,Q$9,операции!$O:$O,$F608)/Q633)</f>
        <v>42299</v>
      </c>
      <c r="R634" s="238"/>
      <c r="S634" s="193">
        <f>IF(S633=0,0,SUMIFS(операции!$AF:$AF,операции!$X:$X,"&gt;="&amp;S$8,операции!$X:$X,"&lt;="&amp;S$9,операции!$O:$O,$F608)/S633)</f>
        <v>42303.201500663279</v>
      </c>
      <c r="T634" s="196"/>
      <c r="U634" s="193">
        <f>IF(U633=0,0,SUMIFS(операции!$AF:$AF,операции!$X:$X,"&gt;="&amp;S$8,операции!$X:$X,"&lt;="&amp;S$9,операции!$L:$L,U$9,операции!$O:$O,$F608)/U633)</f>
        <v>42223.422092885128</v>
      </c>
      <c r="V634" s="237">
        <f>IF(V633=0,0,SUMIFS(операции!$AF:$AF,операции!$X:$X,"&gt;="&amp;S$8,операции!$X:$X,"&lt;="&amp;S$9,операции!$L:$L,V$9,операции!$O:$O,$F608)/V633)</f>
        <v>42312.171656372069</v>
      </c>
      <c r="W634" s="238"/>
      <c r="X634" s="193">
        <f>IF(X633=0,0,SUMIFS(операции!$AF:$AF,операции!$X:$X,"&gt;="&amp;X$8,операции!$X:$X,"&lt;="&amp;X$9,операции!$O:$O,$F608)/X633)</f>
        <v>42336.652667423383</v>
      </c>
      <c r="Y634" s="196"/>
      <c r="Z634" s="193">
        <f>IF(Z633=0,0,SUMIFS(операции!$AF:$AF,операции!$X:$X,"&gt;="&amp;X$8,операции!$X:$X,"&lt;="&amp;X$9,операции!$L:$L,Z$9,операции!$O:$O,$F608)/Z633)</f>
        <v>0</v>
      </c>
      <c r="AA634" s="237">
        <f>IF(AA633=0,0,SUMIFS(операции!$AF:$AF,операции!$X:$X,"&gt;="&amp;X$8,операции!$X:$X,"&lt;="&amp;X$9,операции!$L:$L,AA$9,операции!$O:$O,$F608)/AA633)</f>
        <v>42336.652667423383</v>
      </c>
      <c r="AB634" s="265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</row>
    <row r="635" spans="1:42" s="192" customFormat="1" ht="11.25">
      <c r="A635" s="37"/>
      <c r="B635" s="37"/>
      <c r="C635" s="37"/>
      <c r="D635" s="191" t="s">
        <v>308</v>
      </c>
      <c r="E635" s="191"/>
      <c r="F635" s="191" t="str">
        <f t="shared" si="1048"/>
        <v>ВалентаСпорт</v>
      </c>
      <c r="G635" s="191" t="s">
        <v>262</v>
      </c>
      <c r="H635" s="315"/>
      <c r="I635" s="316">
        <f>IF(I633=0,0,(I643*I645+I653*I655)/I633)</f>
        <v>42334.236755142039</v>
      </c>
      <c r="J635" s="317"/>
      <c r="K635" s="316">
        <f t="shared" ref="K635:L635" si="1093">IF(K633=0,0,(K643*K645+K653*K655)/K633)</f>
        <v>42269.269711423949</v>
      </c>
      <c r="L635" s="318">
        <f t="shared" si="1093"/>
        <v>42341.686583610943</v>
      </c>
      <c r="M635" s="274"/>
      <c r="N635" s="193">
        <f>IF(N633=0,0,(N643*N645+N653*N655)/N633)</f>
        <v>42309.936397073725</v>
      </c>
      <c r="O635" s="196"/>
      <c r="P635" s="193">
        <f t="shared" ref="P635:Q635" si="1094">IF(P633=0,0,(P643*P645+P653*P655)/P633)</f>
        <v>42265.172282812659</v>
      </c>
      <c r="Q635" s="237">
        <f t="shared" si="1094"/>
        <v>42321</v>
      </c>
      <c r="R635" s="238"/>
      <c r="S635" s="193">
        <f>IF(S633=0,0,(S643*S645+S653*S655)/S633)</f>
        <v>42328.222095766323</v>
      </c>
      <c r="T635" s="196"/>
      <c r="U635" s="193">
        <f t="shared" ref="U635:V635" si="1095">IF(U633=0,0,(U643*U645+U653*U655)/U633)</f>
        <v>42250.358486756144</v>
      </c>
      <c r="V635" s="237">
        <f t="shared" si="1095"/>
        <v>42336.976844846577</v>
      </c>
      <c r="W635" s="238"/>
      <c r="X635" s="193">
        <f>IF(X633=0,0,(X643*X645+X653*X655)/X633)</f>
        <v>42359.305334846766</v>
      </c>
      <c r="Y635" s="196"/>
      <c r="Z635" s="193">
        <f t="shared" ref="Z635:AA635" si="1096">IF(Z633=0,0,(Z643*Z645+Z653*Z655)/Z633)</f>
        <v>0</v>
      </c>
      <c r="AA635" s="237">
        <f t="shared" si="1096"/>
        <v>42359.305334846766</v>
      </c>
      <c r="AB635" s="265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</row>
    <row r="636" spans="1:42" s="93" customFormat="1" ht="15">
      <c r="A636" s="92"/>
      <c r="B636" s="92"/>
      <c r="C636" s="92"/>
      <c r="D636" s="151" t="s">
        <v>278</v>
      </c>
      <c r="E636" s="151"/>
      <c r="F636" s="151" t="str">
        <f t="shared" si="1048"/>
        <v>ВалентаСпорт</v>
      </c>
      <c r="G636" s="151" t="s">
        <v>261</v>
      </c>
      <c r="H636" s="311"/>
      <c r="I636" s="312">
        <f>I628-I633</f>
        <v>9375.1599999999889</v>
      </c>
      <c r="J636" s="313">
        <f>I636-K636-L636</f>
        <v>-2.0008883439004421E-11</v>
      </c>
      <c r="K636" s="312">
        <f t="shared" ref="K636:L636" si="1097">K628-K633</f>
        <v>1382.1600000000017</v>
      </c>
      <c r="L636" s="314">
        <f t="shared" si="1097"/>
        <v>7993.0000000000073</v>
      </c>
      <c r="M636" s="273"/>
      <c r="N636" s="152">
        <f>N628-N633</f>
        <v>930.75999999999476</v>
      </c>
      <c r="O636" s="170">
        <f>N636-P636-Q636</f>
        <v>-5.0022208597511053E-12</v>
      </c>
      <c r="P636" s="152">
        <f t="shared" ref="P636:Q636" si="1098">P628-P633</f>
        <v>930.75999999999976</v>
      </c>
      <c r="Q636" s="235">
        <f t="shared" si="1098"/>
        <v>0</v>
      </c>
      <c r="R636" s="236"/>
      <c r="S636" s="152">
        <f>S628-S633</f>
        <v>7177.3999999999942</v>
      </c>
      <c r="T636" s="170">
        <f>S636-U636-V636</f>
        <v>0</v>
      </c>
      <c r="U636" s="152">
        <f t="shared" ref="U636:V636" si="1099">U628-U633</f>
        <v>451.39999999999964</v>
      </c>
      <c r="V636" s="235">
        <f t="shared" si="1099"/>
        <v>6725.9999999999964</v>
      </c>
      <c r="W636" s="236"/>
      <c r="X636" s="152">
        <f>X628-X633</f>
        <v>1267</v>
      </c>
      <c r="Y636" s="170">
        <f>X636-Z636-AA636</f>
        <v>0</v>
      </c>
      <c r="Z636" s="152">
        <f t="shared" ref="Z636:AA636" si="1100">Z628-Z633</f>
        <v>0</v>
      </c>
      <c r="AA636" s="235">
        <f t="shared" si="1100"/>
        <v>1267</v>
      </c>
      <c r="AB636" s="264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</row>
    <row r="637" spans="1:42" s="211" customFormat="1">
      <c r="A637" s="210"/>
      <c r="B637" s="210"/>
      <c r="C637" s="210"/>
      <c r="D637" s="218" t="s">
        <v>277</v>
      </c>
      <c r="E637" s="218"/>
      <c r="F637" s="218" t="str">
        <f t="shared" si="1048"/>
        <v>ВалентаСпорт</v>
      </c>
      <c r="G637" s="218" t="s">
        <v>218</v>
      </c>
      <c r="H637" s="343"/>
      <c r="I637" s="344">
        <f>IF(I628=0,0,(I636/I628))</f>
        <v>0.12287234600262109</v>
      </c>
      <c r="J637" s="345"/>
      <c r="K637" s="344">
        <f t="shared" ref="K637" si="1101">IF(K628=0,0,(K636/K628))</f>
        <v>0.16719003265997359</v>
      </c>
      <c r="L637" s="346">
        <f t="shared" ref="L637" si="1102">IF(L628=0,0,(L636/L628))</f>
        <v>0.11748710184763288</v>
      </c>
      <c r="M637" s="280"/>
      <c r="N637" s="219">
        <f>IF(N628=0,0,(N636/N628))</f>
        <v>4.9829219979656017E-2</v>
      </c>
      <c r="O637" s="220"/>
      <c r="P637" s="219">
        <f t="shared" ref="P637" si="1103">IF(P628=0,0,(P636/P628))</f>
        <v>0.2092535971223021</v>
      </c>
      <c r="Q637" s="252">
        <f t="shared" ref="Q637" si="1104">IF(Q628=0,0,(Q636/Q628))</f>
        <v>0</v>
      </c>
      <c r="R637" s="253"/>
      <c r="S637" s="219">
        <f>IF(S628=0,0,(S636/S628))</f>
        <v>0.17723725800079007</v>
      </c>
      <c r="T637" s="220"/>
      <c r="U637" s="219">
        <f t="shared" ref="U637" si="1105">IF(U628=0,0,(U636/U628))</f>
        <v>0.11819848127782133</v>
      </c>
      <c r="V637" s="252">
        <f t="shared" ref="V637" si="1106">IF(V628=0,0,(V636/V628))</f>
        <v>0.18338468249856849</v>
      </c>
      <c r="W637" s="253"/>
      <c r="X637" s="219">
        <f>IF(X628=0,0,(X636/X628))</f>
        <v>7.3985401459854008E-2</v>
      </c>
      <c r="Y637" s="220"/>
      <c r="Z637" s="219">
        <f t="shared" ref="Z637" si="1107">IF(Z628=0,0,(Z636/Z628))</f>
        <v>0</v>
      </c>
      <c r="AA637" s="252">
        <f t="shared" ref="AA637" si="1108">IF(AA628=0,0,(AA636/AA628))</f>
        <v>7.3985401459854008E-2</v>
      </c>
      <c r="AB637" s="267"/>
      <c r="AC637" s="210"/>
      <c r="AD637" s="210"/>
      <c r="AE637" s="210"/>
      <c r="AF637" s="210"/>
      <c r="AG637" s="210"/>
      <c r="AH637" s="210"/>
      <c r="AI637" s="210"/>
      <c r="AJ637" s="210"/>
      <c r="AK637" s="210"/>
      <c r="AL637" s="210"/>
      <c r="AM637" s="210"/>
      <c r="AN637" s="210"/>
      <c r="AO637" s="210"/>
      <c r="AP637" s="210"/>
    </row>
    <row r="638" spans="1:42" s="93" customFormat="1" ht="15">
      <c r="A638" s="92"/>
      <c r="B638" s="92"/>
      <c r="C638" s="92"/>
      <c r="D638" s="198" t="s">
        <v>220</v>
      </c>
      <c r="E638" s="198"/>
      <c r="F638" s="198" t="str">
        <f t="shared" si="1048"/>
        <v>ВалентаСпорт</v>
      </c>
      <c r="G638" s="198" t="s">
        <v>219</v>
      </c>
      <c r="H638" s="323"/>
      <c r="I638" s="324">
        <f>I632-I634</f>
        <v>19.687220935840742</v>
      </c>
      <c r="J638" s="321">
        <f>I638-SUMIFS(ПОбТЗ!$I:$I,ПОбТЗ!$E:$E,$D638,ПОбТЗ!$F:$F,$F638)</f>
        <v>0</v>
      </c>
      <c r="K638" s="324">
        <f t="shared" ref="K638:L638" si="1109">K632-K634</f>
        <v>128.89180276895058</v>
      </c>
      <c r="L638" s="325">
        <f t="shared" si="1109"/>
        <v>7.2357979581138352</v>
      </c>
      <c r="M638" s="276"/>
      <c r="N638" s="199">
        <f>N632-N634</f>
        <v>36.438290014935774</v>
      </c>
      <c r="O638" s="173">
        <f>N638-SUMIFS(ПОбТЗ_3!$J:$J,ПОбТЗ_3!$D:$D,$D638,ПОбТЗ_3!$E:$E,$F638)</f>
        <v>0</v>
      </c>
      <c r="P638" s="199">
        <f t="shared" ref="P638:Q638" si="1110">P632-P634</f>
        <v>156.84383660578169</v>
      </c>
      <c r="Q638" s="241">
        <f t="shared" si="1110"/>
        <v>7</v>
      </c>
      <c r="R638" s="242"/>
      <c r="S638" s="199">
        <f>S632-S634</f>
        <v>16.647595543756324</v>
      </c>
      <c r="T638" s="173">
        <f>S638-SUMIFS(ПОбТЗ_3!$K:$K,ПОбТЗ_3!$D:$D,$D638,ПОбТЗ_3!$E:$E,$F638)</f>
        <v>0</v>
      </c>
      <c r="U638" s="199">
        <f t="shared" ref="U638:V638" si="1111">U632-U634</f>
        <v>101.08301316357392</v>
      </c>
      <c r="V638" s="241">
        <f t="shared" si="1111"/>
        <v>7.1926318739715498</v>
      </c>
      <c r="W638" s="242"/>
      <c r="X638" s="199">
        <f>X632-X634</f>
        <v>7.2737559342785971</v>
      </c>
      <c r="Y638" s="173">
        <f>X638-SUMIFS(ПОбТЗ_3!$L:$L,ПОбТЗ_3!$D:$D,$D638,ПОбТЗ_3!$E:$E,$F638)</f>
        <v>0</v>
      </c>
      <c r="Z638" s="199">
        <f t="shared" ref="Z638:AA638" si="1112">Z632-Z634</f>
        <v>0</v>
      </c>
      <c r="AA638" s="241">
        <f t="shared" si="1112"/>
        <v>7.2737559342785971</v>
      </c>
      <c r="AB638" s="264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</row>
    <row r="639" spans="1:42" s="5" customFormat="1">
      <c r="A639" s="1"/>
      <c r="B639" s="1"/>
      <c r="C639" s="1"/>
      <c r="D639" s="227" t="s">
        <v>309</v>
      </c>
      <c r="E639" s="227"/>
      <c r="F639" s="227" t="str">
        <f t="shared" si="1048"/>
        <v>ВалентаСпорт</v>
      </c>
      <c r="G639" s="227" t="s">
        <v>219</v>
      </c>
      <c r="H639" s="347"/>
      <c r="I639" s="348">
        <f>I635-I634</f>
        <v>32.436073063465301</v>
      </c>
      <c r="J639" s="321"/>
      <c r="K639" s="348">
        <f t="shared" ref="K639:L639" si="1113">K635-K634</f>
        <v>87.072001673244813</v>
      </c>
      <c r="L639" s="349">
        <f t="shared" si="1113"/>
        <v>26.170922718207294</v>
      </c>
      <c r="M639" s="281"/>
      <c r="N639" s="228">
        <f>N635-N634</f>
        <v>41.905604161307565</v>
      </c>
      <c r="O639" s="173"/>
      <c r="P639" s="228">
        <f t="shared" ref="P639:Q639" si="1114">P635-P634</f>
        <v>122.4450762529741</v>
      </c>
      <c r="Q639" s="254">
        <f t="shared" si="1114"/>
        <v>22</v>
      </c>
      <c r="R639" s="255"/>
      <c r="S639" s="228">
        <f>S635-S634</f>
        <v>25.020595103043888</v>
      </c>
      <c r="T639" s="173"/>
      <c r="U639" s="228">
        <f t="shared" ref="U639:V639" si="1115">U635-U634</f>
        <v>26.936393871015753</v>
      </c>
      <c r="V639" s="254">
        <f t="shared" si="1115"/>
        <v>24.805188474507304</v>
      </c>
      <c r="W639" s="255"/>
      <c r="X639" s="228">
        <f>X635-X634</f>
        <v>22.652667423382809</v>
      </c>
      <c r="Y639" s="173"/>
      <c r="Z639" s="228">
        <f t="shared" ref="Z639:AA639" si="1116">Z635-Z634</f>
        <v>0</v>
      </c>
      <c r="AA639" s="254">
        <f t="shared" si="1116"/>
        <v>22.652667423382809</v>
      </c>
      <c r="AB639" s="266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s="5" customFormat="1">
      <c r="A640" s="1"/>
      <c r="B640" s="1"/>
      <c r="C640" s="1"/>
      <c r="D640" s="225" t="s">
        <v>310</v>
      </c>
      <c r="E640" s="225"/>
      <c r="F640" s="225" t="str">
        <f t="shared" si="1048"/>
        <v>ВалентаСпорт</v>
      </c>
      <c r="G640" s="225" t="s">
        <v>219</v>
      </c>
      <c r="H640" s="350"/>
      <c r="I640" s="351">
        <f>I638-I639</f>
        <v>-12.748852127624559</v>
      </c>
      <c r="J640" s="352"/>
      <c r="K640" s="351">
        <f t="shared" ref="K640" si="1117">K638-K639</f>
        <v>41.81980109570577</v>
      </c>
      <c r="L640" s="353">
        <f t="shared" ref="L640" si="1118">L638-L639</f>
        <v>-18.935124760093458</v>
      </c>
      <c r="M640" s="282"/>
      <c r="N640" s="226">
        <f>N638-N639</f>
        <v>-5.4673141463717911</v>
      </c>
      <c r="O640" s="181"/>
      <c r="P640" s="226">
        <f t="shared" ref="P640" si="1119">P638-P639</f>
        <v>34.398760352807585</v>
      </c>
      <c r="Q640" s="256">
        <f t="shared" ref="Q640" si="1120">Q638-Q639</f>
        <v>-15</v>
      </c>
      <c r="R640" s="257"/>
      <c r="S640" s="226">
        <f>S638-S639</f>
        <v>-8.3729995592875639</v>
      </c>
      <c r="T640" s="181"/>
      <c r="U640" s="226">
        <f t="shared" ref="U640" si="1121">U638-U639</f>
        <v>74.146619292558171</v>
      </c>
      <c r="V640" s="256">
        <f t="shared" ref="V640" si="1122">V638-V639</f>
        <v>-17.612556600535754</v>
      </c>
      <c r="W640" s="257"/>
      <c r="X640" s="226">
        <f>X638-X639</f>
        <v>-15.378911489104212</v>
      </c>
      <c r="Y640" s="181"/>
      <c r="Z640" s="226">
        <f t="shared" ref="Z640" si="1123">Z638-Z639</f>
        <v>0</v>
      </c>
      <c r="AA640" s="256">
        <f t="shared" ref="AA640" si="1124">AA638-AA639</f>
        <v>-15.378911489104212</v>
      </c>
      <c r="AB640" s="266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s="5" customFormat="1">
      <c r="A641" s="1"/>
      <c r="B641" s="1"/>
      <c r="C641" s="1"/>
      <c r="D641" s="223"/>
      <c r="E641" s="223" t="s">
        <v>293</v>
      </c>
      <c r="F641" s="223" t="str">
        <f t="shared" si="1048"/>
        <v>ВалентаСпорт</v>
      </c>
      <c r="G641" s="223" t="s">
        <v>261</v>
      </c>
      <c r="H641" s="354"/>
      <c r="I641" s="355">
        <f>SUMIFS(операции!$Z:$Z,операции!$X:$X,"&gt;="&amp;I$8,операции!$X:$X,"&lt;="&amp;I$9,операции!$AB:$AB,"&lt;&gt;"&amp;"",операции!$O:$O,$F608)</f>
        <v>60994</v>
      </c>
      <c r="J641" s="341">
        <f>I641-K641-L641</f>
        <v>0</v>
      </c>
      <c r="K641" s="355">
        <f>SUMIFS(операции!$Z:$Z,операции!$X:$X,"&gt;="&amp;I$8,операции!$X:$X,"&lt;="&amp;I$9,операции!$AB:$AB,"&lt;&gt;"&amp;"",операции!$L:$L,K$9,операции!$O:$O,$F608)</f>
        <v>6855</v>
      </c>
      <c r="L641" s="356">
        <f>SUMIFS(операции!$Z:$Z,операции!$X:$X,"&gt;="&amp;I$8,операции!$X:$X,"&lt;="&amp;I$9,операции!$AB:$AB,"&lt;&gt;"&amp;"",операции!$L:$L,L$9,операции!$O:$O,$F608)</f>
        <v>54139</v>
      </c>
      <c r="M641" s="283"/>
      <c r="N641" s="224">
        <f>SUMIFS(операции!$Z:$Z,операции!$X:$X,"&gt;="&amp;N$8,операции!$X:$X,"&lt;="&amp;N$9,операции!$AB:$AB,"&lt;&gt;"&amp;"",операции!$O:$O,$F608)</f>
        <v>17267</v>
      </c>
      <c r="O641" s="216">
        <f>N641-P641-Q641</f>
        <v>0</v>
      </c>
      <c r="P641" s="224">
        <f>SUMIFS(операции!$Z:$Z,операции!$X:$X,"&gt;="&amp;N$8,операции!$X:$X,"&lt;="&amp;N$9,операции!$AB:$AB,"&lt;&gt;"&amp;"",операции!$L:$L,P$9,операции!$O:$O,$F608)</f>
        <v>3036</v>
      </c>
      <c r="Q641" s="258">
        <f>SUMIFS(операции!$Z:$Z,операции!$X:$X,"&gt;="&amp;N$8,операции!$X:$X,"&lt;="&amp;N$9,операции!$AB:$AB,"&lt;&gt;"&amp;"",операции!$L:$L,Q$9,операции!$O:$O,$F608)</f>
        <v>14231</v>
      </c>
      <c r="R641" s="259"/>
      <c r="S641" s="224">
        <f>SUMIFS(операции!$Z:$Z,операции!$X:$X,"&gt;="&amp;S$8,операции!$X:$X,"&lt;="&amp;S$9,операции!$AB:$AB,"&lt;&gt;"&amp;"",операции!$O:$O,$F608)</f>
        <v>34909</v>
      </c>
      <c r="T641" s="216">
        <f>S641-U641-V641</f>
        <v>0</v>
      </c>
      <c r="U641" s="224">
        <f>SUMIFS(операции!$Z:$Z,операции!$X:$X,"&gt;="&amp;S$8,операции!$X:$X,"&lt;="&amp;S$9,операции!$AB:$AB,"&lt;&gt;"&amp;"",операции!$L:$L,U$9,операции!$O:$O,$F608)</f>
        <v>3819</v>
      </c>
      <c r="V641" s="258">
        <f>SUMIFS(операции!$Z:$Z,операции!$X:$X,"&gt;="&amp;S$8,операции!$X:$X,"&lt;="&amp;S$9,операции!$AB:$AB,"&lt;&gt;"&amp;"",операции!$L:$L,V$9,операции!$O:$O,$F608)</f>
        <v>31090</v>
      </c>
      <c r="W641" s="259"/>
      <c r="X641" s="224">
        <f>SUMIFS(операции!$Z:$Z,операции!$X:$X,"&gt;="&amp;X$8,операции!$X:$X,"&lt;="&amp;X$9,операции!$AB:$AB,"&lt;&gt;"&amp;"",операции!$O:$O,$F608)</f>
        <v>8818</v>
      </c>
      <c r="Y641" s="216">
        <f>X641-Z641-AA641</f>
        <v>0</v>
      </c>
      <c r="Z641" s="224">
        <f>SUMIFS(операции!$Z:$Z,операции!$X:$X,"&gt;="&amp;X$8,операции!$X:$X,"&lt;="&amp;X$9,операции!$AB:$AB,"&lt;&gt;"&amp;"",операции!$L:$L,Z$9,операции!$O:$O,$F608)</f>
        <v>0</v>
      </c>
      <c r="AA641" s="258">
        <f>SUMIFS(операции!$Z:$Z,операции!$X:$X,"&gt;="&amp;X$8,операции!$X:$X,"&lt;="&amp;X$9,операции!$AB:$AB,"&lt;&gt;"&amp;"",операции!$L:$L,AA$9,операции!$O:$O,$F608)</f>
        <v>8818</v>
      </c>
      <c r="AB641" s="266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s="192" customFormat="1" ht="11.25">
      <c r="A642" s="37"/>
      <c r="B642" s="37"/>
      <c r="C642" s="37"/>
      <c r="D642" s="191"/>
      <c r="E642" s="191" t="s">
        <v>295</v>
      </c>
      <c r="F642" s="191" t="str">
        <f t="shared" si="1048"/>
        <v>ВалентаСпорт</v>
      </c>
      <c r="G642" s="191" t="s">
        <v>262</v>
      </c>
      <c r="H642" s="315"/>
      <c r="I642" s="316">
        <f>IF(I641=0,0,SUMIFS(операции!$AG:$AG,операции!$X:$X,"&gt;="&amp;I$8,операции!$X:$X,"&lt;="&amp;I$9,операции!$AB:$AB,"&lt;&gt;"&amp;"",операции!$O:$O,$F608)/I641)</f>
        <v>42318.996688198837</v>
      </c>
      <c r="J642" s="317"/>
      <c r="K642" s="316">
        <f>IF(K641=0,0,SUMIFS(операции!$AG:$AG,операции!$X:$X,"&gt;="&amp;I$8,операции!$X:$X,"&lt;="&amp;I$9,операции!$AB:$AB,"&lt;&gt;"&amp;"",операции!$L:$L,K$9,операции!$O:$O,$F608)/K641)</f>
        <v>42314.282275711157</v>
      </c>
      <c r="L642" s="318">
        <f>IF(L641=0,0,SUMIFS(операции!$AG:$AG,операции!$X:$X,"&gt;="&amp;I$8,операции!$X:$X,"&lt;="&amp;I$9,операции!$AB:$AB,"&lt;&gt;"&amp;"",операции!$L:$L,L$9,операции!$O:$O,$F608)/L641)</f>
        <v>42319.593620125976</v>
      </c>
      <c r="M642" s="274"/>
      <c r="N642" s="193">
        <f>IF(N641=0,0,SUMIFS(операции!$AG:$AG,операции!$X:$X,"&gt;="&amp;N$8,операции!$X:$X,"&lt;="&amp;N$9,операции!$AB:$AB,"&lt;&gt;"&amp;"",операции!$O:$O,$F608)/N641)</f>
        <v>42305.195227891352</v>
      </c>
      <c r="O642" s="196"/>
      <c r="P642" s="193">
        <f>IF(P641=0,0,SUMIFS(операции!$AG:$AG,операции!$X:$X,"&gt;="&amp;N$8,операции!$X:$X,"&lt;="&amp;N$9,операции!$AB:$AB,"&lt;&gt;"&amp;"",операции!$L:$L,P$9,операции!$O:$O,$F608)/P641)</f>
        <v>42301.422924901184</v>
      </c>
      <c r="Q642" s="237">
        <f>IF(Q641=0,0,SUMIFS(операции!$AG:$AG,операции!$X:$X,"&gt;="&amp;N$8,операции!$X:$X,"&lt;="&amp;N$9,операции!$AB:$AB,"&lt;&gt;"&amp;"",операции!$L:$L,Q$9,операции!$O:$O,$F608)/Q641)</f>
        <v>42306</v>
      </c>
      <c r="R642" s="238"/>
      <c r="S642" s="193">
        <f>IF(S641=0,0,SUMIFS(операции!$AG:$AG,операции!$X:$X,"&gt;="&amp;S$8,операции!$X:$X,"&lt;="&amp;S$9,операции!$AB:$AB,"&lt;&gt;"&amp;"",операции!$O:$O,$F608)/S641)</f>
        <v>42319.291529405025</v>
      </c>
      <c r="T642" s="196"/>
      <c r="U642" s="193">
        <f>IF(U641=0,0,SUMIFS(операции!$AG:$AG,операции!$X:$X,"&gt;="&amp;S$8,операции!$X:$X,"&lt;="&amp;S$9,операции!$AB:$AB,"&lt;&gt;"&amp;"",операции!$L:$L,U$9,операции!$O:$O,$F608)/U641)</f>
        <v>42324.505106048702</v>
      </c>
      <c r="V642" s="237">
        <f>IF(V641=0,0,SUMIFS(операции!$AG:$AG,операции!$X:$X,"&gt;="&amp;S$8,операции!$X:$X,"&lt;="&amp;S$9,операции!$AB:$AB,"&lt;&gt;"&amp;"",операции!$L:$L,V$9,операции!$O:$O,$F608)/V641)</f>
        <v>42318.651109681567</v>
      </c>
      <c r="W642" s="238"/>
      <c r="X642" s="193">
        <f>IF(X641=0,0,SUMIFS(операции!$AG:$AG,операции!$X:$X,"&gt;="&amp;X$8,операции!$X:$X,"&lt;="&amp;X$9,операции!$AB:$AB,"&lt;&gt;"&amp;"",операции!$O:$O,$F608)/X641)</f>
        <v>42344.85484236788</v>
      </c>
      <c r="Y642" s="196"/>
      <c r="Z642" s="193">
        <f>IF(Z641=0,0,SUMIFS(операции!$AG:$AG,операции!$X:$X,"&gt;="&amp;X$8,операции!$X:$X,"&lt;="&amp;X$9,операции!$AB:$AB,"&lt;&gt;"&amp;"",операции!$L:$L,Z$9,операции!$O:$O,$F608)/Z641)</f>
        <v>0</v>
      </c>
      <c r="AA642" s="237">
        <f>IF(AA641=0,0,SUMIFS(операции!$AG:$AG,операции!$X:$X,"&gt;="&amp;X$8,операции!$X:$X,"&lt;="&amp;X$9,операции!$AB:$AB,"&lt;&gt;"&amp;"",операции!$L:$L,AA$9,операции!$O:$O,$F608)/AA641)</f>
        <v>42344.85484236788</v>
      </c>
      <c r="AB642" s="265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</row>
    <row r="643" spans="1:42" s="93" customFormat="1" ht="15">
      <c r="A643" s="92"/>
      <c r="B643" s="92"/>
      <c r="C643" s="92"/>
      <c r="D643" s="151"/>
      <c r="E643" s="151" t="s">
        <v>292</v>
      </c>
      <c r="F643" s="151" t="str">
        <f t="shared" si="1048"/>
        <v>ВалентаСпорт</v>
      </c>
      <c r="G643" s="151" t="s">
        <v>261</v>
      </c>
      <c r="H643" s="311"/>
      <c r="I643" s="312">
        <f>SUMIFS(операции!$V:$V,операции!$X:$X,"&gt;="&amp;I$8,операции!$X:$X,"&lt;="&amp;I$9,операции!$AB:$AB,"&lt;&gt;"&amp;"",операции!$O:$O,$F608)</f>
        <v>52870.559999999998</v>
      </c>
      <c r="J643" s="313">
        <f>I643-K643-L643</f>
        <v>0</v>
      </c>
      <c r="K643" s="312">
        <f>SUMIFS(операции!$V:$V,операции!$X:$X,"&gt;="&amp;I$8,операции!$X:$X,"&lt;="&amp;I$9,операции!$AB:$AB,"&lt;&gt;"&amp;"",операции!$L:$L,K$9,операции!$O:$O,$F608)</f>
        <v>5604.5599999999995</v>
      </c>
      <c r="L643" s="314">
        <f>SUMIFS(операции!$V:$V,операции!$X:$X,"&gt;="&amp;I$8,операции!$X:$X,"&lt;="&amp;I$9,операции!$AB:$AB,"&lt;&gt;"&amp;"",операции!$L:$L,L$9,операции!$O:$O,$F608)</f>
        <v>47265.999999999993</v>
      </c>
      <c r="M643" s="273"/>
      <c r="N643" s="152">
        <f>SUMIFS(операции!$V:$V,операции!$X:$X,"&gt;="&amp;N$8,операции!$X:$X,"&lt;="&amp;N$9,операции!$AB:$AB,"&lt;&gt;"&amp;"",операции!$O:$O,$F608)</f>
        <v>16467.96</v>
      </c>
      <c r="O643" s="170">
        <f>N643-P643-Q643</f>
        <v>0</v>
      </c>
      <c r="P643" s="152">
        <f>SUMIFS(операции!$V:$V,операции!$X:$X,"&gt;="&amp;N$8,операции!$X:$X,"&lt;="&amp;N$9,операции!$AB:$AB,"&lt;&gt;"&amp;"",операции!$L:$L,P$9,операции!$O:$O,$F608)</f>
        <v>2236.96</v>
      </c>
      <c r="Q643" s="235">
        <f>SUMIFS(операции!$V:$V,операции!$X:$X,"&gt;="&amp;N$8,операции!$X:$X,"&lt;="&amp;N$9,операции!$AB:$AB,"&lt;&gt;"&amp;"",операции!$L:$L,Q$9,операции!$O:$O,$F608)</f>
        <v>14231</v>
      </c>
      <c r="R643" s="236"/>
      <c r="S643" s="152">
        <f>SUMIFS(операции!$V:$V,операции!$X:$X,"&gt;="&amp;S$8,операции!$X:$X,"&lt;="&amp;S$9,операции!$AB:$AB,"&lt;&gt;"&amp;"",операции!$O:$O,$F608)</f>
        <v>28284.600000000006</v>
      </c>
      <c r="T643" s="170">
        <f>S643-U643-V643</f>
        <v>0</v>
      </c>
      <c r="U643" s="152">
        <f>SUMIFS(операции!$V:$V,операции!$X:$X,"&gt;="&amp;S$8,операции!$X:$X,"&lt;="&amp;S$9,операции!$AB:$AB,"&lt;&gt;"&amp;"",операции!$L:$L,U$9,операции!$O:$O,$F608)</f>
        <v>3367.6000000000004</v>
      </c>
      <c r="V643" s="235">
        <f>SUMIFS(операции!$V:$V,операции!$X:$X,"&gt;="&amp;S$8,операции!$X:$X,"&lt;="&amp;S$9,операции!$AB:$AB,"&lt;&gt;"&amp;"",операции!$L:$L,V$9,операции!$O:$O,$F608)</f>
        <v>24917.000000000004</v>
      </c>
      <c r="W643" s="236"/>
      <c r="X643" s="152">
        <f>SUMIFS(операции!$V:$V,операции!$X:$X,"&gt;="&amp;X$8,операции!$X:$X,"&lt;="&amp;X$9,операции!$AB:$AB,"&lt;&gt;"&amp;"",операции!$O:$O,$F608)</f>
        <v>8118</v>
      </c>
      <c r="Y643" s="170">
        <f>X643-Z643-AA643</f>
        <v>0</v>
      </c>
      <c r="Z643" s="152">
        <f>SUMIFS(операции!$V:$V,операции!$X:$X,"&gt;="&amp;X$8,операции!$X:$X,"&lt;="&amp;X$9,операции!$AB:$AB,"&lt;&gt;"&amp;"",операции!$L:$L,Z$9,операции!$O:$O,$F608)</f>
        <v>0</v>
      </c>
      <c r="AA643" s="235">
        <f>SUMIFS(операции!$V:$V,операции!$X:$X,"&gt;="&amp;X$8,операции!$X:$X,"&lt;="&amp;X$9,операции!$AB:$AB,"&lt;&gt;"&amp;"",операции!$L:$L,AA$9,операции!$O:$O,$F608)</f>
        <v>8118</v>
      </c>
      <c r="AB643" s="264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</row>
    <row r="644" spans="1:42" s="192" customFormat="1" ht="11.25">
      <c r="A644" s="37"/>
      <c r="B644" s="37"/>
      <c r="C644" s="37"/>
      <c r="D644" s="191"/>
      <c r="E644" s="191" t="s">
        <v>294</v>
      </c>
      <c r="F644" s="191" t="str">
        <f t="shared" si="1048"/>
        <v>ВалентаСпорт</v>
      </c>
      <c r="G644" s="191" t="s">
        <v>262</v>
      </c>
      <c r="H644" s="315"/>
      <c r="I644" s="316">
        <f>IF(I643=0,0,SUMIFS(операции!$AF:$AF,операции!$X:$X,"&gt;="&amp;I$8,операции!$X:$X,"&lt;="&amp;I$9,операции!$AB:$AB,"&lt;&gt;"&amp;"",операции!$O:$O,$F608)/I643)</f>
        <v>42302.505100002723</v>
      </c>
      <c r="J644" s="317"/>
      <c r="K644" s="316">
        <f>IF(K643=0,0,SUMIFS(операции!$AF:$AF,операции!$X:$X,"&gt;="&amp;I$8,операции!$X:$X,"&lt;="&amp;I$9,операции!$AB:$AB,"&lt;&gt;"&amp;"",операции!$L:$L,K$9,операции!$O:$O,$F608)/K643)</f>
        <v>42218.218122386053</v>
      </c>
      <c r="L644" s="318">
        <f>IF(L643=0,0,SUMIFS(операции!$AF:$AF,операции!$X:$X,"&gt;="&amp;I$8,операции!$X:$X,"&lt;="&amp;I$9,операции!$AB:$AB,"&lt;&gt;"&amp;"",операции!$L:$L,L$9,операции!$O:$O,$F608)/L643)</f>
        <v>42312.499417763305</v>
      </c>
      <c r="M644" s="274"/>
      <c r="N644" s="193">
        <f>IF(N643=0,0,SUMIFS(операции!$AF:$AF,операции!$X:$X,"&gt;="&amp;N$8,операции!$X:$X,"&lt;="&amp;N$9,операции!$AB:$AB,"&lt;&gt;"&amp;"",операции!$O:$O,$F608)/N643)</f>
        <v>42286.962642610262</v>
      </c>
      <c r="O644" s="196"/>
      <c r="P644" s="193">
        <f>IF(P643=0,0,SUMIFS(операции!$AF:$AF,операции!$X:$X,"&gt;="&amp;N$8,операции!$X:$X,"&lt;="&amp;N$9,операции!$AB:$AB,"&lt;&gt;"&amp;"",операции!$L:$L,P$9,операции!$O:$O,$F608)/P643)</f>
        <v>42210.383878120309</v>
      </c>
      <c r="Q644" s="237">
        <f>IF(Q643=0,0,SUMIFS(операции!$AF:$AF,операции!$X:$X,"&gt;="&amp;N$8,операции!$X:$X,"&lt;="&amp;N$9,операции!$AB:$AB,"&lt;&gt;"&amp;"",операции!$L:$L,Q$9,операции!$O:$O,$F608)/Q643)</f>
        <v>42299</v>
      </c>
      <c r="R644" s="238"/>
      <c r="S644" s="193">
        <f>IF(S643=0,0,SUMIFS(операции!$AF:$AF,операции!$X:$X,"&gt;="&amp;S$8,операции!$X:$X,"&lt;="&amp;S$9,операции!$AB:$AB,"&lt;&gt;"&amp;"",операции!$O:$O,$F608)/S643)</f>
        <v>42301.675495499301</v>
      </c>
      <c r="T644" s="196"/>
      <c r="U644" s="193">
        <f>IF(U643=0,0,SUMIFS(операции!$AF:$AF,операции!$X:$X,"&gt;="&amp;S$8,операции!$X:$X,"&lt;="&amp;S$9,операции!$AB:$AB,"&lt;&gt;"&amp;"",операции!$L:$L,U$9,операции!$O:$O,$F608)/U643)</f>
        <v>42223.422092885128</v>
      </c>
      <c r="V644" s="237">
        <f>IF(V643=0,0,SUMIFS(операции!$AF:$AF,операции!$X:$X,"&gt;="&amp;S$8,операции!$X:$X,"&lt;="&amp;S$9,операции!$AB:$AB,"&lt;&gt;"&amp;"",операции!$L:$L,V$9,операции!$O:$O,$F608)/V643)</f>
        <v>42312.251654693566</v>
      </c>
      <c r="W644" s="238"/>
      <c r="X644" s="193">
        <f>IF(X643=0,0,SUMIFS(операции!$AF:$AF,операции!$X:$X,"&gt;="&amp;X$8,операции!$X:$X,"&lt;="&amp;X$9,операции!$AB:$AB,"&lt;&gt;"&amp;"",операции!$O:$O,$F608)/X643)</f>
        <v>42336.924611973394</v>
      </c>
      <c r="Y644" s="196"/>
      <c r="Z644" s="193">
        <f>IF(Z643=0,0,SUMIFS(операции!$AF:$AF,операции!$X:$X,"&gt;="&amp;X$8,операции!$X:$X,"&lt;="&amp;X$9,операции!$AB:$AB,"&lt;&gt;"&amp;"",операции!$L:$L,Z$9,операции!$O:$O,$F608)/Z643)</f>
        <v>0</v>
      </c>
      <c r="AA644" s="237">
        <f>IF(AA643=0,0,SUMIFS(операции!$AF:$AF,операции!$X:$X,"&gt;="&amp;X$8,операции!$X:$X,"&lt;="&amp;X$9,операции!$AB:$AB,"&lt;&gt;"&amp;"",операции!$L:$L,AA$9,операции!$O:$O,$F608)/AA643)</f>
        <v>42336.924611973394</v>
      </c>
      <c r="AB644" s="265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</row>
    <row r="645" spans="1:42" s="192" customFormat="1" ht="11.25">
      <c r="A645" s="37"/>
      <c r="B645" s="37"/>
      <c r="C645" s="37"/>
      <c r="D645" s="191"/>
      <c r="E645" s="191" t="s">
        <v>299</v>
      </c>
      <c r="F645" s="191" t="str">
        <f t="shared" si="1048"/>
        <v>ВалентаСпорт</v>
      </c>
      <c r="G645" s="191" t="s">
        <v>262</v>
      </c>
      <c r="H645" s="315"/>
      <c r="I645" s="316">
        <f>IF(I643=0,0,SUMIFS(операции!$AH:$AH,операции!$X:$X,"&gt;="&amp;I$8,операции!$X:$X,"&lt;="&amp;I$9,операции!$AB:$AB,"&lt;&gt;"&amp;"",операции!$O:$O,$F608)/I643)</f>
        <v>42324.995839650655</v>
      </c>
      <c r="J645" s="317"/>
      <c r="K645" s="316">
        <f>IF(K643=0,0,SUMIFS(операции!$AH:$AH,операции!$X:$X,"&gt;="&amp;I$8,операции!$X:$X,"&lt;="&amp;I$9,операции!$AB:$AB,"&lt;&gt;"&amp;"",операции!$L:$L,K$9,операции!$O:$O,$F608)/K643)</f>
        <v>42246.487781378026</v>
      </c>
      <c r="L645" s="318">
        <f>IF(L643=0,0,SUMIFS(операции!$AH:$AH,операции!$X:$X,"&gt;="&amp;I$8,операции!$X:$X,"&lt;="&amp;I$9,операции!$AB:$AB,"&lt;&gt;"&amp;"",операции!$L:$L,L$9,операции!$O:$O,$F608)/L643)</f>
        <v>42334.304922777483</v>
      </c>
      <c r="M645" s="274"/>
      <c r="N645" s="193">
        <f>IF(N643=0,0,SUMIFS(операции!$AH:$AH,операции!$X:$X,"&gt;="&amp;N$8,операции!$X:$X,"&lt;="&amp;N$9,операции!$AB:$AB,"&lt;&gt;"&amp;"",операции!$O:$O,$F608)/N643)</f>
        <v>42310.086939730238</v>
      </c>
      <c r="O645" s="196"/>
      <c r="P645" s="193">
        <f>IF(P643=0,0,SUMIFS(операции!$AH:$AH,операции!$X:$X,"&gt;="&amp;N$8,операции!$X:$X,"&lt;="&amp;N$9,операции!$AB:$AB,"&lt;&gt;"&amp;"",операции!$L:$L,P$9,операции!$O:$O,$F608)/P643)</f>
        <v>42240.660682354617</v>
      </c>
      <c r="Q645" s="237">
        <f>IF(Q643=0,0,SUMIFS(операции!$AH:$AH,операции!$X:$X,"&gt;="&amp;N$8,операции!$X:$X,"&lt;="&amp;N$9,операции!$AB:$AB,"&lt;&gt;"&amp;"",операции!$L:$L,Q$9,операции!$O:$O,$F608)/Q643)</f>
        <v>42321</v>
      </c>
      <c r="R645" s="238"/>
      <c r="S645" s="193">
        <f>IF(S643=0,0,SUMIFS(операции!$AH:$AH,операции!$X:$X,"&gt;="&amp;S$8,операции!$X:$X,"&lt;="&amp;S$9,операции!$AB:$AB,"&lt;&gt;"&amp;"",операции!$O:$O,$F608)/S643)</f>
        <v>42326.481856557977</v>
      </c>
      <c r="T645" s="196"/>
      <c r="U645" s="193">
        <f>IF(U643=0,0,SUMIFS(операции!$AH:$AH,операции!$X:$X,"&gt;="&amp;S$8,операции!$X:$X,"&lt;="&amp;S$9,операции!$AB:$AB,"&lt;&gt;"&amp;"",операции!$L:$L,U$9,операции!$O:$O,$F608)/U643)</f>
        <v>42250.358486756144</v>
      </c>
      <c r="V645" s="237">
        <f>IF(V643=0,0,SUMIFS(операции!$AH:$AH,операции!$X:$X,"&gt;="&amp;S$8,операции!$X:$X,"&lt;="&amp;S$9,операции!$AB:$AB,"&lt;&gt;"&amp;"",операции!$L:$L,V$9,операции!$O:$O,$F608)/V643)</f>
        <v>42336.770136051688</v>
      </c>
      <c r="W645" s="238"/>
      <c r="X645" s="193">
        <f>IF(X643=0,0,SUMIFS(операции!$AH:$AH,операции!$X:$X,"&gt;="&amp;X$8,операции!$X:$X,"&lt;="&amp;X$9,операции!$AB:$AB,"&lt;&gt;"&amp;"",операции!$O:$O,$F608)/X643)</f>
        <v>42350.06208425721</v>
      </c>
      <c r="Y645" s="196"/>
      <c r="Z645" s="193">
        <f>IF(Z643=0,0,SUMIFS(операции!$AH:$AH,операции!$X:$X,"&gt;="&amp;X$8,операции!$X:$X,"&lt;="&amp;X$9,операции!$AB:$AB,"&lt;&gt;"&amp;"",операции!$L:$L,Z$9,операции!$O:$O,$F608)/Z643)</f>
        <v>0</v>
      </c>
      <c r="AA645" s="237">
        <f>IF(AA643=0,0,SUMIFS(операции!$AH:$AH,операции!$X:$X,"&gt;="&amp;X$8,операции!$X:$X,"&lt;="&amp;X$9,операции!$AB:$AB,"&lt;&gt;"&amp;"",операции!$L:$L,AA$9,операции!$O:$O,$F608)/AA643)</f>
        <v>42350.06208425721</v>
      </c>
      <c r="AB645" s="265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</row>
    <row r="646" spans="1:42" s="5" customFormat="1">
      <c r="A646" s="1"/>
      <c r="B646" s="1"/>
      <c r="C646" s="1"/>
      <c r="D646" s="168"/>
      <c r="E646" s="168" t="s">
        <v>296</v>
      </c>
      <c r="F646" s="168" t="str">
        <f t="shared" si="1048"/>
        <v>ВалентаСпорт</v>
      </c>
      <c r="G646" s="168" t="s">
        <v>261</v>
      </c>
      <c r="H646" s="326"/>
      <c r="I646" s="327">
        <f>I641-I643</f>
        <v>8123.4400000000023</v>
      </c>
      <c r="J646" s="313">
        <f>I646-K646-L646</f>
        <v>0</v>
      </c>
      <c r="K646" s="327">
        <f t="shared" ref="K646:L646" si="1125">K641-K643</f>
        <v>1250.4400000000005</v>
      </c>
      <c r="L646" s="328">
        <f t="shared" si="1125"/>
        <v>6873.0000000000073</v>
      </c>
      <c r="M646" s="277"/>
      <c r="N646" s="169">
        <f>N641-N643</f>
        <v>799.04000000000087</v>
      </c>
      <c r="O646" s="170">
        <f>N646-P646-Q646</f>
        <v>9.0949470177292824E-13</v>
      </c>
      <c r="P646" s="169">
        <f t="shared" ref="P646:Q646" si="1126">P641-P643</f>
        <v>799.04</v>
      </c>
      <c r="Q646" s="243">
        <f t="shared" si="1126"/>
        <v>0</v>
      </c>
      <c r="R646" s="244"/>
      <c r="S646" s="169">
        <f>S641-S643</f>
        <v>6624.3999999999942</v>
      </c>
      <c r="T646" s="170">
        <f>S646-U646-V646</f>
        <v>0</v>
      </c>
      <c r="U646" s="169">
        <f t="shared" ref="U646:V646" si="1127">U641-U643</f>
        <v>451.39999999999964</v>
      </c>
      <c r="V646" s="243">
        <f t="shared" si="1127"/>
        <v>6172.9999999999964</v>
      </c>
      <c r="W646" s="244"/>
      <c r="X646" s="169">
        <f>X641-X643</f>
        <v>700</v>
      </c>
      <c r="Y646" s="170">
        <f>X646-Z646-AA646</f>
        <v>0</v>
      </c>
      <c r="Z646" s="169">
        <f t="shared" ref="Z646:AA646" si="1128">Z641-Z643</f>
        <v>0</v>
      </c>
      <c r="AA646" s="243">
        <f t="shared" si="1128"/>
        <v>700</v>
      </c>
      <c r="AB646" s="266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s="211" customFormat="1">
      <c r="A647" s="210"/>
      <c r="B647" s="210"/>
      <c r="C647" s="210"/>
      <c r="D647" s="218"/>
      <c r="E647" s="218" t="s">
        <v>297</v>
      </c>
      <c r="F647" s="218" t="str">
        <f t="shared" si="1048"/>
        <v>ВалентаСпорт</v>
      </c>
      <c r="G647" s="218" t="s">
        <v>218</v>
      </c>
      <c r="H647" s="343"/>
      <c r="I647" s="344">
        <f>IF(I641=0,0,(I646/I641))</f>
        <v>0.13318424763091455</v>
      </c>
      <c r="J647" s="345"/>
      <c r="K647" s="344">
        <f t="shared" ref="K647" si="1129">IF(K641=0,0,(K646/K641))</f>
        <v>0.18241283734500371</v>
      </c>
      <c r="L647" s="346">
        <f t="shared" ref="L647" si="1130">IF(L641=0,0,(L646/L641))</f>
        <v>0.12695099650898625</v>
      </c>
      <c r="M647" s="280"/>
      <c r="N647" s="219">
        <f>IF(N641=0,0,(N646/N641))</f>
        <v>4.6275554525974455E-2</v>
      </c>
      <c r="O647" s="220"/>
      <c r="P647" s="219">
        <f t="shared" ref="P647" si="1131">IF(P641=0,0,(P646/P641))</f>
        <v>0.26318840579710145</v>
      </c>
      <c r="Q647" s="252">
        <f t="shared" ref="Q647" si="1132">IF(Q641=0,0,(Q646/Q641))</f>
        <v>0</v>
      </c>
      <c r="R647" s="253"/>
      <c r="S647" s="219">
        <f>IF(S641=0,0,(S646/S641))</f>
        <v>0.18976195250508449</v>
      </c>
      <c r="T647" s="220"/>
      <c r="U647" s="219">
        <f t="shared" ref="U647" si="1133">IF(U641=0,0,(U646/U641))</f>
        <v>0.11819848127782133</v>
      </c>
      <c r="V647" s="252">
        <f t="shared" ref="V647" si="1134">IF(V641=0,0,(V646/V641))</f>
        <v>0.1985525892569957</v>
      </c>
      <c r="W647" s="253"/>
      <c r="X647" s="219">
        <f>IF(X641=0,0,(X646/X641))</f>
        <v>7.9383080063506459E-2</v>
      </c>
      <c r="Y647" s="220"/>
      <c r="Z647" s="219">
        <f t="shared" ref="Z647" si="1135">IF(Z641=0,0,(Z646/Z641))</f>
        <v>0</v>
      </c>
      <c r="AA647" s="252">
        <f t="shared" ref="AA647" si="1136">IF(AA641=0,0,(AA646/AA641))</f>
        <v>7.9383080063506459E-2</v>
      </c>
      <c r="AB647" s="267"/>
      <c r="AC647" s="210"/>
      <c r="AD647" s="210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</row>
    <row r="648" spans="1:42" s="5" customFormat="1">
      <c r="A648" s="1"/>
      <c r="B648" s="1"/>
      <c r="C648" s="1"/>
      <c r="D648" s="227"/>
      <c r="E648" s="227" t="s">
        <v>298</v>
      </c>
      <c r="F648" s="227" t="str">
        <f t="shared" si="1048"/>
        <v>ВалентаСпорт</v>
      </c>
      <c r="G648" s="227" t="s">
        <v>219</v>
      </c>
      <c r="H648" s="347"/>
      <c r="I648" s="348">
        <f>I642-I644</f>
        <v>16.491588196113298</v>
      </c>
      <c r="J648" s="321"/>
      <c r="K648" s="348">
        <f t="shared" ref="K648:L648" si="1137">K642-K644</f>
        <v>96.064153325103689</v>
      </c>
      <c r="L648" s="349">
        <f t="shared" si="1137"/>
        <v>7.0942023626703303</v>
      </c>
      <c r="M648" s="281"/>
      <c r="N648" s="228">
        <f>N642-N644</f>
        <v>18.232585281089996</v>
      </c>
      <c r="O648" s="173"/>
      <c r="P648" s="228">
        <f t="shared" ref="P648:Q648" si="1138">P642-P644</f>
        <v>91.039046780875651</v>
      </c>
      <c r="Q648" s="254">
        <f t="shared" si="1138"/>
        <v>7</v>
      </c>
      <c r="R648" s="255"/>
      <c r="S648" s="228">
        <f>S642-S644</f>
        <v>17.61603390572418</v>
      </c>
      <c r="T648" s="173"/>
      <c r="U648" s="228">
        <f t="shared" ref="U648:V648" si="1139">U642-U644</f>
        <v>101.08301316357392</v>
      </c>
      <c r="V648" s="254">
        <f t="shared" si="1139"/>
        <v>6.399454988000798</v>
      </c>
      <c r="W648" s="255"/>
      <c r="X648" s="228">
        <f>X642-X644</f>
        <v>7.9302303944859887</v>
      </c>
      <c r="Y648" s="173"/>
      <c r="Z648" s="228">
        <f t="shared" ref="Z648:AA648" si="1140">Z642-Z644</f>
        <v>0</v>
      </c>
      <c r="AA648" s="254">
        <f t="shared" si="1140"/>
        <v>7.9302303944859887</v>
      </c>
      <c r="AB648" s="266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s="5" customFormat="1">
      <c r="A649" s="1"/>
      <c r="B649" s="1"/>
      <c r="C649" s="1"/>
      <c r="D649" s="227"/>
      <c r="E649" s="227" t="s">
        <v>300</v>
      </c>
      <c r="F649" s="227" t="str">
        <f t="shared" si="1048"/>
        <v>ВалентаСпорт</v>
      </c>
      <c r="G649" s="227" t="s">
        <v>219</v>
      </c>
      <c r="H649" s="347"/>
      <c r="I649" s="348">
        <f>I645-I644</f>
        <v>22.49073964793206</v>
      </c>
      <c r="J649" s="321"/>
      <c r="K649" s="348">
        <f t="shared" ref="K649:L649" si="1141">K645-K644</f>
        <v>28.269658991972392</v>
      </c>
      <c r="L649" s="349">
        <f t="shared" si="1141"/>
        <v>21.80550501417747</v>
      </c>
      <c r="M649" s="281"/>
      <c r="N649" s="228">
        <f>N645-N644</f>
        <v>23.124297119975381</v>
      </c>
      <c r="O649" s="173"/>
      <c r="P649" s="228">
        <f t="shared" ref="P649:Q649" si="1142">P645-P644</f>
        <v>30.276804234308656</v>
      </c>
      <c r="Q649" s="254">
        <f t="shared" si="1142"/>
        <v>22</v>
      </c>
      <c r="R649" s="255"/>
      <c r="S649" s="228">
        <f>S645-S644</f>
        <v>24.806361058675975</v>
      </c>
      <c r="T649" s="173"/>
      <c r="U649" s="228">
        <f t="shared" ref="U649:V649" si="1143">U645-U644</f>
        <v>26.936393871015753</v>
      </c>
      <c r="V649" s="254">
        <f t="shared" si="1143"/>
        <v>24.51848135812179</v>
      </c>
      <c r="W649" s="255"/>
      <c r="X649" s="228">
        <f>X645-X644</f>
        <v>13.137472283815441</v>
      </c>
      <c r="Y649" s="173"/>
      <c r="Z649" s="228">
        <f t="shared" ref="Z649:AA649" si="1144">Z645-Z644</f>
        <v>0</v>
      </c>
      <c r="AA649" s="254">
        <f t="shared" si="1144"/>
        <v>13.137472283815441</v>
      </c>
      <c r="AB649" s="266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s="93" customFormat="1" ht="15">
      <c r="A650" s="92"/>
      <c r="B650" s="92"/>
      <c r="C650" s="92"/>
      <c r="D650" s="221"/>
      <c r="E650" s="221" t="s">
        <v>301</v>
      </c>
      <c r="F650" s="221" t="str">
        <f t="shared" si="1048"/>
        <v>ВалентаСпорт</v>
      </c>
      <c r="G650" s="221" t="s">
        <v>219</v>
      </c>
      <c r="H650" s="357"/>
      <c r="I650" s="358">
        <f>I648-I649</f>
        <v>-5.9991514518187614</v>
      </c>
      <c r="J650" s="352"/>
      <c r="K650" s="358">
        <f t="shared" ref="K650" si="1145">K648-K649</f>
        <v>67.794494333131297</v>
      </c>
      <c r="L650" s="359">
        <f t="shared" ref="L650" si="1146">L648-L649</f>
        <v>-14.71130265150714</v>
      </c>
      <c r="M650" s="284"/>
      <c r="N650" s="222">
        <f>N648-N649</f>
        <v>-4.8917118388853851</v>
      </c>
      <c r="O650" s="181"/>
      <c r="P650" s="222">
        <f t="shared" ref="P650" si="1147">P648-P649</f>
        <v>60.762242546566995</v>
      </c>
      <c r="Q650" s="260">
        <f t="shared" ref="Q650" si="1148">Q648-Q649</f>
        <v>-15</v>
      </c>
      <c r="R650" s="261"/>
      <c r="S650" s="222">
        <f>S648-S649</f>
        <v>-7.1903271529517951</v>
      </c>
      <c r="T650" s="181"/>
      <c r="U650" s="222">
        <f t="shared" ref="U650" si="1149">U648-U649</f>
        <v>74.146619292558171</v>
      </c>
      <c r="V650" s="260">
        <f t="shared" ref="V650" si="1150">V648-V649</f>
        <v>-18.119026370120991</v>
      </c>
      <c r="W650" s="261"/>
      <c r="X650" s="222">
        <f>X648-X649</f>
        <v>-5.2072418893294525</v>
      </c>
      <c r="Y650" s="181"/>
      <c r="Z650" s="222">
        <f t="shared" ref="Z650" si="1151">Z648-Z649</f>
        <v>0</v>
      </c>
      <c r="AA650" s="260">
        <f t="shared" ref="AA650" si="1152">AA648-AA649</f>
        <v>-5.2072418893294525</v>
      </c>
      <c r="AB650" s="264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</row>
    <row r="651" spans="1:42" s="5" customFormat="1">
      <c r="A651" s="1"/>
      <c r="B651" s="1"/>
      <c r="C651" s="1"/>
      <c r="D651" s="223"/>
      <c r="E651" s="223" t="s">
        <v>302</v>
      </c>
      <c r="F651" s="223" t="str">
        <f t="shared" si="1048"/>
        <v>ВалентаСпорт</v>
      </c>
      <c r="G651" s="223" t="s">
        <v>261</v>
      </c>
      <c r="H651" s="354"/>
      <c r="I651" s="355">
        <f>SUMIFS(операции!$Z:$Z,операции!$X:$X,"&gt;="&amp;I$8,операции!$X:$X,"&lt;="&amp;I$9,операции!$AB:$AB,"",операции!$O:$O,$F608)</f>
        <v>15306</v>
      </c>
      <c r="J651" s="341">
        <f>I651-K651-L651</f>
        <v>0</v>
      </c>
      <c r="K651" s="355">
        <f>SUMIFS(операции!$Z:$Z,операции!$X:$X,"&gt;="&amp;I$8,операции!$X:$X,"&lt;="&amp;I$9,операции!$AB:$AB,"",операции!$L:$L,K$9,операции!$O:$O,$F608)</f>
        <v>1412</v>
      </c>
      <c r="L651" s="356">
        <f>SUMIFS(операции!$Z:$Z,операции!$X:$X,"&gt;="&amp;I$8,операции!$X:$X,"&lt;="&amp;I$9,операции!$AB:$AB,"",операции!$L:$L,L$9,операции!$O:$O,$F608)</f>
        <v>13894</v>
      </c>
      <c r="M651" s="283"/>
      <c r="N651" s="224">
        <f>SUMIFS(операции!$Z:$Z,операции!$X:$X,"&gt;="&amp;N$8,операции!$X:$X,"&lt;="&amp;N$9,операции!$AB:$AB,"",операции!$O:$O,$F608)</f>
        <v>1412</v>
      </c>
      <c r="O651" s="216">
        <f>N651-P651-Q651</f>
        <v>0</v>
      </c>
      <c r="P651" s="224">
        <f>SUMIFS(операции!$Z:$Z,операции!$X:$X,"&gt;="&amp;N$8,операции!$X:$X,"&lt;="&amp;N$9,операции!$AB:$AB,"",операции!$L:$L,P$9,операции!$O:$O,$F608)</f>
        <v>1412</v>
      </c>
      <c r="Q651" s="258">
        <f>SUMIFS(операции!$Z:$Z,операции!$X:$X,"&gt;="&amp;N$8,операции!$X:$X,"&lt;="&amp;N$9,операции!$AB:$AB,"",операции!$L:$L,Q$9,операции!$O:$O,$F608)</f>
        <v>0</v>
      </c>
      <c r="R651" s="259"/>
      <c r="S651" s="224">
        <f>SUMIFS(операции!$Z:$Z,операции!$X:$X,"&gt;="&amp;S$8,операции!$X:$X,"&lt;="&amp;S$9,операции!$AB:$AB,"",операции!$O:$O,$F608)</f>
        <v>5587</v>
      </c>
      <c r="T651" s="216">
        <f>S651-U651-V651</f>
        <v>0</v>
      </c>
      <c r="U651" s="224">
        <f>SUMIFS(операции!$Z:$Z,операции!$X:$X,"&gt;="&amp;S$8,операции!$X:$X,"&lt;="&amp;S$9,операции!$AB:$AB,"",операции!$L:$L,U$9,операции!$O:$O,$F608)</f>
        <v>0</v>
      </c>
      <c r="V651" s="258">
        <f>SUMIFS(операции!$Z:$Z,операции!$X:$X,"&gt;="&amp;S$8,операции!$X:$X,"&lt;="&amp;S$9,операции!$AB:$AB,"",операции!$L:$L,V$9,операции!$O:$O,$F608)</f>
        <v>5587</v>
      </c>
      <c r="W651" s="259"/>
      <c r="X651" s="224">
        <f>SUMIFS(операции!$Z:$Z,операции!$X:$X,"&gt;="&amp;X$8,операции!$X:$X,"&lt;="&amp;X$9,операции!$AB:$AB,"",операции!$O:$O,$F608)</f>
        <v>8307</v>
      </c>
      <c r="Y651" s="216">
        <f>X651-Z651-AA651</f>
        <v>0</v>
      </c>
      <c r="Z651" s="224">
        <f>SUMIFS(операции!$Z:$Z,операции!$X:$X,"&gt;="&amp;X$8,операции!$X:$X,"&lt;="&amp;X$9,операции!$AB:$AB,"",операции!$L:$L,Z$9,операции!$O:$O,$F608)</f>
        <v>0</v>
      </c>
      <c r="AA651" s="258">
        <f>SUMIFS(операции!$Z:$Z,операции!$X:$X,"&gt;="&amp;X$8,операции!$X:$X,"&lt;="&amp;X$9,операции!$AB:$AB,"",операции!$L:$L,AA$9,операции!$O:$O,$F608)</f>
        <v>8307</v>
      </c>
      <c r="AB651" s="266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s="192" customFormat="1" ht="11.25">
      <c r="A652" s="37"/>
      <c r="B652" s="37"/>
      <c r="C652" s="37"/>
      <c r="D652" s="191"/>
      <c r="E652" s="191" t="s">
        <v>303</v>
      </c>
      <c r="F652" s="191" t="str">
        <f t="shared" si="1048"/>
        <v>ВалентаСпорт</v>
      </c>
      <c r="G652" s="191" t="s">
        <v>262</v>
      </c>
      <c r="H652" s="315"/>
      <c r="I652" s="316">
        <f>IF(I651=0,0,SUMIFS(операции!$AG:$AG,операции!$X:$X,"&gt;="&amp;I$8,операции!$X:$X,"&lt;="&amp;I$9,операции!$AB:$AB,"",операции!$O:$O,$F608)/I651)</f>
        <v>42331.415327322618</v>
      </c>
      <c r="J652" s="317"/>
      <c r="K652" s="316">
        <f>IF(K651=0,0,SUMIFS(операции!$AG:$AG,операции!$X:$X,"&gt;="&amp;I$8,операции!$X:$X,"&lt;="&amp;I$9,операции!$AB:$AB,"",операции!$L:$L,K$9,операции!$O:$O,$F608)/K651)</f>
        <v>42295.589235127482</v>
      </c>
      <c r="L652" s="318">
        <f>IF(L651=0,0,SUMIFS(операции!$AG:$AG,операции!$X:$X,"&gt;="&amp;I$8,операции!$X:$X,"&lt;="&amp;I$9,операции!$AB:$AB,"",операции!$L:$L,L$9,операции!$O:$O,$F608)/L651)</f>
        <v>42335.056211314237</v>
      </c>
      <c r="M652" s="274"/>
      <c r="N652" s="193">
        <f>IF(N651=0,0,SUMIFS(операции!$AG:$AG,операции!$X:$X,"&gt;="&amp;N$8,операции!$X:$X,"&lt;="&amp;N$9,операции!$AB:$AB,"",операции!$O:$O,$F608)/N651)</f>
        <v>42295.589235127482</v>
      </c>
      <c r="O652" s="196"/>
      <c r="P652" s="193">
        <f>IF(P651=0,0,SUMIFS(операции!$AG:$AG,операции!$X:$X,"&gt;="&amp;N$8,операции!$X:$X,"&lt;="&amp;N$9,операции!$AB:$AB,"",операции!$L:$L,P$9,операции!$O:$O,$F608)/P651)</f>
        <v>42295.589235127482</v>
      </c>
      <c r="Q652" s="237">
        <f>IF(Q651=0,0,SUMIFS(операции!$AG:$AG,операции!$X:$X,"&gt;="&amp;N$8,операции!$X:$X,"&lt;="&amp;N$9,операции!$AB:$AB,"",операции!$L:$L,Q$9,операции!$O:$O,$F608)/Q651)</f>
        <v>0</v>
      </c>
      <c r="R652" s="238"/>
      <c r="S652" s="193">
        <f>IF(S651=0,0,SUMIFS(операции!$AG:$AG,операции!$X:$X,"&gt;="&amp;S$8,операции!$X:$X,"&lt;="&amp;S$9,операции!$AB:$AB,"",операции!$O:$O,$F608)/S651)</f>
        <v>42323.332915697152</v>
      </c>
      <c r="T652" s="196"/>
      <c r="U652" s="193">
        <f>IF(U651=0,0,SUMIFS(операции!$AG:$AG,операции!$X:$X,"&gt;="&amp;S$8,операции!$X:$X,"&lt;="&amp;S$9,операции!$AB:$AB,"",операции!$L:$L,U$9,операции!$O:$O,$F608)/U651)</f>
        <v>0</v>
      </c>
      <c r="V652" s="237">
        <f>IF(V651=0,0,SUMIFS(операции!$AG:$AG,операции!$X:$X,"&gt;="&amp;S$8,операции!$X:$X,"&lt;="&amp;S$9,операции!$AB:$AB,"",операции!$L:$L,V$9,операции!$O:$O,$F608)/V651)</f>
        <v>42323.332915697152</v>
      </c>
      <c r="W652" s="238"/>
      <c r="X652" s="193">
        <f>IF(X651=0,0,SUMIFS(операции!$AG:$AG,операции!$X:$X,"&gt;="&amp;X$8,операции!$X:$X,"&lt;="&amp;X$9,операции!$AB:$AB,"",операции!$O:$O,$F608)/X651)</f>
        <v>42342.940893222585</v>
      </c>
      <c r="Y652" s="196"/>
      <c r="Z652" s="193">
        <f>IF(Z651=0,0,SUMIFS(операции!$AG:$AG,операции!$X:$X,"&gt;="&amp;X$8,операции!$X:$X,"&lt;="&amp;X$9,операции!$AB:$AB,"",операции!$L:$L,Z$9,операции!$O:$O,$F608)/Z651)</f>
        <v>0</v>
      </c>
      <c r="AA652" s="237">
        <f>IF(AA651=0,0,SUMIFS(операции!$AG:$AG,операции!$X:$X,"&gt;="&amp;X$8,операции!$X:$X,"&lt;="&amp;X$9,операции!$AB:$AB,"",операции!$L:$L,AA$9,операции!$O:$O,$F608)/AA651)</f>
        <v>42342.940893222585</v>
      </c>
      <c r="AB652" s="265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</row>
    <row r="653" spans="1:42" s="5" customFormat="1">
      <c r="A653" s="1"/>
      <c r="B653" s="1"/>
      <c r="C653" s="1"/>
      <c r="D653" s="168"/>
      <c r="E653" s="168" t="s">
        <v>304</v>
      </c>
      <c r="F653" s="168" t="str">
        <f t="shared" si="1048"/>
        <v>ВалентаСпорт</v>
      </c>
      <c r="G653" s="168" t="s">
        <v>261</v>
      </c>
      <c r="H653" s="326"/>
      <c r="I653" s="327">
        <f>SUMIFS(операции!$V:$V,операции!$X:$X,"&gt;="&amp;I$8,операции!$X:$X,"&lt;="&amp;I$9,операции!$AB:$AB,"",операции!$O:$O,$F608)</f>
        <v>14054.279999999999</v>
      </c>
      <c r="J653" s="313">
        <f>I653-K653-L653</f>
        <v>0</v>
      </c>
      <c r="K653" s="327">
        <f>SUMIFS(операции!$V:$V,операции!$X:$X,"&gt;="&amp;I$8,операции!$X:$X,"&lt;="&amp;I$9,операции!$AB:$AB,"",операции!$L:$L,K$9,операции!$O:$O,$F608)</f>
        <v>1280.28</v>
      </c>
      <c r="L653" s="328">
        <f>SUMIFS(операции!$V:$V,операции!$X:$X,"&gt;="&amp;I$8,операции!$X:$X,"&lt;="&amp;I$9,операции!$AB:$AB,"",операции!$L:$L,L$9,операции!$O:$O,$F608)</f>
        <v>12774</v>
      </c>
      <c r="M653" s="277"/>
      <c r="N653" s="169">
        <f>SUMIFS(операции!$V:$V,операции!$X:$X,"&gt;="&amp;N$8,операции!$X:$X,"&lt;="&amp;N$9,операции!$AB:$AB,"",операции!$O:$O,$F608)</f>
        <v>1280.28</v>
      </c>
      <c r="O653" s="170">
        <f>N653-P653-Q653</f>
        <v>0</v>
      </c>
      <c r="P653" s="169">
        <f>SUMIFS(операции!$V:$V,операции!$X:$X,"&gt;="&amp;N$8,операции!$X:$X,"&lt;="&amp;N$9,операции!$AB:$AB,"",операции!$L:$L,P$9,операции!$O:$O,$F608)</f>
        <v>1280.28</v>
      </c>
      <c r="Q653" s="243">
        <f>SUMIFS(операции!$V:$V,операции!$X:$X,"&gt;="&amp;N$8,операции!$X:$X,"&lt;="&amp;N$9,операции!$AB:$AB,"",операции!$L:$L,Q$9,операции!$O:$O,$F608)</f>
        <v>0</v>
      </c>
      <c r="R653" s="244"/>
      <c r="S653" s="169">
        <f>SUMIFS(операции!$V:$V,операции!$X:$X,"&gt;="&amp;S$8,операции!$X:$X,"&lt;="&amp;S$9,операции!$AB:$AB,"",операции!$O:$O,$F608)</f>
        <v>5034</v>
      </c>
      <c r="T653" s="170">
        <f>S653-U653-V653</f>
        <v>0</v>
      </c>
      <c r="U653" s="169">
        <f>SUMIFS(операции!$V:$V,операции!$X:$X,"&gt;="&amp;S$8,операции!$X:$X,"&lt;="&amp;S$9,операции!$AB:$AB,"",операции!$L:$L,U$9,операции!$O:$O,$F608)</f>
        <v>0</v>
      </c>
      <c r="V653" s="243">
        <f>SUMIFS(операции!$V:$V,операции!$X:$X,"&gt;="&amp;S$8,операции!$X:$X,"&lt;="&amp;S$9,операции!$AB:$AB,"",операции!$L:$L,V$9,операции!$O:$O,$F608)</f>
        <v>5034</v>
      </c>
      <c r="W653" s="244"/>
      <c r="X653" s="169">
        <f>SUMIFS(операции!$V:$V,операции!$X:$X,"&gt;="&amp;X$8,операции!$X:$X,"&lt;="&amp;X$9,операции!$AB:$AB,"",операции!$O:$O,$F608)</f>
        <v>7740</v>
      </c>
      <c r="Y653" s="170">
        <f>X653-Z653-AA653</f>
        <v>0</v>
      </c>
      <c r="Z653" s="169">
        <f>SUMIFS(операции!$V:$V,операции!$X:$X,"&gt;="&amp;X$8,операции!$X:$X,"&lt;="&amp;X$9,операции!$AB:$AB,"",операции!$L:$L,Z$9,операции!$O:$O,$F608)</f>
        <v>0</v>
      </c>
      <c r="AA653" s="243">
        <f>SUMIFS(операции!$V:$V,операции!$X:$X,"&gt;="&amp;X$8,операции!$X:$X,"&lt;="&amp;X$9,операции!$AB:$AB,"",операции!$L:$L,AA$9,операции!$O:$O,$F608)</f>
        <v>7740</v>
      </c>
      <c r="AB653" s="266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s="192" customFormat="1" ht="11.25">
      <c r="A654" s="37"/>
      <c r="B654" s="37"/>
      <c r="C654" s="37"/>
      <c r="D654" s="191"/>
      <c r="E654" s="191" t="s">
        <v>305</v>
      </c>
      <c r="F654" s="191" t="str">
        <f t="shared" si="1048"/>
        <v>ВалентаСпорт</v>
      </c>
      <c r="G654" s="191" t="s">
        <v>262</v>
      </c>
      <c r="H654" s="315"/>
      <c r="I654" s="316">
        <f>IF(I653=0,0,SUMIFS(операции!$AF:$AF,операции!$X:$X,"&gt;="&amp;I$8,операции!$X:$X,"&lt;="&amp;I$9,операции!$AB:$AB,"",операции!$O:$O,$F608)/I653)</f>
        <v>42299.150744114959</v>
      </c>
      <c r="J654" s="317"/>
      <c r="K654" s="316">
        <f>IF(K653=0,0,SUMIFS(операции!$AF:$AF,операции!$X:$X,"&gt;="&amp;I$8,операции!$X:$X,"&lt;="&amp;I$9,операции!$AB:$AB,"",операции!$L:$L,K$9,операции!$O:$O,$F608)/K653)</f>
        <v>42024.514574936729</v>
      </c>
      <c r="L654" s="318">
        <f>IF(L653=0,0,SUMIFS(операции!$AF:$AF,операции!$X:$X,"&gt;="&amp;I$8,операции!$X:$X,"&lt;="&amp;I$9,операции!$AB:$AB,"",операции!$L:$L,L$9,операции!$O:$O,$F608)/L653)</f>
        <v>42326.676279943633</v>
      </c>
      <c r="M654" s="274"/>
      <c r="N654" s="193">
        <f>IF(N653=0,0,SUMIFS(операции!$AF:$AF,операции!$X:$X,"&gt;="&amp;N$8,операции!$X:$X,"&lt;="&amp;N$9,операции!$AB:$AB,"",операции!$O:$O,$F608)/N653)</f>
        <v>42024.514574936729</v>
      </c>
      <c r="O654" s="196"/>
      <c r="P654" s="193">
        <f>IF(P653=0,0,SUMIFS(операции!$AF:$AF,операции!$X:$X,"&gt;="&amp;N$8,операции!$X:$X,"&lt;="&amp;N$9,операции!$AB:$AB,"",операции!$L:$L,P$9,операции!$O:$O,$F608)/P653)</f>
        <v>42024.514574936729</v>
      </c>
      <c r="Q654" s="237">
        <f>IF(Q653=0,0,SUMIFS(операции!$AF:$AF,операции!$X:$X,"&gt;="&amp;N$8,операции!$X:$X,"&lt;="&amp;N$9,операции!$AB:$AB,"",операции!$L:$L,Q$9,операции!$O:$O,$F608)/Q653)</f>
        <v>0</v>
      </c>
      <c r="R654" s="238"/>
      <c r="S654" s="193">
        <f>IF(S653=0,0,SUMIFS(операции!$AF:$AF,операции!$X:$X,"&gt;="&amp;S$8,операции!$X:$X,"&lt;="&amp;S$9,операции!$AB:$AB,"",операции!$O:$O,$F608)/S653)</f>
        <v>42311.775685339693</v>
      </c>
      <c r="T654" s="196"/>
      <c r="U654" s="193">
        <f>IF(U653=0,0,SUMIFS(операции!$AF:$AF,операции!$X:$X,"&gt;="&amp;S$8,операции!$X:$X,"&lt;="&amp;S$9,операции!$AB:$AB,"",операции!$L:$L,U$9,операции!$O:$O,$F608)/U653)</f>
        <v>0</v>
      </c>
      <c r="V654" s="237">
        <f>IF(V653=0,0,SUMIFS(операции!$AF:$AF,операции!$X:$X,"&gt;="&amp;S$8,операции!$X:$X,"&lt;="&amp;S$9,операции!$AB:$AB,"",операции!$L:$L,V$9,операции!$O:$O,$F608)/V653)</f>
        <v>42311.775685339693</v>
      </c>
      <c r="W654" s="238"/>
      <c r="X654" s="193">
        <f>IF(X653=0,0,SUMIFS(операции!$AF:$AF,операции!$X:$X,"&gt;="&amp;X$8,операции!$X:$X,"&lt;="&amp;X$9,операции!$AB:$AB,"",операции!$O:$O,$F608)/X653)</f>
        <v>42336.367441860464</v>
      </c>
      <c r="Y654" s="196"/>
      <c r="Z654" s="193">
        <f>IF(Z653=0,0,SUMIFS(операции!$AF:$AF,операции!$X:$X,"&gt;="&amp;X$8,операции!$X:$X,"&lt;="&amp;X$9,операции!$AB:$AB,"",операции!$L:$L,Z$9,операции!$O:$O,$F608)/Z653)</f>
        <v>0</v>
      </c>
      <c r="AA654" s="237">
        <f>IF(AA653=0,0,SUMIFS(операции!$AF:$AF,операции!$X:$X,"&gt;="&amp;X$8,операции!$X:$X,"&lt;="&amp;X$9,операции!$AB:$AB,"",операции!$L:$L,AA$9,операции!$O:$O,$F608)/AA653)</f>
        <v>42336.367441860464</v>
      </c>
      <c r="AB654" s="265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</row>
    <row r="655" spans="1:42" s="192" customFormat="1" ht="11.25">
      <c r="A655" s="37"/>
      <c r="B655" s="37"/>
      <c r="C655" s="37"/>
      <c r="D655" s="191"/>
      <c r="E655" s="191" t="s">
        <v>307</v>
      </c>
      <c r="F655" s="191" t="str">
        <f t="shared" si="1048"/>
        <v>ВалентаСпорт</v>
      </c>
      <c r="G655" s="191" t="s">
        <v>262</v>
      </c>
      <c r="H655" s="315"/>
      <c r="I655" s="316">
        <f>I$9</f>
        <v>42369</v>
      </c>
      <c r="J655" s="317"/>
      <c r="K655" s="316">
        <f>I$9</f>
        <v>42369</v>
      </c>
      <c r="L655" s="318">
        <f>I$9</f>
        <v>42369</v>
      </c>
      <c r="M655" s="274"/>
      <c r="N655" s="193">
        <f>N$9</f>
        <v>42308</v>
      </c>
      <c r="O655" s="196"/>
      <c r="P655" s="193">
        <f>N$9</f>
        <v>42308</v>
      </c>
      <c r="Q655" s="237">
        <f>N$9</f>
        <v>42308</v>
      </c>
      <c r="R655" s="238"/>
      <c r="S655" s="193">
        <f>S$9</f>
        <v>42338</v>
      </c>
      <c r="T655" s="196"/>
      <c r="U655" s="193">
        <f>S$9</f>
        <v>42338</v>
      </c>
      <c r="V655" s="237">
        <f>S$9</f>
        <v>42338</v>
      </c>
      <c r="W655" s="238"/>
      <c r="X655" s="193">
        <f>X$9</f>
        <v>42369</v>
      </c>
      <c r="Y655" s="196"/>
      <c r="Z655" s="193">
        <f>X$9</f>
        <v>42369</v>
      </c>
      <c r="AA655" s="237">
        <f>X$9</f>
        <v>42369</v>
      </c>
      <c r="AB655" s="265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</row>
    <row r="656" spans="1:42" s="5" customFormat="1">
      <c r="A656" s="1"/>
      <c r="B656" s="1"/>
      <c r="C656" s="1"/>
      <c r="D656" s="168"/>
      <c r="E656" s="168" t="s">
        <v>380</v>
      </c>
      <c r="F656" s="168" t="str">
        <f t="shared" si="1048"/>
        <v>ВалентаСпорт</v>
      </c>
      <c r="G656" s="168" t="s">
        <v>261</v>
      </c>
      <c r="H656" s="326"/>
      <c r="I656" s="327">
        <f>I651-I653</f>
        <v>1251.7200000000012</v>
      </c>
      <c r="J656" s="313">
        <f>I656-K656-L656</f>
        <v>0</v>
      </c>
      <c r="K656" s="327">
        <f t="shared" ref="K656:L656" si="1153">K651-K653</f>
        <v>131.72000000000003</v>
      </c>
      <c r="L656" s="328">
        <f t="shared" si="1153"/>
        <v>1120</v>
      </c>
      <c r="M656" s="277"/>
      <c r="N656" s="169">
        <f>N651-N653</f>
        <v>131.72000000000003</v>
      </c>
      <c r="O656" s="170">
        <f>N656-P656-Q656</f>
        <v>0</v>
      </c>
      <c r="P656" s="169">
        <f t="shared" ref="P656:Q656" si="1154">P651-P653</f>
        <v>131.72000000000003</v>
      </c>
      <c r="Q656" s="243">
        <f t="shared" si="1154"/>
        <v>0</v>
      </c>
      <c r="R656" s="244"/>
      <c r="S656" s="169">
        <f>S651-S653</f>
        <v>553</v>
      </c>
      <c r="T656" s="170">
        <f>S656-U656-V656</f>
        <v>0</v>
      </c>
      <c r="U656" s="169">
        <f t="shared" ref="U656:V656" si="1155">U651-U653</f>
        <v>0</v>
      </c>
      <c r="V656" s="243">
        <f t="shared" si="1155"/>
        <v>553</v>
      </c>
      <c r="W656" s="244"/>
      <c r="X656" s="169">
        <f>X651-X653</f>
        <v>567</v>
      </c>
      <c r="Y656" s="170">
        <f>X656-Z656-AA656</f>
        <v>0</v>
      </c>
      <c r="Z656" s="169">
        <f t="shared" ref="Z656:AA656" si="1156">Z651-Z653</f>
        <v>0</v>
      </c>
      <c r="AA656" s="243">
        <f t="shared" si="1156"/>
        <v>567</v>
      </c>
      <c r="AB656" s="266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s="211" customFormat="1">
      <c r="A657" s="210"/>
      <c r="B657" s="210"/>
      <c r="C657" s="210"/>
      <c r="D657" s="218"/>
      <c r="E657" s="218" t="s">
        <v>381</v>
      </c>
      <c r="F657" s="218" t="str">
        <f t="shared" si="1048"/>
        <v>ВалентаСпорт</v>
      </c>
      <c r="G657" s="218" t="s">
        <v>218</v>
      </c>
      <c r="H657" s="343"/>
      <c r="I657" s="344">
        <f>IF(I651=0,0,(I656/I651))</f>
        <v>8.1779694237553976E-2</v>
      </c>
      <c r="J657" s="345"/>
      <c r="K657" s="344">
        <f t="shared" ref="K657" si="1157">IF(K651=0,0,(K656/K651))</f>
        <v>9.3286118980169988E-2</v>
      </c>
      <c r="L657" s="346">
        <f t="shared" ref="L657" si="1158">IF(L651=0,0,(L656/L651))</f>
        <v>8.0610335396574057E-2</v>
      </c>
      <c r="M657" s="280"/>
      <c r="N657" s="219">
        <f>IF(N651=0,0,(N656/N651))</f>
        <v>9.3286118980169988E-2</v>
      </c>
      <c r="O657" s="220"/>
      <c r="P657" s="219">
        <f t="shared" ref="P657" si="1159">IF(P651=0,0,(P656/P651))</f>
        <v>9.3286118980169988E-2</v>
      </c>
      <c r="Q657" s="252">
        <f t="shared" ref="Q657" si="1160">IF(Q651=0,0,(Q656/Q651))</f>
        <v>0</v>
      </c>
      <c r="R657" s="253"/>
      <c r="S657" s="219">
        <f>IF(S651=0,0,(S656/S651))</f>
        <v>9.8979774476463223E-2</v>
      </c>
      <c r="T657" s="220"/>
      <c r="U657" s="219">
        <f t="shared" ref="U657" si="1161">IF(U651=0,0,(U656/U651))</f>
        <v>0</v>
      </c>
      <c r="V657" s="252">
        <f t="shared" ref="V657" si="1162">IF(V651=0,0,(V656/V651))</f>
        <v>9.8979774476463223E-2</v>
      </c>
      <c r="W657" s="253"/>
      <c r="X657" s="219">
        <f>IF(X651=0,0,(X656/X651))</f>
        <v>6.8255687973997836E-2</v>
      </c>
      <c r="Y657" s="220"/>
      <c r="Z657" s="219">
        <f t="shared" ref="Z657" si="1163">IF(Z651=0,0,(Z656/Z651))</f>
        <v>0</v>
      </c>
      <c r="AA657" s="252">
        <f t="shared" ref="AA657" si="1164">IF(AA651=0,0,(AA656/AA651))</f>
        <v>6.8255687973997836E-2</v>
      </c>
      <c r="AB657" s="267"/>
      <c r="AC657" s="210"/>
      <c r="AD657" s="210"/>
      <c r="AE657" s="210"/>
      <c r="AF657" s="210"/>
      <c r="AG657" s="210"/>
      <c r="AH657" s="210"/>
      <c r="AI657" s="210"/>
      <c r="AJ657" s="210"/>
      <c r="AK657" s="210"/>
      <c r="AL657" s="210"/>
      <c r="AM657" s="210"/>
      <c r="AN657" s="210"/>
      <c r="AO657" s="210"/>
      <c r="AP657" s="210"/>
    </row>
    <row r="658" spans="1:42" s="5" customFormat="1">
      <c r="A658" s="1"/>
      <c r="B658" s="1"/>
      <c r="C658" s="1"/>
      <c r="D658" s="227"/>
      <c r="E658" s="227" t="s">
        <v>306</v>
      </c>
      <c r="F658" s="227" t="str">
        <f t="shared" si="1048"/>
        <v>ВалентаСпорт</v>
      </c>
      <c r="G658" s="227" t="s">
        <v>219</v>
      </c>
      <c r="H658" s="347"/>
      <c r="I658" s="348">
        <f>I652-I654</f>
        <v>32.264583207659598</v>
      </c>
      <c r="J658" s="321"/>
      <c r="K658" s="348">
        <f t="shared" ref="K658:L658" si="1165">K652-K654</f>
        <v>271.07466019075218</v>
      </c>
      <c r="L658" s="349">
        <f t="shared" si="1165"/>
        <v>8.3799313706040266</v>
      </c>
      <c r="M658" s="281"/>
      <c r="N658" s="228">
        <f>N652-N654</f>
        <v>271.07466019075218</v>
      </c>
      <c r="O658" s="173"/>
      <c r="P658" s="228">
        <f t="shared" ref="P658:Q658" si="1166">P652-P654</f>
        <v>271.07466019075218</v>
      </c>
      <c r="Q658" s="254">
        <f t="shared" si="1166"/>
        <v>0</v>
      </c>
      <c r="R658" s="255"/>
      <c r="S658" s="228">
        <f>S652-S654</f>
        <v>11.557230357459048</v>
      </c>
      <c r="T658" s="173"/>
      <c r="U658" s="228">
        <f t="shared" ref="U658:V658" si="1167">U652-U654</f>
        <v>0</v>
      </c>
      <c r="V658" s="254">
        <f t="shared" si="1167"/>
        <v>11.557230357459048</v>
      </c>
      <c r="W658" s="255"/>
      <c r="X658" s="228">
        <f>X652-X654</f>
        <v>6.5734513621209771</v>
      </c>
      <c r="Y658" s="173"/>
      <c r="Z658" s="228">
        <f t="shared" ref="Z658:AA658" si="1168">Z652-Z654</f>
        <v>0</v>
      </c>
      <c r="AA658" s="254">
        <f t="shared" si="1168"/>
        <v>6.5734513621209771</v>
      </c>
      <c r="AB658" s="266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s="5" customFormat="1">
      <c r="A659" s="1"/>
      <c r="B659" s="1"/>
      <c r="C659" s="1"/>
      <c r="D659" s="227"/>
      <c r="E659" s="227" t="s">
        <v>382</v>
      </c>
      <c r="F659" s="227" t="str">
        <f t="shared" si="1048"/>
        <v>ВалентаСпорт</v>
      </c>
      <c r="G659" s="227" t="s">
        <v>219</v>
      </c>
      <c r="H659" s="347"/>
      <c r="I659" s="348">
        <f>I655-I654</f>
        <v>69.849255885041202</v>
      </c>
      <c r="J659" s="321"/>
      <c r="K659" s="348">
        <f t="shared" ref="K659:L659" si="1169">K655-K654</f>
        <v>344.48542506327067</v>
      </c>
      <c r="L659" s="349">
        <f t="shared" si="1169"/>
        <v>42.323720056367165</v>
      </c>
      <c r="M659" s="281"/>
      <c r="N659" s="228">
        <f>N655-N654</f>
        <v>283.48542506327067</v>
      </c>
      <c r="O659" s="173"/>
      <c r="P659" s="228">
        <f t="shared" ref="P659:Q659" si="1170">P655-P654</f>
        <v>283.48542506327067</v>
      </c>
      <c r="Q659" s="254">
        <f t="shared" si="1170"/>
        <v>42308</v>
      </c>
      <c r="R659" s="255"/>
      <c r="S659" s="228">
        <f>S655-S654</f>
        <v>26.224314660306845</v>
      </c>
      <c r="T659" s="173"/>
      <c r="U659" s="228">
        <f t="shared" ref="U659:V659" si="1171">U655-U654</f>
        <v>42338</v>
      </c>
      <c r="V659" s="254">
        <f t="shared" si="1171"/>
        <v>26.224314660306845</v>
      </c>
      <c r="W659" s="255"/>
      <c r="X659" s="228">
        <f>X655-X654</f>
        <v>32.632558139535831</v>
      </c>
      <c r="Y659" s="173"/>
      <c r="Z659" s="228">
        <f t="shared" ref="Z659:AA659" si="1172">Z655-Z654</f>
        <v>42369</v>
      </c>
      <c r="AA659" s="254">
        <f t="shared" si="1172"/>
        <v>32.632558139535831</v>
      </c>
      <c r="AB659" s="266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s="5" customFormat="1">
      <c r="A660" s="1"/>
      <c r="B660" s="1"/>
      <c r="C660" s="1"/>
      <c r="D660" s="225"/>
      <c r="E660" s="225" t="s">
        <v>383</v>
      </c>
      <c r="F660" s="225" t="str">
        <f t="shared" si="1048"/>
        <v>ВалентаСпорт</v>
      </c>
      <c r="G660" s="225" t="s">
        <v>219</v>
      </c>
      <c r="H660" s="350"/>
      <c r="I660" s="351">
        <f>I658-I659</f>
        <v>-37.584672677381604</v>
      </c>
      <c r="J660" s="352"/>
      <c r="K660" s="351">
        <f t="shared" ref="K660" si="1173">K658-K659</f>
        <v>-73.410764872518484</v>
      </c>
      <c r="L660" s="353">
        <f t="shared" ref="L660" si="1174">L658-L659</f>
        <v>-33.943788685763138</v>
      </c>
      <c r="M660" s="282"/>
      <c r="N660" s="226">
        <f>N658-N659</f>
        <v>-12.410764872518484</v>
      </c>
      <c r="O660" s="181"/>
      <c r="P660" s="226">
        <f t="shared" ref="P660" si="1175">P658-P659</f>
        <v>-12.410764872518484</v>
      </c>
      <c r="Q660" s="256">
        <f t="shared" ref="Q660" si="1176">Q658-Q659</f>
        <v>-42308</v>
      </c>
      <c r="R660" s="257"/>
      <c r="S660" s="226">
        <f>S658-S659</f>
        <v>-14.667084302847798</v>
      </c>
      <c r="T660" s="181"/>
      <c r="U660" s="226">
        <f t="shared" ref="U660" si="1177">U658-U659</f>
        <v>-42338</v>
      </c>
      <c r="V660" s="256">
        <f t="shared" ref="V660" si="1178">V658-V659</f>
        <v>-14.667084302847798</v>
      </c>
      <c r="W660" s="257"/>
      <c r="X660" s="226">
        <f>X658-X659</f>
        <v>-26.059106777414854</v>
      </c>
      <c r="Y660" s="181"/>
      <c r="Z660" s="226">
        <f t="shared" ref="Z660" si="1179">Z658-Z659</f>
        <v>-42369</v>
      </c>
      <c r="AA660" s="256">
        <f t="shared" ref="AA660" si="1180">AA658-AA659</f>
        <v>-26.059106777414854</v>
      </c>
      <c r="AB660" s="266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s="5" customFormat="1">
      <c r="A661" s="1"/>
      <c r="B661" s="1"/>
      <c r="C661" s="1"/>
      <c r="D661" s="168" t="s">
        <v>312</v>
      </c>
      <c r="E661" s="168"/>
      <c r="F661" s="168" t="str">
        <f t="shared" si="1048"/>
        <v>ВалентаСпорт</v>
      </c>
      <c r="G661" s="168" t="s">
        <v>261</v>
      </c>
      <c r="H661" s="326"/>
      <c r="I661" s="327">
        <f>SUMIFS(операции!$AC:$AC,операции!$AB:$AB,"&gt;="&amp;I$8,операции!$AB:$AB,"&lt;="&amp;I$9,операции!$O:$O,$F608)</f>
        <v>54120.84</v>
      </c>
      <c r="J661" s="313">
        <f>I661-K661-L661</f>
        <v>0</v>
      </c>
      <c r="K661" s="327">
        <f>SUMIFS(операции!$AC:$AC,операции!$AB:$AB,"&gt;="&amp;I$8,операции!$AB:$AB,"&lt;="&amp;I$9,операции!$L:$L,K$9,операции!$O:$O,$F608)</f>
        <v>3574.8399999999992</v>
      </c>
      <c r="L661" s="328">
        <f>SUMIFS(операции!$AC:$AC,операции!$AB:$AB,"&gt;="&amp;I$8,операции!$AB:$AB,"&lt;="&amp;I$9,операции!$L:$L,L$9,операции!$O:$O,$F608)</f>
        <v>50545.999999999993</v>
      </c>
      <c r="M661" s="277"/>
      <c r="N661" s="169">
        <f>SUMIFS(операции!$AC:$AC,операции!$AB:$AB,"&gt;="&amp;N$8,операции!$AB:$AB,"&lt;="&amp;N$9,операции!$O:$O,$F608)</f>
        <v>1262.1999999999998</v>
      </c>
      <c r="O661" s="170">
        <f>N661-P661-Q661</f>
        <v>0</v>
      </c>
      <c r="P661" s="169">
        <f>SUMIFS(операции!$AC:$AC,операции!$AB:$AB,"&gt;="&amp;N$8,операции!$AB:$AB,"&lt;="&amp;N$9,операции!$L:$L,P$9,операции!$O:$O,$F608)</f>
        <v>1262.1999999999998</v>
      </c>
      <c r="Q661" s="243">
        <f>SUMIFS(операции!$AC:$AC,операции!$AB:$AB,"&gt;="&amp;N$8,операции!$AB:$AB,"&lt;="&amp;N$9,операции!$L:$L,Q$9,операции!$O:$O,$F608)</f>
        <v>0</v>
      </c>
      <c r="R661" s="244"/>
      <c r="S661" s="169">
        <f>SUMIFS(операции!$AC:$AC,операции!$AB:$AB,"&gt;="&amp;S$8,операции!$AB:$AB,"&lt;="&amp;S$9,операции!$O:$O,$F608)</f>
        <v>30473.24</v>
      </c>
      <c r="T661" s="170">
        <f>S661-U661-V661</f>
        <v>0</v>
      </c>
      <c r="U661" s="169">
        <f>SUMIFS(операции!$AC:$AC,операции!$AB:$AB,"&gt;="&amp;S$8,операции!$AB:$AB,"&lt;="&amp;S$9,операции!$L:$L,U$9,операции!$O:$O,$F608)</f>
        <v>2312.64</v>
      </c>
      <c r="V661" s="243">
        <f>SUMIFS(операции!$AC:$AC,операции!$AB:$AB,"&gt;="&amp;S$8,операции!$AB:$AB,"&lt;="&amp;S$9,операции!$L:$L,V$9,операции!$O:$O,$F608)</f>
        <v>28160.600000000002</v>
      </c>
      <c r="W661" s="244"/>
      <c r="X661" s="169">
        <f>SUMIFS(операции!$AC:$AC,операции!$AB:$AB,"&gt;="&amp;X$8,операции!$AB:$AB,"&lt;="&amp;X$9,операции!$O:$O,$F608)</f>
        <v>22385.4</v>
      </c>
      <c r="Y661" s="170">
        <f>X661-Z661-AA661</f>
        <v>0</v>
      </c>
      <c r="Z661" s="169">
        <f>SUMIFS(операции!$AC:$AC,операции!$AB:$AB,"&gt;="&amp;X$8,операции!$AB:$AB,"&lt;="&amp;X$9,операции!$L:$L,Z$9,операции!$O:$O,$F608)</f>
        <v>0</v>
      </c>
      <c r="AA661" s="243">
        <f>SUMIFS(операции!$AC:$AC,операции!$AB:$AB,"&gt;="&amp;X$8,операции!$AB:$AB,"&lt;="&amp;X$9,операции!$L:$L,AA$9,операции!$O:$O,$F608)</f>
        <v>22385.4</v>
      </c>
      <c r="AB661" s="266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s="192" customFormat="1" ht="11.25">
      <c r="A662" s="37"/>
      <c r="B662" s="37"/>
      <c r="C662" s="37"/>
      <c r="D662" s="207" t="s">
        <v>255</v>
      </c>
      <c r="E662" s="207"/>
      <c r="F662" s="207" t="str">
        <f t="shared" si="1048"/>
        <v>ВалентаСпорт</v>
      </c>
      <c r="G662" s="207" t="s">
        <v>262</v>
      </c>
      <c r="H662" s="331"/>
      <c r="I662" s="337">
        <f>IF(I661=0,0,SUMIFS(операции!$AH:$AH,операции!$AB:$AB,"&gt;="&amp;I$8,операции!$AB:$AB,"&lt;="&amp;I$9,операции!$O:$O,$F608)/I661)</f>
        <v>42334.871608792477</v>
      </c>
      <c r="J662" s="333"/>
      <c r="K662" s="337">
        <f>IF(K661=0,0,SUMIFS(операции!$AH:$AH,операции!$AB:$AB,"&gt;="&amp;I$8,операции!$AB:$AB,"&lt;="&amp;I$9,операции!$L:$L,K$9,операции!$O:$O,$F608)/K661)</f>
        <v>42315.638260733351</v>
      </c>
      <c r="L662" s="338">
        <f>IF(L661=0,0,SUMIFS(операции!$AH:$AH,операции!$AB:$AB,"&gt;="&amp;I$8,операции!$AB:$AB,"&lt;="&amp;I$9,операции!$L:$L,L$9,операции!$O:$O,$F608)/L661)</f>
        <v>42336.231877497739</v>
      </c>
      <c r="M662" s="278"/>
      <c r="N662" s="217">
        <f>IF(N661=0,0,SUMIFS(операции!$AH:$AH,операции!$AB:$AB,"&gt;="&amp;N$8,операции!$AB:$AB,"&lt;="&amp;N$9,операции!$O:$O,$F608)/N661)</f>
        <v>42303.9820947552</v>
      </c>
      <c r="O662" s="208"/>
      <c r="P662" s="217">
        <f>IF(P661=0,0,SUMIFS(операции!$AH:$AH,операции!$AB:$AB,"&gt;="&amp;N$8,операции!$AB:$AB,"&lt;="&amp;N$9,операции!$L:$L,P$9,операции!$O:$O,$F608)/P661)</f>
        <v>42303.9820947552</v>
      </c>
      <c r="Q662" s="249">
        <f>IF(Q661=0,0,SUMIFS(операции!$AH:$AH,операции!$AB:$AB,"&gt;="&amp;N$8,операции!$AB:$AB,"&lt;="&amp;N$9,операции!$L:$L,Q$9,операции!$O:$O,$F608)/Q661)</f>
        <v>0</v>
      </c>
      <c r="R662" s="247"/>
      <c r="S662" s="217">
        <f>IF(S661=0,0,SUMIFS(операции!$AH:$AH,операции!$AB:$AB,"&gt;="&amp;S$8,операции!$AB:$AB,"&lt;="&amp;S$9,операции!$O:$O,$F608)/S661)</f>
        <v>42321.104086076833</v>
      </c>
      <c r="T662" s="208"/>
      <c r="U662" s="217">
        <f>IF(U661=0,0,SUMIFS(операции!$AH:$AH,операции!$AB:$AB,"&gt;="&amp;S$8,операции!$AB:$AB,"&lt;="&amp;S$9,операции!$L:$L,U$9,операции!$O:$O,$F608)/U661)</f>
        <v>42321.999999999993</v>
      </c>
      <c r="V662" s="249">
        <f>IF(V661=0,0,SUMIFS(операции!$AH:$AH,операции!$AB:$AB,"&gt;="&amp;S$8,операции!$AB:$AB,"&lt;="&amp;S$9,операции!$L:$L,V$9,операции!$O:$O,$F608)/V661)</f>
        <v>42321.03051071355</v>
      </c>
      <c r="W662" s="247"/>
      <c r="X662" s="217">
        <f>IF(X661=0,0,SUMIFS(операции!$AH:$AH,операции!$AB:$AB,"&gt;="&amp;X$8,операции!$AB:$AB,"&lt;="&amp;X$9,операции!$O:$O,$F608)/X661)</f>
        <v>42355.355038551905</v>
      </c>
      <c r="Y662" s="208"/>
      <c r="Z662" s="217">
        <f>IF(Z661=0,0,SUMIFS(операции!$AH:$AH,операции!$AB:$AB,"&gt;="&amp;X$8,операции!$AB:$AB,"&lt;="&amp;X$9,операции!$L:$L,Z$9,операции!$O:$O,$F608)/Z661)</f>
        <v>0</v>
      </c>
      <c r="AA662" s="249">
        <f>IF(AA661=0,0,SUMIFS(операции!$AH:$AH,операции!$AB:$AB,"&gt;="&amp;X$8,операции!$AB:$AB,"&lt;="&amp;X$9,операции!$L:$L,AA$9,операции!$O:$O,$F608)/AA661)</f>
        <v>42355.355038551905</v>
      </c>
      <c r="AB662" s="265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</row>
    <row r="663" spans="1:42" s="111" customFormat="1" ht="11.25">
      <c r="A663" s="108"/>
      <c r="B663" s="108"/>
      <c r="C663" s="209" t="s">
        <v>279</v>
      </c>
      <c r="D663" s="109"/>
      <c r="E663" s="109"/>
      <c r="F663" s="109" t="str">
        <f t="shared" si="1048"/>
        <v>ВалентаСпорт</v>
      </c>
      <c r="G663" s="109"/>
      <c r="H663" s="307"/>
      <c r="I663" s="308">
        <f>I664-K664-L664+K663+L663</f>
        <v>0</v>
      </c>
      <c r="J663" s="309">
        <f>I608+I626-I633-I664</f>
        <v>-1.4551915228366852E-11</v>
      </c>
      <c r="K663" s="308">
        <f>K608+K626-K633-K664</f>
        <v>0</v>
      </c>
      <c r="L663" s="336">
        <f>L608+L626-L633-L664</f>
        <v>0</v>
      </c>
      <c r="M663" s="272"/>
      <c r="N663" s="110">
        <f>N664-P664-Q664</f>
        <v>0</v>
      </c>
      <c r="O663" s="215">
        <f>N608+N626-N633-N664</f>
        <v>0</v>
      </c>
      <c r="P663" s="110">
        <f>P608+P626-P633-P664</f>
        <v>0</v>
      </c>
      <c r="Q663" s="248">
        <f>Q608+Q626-Q633-Q664</f>
        <v>0</v>
      </c>
      <c r="R663" s="234"/>
      <c r="S663" s="110">
        <f>S664-U664-V664</f>
        <v>0</v>
      </c>
      <c r="T663" s="215">
        <f>S608+S626-S633-S664</f>
        <v>0</v>
      </c>
      <c r="U663" s="110">
        <f>U608+U626-U633-U664</f>
        <v>0</v>
      </c>
      <c r="V663" s="248">
        <f>V608+V626-V633-V664</f>
        <v>0</v>
      </c>
      <c r="W663" s="234"/>
      <c r="X663" s="110">
        <f>X664-Z664-AA664</f>
        <v>0</v>
      </c>
      <c r="Y663" s="215">
        <f>X608+X626-X633-X664</f>
        <v>0</v>
      </c>
      <c r="Z663" s="110">
        <f>Z608+Z626-Z633-Z664</f>
        <v>0</v>
      </c>
      <c r="AA663" s="248">
        <f>AA608+AA626-AA633-AA664</f>
        <v>0</v>
      </c>
      <c r="AB663" s="263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</row>
    <row r="664" spans="1:42" s="93" customFormat="1" ht="15">
      <c r="A664" s="92"/>
      <c r="B664" s="92"/>
      <c r="C664" s="214"/>
      <c r="D664" s="151" t="s">
        <v>238</v>
      </c>
      <c r="E664" s="151"/>
      <c r="F664" s="151" t="str">
        <f t="shared" si="1048"/>
        <v>ВалентаСпорт</v>
      </c>
      <c r="G664" s="151" t="s">
        <v>261</v>
      </c>
      <c r="H664" s="311"/>
      <c r="I664" s="312">
        <f>SUMIFS(операции!$V:$V,операции!$T:$T,"&lt;="&amp;I$9,операции!$X:$X,"",операции!$O:$O,$F608)+SUMIFS(операции!$V:$V,операции!$T:$T,"&lt;="&amp;I$9,операции!$X:$X,"&gt;"&amp;I$9,операции!$O:$O,$F608)</f>
        <v>15876.64</v>
      </c>
      <c r="J664" s="313">
        <f>I664-I669-I675</f>
        <v>0</v>
      </c>
      <c r="K664" s="312">
        <f>SUMIFS(операции!$V:$V,операции!$T:$T,"&lt;="&amp;I$9,операции!$X:$X,"",операции!$L:$L,K$9,операции!$O:$O,$F608)+SUMIFS(операции!$V:$V,операции!$T:$T,"&lt;="&amp;I$9,операции!$X:$X,"&gt;"&amp;I$9,операции!$L:$L,K$9,операции!$O:$O,$F608)</f>
        <v>4874.6400000000003</v>
      </c>
      <c r="L664" s="314">
        <f>SUMIFS(операции!$V:$V,операции!$T:$T,"&lt;="&amp;I$9,операции!$X:$X,"",операции!$L:$L,L$9,операции!$O:$O,$F608)+SUMIFS(операции!$V:$V,операции!$T:$T,"&lt;="&amp;I$9,операции!$X:$X,"&gt;"&amp;I$9,операции!$L:$L,L$9,операции!$O:$O,$F608)</f>
        <v>11002</v>
      </c>
      <c r="M664" s="273"/>
      <c r="N664" s="152">
        <f>SUMIFS(операции!$V:$V,операции!$T:$T,"&lt;="&amp;N$9,операции!$X:$X,"",операции!$O:$O,$F608)+SUMIFS(операции!$V:$V,операции!$T:$T,"&lt;="&amp;N$9,операции!$X:$X,"&gt;"&amp;N$9,операции!$O:$O,$F608)</f>
        <v>18498.079999999998</v>
      </c>
      <c r="O664" s="170">
        <f>N664-N669-N675</f>
        <v>0</v>
      </c>
      <c r="P664" s="152">
        <f>SUMIFS(операции!$V:$V,операции!$T:$T,"&lt;="&amp;N$9,операции!$X:$X,"",операции!$L:$L,P$9,операции!$O:$O,$F608)+SUMIFS(операции!$V:$V,операции!$T:$T,"&lt;="&amp;N$9,операции!$X:$X,"&gt;"&amp;N$9,операции!$L:$L,P$9,операции!$O:$O,$F608)</f>
        <v>8242.2400000000016</v>
      </c>
      <c r="Q664" s="235">
        <f>SUMIFS(операции!$V:$V,операции!$T:$T,"&lt;="&amp;N$9,операции!$X:$X,"",операции!$L:$L,Q$9,операции!$O:$O,$F608)+SUMIFS(операции!$V:$V,операции!$T:$T,"&lt;="&amp;N$9,операции!$X:$X,"&gt;"&amp;N$9,операции!$L:$L,Q$9,операции!$O:$O,$F608)</f>
        <v>10255.84</v>
      </c>
      <c r="R664" s="236"/>
      <c r="S664" s="152">
        <f>SUMIFS(операции!$V:$V,операции!$T:$T,"&lt;="&amp;S$9,операции!$X:$X,"",операции!$O:$O,$F608)+SUMIFS(операции!$V:$V,операции!$T:$T,"&lt;="&amp;S$9,операции!$X:$X,"&gt;"&amp;S$9,операции!$O:$O,$F608)</f>
        <v>20732.64</v>
      </c>
      <c r="T664" s="170">
        <f>S664-S669-S675</f>
        <v>0</v>
      </c>
      <c r="U664" s="152">
        <f>SUMIFS(операции!$V:$V,операции!$T:$T,"&lt;="&amp;S$9,операции!$X:$X,"",операции!$L:$L,U$9,операции!$O:$O,$F608)+SUMIFS(операции!$V:$V,операции!$T:$T,"&lt;="&amp;S$9,операции!$X:$X,"&gt;"&amp;S$9,операции!$L:$L,U$9,операции!$O:$O,$F608)</f>
        <v>4874.6400000000003</v>
      </c>
      <c r="V664" s="235">
        <f>SUMIFS(операции!$V:$V,операции!$T:$T,"&lt;="&amp;S$9,операции!$X:$X,"",операции!$L:$L,V$9,операции!$O:$O,$F608)+SUMIFS(операции!$V:$V,операции!$T:$T,"&lt;="&amp;S$9,операции!$X:$X,"&gt;"&amp;S$9,операции!$L:$L,V$9,операции!$O:$O,$F608)</f>
        <v>15858</v>
      </c>
      <c r="W664" s="236"/>
      <c r="X664" s="152">
        <f>SUMIFS(операции!$V:$V,операции!$T:$T,"&lt;="&amp;X$9,операции!$X:$X,"",операции!$O:$O,$F608)+SUMIFS(операции!$V:$V,операции!$T:$T,"&lt;="&amp;X$9,операции!$X:$X,"&gt;"&amp;X$9,операции!$O:$O,$F608)</f>
        <v>15876.64</v>
      </c>
      <c r="Y664" s="170">
        <f>X664-X669-X675</f>
        <v>0</v>
      </c>
      <c r="Z664" s="152">
        <f>SUMIFS(операции!$V:$V,операции!$T:$T,"&lt;="&amp;X$9,операции!$X:$X,"",операции!$L:$L,Z$9,операции!$O:$O,$F608)+SUMIFS(операции!$V:$V,операции!$T:$T,"&lt;="&amp;X$9,операции!$X:$X,"&gt;"&amp;X$9,операции!$L:$L,Z$9,операции!$O:$O,$F608)</f>
        <v>4874.6400000000003</v>
      </c>
      <c r="AA664" s="235">
        <f>SUMIFS(операции!$V:$V,операции!$T:$T,"&lt;="&amp;X$9,операции!$X:$X,"",операции!$L:$L,AA$9,операции!$O:$O,$F608)+SUMIFS(операции!$V:$V,операции!$T:$T,"&lt;="&amp;X$9,операции!$X:$X,"&gt;"&amp;X$9,операции!$L:$L,AA$9,операции!$O:$O,$F608)</f>
        <v>11002</v>
      </c>
      <c r="AB664" s="264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</row>
    <row r="665" spans="1:42" s="192" customFormat="1" ht="11.25">
      <c r="A665" s="37"/>
      <c r="B665" s="37"/>
      <c r="C665" s="37"/>
      <c r="D665" s="191" t="s">
        <v>255</v>
      </c>
      <c r="E665" s="191"/>
      <c r="F665" s="191" t="str">
        <f t="shared" si="1048"/>
        <v>ВалентаСпорт</v>
      </c>
      <c r="G665" s="191" t="s">
        <v>262</v>
      </c>
      <c r="H665" s="315"/>
      <c r="I665" s="316">
        <f>IF(I664=0,0,(SUMIFS(операции!$AF:$AF,операции!$T:$T,"&lt;="&amp;I$9,операции!$X:$X,"",операции!$O:$O,$F608)+SUMIFS(операции!$AF:$AF,операции!$T:$T,"&lt;="&amp;I$9,операции!$X:$X,"&gt;"&amp;I$9,операции!$O:$O,$F608))/I664)</f>
        <v>42299.17785375243</v>
      </c>
      <c r="J665" s="317"/>
      <c r="K665" s="316">
        <f>IF(K664=0,0,(SUMIFS(операции!$AF:$AF,операции!$T:$T,"&lt;="&amp;I$9,операции!$X:$X,"",операции!$L:$L,K$9,операции!$O:$O,$F608)+SUMIFS(операции!$AF:$AF,операции!$T:$T,"&lt;="&amp;I$9,операции!$X:$X,"&gt;"&amp;I$9,операции!$L:$L,K$9,операции!$O:$O,$F608))/K664)</f>
        <v>42170.886276730176</v>
      </c>
      <c r="L665" s="318">
        <f>IF(L664=0,0,(SUMIFS(операции!$AF:$AF,операции!$T:$T,"&lt;="&amp;I$9,операции!$X:$X,"",операции!$L:$L,L$9,операции!$O:$O,$F608)+SUMIFS(операции!$AF:$AF,операции!$T:$T,"&lt;="&amp;I$9,операции!$X:$X,"&gt;"&amp;I$9,операции!$L:$L,L$9,операции!$O:$O,$F608))/L664)</f>
        <v>42356.019814579166</v>
      </c>
      <c r="M665" s="274"/>
      <c r="N665" s="193">
        <f>IF(N664=0,0,(SUMIFS(операции!$AF:$AF,операции!$T:$T,"&lt;="&amp;N$9,операции!$X:$X,"",операции!$O:$O,$F608)+SUMIFS(операции!$AF:$AF,операции!$T:$T,"&lt;="&amp;N$9,операции!$X:$X,"&gt;"&amp;N$9,операции!$O:$O,$F608))/N664)</f>
        <v>42255.810546824323</v>
      </c>
      <c r="O665" s="196"/>
      <c r="P665" s="193">
        <f>IF(P664=0,0,(SUMIFS(операции!$AF:$AF,операции!$T:$T,"&lt;="&amp;N$9,операции!$X:$X,"",операции!$L:$L,P$9,операции!$O:$O,$F608)+SUMIFS(операции!$AF:$AF,операции!$T:$T,"&lt;="&amp;N$9,операции!$X:$X,"&gt;"&amp;N$9,операции!$L:$L,P$9,операции!$O:$O,$F608))/P664)</f>
        <v>42192.351268587161</v>
      </c>
      <c r="Q665" s="237">
        <f>IF(Q664=0,0,(SUMIFS(операции!$AF:$AF,операции!$T:$T,"&lt;="&amp;N$9,операции!$X:$X,"",операции!$L:$L,Q$9,операции!$O:$O,$F608)+SUMIFS(операции!$AF:$AF,операции!$T:$T,"&lt;="&amp;N$9,операции!$X:$X,"&gt;"&amp;N$9,операции!$L:$L,Q$9,операции!$O:$O,$F608))/Q664)</f>
        <v>42306.810426059688</v>
      </c>
      <c r="R665" s="238"/>
      <c r="S665" s="193">
        <f>IF(S664=0,0,(SUMIFS(операции!$AF:$AF,операции!$T:$T,"&lt;="&amp;S$9,операции!$X:$X,"",операции!$O:$O,$F608)+SUMIFS(операции!$AF:$AF,операции!$T:$T,"&lt;="&amp;S$9,операции!$X:$X,"&gt;"&amp;S$9,операции!$O:$O,$F608))/S664)</f>
        <v>42297.677820094301</v>
      </c>
      <c r="T665" s="196"/>
      <c r="U665" s="193">
        <f>IF(U664=0,0,(SUMIFS(операции!$AF:$AF,операции!$T:$T,"&lt;="&amp;S$9,операции!$X:$X,"",операции!$L:$L,U$9,операции!$O:$O,$F608)+SUMIFS(операции!$AF:$AF,операции!$T:$T,"&lt;="&amp;S$9,операции!$X:$X,"&gt;"&amp;S$9,операции!$L:$L,U$9,операции!$O:$O,$F608))/U664)</f>
        <v>42170.886276730176</v>
      </c>
      <c r="V665" s="237">
        <f>IF(V664=0,0,(SUMIFS(операции!$AF:$AF,операции!$T:$T,"&lt;="&amp;S$9,операции!$X:$X,"",операции!$L:$L,V$9,операции!$O:$O,$F608)+SUMIFS(операции!$AF:$AF,операции!$T:$T,"&lt;="&amp;S$9,операции!$X:$X,"&gt;"&amp;S$9,операции!$L:$L,V$9,операции!$O:$O,$F608))/V664)</f>
        <v>42336.652667423383</v>
      </c>
      <c r="W665" s="238"/>
      <c r="X665" s="193">
        <f>IF(X664=0,0,(SUMIFS(операции!$AF:$AF,операции!$T:$T,"&lt;="&amp;X$9,операции!$X:$X,"",операции!$O:$O,$F608)+SUMIFS(операции!$AF:$AF,операции!$T:$T,"&lt;="&amp;X$9,операции!$X:$X,"&gt;"&amp;X$9,операции!$O:$O,$F608))/X664)</f>
        <v>42299.17785375243</v>
      </c>
      <c r="Y665" s="196"/>
      <c r="Z665" s="193">
        <f>IF(Z664=0,0,(SUMIFS(операции!$AF:$AF,операции!$T:$T,"&lt;="&amp;X$9,операции!$X:$X,"",операции!$L:$L,Z$9,операции!$O:$O,$F608)+SUMIFS(операции!$AF:$AF,операции!$T:$T,"&lt;="&amp;X$9,операции!$X:$X,"&gt;"&amp;X$9,операции!$L:$L,Z$9,операции!$O:$O,$F608))/Z664)</f>
        <v>42170.886276730176</v>
      </c>
      <c r="AA665" s="237">
        <f>IF(AA664=0,0,(SUMIFS(операции!$AF:$AF,операции!$T:$T,"&lt;="&amp;X$9,операции!$X:$X,"",операции!$L:$L,AA$9,операции!$O:$O,$F608)+SUMIFS(операции!$AF:$AF,операции!$T:$T,"&lt;="&amp;X$9,операции!$X:$X,"&gt;"&amp;X$9,операции!$L:$L,AA$9,операции!$O:$O,$F608))/AA664)</f>
        <v>42356.019814579166</v>
      </c>
      <c r="AB665" s="265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</row>
    <row r="666" spans="1:42" s="50" customFormat="1" ht="11.25">
      <c r="A666" s="48"/>
      <c r="B666" s="48"/>
      <c r="C666" s="48"/>
      <c r="D666" s="154" t="s">
        <v>239</v>
      </c>
      <c r="E666" s="154"/>
      <c r="F666" s="154" t="str">
        <f t="shared" si="1048"/>
        <v>ВалентаСпорт</v>
      </c>
      <c r="G666" s="154" t="s">
        <v>219</v>
      </c>
      <c r="H666" s="319"/>
      <c r="I666" s="320">
        <f>IF(I664=0,0,I$9-I665)</f>
        <v>69.822146247570345</v>
      </c>
      <c r="J666" s="321">
        <f>I666-SUMIFS(ПОбТЗ!$I:$I,ПОбТЗ!$E:$E,$D666,ПОбТЗ!$F:$F,$F666)</f>
        <v>0</v>
      </c>
      <c r="K666" s="320">
        <f>IF(K664=0,0,I$9-K665)</f>
        <v>198.11372326982382</v>
      </c>
      <c r="L666" s="322">
        <f>IF(L664=0,0,I$9-L665)</f>
        <v>12.980185420834459</v>
      </c>
      <c r="M666" s="275"/>
      <c r="N666" s="155">
        <f>IF(N664=0,0,N$9-N665)</f>
        <v>52.189453175677045</v>
      </c>
      <c r="O666" s="173">
        <f>N666-SUMIFS(ПОбТЗ_3!$J:$J,ПОбТЗ_3!$D:$D,$D666,ПОбТЗ_3!$E:$E,$F666)</f>
        <v>0</v>
      </c>
      <c r="P666" s="155">
        <f>IF(P664=0,0,N$9-P665)</f>
        <v>115.64873141283897</v>
      </c>
      <c r="Q666" s="239">
        <f>IF(Q664=0,0,N$9-Q665)</f>
        <v>1.189573940311675</v>
      </c>
      <c r="R666" s="240"/>
      <c r="S666" s="155">
        <f>IF(S664=0,0,S$9-S665)</f>
        <v>40.322179905699159</v>
      </c>
      <c r="T666" s="173">
        <f>S666-SUMIFS(ПОбТЗ_3!$K:$K,ПОбТЗ_3!$D:$D,$D666,ПОбТЗ_3!$E:$E,$F666)</f>
        <v>0</v>
      </c>
      <c r="U666" s="155">
        <f>IF(U664=0,0,S$9-U665)</f>
        <v>167.11372326982382</v>
      </c>
      <c r="V666" s="239">
        <f>IF(V664=0,0,S$9-V665)</f>
        <v>1.3473325766171911</v>
      </c>
      <c r="W666" s="240"/>
      <c r="X666" s="155">
        <f>IF(X664=0,0,X$9-X665)</f>
        <v>69.822146247570345</v>
      </c>
      <c r="Y666" s="173">
        <f>X666-SUMIFS(ПОбТЗ_3!$L:$L,ПОбТЗ_3!$D:$D,$D666,ПОбТЗ_3!$E:$E,$F666)</f>
        <v>0</v>
      </c>
      <c r="Z666" s="155">
        <f>IF(Z664=0,0,X$9-Z665)</f>
        <v>198.11372326982382</v>
      </c>
      <c r="AA666" s="239">
        <f>IF(AA664=0,0,X$9-AA665)</f>
        <v>12.980185420834459</v>
      </c>
      <c r="AB666" s="230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</row>
    <row r="667" spans="1:42" s="93" customFormat="1" ht="15">
      <c r="A667" s="92"/>
      <c r="B667" s="92"/>
      <c r="C667" s="92"/>
      <c r="D667" s="198" t="s">
        <v>280</v>
      </c>
      <c r="E667" s="198"/>
      <c r="F667" s="198" t="str">
        <f t="shared" si="1048"/>
        <v>ВалентаСпорт</v>
      </c>
      <c r="G667" s="198" t="s">
        <v>219</v>
      </c>
      <c r="H667" s="323"/>
      <c r="I667" s="324">
        <f>IF(I664=0,0,(I669*I673+I675*I679)/I664)</f>
        <v>24.718202340038435</v>
      </c>
      <c r="J667" s="321"/>
      <c r="K667" s="324">
        <f>IF(K664=0,0,(K669*K673+K675*K679)/K664)</f>
        <v>54.575107084823756</v>
      </c>
      <c r="L667" s="325">
        <f>IF(L664=0,0,(L669*L673+L675*L679)/L664)</f>
        <v>11.489547355026824</v>
      </c>
      <c r="M667" s="276"/>
      <c r="N667" s="199">
        <f>IF(N664=0,0,(N669*N673+N675*N679)/N664)</f>
        <v>15.728125297329015</v>
      </c>
      <c r="O667" s="173"/>
      <c r="P667" s="199">
        <f>IF(P664=0,0,(P669*P673+P675*P679)/P664)</f>
        <v>33.818481383704636</v>
      </c>
      <c r="Q667" s="241">
        <f>IF(Q664=0,0,(Q669*Q673+Q675*Q679)/Q664)</f>
        <v>1.1895739403043988</v>
      </c>
      <c r="R667" s="242"/>
      <c r="S667" s="199">
        <f>IF(S664=0,0,(S669*S673+S675*S679)/S664)</f>
        <v>12.743770209678605</v>
      </c>
      <c r="T667" s="173"/>
      <c r="U667" s="199">
        <f>IF(U664=0,0,(U669*U673+U675*U679)/U664)</f>
        <v>49.818242988193035</v>
      </c>
      <c r="V667" s="241">
        <f>IF(V664=0,0,(V669*V673+V675*V679)/V664)</f>
        <v>1.3473325766171911</v>
      </c>
      <c r="W667" s="242"/>
      <c r="X667" s="199">
        <f>IF(X664=0,0,(X669*X673+X675*X679)/X664)</f>
        <v>24.718202340038435</v>
      </c>
      <c r="Y667" s="173"/>
      <c r="Z667" s="199">
        <f>IF(Z664=0,0,(Z669*Z673+Z675*Z679)/Z664)</f>
        <v>54.575107084823756</v>
      </c>
      <c r="AA667" s="241">
        <f>IF(AA664=0,0,(AA669*AA673+AA675*AA679)/AA664)</f>
        <v>11.489547355026824</v>
      </c>
      <c r="AB667" s="264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</row>
    <row r="668" spans="1:42" s="50" customFormat="1" ht="11.25">
      <c r="A668" s="48"/>
      <c r="B668" s="48"/>
      <c r="C668" s="48"/>
      <c r="D668" s="154" t="s">
        <v>281</v>
      </c>
      <c r="E668" s="154"/>
      <c r="F668" s="154" t="str">
        <f t="shared" si="1048"/>
        <v>ВалентаСпорт</v>
      </c>
      <c r="G668" s="154" t="s">
        <v>219</v>
      </c>
      <c r="H668" s="319"/>
      <c r="I668" s="320">
        <f>I666-I667</f>
        <v>45.103943907531914</v>
      </c>
      <c r="J668" s="321"/>
      <c r="K668" s="320">
        <f>K666-K667</f>
        <v>143.53861618500008</v>
      </c>
      <c r="L668" s="322">
        <f>L666-L667</f>
        <v>1.4906380658076355</v>
      </c>
      <c r="M668" s="275"/>
      <c r="N668" s="155">
        <f>N666-N667</f>
        <v>36.46132787834803</v>
      </c>
      <c r="O668" s="173"/>
      <c r="P668" s="155">
        <f>P666-P667</f>
        <v>81.830250029134334</v>
      </c>
      <c r="Q668" s="239">
        <f>Q666-Q667</f>
        <v>7.2761796587883509E-12</v>
      </c>
      <c r="R668" s="240"/>
      <c r="S668" s="155">
        <f>S666-S667</f>
        <v>27.578409696020554</v>
      </c>
      <c r="T668" s="173"/>
      <c r="U668" s="155">
        <f>U666-U667</f>
        <v>117.29548028163079</v>
      </c>
      <c r="V668" s="239">
        <f>V666-V667</f>
        <v>0</v>
      </c>
      <c r="W668" s="240"/>
      <c r="X668" s="155">
        <f>X666-X667</f>
        <v>45.103943907531914</v>
      </c>
      <c r="Y668" s="173"/>
      <c r="Z668" s="155">
        <f>Z666-Z667</f>
        <v>143.53861618500008</v>
      </c>
      <c r="AA668" s="239">
        <f>AA666-AA667</f>
        <v>1.4906380658076355</v>
      </c>
      <c r="AB668" s="230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</row>
    <row r="669" spans="1:42" s="5" customFormat="1">
      <c r="A669" s="1"/>
      <c r="B669" s="1"/>
      <c r="C669" s="1"/>
      <c r="D669" s="168"/>
      <c r="E669" s="168" t="s">
        <v>282</v>
      </c>
      <c r="F669" s="168" t="str">
        <f t="shared" si="1048"/>
        <v>ВалентаСпорт</v>
      </c>
      <c r="G669" s="168" t="s">
        <v>261</v>
      </c>
      <c r="H669" s="326"/>
      <c r="I669" s="327">
        <f>SUMIFS(операции!$V:$V,операции!$T:$T,"&lt;="&amp;I$9,операции!$X:$X,"",операции!$AB:$AB,"&lt;&gt;"&amp;"",операции!$AB:$AB,"&lt;="&amp;I$9,операции!$O:$O,$F608)+SUMIFS(операции!$V:$V,операции!$T:$T,"&lt;="&amp;I$9,операции!$X:$X,"&gt;"&amp;I$9,операции!$AB:$AB,"&lt;&gt;"&amp;"",операции!$AB:$AB,"&lt;="&amp;I$9,операции!$O:$O,$F608)</f>
        <v>7406.64</v>
      </c>
      <c r="J669" s="313">
        <f>I669-K669-L669</f>
        <v>0</v>
      </c>
      <c r="K669" s="327">
        <f>SUMIFS(операции!$V:$V,операции!$T:$T,"&lt;="&amp;I$9,операции!$X:$X,"",операции!$AB:$AB,"&lt;&gt;"&amp;"",операции!$AB:$AB,"&lt;="&amp;I$9,операции!$L:$L,K$9,операции!$O:$O,$F608)+SUMIFS(операции!$V:$V,операции!$T:$T,"&lt;="&amp;I$9,операции!$X:$X,"&gt;"&amp;I$9,операции!$AB:$AB,"&lt;&gt;"&amp;"",операции!$AB:$AB,"&lt;="&amp;I$9,операции!$L:$L,K$9,операции!$O:$O,$F608)</f>
        <v>4126.6400000000003</v>
      </c>
      <c r="L669" s="328">
        <f>SUMIFS(операции!$V:$V,операции!$T:$T,"&lt;="&amp;I$9,операции!$X:$X,"",операции!$AB:$AB,"&lt;&gt;"&amp;"",операции!$AB:$AB,"&lt;="&amp;I$9,операции!$L:$L,L$9,операции!$O:$O,$F608)+SUMIFS(операции!$V:$V,операции!$T:$T,"&lt;="&amp;I$9,операции!$X:$X,"&gt;"&amp;I$9,операции!$AB:$AB,"&lt;&gt;"&amp;"",операции!$AB:$AB,"&lt;="&amp;I$9,операции!$L:$L,L$9,операции!$O:$O,$F608)</f>
        <v>3280</v>
      </c>
      <c r="M669" s="277"/>
      <c r="N669" s="169">
        <f>SUMIFS(операции!$V:$V,операции!$T:$T,"&lt;="&amp;N$9,операции!$X:$X,"",операции!$AB:$AB,"&lt;&gt;"&amp;"",операции!$AB:$AB,"&lt;="&amp;N$9,операции!$O:$O,$F608)+SUMIFS(операции!$V:$V,операции!$T:$T,"&lt;="&amp;N$9,операции!$X:$X,"&gt;"&amp;N$9,операции!$AB:$AB,"&lt;&gt;"&amp;"",операции!$AB:$AB,"&lt;="&amp;N$9,операции!$O:$O,$F608)</f>
        <v>5181.6000000000004</v>
      </c>
      <c r="O669" s="170">
        <f>N669-P669-Q669</f>
        <v>0</v>
      </c>
      <c r="P669" s="169">
        <f>SUMIFS(операции!$V:$V,операции!$T:$T,"&lt;="&amp;N$9,операции!$X:$X,"",операции!$AB:$AB,"&lt;&gt;"&amp;"",операции!$AB:$AB,"&lt;="&amp;N$9,операции!$L:$L,P$9,операции!$O:$O,$F608)+SUMIFS(операции!$V:$V,операции!$T:$T,"&lt;="&amp;N$9,операции!$X:$X,"&gt;"&amp;N$9,операции!$AB:$AB,"&lt;&gt;"&amp;"",операции!$AB:$AB,"&lt;="&amp;N$9,операции!$L:$L,P$9,операции!$O:$O,$F608)</f>
        <v>5181.6000000000004</v>
      </c>
      <c r="Q669" s="243">
        <f>SUMIFS(операции!$V:$V,операции!$T:$T,"&lt;="&amp;N$9,операции!$X:$X,"",операции!$AB:$AB,"&lt;&gt;"&amp;"",операции!$AB:$AB,"&lt;="&amp;N$9,операции!$L:$L,Q$9,операции!$O:$O,$F608)+SUMIFS(операции!$V:$V,операции!$T:$T,"&lt;="&amp;N$9,операции!$X:$X,"&gt;"&amp;N$9,операции!$AB:$AB,"&lt;&gt;"&amp;"",операции!$AB:$AB,"&lt;="&amp;N$9,операции!$L:$L,Q$9,операции!$O:$O,$F608)</f>
        <v>0</v>
      </c>
      <c r="R669" s="244"/>
      <c r="S669" s="169">
        <f>SUMIFS(операции!$V:$V,операции!$T:$T,"&lt;="&amp;S$9,операции!$X:$X,"",операции!$AB:$AB,"&lt;&gt;"&amp;"",операции!$AB:$AB,"&lt;="&amp;S$9,операции!$O:$O,$F608)+SUMIFS(операции!$V:$V,операции!$T:$T,"&lt;="&amp;S$9,операции!$X:$X,"&gt;"&amp;S$9,операции!$AB:$AB,"&lt;&gt;"&amp;"",операции!$AB:$AB,"&lt;="&amp;S$9,операции!$O:$O,$F608)</f>
        <v>4126.6400000000003</v>
      </c>
      <c r="T669" s="170">
        <f>S669-U669-V669</f>
        <v>0</v>
      </c>
      <c r="U669" s="169">
        <f>SUMIFS(операции!$V:$V,операции!$T:$T,"&lt;="&amp;S$9,операции!$X:$X,"",операции!$AB:$AB,"&lt;&gt;"&amp;"",операции!$AB:$AB,"&lt;="&amp;S$9,операции!$L:$L,U$9,операции!$O:$O,$F608)+SUMIFS(операции!$V:$V,операции!$T:$T,"&lt;="&amp;S$9,операции!$X:$X,"&gt;"&amp;S$9,операции!$AB:$AB,"&lt;&gt;"&amp;"",операции!$AB:$AB,"&lt;="&amp;S$9,операции!$L:$L,U$9,операции!$O:$O,$F608)</f>
        <v>4126.6400000000003</v>
      </c>
      <c r="V669" s="243">
        <f>SUMIFS(операции!$V:$V,операции!$T:$T,"&lt;="&amp;S$9,операции!$X:$X,"",операции!$AB:$AB,"&lt;&gt;"&amp;"",операции!$AB:$AB,"&lt;="&amp;S$9,операции!$L:$L,V$9,операции!$O:$O,$F608)+SUMIFS(операции!$V:$V,операции!$T:$T,"&lt;="&amp;S$9,операции!$X:$X,"&gt;"&amp;S$9,операции!$AB:$AB,"&lt;&gt;"&amp;"",операции!$AB:$AB,"&lt;="&amp;S$9,операции!$L:$L,V$9,операции!$O:$O,$F608)</f>
        <v>0</v>
      </c>
      <c r="W669" s="244"/>
      <c r="X669" s="169">
        <f>SUMIFS(операции!$V:$V,операции!$T:$T,"&lt;="&amp;X$9,операции!$X:$X,"",операции!$AB:$AB,"&lt;&gt;"&amp;"",операции!$AB:$AB,"&lt;="&amp;X$9,операции!$O:$O,$F608)+SUMIFS(операции!$V:$V,операции!$T:$T,"&lt;="&amp;X$9,операции!$X:$X,"&gt;"&amp;X$9,операции!$AB:$AB,"&lt;&gt;"&amp;"",операции!$AB:$AB,"&lt;="&amp;X$9,операции!$O:$O,$F608)</f>
        <v>7406.64</v>
      </c>
      <c r="Y669" s="170">
        <f>X669-Z669-AA669</f>
        <v>0</v>
      </c>
      <c r="Z669" s="169">
        <f>SUMIFS(операции!$V:$V,операции!$T:$T,"&lt;="&amp;X$9,операции!$X:$X,"",операции!$AB:$AB,"&lt;&gt;"&amp;"",операции!$AB:$AB,"&lt;="&amp;X$9,операции!$L:$L,Z$9,операции!$O:$O,$F608)+SUMIFS(операции!$V:$V,операции!$T:$T,"&lt;="&amp;X$9,операции!$X:$X,"&gt;"&amp;X$9,операции!$AB:$AB,"&lt;&gt;"&amp;"",операции!$AB:$AB,"&lt;="&amp;X$9,операции!$L:$L,Z$9,операции!$O:$O,$F608)</f>
        <v>4126.6400000000003</v>
      </c>
      <c r="AA669" s="243">
        <f>SUMIFS(операции!$V:$V,операции!$T:$T,"&lt;="&amp;X$9,операции!$X:$X,"",операции!$AB:$AB,"&lt;&gt;"&amp;"",операции!$AB:$AB,"&lt;="&amp;X$9,операции!$L:$L,AA$9,операции!$O:$O,$F608)+SUMIFS(операции!$V:$V,операции!$T:$T,"&lt;="&amp;X$9,операции!$X:$X,"&gt;"&amp;X$9,операции!$AB:$AB,"&lt;&gt;"&amp;"",операции!$AB:$AB,"&lt;="&amp;X$9,операции!$L:$L,AA$9,операции!$O:$O,$F608)</f>
        <v>3280</v>
      </c>
      <c r="AB669" s="266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s="192" customFormat="1" ht="11.25">
      <c r="A670" s="37"/>
      <c r="B670" s="37"/>
      <c r="C670" s="37"/>
      <c r="D670" s="191"/>
      <c r="E670" s="191" t="s">
        <v>255</v>
      </c>
      <c r="F670" s="191" t="str">
        <f t="shared" si="1048"/>
        <v>ВалентаСпорт</v>
      </c>
      <c r="G670" s="191" t="s">
        <v>262</v>
      </c>
      <c r="H670" s="315"/>
      <c r="I670" s="316">
        <f>IF(I669=0,0,(SUMIFS(операции!$AF:$AF,операции!$T:$T,"&lt;="&amp;I$9,операции!$X:$X,"",операции!$AB:$AB,"&lt;&gt;"&amp;"",операции!$AB:$AB,"&lt;="&amp;I$9,операции!$O:$O,$F608)+SUMIFS(операции!$AF:$AF,операции!$T:$T,"&lt;="&amp;I$9,операции!$X:$X,"&gt;"&amp;I$9,операции!$AB:$AB,"&lt;&gt;"&amp;"",операции!$AB:$AB,"&lt;="&amp;I$9,операции!$O:$O,$F608))/I669)</f>
        <v>42246.636677359777</v>
      </c>
      <c r="J670" s="317"/>
      <c r="K670" s="316">
        <f>IF(K669=0,0,(SUMIFS(операции!$AF:$AF,операции!$T:$T,"&lt;="&amp;I$9,операции!$X:$X,"",операции!$AB:$AB,"&lt;&gt;"&amp;"",операции!$AB:$AB,"&lt;="&amp;I$9,операции!$L:$L,K$9,операции!$O:$O,$F608)+SUMIFS(операции!$AF:$AF,операции!$T:$T,"&lt;="&amp;I$9,операции!$X:$X,"&gt;"&amp;I$9,операции!$AB:$AB,"&lt;&gt;"&amp;"",операции!$AB:$AB,"&lt;="&amp;I$9,операции!$L:$L,K$9,операции!$O:$O,$F608))/K669)</f>
        <v>42162.89016730318</v>
      </c>
      <c r="L670" s="318">
        <f>IF(L669=0,0,(SUMIFS(операции!$AF:$AF,операции!$T:$T,"&lt;="&amp;I$9,операции!$X:$X,"",операции!$AB:$AB,"&lt;&gt;"&amp;"",операции!$AB:$AB,"&lt;="&amp;I$9,операции!$L:$L,L$9,операции!$O:$O,$F608)+SUMIFS(операции!$AF:$AF,операции!$T:$T,"&lt;="&amp;I$9,операции!$X:$X,"&gt;"&amp;I$9,операции!$AB:$AB,"&lt;&gt;"&amp;"",операции!$AB:$AB,"&lt;="&amp;I$9,операции!$L:$L,L$9,операции!$O:$O,$F608))/L669)</f>
        <v>42352</v>
      </c>
      <c r="M670" s="274"/>
      <c r="N670" s="193">
        <f>IF(N669=0,0,(SUMIFS(операции!$AF:$AF,операции!$T:$T,"&lt;="&amp;N$9,операции!$X:$X,"",операции!$AB:$AB,"&lt;&gt;"&amp;"",операции!$AB:$AB,"&lt;="&amp;N$9,операции!$O:$O,$F608)+SUMIFS(операции!$AF:$AF,операции!$T:$T,"&lt;="&amp;N$9,операции!$X:$X,"&gt;"&amp;N$9,операции!$AB:$AB,"&lt;&gt;"&amp;"",операции!$AB:$AB,"&lt;="&amp;N$9,операции!$O:$O,$F608))/N669)</f>
        <v>42153.533124903501</v>
      </c>
      <c r="O670" s="196"/>
      <c r="P670" s="193">
        <f>IF(P669=0,0,(SUMIFS(операции!$AF:$AF,операции!$T:$T,"&lt;="&amp;N$9,операции!$X:$X,"",операции!$AB:$AB,"&lt;&gt;"&amp;"",операции!$AB:$AB,"&lt;="&amp;N$9,операции!$L:$L,P$9,операции!$O:$O,$F608)+SUMIFS(операции!$AF:$AF,операции!$T:$T,"&lt;="&amp;N$9,операции!$X:$X,"&gt;"&amp;N$9,операции!$AB:$AB,"&lt;&gt;"&amp;"",операции!$AB:$AB,"&lt;="&amp;N$9,операции!$L:$L,P$9,операции!$O:$O,$F608))/P669)</f>
        <v>42153.533124903501</v>
      </c>
      <c r="Q670" s="237">
        <f>IF(Q669=0,0,(SUMIFS(операции!$AF:$AF,операции!$T:$T,"&lt;="&amp;N$9,операции!$X:$X,"",операции!$AB:$AB,"&lt;&gt;"&amp;"",операции!$AB:$AB,"&lt;="&amp;N$9,операции!$L:$L,Q$9,операции!$O:$O,$F608)+SUMIFS(операции!$AF:$AF,операции!$T:$T,"&lt;="&amp;N$9,операции!$X:$X,"&gt;"&amp;N$9,операции!$AB:$AB,"&lt;&gt;"&amp;"",операции!$AB:$AB,"&lt;="&amp;N$9,операции!$L:$L,Q$9,операции!$O:$O,$F608))/Q669)</f>
        <v>0</v>
      </c>
      <c r="R670" s="238"/>
      <c r="S670" s="193">
        <f>IF(S669=0,0,(SUMIFS(операции!$AF:$AF,операции!$T:$T,"&lt;="&amp;S$9,операции!$X:$X,"",операции!$AB:$AB,"&lt;&gt;"&amp;"",операции!$AB:$AB,"&lt;="&amp;S$9,операции!$O:$O,$F608)+SUMIFS(операции!$AF:$AF,операции!$T:$T,"&lt;="&amp;S$9,операции!$X:$X,"&gt;"&amp;S$9,операции!$AB:$AB,"&lt;&gt;"&amp;"",операции!$AB:$AB,"&lt;="&amp;S$9,операции!$O:$O,$F608))/S669)</f>
        <v>42162.89016730318</v>
      </c>
      <c r="T670" s="196"/>
      <c r="U670" s="193">
        <f>IF(U669=0,0,(SUMIFS(операции!$AF:$AF,операции!$T:$T,"&lt;="&amp;S$9,операции!$X:$X,"",операции!$AB:$AB,"&lt;&gt;"&amp;"",операции!$AB:$AB,"&lt;="&amp;S$9,операции!$L:$L,U$9,операции!$O:$O,$F608)+SUMIFS(операции!$AF:$AF,операции!$T:$T,"&lt;="&amp;S$9,операции!$X:$X,"&gt;"&amp;S$9,операции!$AB:$AB,"&lt;&gt;"&amp;"",операции!$AB:$AB,"&lt;="&amp;S$9,операции!$L:$L,U$9,операции!$O:$O,$F608))/U669)</f>
        <v>42162.89016730318</v>
      </c>
      <c r="V670" s="237">
        <f>IF(V669=0,0,(SUMIFS(операции!$AF:$AF,операции!$T:$T,"&lt;="&amp;S$9,операции!$X:$X,"",операции!$AB:$AB,"&lt;&gt;"&amp;"",операции!$AB:$AB,"&lt;="&amp;S$9,операции!$L:$L,V$9,операции!$O:$O,$F608)+SUMIFS(операции!$AF:$AF,операции!$T:$T,"&lt;="&amp;S$9,операции!$X:$X,"&gt;"&amp;S$9,операции!$AB:$AB,"&lt;&gt;"&amp;"",операции!$AB:$AB,"&lt;="&amp;S$9,операции!$L:$L,V$9,операции!$O:$O,$F608))/V669)</f>
        <v>0</v>
      </c>
      <c r="W670" s="238"/>
      <c r="X670" s="193">
        <f>IF(X669=0,0,(SUMIFS(операции!$AF:$AF,операции!$T:$T,"&lt;="&amp;X$9,операции!$X:$X,"",операции!$AB:$AB,"&lt;&gt;"&amp;"",операции!$AB:$AB,"&lt;="&amp;X$9,операции!$O:$O,$F608)+SUMIFS(операции!$AF:$AF,операции!$T:$T,"&lt;="&amp;X$9,операции!$X:$X,"&gt;"&amp;X$9,операции!$AB:$AB,"&lt;&gt;"&amp;"",операции!$AB:$AB,"&lt;="&amp;X$9,операции!$O:$O,$F608))/X669)</f>
        <v>42246.636677359777</v>
      </c>
      <c r="Y670" s="196"/>
      <c r="Z670" s="193">
        <f>IF(Z669=0,0,(SUMIFS(операции!$AF:$AF,операции!$T:$T,"&lt;="&amp;X$9,операции!$X:$X,"",операции!$AB:$AB,"&lt;&gt;"&amp;"",операции!$AB:$AB,"&lt;="&amp;X$9,операции!$L:$L,Z$9,операции!$O:$O,$F608)+SUMIFS(операции!$AF:$AF,операции!$T:$T,"&lt;="&amp;X$9,операции!$X:$X,"&gt;"&amp;X$9,операции!$AB:$AB,"&lt;&gt;"&amp;"",операции!$AB:$AB,"&lt;="&amp;X$9,операции!$L:$L,Z$9,операции!$O:$O,$F608))/Z669)</f>
        <v>42162.89016730318</v>
      </c>
      <c r="AA670" s="237">
        <f>IF(AA669=0,0,(SUMIFS(операции!$AF:$AF,операции!$T:$T,"&lt;="&amp;X$9,операции!$X:$X,"",операции!$AB:$AB,"&lt;&gt;"&amp;"",операции!$AB:$AB,"&lt;="&amp;X$9,операции!$L:$L,AA$9,операции!$O:$O,$F608)+SUMIFS(операции!$AF:$AF,операции!$T:$T,"&lt;="&amp;X$9,операции!$X:$X,"&gt;"&amp;X$9,операции!$AB:$AB,"&lt;&gt;"&amp;"",операции!$AB:$AB,"&lt;="&amp;X$9,операции!$L:$L,AA$9,операции!$O:$O,$F608))/AA669)</f>
        <v>42352</v>
      </c>
      <c r="AB670" s="265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</row>
    <row r="671" spans="1:42" s="192" customFormat="1" ht="11.25">
      <c r="A671" s="37"/>
      <c r="B671" s="37"/>
      <c r="C671" s="37"/>
      <c r="D671" s="191"/>
      <c r="E671" s="191" t="s">
        <v>283</v>
      </c>
      <c r="F671" s="191" t="str">
        <f t="shared" si="1048"/>
        <v>ВалентаСпорт</v>
      </c>
      <c r="G671" s="191" t="s">
        <v>219</v>
      </c>
      <c r="H671" s="315"/>
      <c r="I671" s="329">
        <f>IF(I669=0,0,I$9-I670)</f>
        <v>122.36332264022349</v>
      </c>
      <c r="J671" s="317"/>
      <c r="K671" s="329">
        <f>IF(K669=0,0,I$9-K670)</f>
        <v>206.10983269682038</v>
      </c>
      <c r="L671" s="330">
        <f>IF(L669=0,0,I$9-L670)</f>
        <v>17</v>
      </c>
      <c r="M671" s="274"/>
      <c r="N671" s="156">
        <f>IF(N669=0,0,N$9-N670)</f>
        <v>154.46687509649928</v>
      </c>
      <c r="O671" s="196"/>
      <c r="P671" s="156">
        <f>IF(P669=0,0,N$9-P670)</f>
        <v>154.46687509649928</v>
      </c>
      <c r="Q671" s="245">
        <f>IF(Q669=0,0,N$9-Q670)</f>
        <v>0</v>
      </c>
      <c r="R671" s="238"/>
      <c r="S671" s="156">
        <f>IF(S669=0,0,S$9-S670)</f>
        <v>175.10983269682038</v>
      </c>
      <c r="T671" s="196"/>
      <c r="U671" s="156">
        <f>IF(U669=0,0,S$9-U670)</f>
        <v>175.10983269682038</v>
      </c>
      <c r="V671" s="245">
        <f>IF(V669=0,0,S$9-V670)</f>
        <v>0</v>
      </c>
      <c r="W671" s="238"/>
      <c r="X671" s="156">
        <f>IF(X669=0,0,X$9-X670)</f>
        <v>122.36332264022349</v>
      </c>
      <c r="Y671" s="196"/>
      <c r="Z671" s="156">
        <f>IF(Z669=0,0,X$9-Z670)</f>
        <v>206.10983269682038</v>
      </c>
      <c r="AA671" s="245">
        <f>IF(AA669=0,0,X$9-AA670)</f>
        <v>17</v>
      </c>
      <c r="AB671" s="265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</row>
    <row r="672" spans="1:42" s="192" customFormat="1" ht="11.25">
      <c r="A672" s="37"/>
      <c r="B672" s="37"/>
      <c r="C672" s="37"/>
      <c r="D672" s="191"/>
      <c r="E672" s="191" t="s">
        <v>259</v>
      </c>
      <c r="F672" s="191" t="str">
        <f t="shared" si="1048"/>
        <v>ВалентаСпорт</v>
      </c>
      <c r="G672" s="191" t="s">
        <v>262</v>
      </c>
      <c r="H672" s="315"/>
      <c r="I672" s="316">
        <f>IF(I669=0,0,(SUMIFS(операции!$AH:$AH,операции!$T:$T,"&lt;="&amp;I$9,операции!$X:$X,"",операции!$AB:$AB,"&lt;&gt;"&amp;"",операции!$AB:$AB,"&lt;="&amp;I$9,операции!$O:$O,$F608)+SUMIFS(операции!$AH:$AH,операции!$T:$T,"&lt;="&amp;I$9,операции!$X:$X,"&gt;"&amp;I$9,операции!$AB:$AB,"&lt;&gt;"&amp;"",операции!$AB:$AB,"&lt;="&amp;I$9,операции!$O:$O,$F608))/I669)</f>
        <v>42272.316607800567</v>
      </c>
      <c r="J672" s="317"/>
      <c r="K672" s="316">
        <f>IF(K669=0,0,(SUMIFS(операции!$AH:$AH,операции!$T:$T,"&lt;="&amp;I$9,операции!$X:$X,"",операции!$AB:$AB,"&lt;&gt;"&amp;"",операции!$AB:$AB,"&lt;="&amp;I$9,операции!$L:$L,K$9,операции!$O:$O,$F608)+SUMIFS(операции!$AH:$AH,операции!$T:$T,"&lt;="&amp;I$9,операции!$X:$X,"&gt;"&amp;I$9,операции!$AB:$AB,"&lt;&gt;"&amp;"",операции!$AB:$AB,"&lt;="&amp;I$9,операции!$L:$L,K$9,операции!$O:$O,$F608))/K669)</f>
        <v>42199.443392202847</v>
      </c>
      <c r="L672" s="318">
        <f>IF(L669=0,0,(SUMIFS(операции!$AH:$AH,операции!$T:$T,"&lt;="&amp;I$9,операции!$X:$X,"",операции!$AB:$AB,"&lt;&gt;"&amp;"",операции!$AB:$AB,"&lt;="&amp;I$9,операции!$L:$L,L$9,операции!$O:$O,$F608)+SUMIFS(операции!$AH:$AH,операции!$T:$T,"&lt;="&amp;I$9,операции!$X:$X,"&gt;"&amp;I$9,операции!$AB:$AB,"&lt;&gt;"&amp;"",операции!$AB:$AB,"&lt;="&amp;I$9,операции!$L:$L,L$9,операции!$O:$O,$F608))/L669)</f>
        <v>42364</v>
      </c>
      <c r="M672" s="274"/>
      <c r="N672" s="193">
        <f>IF(N669=0,0,(SUMIFS(операции!$AH:$AH,операции!$T:$T,"&lt;="&amp;N$9,операции!$X:$X,"",операции!$AB:$AB,"&lt;&gt;"&amp;"",операции!$AB:$AB,"&lt;="&amp;N$9,операции!$O:$O,$F608)+SUMIFS(операции!$AH:$AH,операции!$T:$T,"&lt;="&amp;N$9,операции!$X:$X,"&gt;"&amp;N$9,операции!$AB:$AB,"&lt;&gt;"&amp;"",операции!$AB:$AB,"&lt;="&amp;N$9,операции!$O:$O,$F608))/N669)</f>
        <v>42177.834691987031</v>
      </c>
      <c r="O672" s="196"/>
      <c r="P672" s="193">
        <f>IF(P669=0,0,(SUMIFS(операции!$AH:$AH,операции!$T:$T,"&lt;="&amp;N$9,операции!$X:$X,"",операции!$AB:$AB,"&lt;&gt;"&amp;"",операции!$AB:$AB,"&lt;="&amp;N$9,операции!$L:$L,P$9,операции!$O:$O,$F608)+SUMIFS(операции!$AH:$AH,операции!$T:$T,"&lt;="&amp;N$9,операции!$X:$X,"&gt;"&amp;N$9,операции!$AB:$AB,"&lt;&gt;"&amp;"",операции!$AB:$AB,"&lt;="&amp;N$9,операции!$L:$L,P$9,операции!$O:$O,$F608))/P669)</f>
        <v>42177.834691987031</v>
      </c>
      <c r="Q672" s="237">
        <f>IF(Q669=0,0,(SUMIFS(операции!$AH:$AH,операции!$T:$T,"&lt;="&amp;N$9,операции!$X:$X,"",операции!$AB:$AB,"&lt;&gt;"&amp;"",операции!$AB:$AB,"&lt;="&amp;N$9,операции!$L:$L,Q$9,операции!$O:$O,$F608)+SUMIFS(операции!$AH:$AH,операции!$T:$T,"&lt;="&amp;N$9,операции!$X:$X,"&gt;"&amp;N$9,операции!$AB:$AB,"&lt;&gt;"&amp;"",операции!$AB:$AB,"&lt;="&amp;N$9,операции!$L:$L,Q$9,операции!$O:$O,$F608))/Q669)</f>
        <v>0</v>
      </c>
      <c r="R672" s="238"/>
      <c r="S672" s="193">
        <f>IF(S669=0,0,(SUMIFS(операции!$AH:$AH,операции!$T:$T,"&lt;="&amp;S$9,операции!$X:$X,"",операции!$AB:$AB,"&lt;&gt;"&amp;"",операции!$AB:$AB,"&lt;="&amp;S$9,операции!$O:$O,$F608)+SUMIFS(операции!$AH:$AH,операции!$T:$T,"&lt;="&amp;S$9,операции!$X:$X,"&gt;"&amp;S$9,операции!$AB:$AB,"&lt;&gt;"&amp;"",операции!$AB:$AB,"&lt;="&amp;S$9,операции!$O:$O,$F608))/S669)</f>
        <v>42199.443392202847</v>
      </c>
      <c r="T672" s="196"/>
      <c r="U672" s="193">
        <f>IF(U669=0,0,(SUMIFS(операции!$AH:$AH,операции!$T:$T,"&lt;="&amp;S$9,операции!$X:$X,"",операции!$AB:$AB,"&lt;&gt;"&amp;"",операции!$AB:$AB,"&lt;="&amp;S$9,операции!$L:$L,U$9,операции!$O:$O,$F608)+SUMIFS(операции!$AH:$AH,операции!$T:$T,"&lt;="&amp;S$9,операции!$X:$X,"&gt;"&amp;S$9,операции!$AB:$AB,"&lt;&gt;"&amp;"",операции!$AB:$AB,"&lt;="&amp;S$9,операции!$L:$L,U$9,операции!$O:$O,$F608))/U669)</f>
        <v>42199.443392202847</v>
      </c>
      <c r="V672" s="237">
        <f>IF(V669=0,0,(SUMIFS(операции!$AH:$AH,операции!$T:$T,"&lt;="&amp;S$9,операции!$X:$X,"",операции!$AB:$AB,"&lt;&gt;"&amp;"",операции!$AB:$AB,"&lt;="&amp;S$9,операции!$L:$L,V$9,операции!$O:$O,$F608)+SUMIFS(операции!$AH:$AH,операции!$T:$T,"&lt;="&amp;S$9,операции!$X:$X,"&gt;"&amp;S$9,операции!$AB:$AB,"&lt;&gt;"&amp;"",операции!$AB:$AB,"&lt;="&amp;S$9,операции!$L:$L,V$9,операции!$O:$O,$F608))/V669)</f>
        <v>0</v>
      </c>
      <c r="W672" s="238"/>
      <c r="X672" s="193">
        <f>IF(X669=0,0,(SUMIFS(операции!$AH:$AH,операции!$T:$T,"&lt;="&amp;X$9,операции!$X:$X,"",операции!$AB:$AB,"&lt;&gt;"&amp;"",операции!$AB:$AB,"&lt;="&amp;X$9,операции!$O:$O,$F608)+SUMIFS(операции!$AH:$AH,операции!$T:$T,"&lt;="&amp;X$9,операции!$X:$X,"&gt;"&amp;X$9,операции!$AB:$AB,"&lt;&gt;"&amp;"",операции!$AB:$AB,"&lt;="&amp;X$9,операции!$O:$O,$F608))/X669)</f>
        <v>42272.316607800567</v>
      </c>
      <c r="Y672" s="196"/>
      <c r="Z672" s="193">
        <f>IF(Z669=0,0,(SUMIFS(операции!$AH:$AH,операции!$T:$T,"&lt;="&amp;X$9,операции!$X:$X,"",операции!$AB:$AB,"&lt;&gt;"&amp;"",операции!$AB:$AB,"&lt;="&amp;X$9,операции!$L:$L,Z$9,операции!$O:$O,$F608)+SUMIFS(операции!$AH:$AH,операции!$T:$T,"&lt;="&amp;X$9,операции!$X:$X,"&gt;"&amp;X$9,операции!$AB:$AB,"&lt;&gt;"&amp;"",операции!$AB:$AB,"&lt;="&amp;X$9,операции!$L:$L,Z$9,операции!$O:$O,$F608))/Z669)</f>
        <v>42199.443392202847</v>
      </c>
      <c r="AA672" s="237">
        <f>IF(AA669=0,0,(SUMIFS(операции!$AH:$AH,операции!$T:$T,"&lt;="&amp;X$9,операции!$X:$X,"",операции!$AB:$AB,"&lt;&gt;"&amp;"",операции!$AB:$AB,"&lt;="&amp;X$9,операции!$L:$L,AA$9,операции!$O:$O,$F608)+SUMIFS(операции!$AH:$AH,операции!$T:$T,"&lt;="&amp;X$9,операции!$X:$X,"&gt;"&amp;X$9,операции!$AB:$AB,"&lt;&gt;"&amp;"",операции!$AB:$AB,"&lt;="&amp;X$9,операции!$L:$L,AA$9,операции!$O:$O,$F608))/AA669)</f>
        <v>42364</v>
      </c>
      <c r="AB672" s="265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</row>
    <row r="673" spans="1:42" s="192" customFormat="1" ht="11.25">
      <c r="A673" s="37"/>
      <c r="B673" s="37"/>
      <c r="C673" s="37"/>
      <c r="D673" s="191"/>
      <c r="E673" s="191" t="s">
        <v>284</v>
      </c>
      <c r="F673" s="191" t="str">
        <f t="shared" si="1048"/>
        <v>ВалентаСпорт</v>
      </c>
      <c r="G673" s="191" t="s">
        <v>219</v>
      </c>
      <c r="H673" s="315"/>
      <c r="I673" s="329">
        <f>I672-I670</f>
        <v>25.679930440790486</v>
      </c>
      <c r="J673" s="317"/>
      <c r="K673" s="329">
        <f>K672-K670</f>
        <v>36.553224899667839</v>
      </c>
      <c r="L673" s="330">
        <f>L672-L670</f>
        <v>12</v>
      </c>
      <c r="M673" s="274"/>
      <c r="N673" s="156">
        <f>N672-N670</f>
        <v>24.301567083530244</v>
      </c>
      <c r="O673" s="196"/>
      <c r="P673" s="156">
        <f>P672-P670</f>
        <v>24.301567083530244</v>
      </c>
      <c r="Q673" s="245">
        <f>Q672-Q670</f>
        <v>0</v>
      </c>
      <c r="R673" s="238"/>
      <c r="S673" s="156">
        <f>S672-S670</f>
        <v>36.553224899667839</v>
      </c>
      <c r="T673" s="196"/>
      <c r="U673" s="156">
        <f>U672-U670</f>
        <v>36.553224899667839</v>
      </c>
      <c r="V673" s="245">
        <f>V672-V670</f>
        <v>0</v>
      </c>
      <c r="W673" s="238"/>
      <c r="X673" s="156">
        <f>X672-X670</f>
        <v>25.679930440790486</v>
      </c>
      <c r="Y673" s="196"/>
      <c r="Z673" s="156">
        <f>Z672-Z670</f>
        <v>36.553224899667839</v>
      </c>
      <c r="AA673" s="245">
        <f>AA672-AA670</f>
        <v>12</v>
      </c>
      <c r="AB673" s="265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</row>
    <row r="674" spans="1:42" s="192" customFormat="1" ht="11.25">
      <c r="A674" s="37"/>
      <c r="B674" s="37"/>
      <c r="C674" s="37"/>
      <c r="D674" s="191"/>
      <c r="E674" s="191" t="s">
        <v>285</v>
      </c>
      <c r="F674" s="191" t="str">
        <f t="shared" si="1048"/>
        <v>ВалентаСпорт</v>
      </c>
      <c r="G674" s="191" t="s">
        <v>219</v>
      </c>
      <c r="H674" s="315"/>
      <c r="I674" s="329">
        <f>I671-I673</f>
        <v>96.683392199433001</v>
      </c>
      <c r="J674" s="317"/>
      <c r="K674" s="329">
        <f>K671-K673</f>
        <v>169.55660779715254</v>
      </c>
      <c r="L674" s="330">
        <f>L671-L673</f>
        <v>5</v>
      </c>
      <c r="M674" s="274"/>
      <c r="N674" s="156">
        <f>N671-N673</f>
        <v>130.16530801296904</v>
      </c>
      <c r="O674" s="196"/>
      <c r="P674" s="156">
        <f>P671-P673</f>
        <v>130.16530801296904</v>
      </c>
      <c r="Q674" s="245">
        <f>Q671-Q673</f>
        <v>0</v>
      </c>
      <c r="R674" s="238"/>
      <c r="S674" s="156">
        <f>S671-S673</f>
        <v>138.55660779715254</v>
      </c>
      <c r="T674" s="196"/>
      <c r="U674" s="156">
        <f>U671-U673</f>
        <v>138.55660779715254</v>
      </c>
      <c r="V674" s="245">
        <f>V671-V673</f>
        <v>0</v>
      </c>
      <c r="W674" s="238"/>
      <c r="X674" s="156">
        <f>X671-X673</f>
        <v>96.683392199433001</v>
      </c>
      <c r="Y674" s="196"/>
      <c r="Z674" s="156">
        <f>Z671-Z673</f>
        <v>169.55660779715254</v>
      </c>
      <c r="AA674" s="245">
        <f>AA671-AA673</f>
        <v>5</v>
      </c>
      <c r="AB674" s="265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</row>
    <row r="675" spans="1:42" s="5" customFormat="1">
      <c r="A675" s="1"/>
      <c r="B675" s="1"/>
      <c r="C675" s="1"/>
      <c r="D675" s="168"/>
      <c r="E675" s="168" t="s">
        <v>286</v>
      </c>
      <c r="F675" s="168" t="str">
        <f t="shared" si="1048"/>
        <v>ВалентаСпорт</v>
      </c>
      <c r="G675" s="168" t="s">
        <v>261</v>
      </c>
      <c r="H675" s="326"/>
      <c r="I675" s="327">
        <f>SUMIFS(операции!$V:$V,операции!$T:$T,"&lt;="&amp;I$9,операции!$X:$X,"",операции!$AB:$AB,"",операции!$O:$O,$F608)+SUMIFS(операции!$V:$V,операции!$T:$T,"&lt;="&amp;I$9,операции!$X:$X,"&gt;"&amp;I$9,операции!$AB:$AB,"",операции!$O:$O,$F608)+SUMIFS(операции!$V:$V,операции!$T:$T,"&lt;="&amp;I$9,операции!$X:$X,"",операции!$AB:$AB,"&gt;"&amp;I$9,операции!$O:$O,$F608)+SUMIFS(операции!$V:$V,операции!$T:$T,"&lt;="&amp;I$9,операции!$X:$X,"&gt;"&amp;I$9,операции!$AB:$AB,"&gt;"&amp;I$9,операции!$O:$O,$F608)</f>
        <v>8470</v>
      </c>
      <c r="J675" s="313">
        <f>I675-K675-L675</f>
        <v>0</v>
      </c>
      <c r="K675" s="327">
        <f>SUMIFS(операции!$V:$V,операции!$T:$T,"&lt;="&amp;I$9,операции!$X:$X,"",операции!$AB:$AB,"",операции!$L:$L,K$9,операции!$O:$O,$F608)+SUMIFS(операции!$V:$V,операции!$T:$T,"&lt;="&amp;I$9,операции!$X:$X,"&gt;"&amp;I$9,операции!$AB:$AB,"",операции!$L:$L,K$9,операции!$O:$O,$F608)+SUMIFS(операции!$V:$V,операции!$T:$T,"&lt;="&amp;I$9,операции!$X:$X,"",операции!$AB:$AB,"&gt;"&amp;I$9,операции!$L:$L,K$9,операции!$O:$O,$F608)+SUMIFS(операции!$V:$V,операции!$T:$T,"&lt;="&amp;I$9,операции!$X:$X,"&gt;"&amp;I$9,операции!$AB:$AB,"&gt;"&amp;I$9,операции!$L:$L,K$9,операции!$O:$O,$F608)</f>
        <v>748</v>
      </c>
      <c r="L675" s="328">
        <f>SUMIFS(операции!$V:$V,операции!$T:$T,"&lt;="&amp;I$9,операции!$X:$X,"",операции!$AB:$AB,"",операции!$L:$L,L$9,операции!$O:$O,$F608)+SUMIFS(операции!$V:$V,операции!$T:$T,"&lt;="&amp;I$9,операции!$X:$X,"&gt;"&amp;I$9,операции!$AB:$AB,"",операции!$L:$L,L$9,операции!$O:$O,$F608)+SUMIFS(операции!$V:$V,операции!$T:$T,"&lt;="&amp;I$9,операции!$X:$X,"",операции!$AB:$AB,"&gt;"&amp;I$9,операции!$L:$L,L$9,операции!$O:$O,$F608)+SUMIFS(операции!$V:$V,операции!$T:$T,"&lt;="&amp;I$9,операции!$X:$X,"&gt;"&amp;I$9,операции!$AB:$AB,"&gt;"&amp;I$9,операции!$L:$L,L$9,операции!$O:$O,$F608)</f>
        <v>7722</v>
      </c>
      <c r="M675" s="277"/>
      <c r="N675" s="169">
        <f>SUMIFS(операции!$V:$V,операции!$T:$T,"&lt;="&amp;N$9,операции!$X:$X,"",операции!$AB:$AB,"",операции!$O:$O,$F608)+SUMIFS(операции!$V:$V,операции!$T:$T,"&lt;="&amp;N$9,операции!$X:$X,"&gt;"&amp;N$9,операции!$AB:$AB,"",операции!$O:$O,$F608)+SUMIFS(операции!$V:$V,операции!$T:$T,"&lt;="&amp;N$9,операции!$X:$X,"",операции!$AB:$AB,"&gt;"&amp;N$9,операции!$O:$O,$F608)+SUMIFS(операции!$V:$V,операции!$T:$T,"&lt;="&amp;N$9,операции!$X:$X,"&gt;"&amp;N$9,операции!$AB:$AB,"&gt;"&amp;N$9,операции!$O:$O,$F608)</f>
        <v>13316.48</v>
      </c>
      <c r="O675" s="170">
        <f>N675-P675-Q675</f>
        <v>0</v>
      </c>
      <c r="P675" s="169">
        <f>SUMIFS(операции!$V:$V,операции!$T:$T,"&lt;="&amp;N$9,операции!$X:$X,"",операции!$AB:$AB,"",операции!$L:$L,P$9,операции!$O:$O,$F608)+SUMIFS(операции!$V:$V,операции!$T:$T,"&lt;="&amp;N$9,операции!$X:$X,"&gt;"&amp;N$9,операции!$AB:$AB,"",операции!$L:$L,P$9,операции!$O:$O,$F608)+SUMIFS(операции!$V:$V,операции!$T:$T,"&lt;="&amp;N$9,операции!$X:$X,"",операции!$AB:$AB,"&gt;"&amp;N$9,операции!$L:$L,P$9,операции!$O:$O,$F608)+SUMIFS(операции!$V:$V,операции!$T:$T,"&lt;="&amp;N$9,операции!$X:$X,"&gt;"&amp;N$9,операции!$AB:$AB,"&gt;"&amp;N$9,операции!$L:$L,P$9,операции!$O:$O,$F608)</f>
        <v>3060.64</v>
      </c>
      <c r="Q675" s="243">
        <f>SUMIFS(операции!$V:$V,операции!$T:$T,"&lt;="&amp;N$9,операции!$X:$X,"",операции!$AB:$AB,"",операции!$L:$L,Q$9,операции!$O:$O,$F608)+SUMIFS(операции!$V:$V,операции!$T:$T,"&lt;="&amp;N$9,операции!$X:$X,"&gt;"&amp;N$9,операции!$AB:$AB,"",операции!$L:$L,Q$9,операции!$O:$O,$F608)+SUMIFS(операции!$V:$V,операции!$T:$T,"&lt;="&amp;N$9,операции!$X:$X,"",операции!$AB:$AB,"&gt;"&amp;N$9,операции!$L:$L,Q$9,операции!$O:$O,$F608)+SUMIFS(операции!$V:$V,операции!$T:$T,"&lt;="&amp;N$9,операции!$X:$X,"&gt;"&amp;N$9,операции!$AB:$AB,"&gt;"&amp;N$9,операции!$L:$L,Q$9,операции!$O:$O,$F608)</f>
        <v>10255.839999999998</v>
      </c>
      <c r="R675" s="244"/>
      <c r="S675" s="169">
        <f>SUMIFS(операции!$V:$V,операции!$T:$T,"&lt;="&amp;S$9,операции!$X:$X,"",операции!$AB:$AB,"",операции!$O:$O,$F608)+SUMIFS(операции!$V:$V,операции!$T:$T,"&lt;="&amp;S$9,операции!$X:$X,"&gt;"&amp;S$9,операции!$AB:$AB,"",операции!$O:$O,$F608)+SUMIFS(операции!$V:$V,операции!$T:$T,"&lt;="&amp;S$9,операции!$X:$X,"",операции!$AB:$AB,"&gt;"&amp;S$9,операции!$O:$O,$F608)+SUMIFS(операции!$V:$V,операции!$T:$T,"&lt;="&amp;S$9,операции!$X:$X,"&gt;"&amp;S$9,операции!$AB:$AB,"&gt;"&amp;S$9,операции!$O:$O,$F608)</f>
        <v>16606</v>
      </c>
      <c r="T675" s="170">
        <f>S675-U675-V675</f>
        <v>0</v>
      </c>
      <c r="U675" s="169">
        <f>SUMIFS(операции!$V:$V,операции!$T:$T,"&lt;="&amp;S$9,операции!$X:$X,"",операции!$AB:$AB,"",операции!$L:$L,U$9,операции!$O:$O,$F608)+SUMIFS(операции!$V:$V,операции!$T:$T,"&lt;="&amp;S$9,операции!$X:$X,"&gt;"&amp;S$9,операции!$AB:$AB,"",операции!$L:$L,U$9,операции!$O:$O,$F608)+SUMIFS(операции!$V:$V,операции!$T:$T,"&lt;="&amp;S$9,операции!$X:$X,"",операции!$AB:$AB,"&gt;"&amp;S$9,операции!$L:$L,U$9,операции!$O:$O,$F608)+SUMIFS(операции!$V:$V,операции!$T:$T,"&lt;="&amp;S$9,операции!$X:$X,"&gt;"&amp;S$9,операции!$AB:$AB,"&gt;"&amp;S$9,операции!$L:$L,U$9,операции!$O:$O,$F608)</f>
        <v>748</v>
      </c>
      <c r="V675" s="243">
        <f>SUMIFS(операции!$V:$V,операции!$T:$T,"&lt;="&amp;S$9,операции!$X:$X,"",операции!$AB:$AB,"",операции!$L:$L,V$9,операции!$O:$O,$F608)+SUMIFS(операции!$V:$V,операции!$T:$T,"&lt;="&amp;S$9,операции!$X:$X,"&gt;"&amp;S$9,операции!$AB:$AB,"",операции!$L:$L,V$9,операции!$O:$O,$F608)+SUMIFS(операции!$V:$V,операции!$T:$T,"&lt;="&amp;S$9,операции!$X:$X,"",операции!$AB:$AB,"&gt;"&amp;S$9,операции!$L:$L,V$9,операции!$O:$O,$F608)+SUMIFS(операции!$V:$V,операции!$T:$T,"&lt;="&amp;S$9,операции!$X:$X,"&gt;"&amp;S$9,операции!$AB:$AB,"&gt;"&amp;S$9,операции!$L:$L,V$9,операции!$O:$O,$F608)</f>
        <v>15858</v>
      </c>
      <c r="W675" s="244"/>
      <c r="X675" s="169">
        <f>SUMIFS(операции!$V:$V,операции!$T:$T,"&lt;="&amp;X$9,операции!$X:$X,"",операции!$AB:$AB,"",операции!$O:$O,$F608)+SUMIFS(операции!$V:$V,операции!$T:$T,"&lt;="&amp;X$9,операции!$X:$X,"&gt;"&amp;X$9,операции!$AB:$AB,"",операции!$O:$O,$F608)+SUMIFS(операции!$V:$V,операции!$T:$T,"&lt;="&amp;X$9,операции!$X:$X,"",операции!$AB:$AB,"&gt;"&amp;X$9,операции!$O:$O,$F608)+SUMIFS(операции!$V:$V,операции!$T:$T,"&lt;="&amp;X$9,операции!$X:$X,"&gt;"&amp;X$9,операции!$AB:$AB,"&gt;"&amp;X$9,операции!$O:$O,$F608)</f>
        <v>8470</v>
      </c>
      <c r="Y675" s="170">
        <f>X675-Z675-AA675</f>
        <v>0</v>
      </c>
      <c r="Z675" s="169">
        <f>SUMIFS(операции!$V:$V,операции!$T:$T,"&lt;="&amp;X$9,операции!$X:$X,"",операции!$AB:$AB,"",операции!$L:$L,Z$9,операции!$O:$O,$F608)+SUMIFS(операции!$V:$V,операции!$T:$T,"&lt;="&amp;X$9,операции!$X:$X,"&gt;"&amp;X$9,операции!$AB:$AB,"",операции!$L:$L,Z$9,операции!$O:$O,$F608)+SUMIFS(операции!$V:$V,операции!$T:$T,"&lt;="&amp;X$9,операции!$X:$X,"",операции!$AB:$AB,"&gt;"&amp;X$9,операции!$L:$L,Z$9,операции!$O:$O,$F608)+SUMIFS(операции!$V:$V,операции!$T:$T,"&lt;="&amp;X$9,операции!$X:$X,"&gt;"&amp;X$9,операции!$AB:$AB,"&gt;"&amp;X$9,операции!$L:$L,Z$9,операции!$O:$O,$F608)</f>
        <v>748</v>
      </c>
      <c r="AA675" s="243">
        <f>SUMIFS(операции!$V:$V,операции!$T:$T,"&lt;="&amp;X$9,операции!$X:$X,"",операции!$AB:$AB,"",операции!$L:$L,AA$9,операции!$O:$O,$F608)+SUMIFS(операции!$V:$V,операции!$T:$T,"&lt;="&amp;X$9,операции!$X:$X,"&gt;"&amp;X$9,операции!$AB:$AB,"",операции!$L:$L,AA$9,операции!$O:$O,$F608)+SUMIFS(операции!$V:$V,операции!$T:$T,"&lt;="&amp;X$9,операции!$X:$X,"",операции!$AB:$AB,"&gt;"&amp;X$9,операции!$L:$L,AA$9,операции!$O:$O,$F608)+SUMIFS(операции!$V:$V,операции!$T:$T,"&lt;="&amp;X$9,операции!$X:$X,"&gt;"&amp;X$9,операции!$AB:$AB,"&gt;"&amp;X$9,операции!$L:$L,AA$9,операции!$O:$O,$F608)</f>
        <v>7722</v>
      </c>
      <c r="AB675" s="266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s="192" customFormat="1" ht="11.25">
      <c r="A676" s="37"/>
      <c r="B676" s="37"/>
      <c r="C676" s="37"/>
      <c r="D676" s="191"/>
      <c r="E676" s="191" t="s">
        <v>255</v>
      </c>
      <c r="F676" s="191" t="str">
        <f t="shared" si="1048"/>
        <v>ВалентаСпорт</v>
      </c>
      <c r="G676" s="191" t="s">
        <v>262</v>
      </c>
      <c r="H676" s="315"/>
      <c r="I676" s="316">
        <f>IF(I675=0,0,(SUMIFS(операции!$AF:$AF,операции!$T:$T,"&lt;="&amp;I$9,операции!$X:$X,"",операции!$AB:$AB,"",операции!$O:$O,$F608)+SUMIFS(операции!$AF:$AF,операции!$T:$T,"&lt;="&amp;I$9,операции!$X:$X,"&gt;"&amp;I$9,операции!$AB:$AB,"",операции!$O:$O,$F608)+SUMIFS(операции!$AF:$AF,операции!$T:$T,"&lt;="&amp;I$9,операции!$X:$X,"",операции!$AB:$AB,"&gt;"&amp;I$9,операции!$O:$O,$F608)+SUMIFS(операции!$AF:$AF,операции!$T:$T,"&lt;="&amp;I$9,операции!$X:$X,"&gt;"&amp;I$9,операции!$AB:$AB,"&gt;"&amp;I$9,операции!$O:$O,$F608))/I675)</f>
        <v>42345.122786304608</v>
      </c>
      <c r="J676" s="317"/>
      <c r="K676" s="316">
        <f>IF(K675=0,0,(SUMIFS(операции!$AF:$AF,операции!$T:$T,"&lt;="&amp;I$9,операции!$X:$X,"",операции!$AB:$AB,"",операции!$L:$L,K$9,операции!$O:$O,$F608)+SUMIFS(операции!$AF:$AF,операции!$T:$T,"&lt;="&amp;I$9,операции!$X:$X,"&gt;"&amp;I$9,операции!$AB:$AB,"",операции!$L:$L,K$9,операции!$O:$O,$F608)+SUMIFS(операции!$AF:$AF,операции!$T:$T,"&lt;="&amp;I$9,операции!$X:$X,"",операции!$AB:$AB,"&gt;"&amp;I$9,операции!$L:$L,K$9,операции!$O:$O,$F608)+SUMIFS(операции!$AF:$AF,операции!$T:$T,"&lt;="&amp;I$9,операции!$X:$X,"&gt;"&amp;I$9,операции!$AB:$AB,"&gt;"&amp;I$9,операции!$L:$L,K$9,операции!$O:$O,$F608))/K675)</f>
        <v>42215</v>
      </c>
      <c r="L676" s="318">
        <f>IF(L675=0,0,(SUMIFS(операции!$AF:$AF,операции!$T:$T,"&lt;="&amp;I$9,операции!$X:$X,"",операции!$AB:$AB,"",операции!$L:$L,L$9,операции!$O:$O,$F608)+SUMIFS(операции!$AF:$AF,операции!$T:$T,"&lt;="&amp;I$9,операции!$X:$X,"&gt;"&amp;I$9,операции!$AB:$AB,"",операции!$L:$L,L$9,операции!$O:$O,$F608)+SUMIFS(операции!$AF:$AF,операции!$T:$T,"&lt;="&amp;I$9,операции!$X:$X,"",операции!$AB:$AB,"&gt;"&amp;I$9,операции!$L:$L,L$9,операции!$O:$O,$F608)+SUMIFS(операции!$AF:$AF,операции!$T:$T,"&lt;="&amp;I$9,операции!$X:$X,"&gt;"&amp;I$9,операции!$AB:$AB,"&gt;"&amp;I$9,операции!$L:$L,L$9,операции!$O:$O,$F608))/L675)</f>
        <v>42357.727272727272</v>
      </c>
      <c r="M676" s="274"/>
      <c r="N676" s="193">
        <f>IF(N675=0,0,(SUMIFS(операции!$AF:$AF,операции!$T:$T,"&lt;="&amp;N$9,операции!$X:$X,"",операции!$AB:$AB,"",операции!$O:$O,$F608)+SUMIFS(операции!$AF:$AF,операции!$T:$T,"&lt;="&amp;N$9,операции!$X:$X,"&gt;"&amp;N$9,операции!$AB:$AB,"",операции!$O:$O,$F608)+SUMIFS(операции!$AF:$AF,операции!$T:$T,"&lt;="&amp;N$9,операции!$X:$X,"",операции!$AB:$AB,"&gt;"&amp;N$9,операции!$O:$O,$F608)+SUMIFS(операции!$AF:$AF,операции!$T:$T,"&lt;="&amp;N$9,операции!$X:$X,"&gt;"&amp;N$9,операции!$AB:$AB,"&gt;"&amp;N$9,операции!$O:$O,$F608))/N675)</f>
        <v>42295.60790238862</v>
      </c>
      <c r="O676" s="196"/>
      <c r="P676" s="193">
        <f>IF(P675=0,0,(SUMIFS(операции!$AF:$AF,операции!$T:$T,"&lt;="&amp;N$9,операции!$X:$X,"",операции!$AB:$AB,"",операции!$L:$L,P$9,операции!$O:$O,$F608)+SUMIFS(операции!$AF:$AF,операции!$T:$T,"&lt;="&amp;N$9,операции!$X:$X,"&gt;"&amp;N$9,операции!$AB:$AB,"",операции!$L:$L,P$9,операции!$O:$O,$F608)+SUMIFS(операции!$AF:$AF,операции!$T:$T,"&lt;="&amp;N$9,операции!$X:$X,"",операции!$AB:$AB,"&gt;"&amp;N$9,операции!$L:$L,P$9,операции!$O:$O,$F608)+SUMIFS(операции!$AF:$AF,операции!$T:$T,"&lt;="&amp;N$9,операции!$X:$X,"&gt;"&amp;N$9,операции!$AB:$AB,"&gt;"&amp;N$9,операции!$L:$L,P$9,операции!$O:$O,$F608))/P675)</f>
        <v>42258.069580218515</v>
      </c>
      <c r="Q676" s="237">
        <f>IF(Q675=0,0,(SUMIFS(операции!$AF:$AF,операции!$T:$T,"&lt;="&amp;N$9,операции!$X:$X,"",операции!$AB:$AB,"",операции!$L:$L,Q$9,операции!$O:$O,$F608)+SUMIFS(операции!$AF:$AF,операции!$T:$T,"&lt;="&amp;N$9,операции!$X:$X,"&gt;"&amp;N$9,операции!$AB:$AB,"",операции!$L:$L,Q$9,операции!$O:$O,$F608)+SUMIFS(операции!$AF:$AF,операции!$T:$T,"&lt;="&amp;N$9,операции!$X:$X,"",операции!$AB:$AB,"&gt;"&amp;N$9,операции!$L:$L,Q$9,операции!$O:$O,$F608)+SUMIFS(операции!$AF:$AF,операции!$T:$T,"&lt;="&amp;N$9,операции!$X:$X,"&gt;"&amp;N$9,операции!$AB:$AB,"&gt;"&amp;N$9,операции!$L:$L,Q$9,операции!$O:$O,$F608))/Q675)</f>
        <v>42306.810426059696</v>
      </c>
      <c r="R676" s="238"/>
      <c r="S676" s="193">
        <f>IF(S675=0,0,(SUMIFS(операции!$AF:$AF,операции!$T:$T,"&lt;="&amp;S$9,операции!$X:$X,"",операции!$AB:$AB,"",операции!$O:$O,$F608)+SUMIFS(операции!$AF:$AF,операции!$T:$T,"&lt;="&amp;S$9,операции!$X:$X,"&gt;"&amp;S$9,операции!$AB:$AB,"",операции!$O:$O,$F608)+SUMIFS(операции!$AF:$AF,операции!$T:$T,"&lt;="&amp;S$9,операции!$X:$X,"",операции!$AB:$AB,"&gt;"&amp;S$9,операции!$O:$O,$F608)+SUMIFS(операции!$AF:$AF,операции!$T:$T,"&lt;="&amp;S$9,операции!$X:$X,"&gt;"&amp;S$9,операции!$AB:$AB,"&gt;"&amp;S$9,операции!$O:$O,$F608))/S675)</f>
        <v>42331.172949536311</v>
      </c>
      <c r="T676" s="196"/>
      <c r="U676" s="193">
        <f>IF(U675=0,0,(SUMIFS(операции!$AF:$AF,операции!$T:$T,"&lt;="&amp;S$9,операции!$X:$X,"",операции!$AB:$AB,"",операции!$L:$L,U$9,операции!$O:$O,$F608)+SUMIFS(операции!$AF:$AF,операции!$T:$T,"&lt;="&amp;S$9,операции!$X:$X,"&gt;"&amp;S$9,операции!$AB:$AB,"",операции!$L:$L,U$9,операции!$O:$O,$F608)+SUMIFS(операции!$AF:$AF,операции!$T:$T,"&lt;="&amp;S$9,операции!$X:$X,"",операции!$AB:$AB,"&gt;"&amp;S$9,операции!$L:$L,U$9,операции!$O:$O,$F608)+SUMIFS(операции!$AF:$AF,операции!$T:$T,"&lt;="&amp;S$9,операции!$X:$X,"&gt;"&amp;S$9,операции!$AB:$AB,"&gt;"&amp;S$9,операции!$L:$L,U$9,операции!$O:$O,$F608))/U675)</f>
        <v>42215</v>
      </c>
      <c r="V676" s="237">
        <f>IF(V675=0,0,(SUMIFS(операции!$AF:$AF,операции!$T:$T,"&lt;="&amp;S$9,операции!$X:$X,"",операции!$AB:$AB,"",операции!$L:$L,V$9,операции!$O:$O,$F608)+SUMIFS(операции!$AF:$AF,операции!$T:$T,"&lt;="&amp;S$9,операции!$X:$X,"&gt;"&amp;S$9,операции!$AB:$AB,"",операции!$L:$L,V$9,операции!$O:$O,$F608)+SUMIFS(операции!$AF:$AF,операции!$T:$T,"&lt;="&amp;S$9,операции!$X:$X,"",операции!$AB:$AB,"&gt;"&amp;S$9,операции!$L:$L,V$9,операции!$O:$O,$F608)+SUMIFS(операции!$AF:$AF,операции!$T:$T,"&lt;="&amp;S$9,операции!$X:$X,"&gt;"&amp;S$9,операции!$AB:$AB,"&gt;"&amp;S$9,операции!$L:$L,V$9,операции!$O:$O,$F608))/V675)</f>
        <v>42336.652667423383</v>
      </c>
      <c r="W676" s="238"/>
      <c r="X676" s="193">
        <f>IF(X675=0,0,(SUMIFS(операции!$AF:$AF,операции!$T:$T,"&lt;="&amp;X$9,операции!$X:$X,"",операции!$AB:$AB,"",операции!$O:$O,$F608)+SUMIFS(операции!$AF:$AF,операции!$T:$T,"&lt;="&amp;X$9,операции!$X:$X,"&gt;"&amp;X$9,операции!$AB:$AB,"",операции!$O:$O,$F608)+SUMIFS(операции!$AF:$AF,операции!$T:$T,"&lt;="&amp;X$9,операции!$X:$X,"",операции!$AB:$AB,"&gt;"&amp;X$9,операции!$O:$O,$F608)+SUMIFS(операции!$AF:$AF,операции!$T:$T,"&lt;="&amp;X$9,операции!$X:$X,"&gt;"&amp;X$9,операции!$AB:$AB,"&gt;"&amp;X$9,операции!$O:$O,$F608))/X675)</f>
        <v>42345.122786304608</v>
      </c>
      <c r="Y676" s="196"/>
      <c r="Z676" s="193">
        <f>IF(Z675=0,0,(SUMIFS(операции!$AF:$AF,операции!$T:$T,"&lt;="&amp;X$9,операции!$X:$X,"",операции!$AB:$AB,"",операции!$L:$L,Z$9,операции!$O:$O,$F608)+SUMIFS(операции!$AF:$AF,операции!$T:$T,"&lt;="&amp;X$9,операции!$X:$X,"&gt;"&amp;X$9,операции!$AB:$AB,"",операции!$L:$L,Z$9,операции!$O:$O,$F608)+SUMIFS(операции!$AF:$AF,операции!$T:$T,"&lt;="&amp;X$9,операции!$X:$X,"",операции!$AB:$AB,"&gt;"&amp;X$9,операции!$L:$L,Z$9,операции!$O:$O,$F608)+SUMIFS(операции!$AF:$AF,операции!$T:$T,"&lt;="&amp;X$9,операции!$X:$X,"&gt;"&amp;X$9,операции!$AB:$AB,"&gt;"&amp;X$9,операции!$L:$L,Z$9,операции!$O:$O,$F608))/Z675)</f>
        <v>42215</v>
      </c>
      <c r="AA676" s="237">
        <f>IF(AA675=0,0,(SUMIFS(операции!$AF:$AF,операции!$T:$T,"&lt;="&amp;X$9,операции!$X:$X,"",операции!$AB:$AB,"",операции!$L:$L,AA$9,операции!$O:$O,$F608)+SUMIFS(операции!$AF:$AF,операции!$T:$T,"&lt;="&amp;X$9,операции!$X:$X,"&gt;"&amp;X$9,операции!$AB:$AB,"",операции!$L:$L,AA$9,операции!$O:$O,$F608)+SUMIFS(операции!$AF:$AF,операции!$T:$T,"&lt;="&amp;X$9,операции!$X:$X,"",операции!$AB:$AB,"&gt;"&amp;X$9,операции!$L:$L,AA$9,операции!$O:$O,$F608)+SUMIFS(операции!$AF:$AF,операции!$T:$T,"&lt;="&amp;X$9,операции!$X:$X,"&gt;"&amp;X$9,операции!$AB:$AB,"&gt;"&amp;X$9,операции!$L:$L,AA$9,операции!$O:$O,$F608))/AA675)</f>
        <v>42357.727272727272</v>
      </c>
      <c r="AB676" s="265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</row>
    <row r="677" spans="1:42" s="192" customFormat="1" ht="11.25">
      <c r="A677" s="37"/>
      <c r="B677" s="37"/>
      <c r="C677" s="37"/>
      <c r="D677" s="191"/>
      <c r="E677" s="191" t="s">
        <v>287</v>
      </c>
      <c r="F677" s="191" t="str">
        <f t="shared" ref="F677:F680" si="1181">F676</f>
        <v>ВалентаСпорт</v>
      </c>
      <c r="G677" s="191" t="s">
        <v>219</v>
      </c>
      <c r="H677" s="315"/>
      <c r="I677" s="329">
        <f>IF(I675=0,0,I$9-I676)</f>
        <v>23.877213695392129</v>
      </c>
      <c r="J677" s="317"/>
      <c r="K677" s="329">
        <f>IF(K675=0,0,I$9-K676)</f>
        <v>154</v>
      </c>
      <c r="L677" s="330">
        <f>IF(L675=0,0,I$9-L676)</f>
        <v>11.272727272727934</v>
      </c>
      <c r="M677" s="274"/>
      <c r="N677" s="156">
        <f>IF(N675=0,0,N$9-N676)</f>
        <v>12.39209761138045</v>
      </c>
      <c r="O677" s="196"/>
      <c r="P677" s="156">
        <f>IF(P675=0,0,N$9-P676)</f>
        <v>49.930419781485398</v>
      </c>
      <c r="Q677" s="245">
        <f>IF(Q675=0,0,N$9-Q676)</f>
        <v>1.189573940304399</v>
      </c>
      <c r="R677" s="238"/>
      <c r="S677" s="156">
        <f>IF(S675=0,0,S$9-S676)</f>
        <v>6.8270504636893747</v>
      </c>
      <c r="T677" s="196"/>
      <c r="U677" s="156">
        <f>IF(U675=0,0,S$9-U676)</f>
        <v>123</v>
      </c>
      <c r="V677" s="245">
        <f>IF(V675=0,0,S$9-V676)</f>
        <v>1.3473325766171911</v>
      </c>
      <c r="W677" s="238"/>
      <c r="X677" s="156">
        <f>IF(X675=0,0,X$9-X676)</f>
        <v>23.877213695392129</v>
      </c>
      <c r="Y677" s="196"/>
      <c r="Z677" s="156">
        <f>IF(Z675=0,0,X$9-Z676)</f>
        <v>154</v>
      </c>
      <c r="AA677" s="245">
        <f>IF(AA675=0,0,X$9-AA676)</f>
        <v>11.272727272727934</v>
      </c>
      <c r="AB677" s="265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</row>
    <row r="678" spans="1:42" s="192" customFormat="1" ht="11.25">
      <c r="A678" s="37"/>
      <c r="B678" s="37"/>
      <c r="C678" s="37"/>
      <c r="D678" s="191"/>
      <c r="E678" s="191" t="s">
        <v>311</v>
      </c>
      <c r="F678" s="191" t="str">
        <f t="shared" si="1181"/>
        <v>ВалентаСпорт</v>
      </c>
      <c r="G678" s="191" t="s">
        <v>262</v>
      </c>
      <c r="H678" s="315"/>
      <c r="I678" s="316">
        <f>I$9</f>
        <v>42369</v>
      </c>
      <c r="J678" s="317"/>
      <c r="K678" s="316">
        <f>I$9</f>
        <v>42369</v>
      </c>
      <c r="L678" s="318">
        <f>I$9</f>
        <v>42369</v>
      </c>
      <c r="M678" s="274"/>
      <c r="N678" s="193">
        <f>N$9</f>
        <v>42308</v>
      </c>
      <c r="O678" s="196"/>
      <c r="P678" s="193">
        <f>N$9</f>
        <v>42308</v>
      </c>
      <c r="Q678" s="237">
        <f>N$9</f>
        <v>42308</v>
      </c>
      <c r="R678" s="238"/>
      <c r="S678" s="193">
        <f>S$9</f>
        <v>42338</v>
      </c>
      <c r="T678" s="196"/>
      <c r="U678" s="193">
        <f>S$9</f>
        <v>42338</v>
      </c>
      <c r="V678" s="237">
        <f>S$9</f>
        <v>42338</v>
      </c>
      <c r="W678" s="238"/>
      <c r="X678" s="193">
        <f>X$9</f>
        <v>42369</v>
      </c>
      <c r="Y678" s="196"/>
      <c r="Z678" s="193">
        <f>X$9</f>
        <v>42369</v>
      </c>
      <c r="AA678" s="237">
        <f>X$9</f>
        <v>42369</v>
      </c>
      <c r="AB678" s="265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</row>
    <row r="679" spans="1:42" s="192" customFormat="1" ht="11.25">
      <c r="A679" s="37"/>
      <c r="B679" s="37"/>
      <c r="C679" s="37"/>
      <c r="D679" s="191"/>
      <c r="E679" s="191" t="s">
        <v>288</v>
      </c>
      <c r="F679" s="191" t="str">
        <f t="shared" si="1181"/>
        <v>ВалентаСпорт</v>
      </c>
      <c r="G679" s="191" t="s">
        <v>219</v>
      </c>
      <c r="H679" s="315"/>
      <c r="I679" s="329">
        <f>IF(I675=0,0,I678-I676)</f>
        <v>23.877213695392129</v>
      </c>
      <c r="J679" s="317"/>
      <c r="K679" s="329">
        <f>IF(K675=0,0,K678-K676)</f>
        <v>154</v>
      </c>
      <c r="L679" s="330">
        <f>IF(L675=0,0,L678-L676)</f>
        <v>11.272727272727934</v>
      </c>
      <c r="M679" s="274"/>
      <c r="N679" s="156">
        <f>IF(N675=0,0,N678-N676)</f>
        <v>12.39209761138045</v>
      </c>
      <c r="O679" s="196"/>
      <c r="P679" s="156">
        <f>IF(P675=0,0,P678-P676)</f>
        <v>49.930419781485398</v>
      </c>
      <c r="Q679" s="245">
        <f>IF(Q675=0,0,Q678-Q676)</f>
        <v>1.189573940304399</v>
      </c>
      <c r="R679" s="238"/>
      <c r="S679" s="156">
        <f>IF(S675=0,0,S678-S676)</f>
        <v>6.8270504636893747</v>
      </c>
      <c r="T679" s="196"/>
      <c r="U679" s="156">
        <f>IF(U675=0,0,U678-U676)</f>
        <v>123</v>
      </c>
      <c r="V679" s="245">
        <f>IF(V675=0,0,V678-V676)</f>
        <v>1.3473325766171911</v>
      </c>
      <c r="W679" s="238"/>
      <c r="X679" s="156">
        <f>IF(X675=0,0,X678-X676)</f>
        <v>23.877213695392129</v>
      </c>
      <c r="Y679" s="196"/>
      <c r="Z679" s="156">
        <f>IF(Z675=0,0,Z678-Z676)</f>
        <v>154</v>
      </c>
      <c r="AA679" s="245">
        <f>IF(AA675=0,0,AA678-AA676)</f>
        <v>11.272727272727934</v>
      </c>
      <c r="AB679" s="265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</row>
    <row r="680" spans="1:42" s="192" customFormat="1" ht="12" thickBot="1">
      <c r="A680" s="37"/>
      <c r="B680" s="37"/>
      <c r="C680" s="37"/>
      <c r="D680" s="297"/>
      <c r="E680" s="297" t="s">
        <v>289</v>
      </c>
      <c r="F680" s="297" t="str">
        <f t="shared" si="1181"/>
        <v>ВалентаСпорт</v>
      </c>
      <c r="G680" s="297" t="s">
        <v>219</v>
      </c>
      <c r="H680" s="377"/>
      <c r="I680" s="378">
        <f>I677-I679</f>
        <v>0</v>
      </c>
      <c r="J680" s="379"/>
      <c r="K680" s="378">
        <f>K677-K679</f>
        <v>0</v>
      </c>
      <c r="L680" s="380">
        <f>L677-L679</f>
        <v>0</v>
      </c>
      <c r="M680" s="300"/>
      <c r="N680" s="298">
        <f>N677-N679</f>
        <v>0</v>
      </c>
      <c r="O680" s="299"/>
      <c r="P680" s="298">
        <f>P677-P679</f>
        <v>0</v>
      </c>
      <c r="Q680" s="301">
        <f>Q677-Q679</f>
        <v>0</v>
      </c>
      <c r="R680" s="302"/>
      <c r="S680" s="298">
        <f>S677-S679</f>
        <v>0</v>
      </c>
      <c r="T680" s="299"/>
      <c r="U680" s="298">
        <f>U677-U679</f>
        <v>0</v>
      </c>
      <c r="V680" s="301">
        <f>V677-V679</f>
        <v>0</v>
      </c>
      <c r="W680" s="302"/>
      <c r="X680" s="298">
        <f>X677-X679</f>
        <v>0</v>
      </c>
      <c r="Y680" s="299"/>
      <c r="Z680" s="298">
        <f>Z677-Z679</f>
        <v>0</v>
      </c>
      <c r="AA680" s="301">
        <f>AA677-AA679</f>
        <v>0</v>
      </c>
      <c r="AB680" s="265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</row>
    <row r="681" spans="1:42" s="111" customFormat="1" ht="11.25">
      <c r="A681" s="108"/>
      <c r="B681" s="108"/>
      <c r="C681" s="108" t="s">
        <v>271</v>
      </c>
      <c r="D681" s="291"/>
      <c r="E681" s="291"/>
      <c r="F681" s="291" t="str">
        <f>F682</f>
        <v>Вега</v>
      </c>
      <c r="G681" s="291"/>
      <c r="H681" s="373"/>
      <c r="I681" s="374">
        <f>I682-K682-L682</f>
        <v>0</v>
      </c>
      <c r="J681" s="375">
        <f>N681+N699+N737+SUM(O:O)+S681+S699+S737+SUM(T:T)+X681+X699+X737+SUM(Y:Y)</f>
        <v>3.7104683769939584E-9</v>
      </c>
      <c r="K681" s="373"/>
      <c r="L681" s="376"/>
      <c r="M681" s="293"/>
      <c r="N681" s="292">
        <f>N682-P682-Q682</f>
        <v>0</v>
      </c>
      <c r="O681" s="294"/>
      <c r="P681" s="291"/>
      <c r="Q681" s="295"/>
      <c r="R681" s="296"/>
      <c r="S681" s="292">
        <f>S682-U682-V682</f>
        <v>0</v>
      </c>
      <c r="T681" s="294"/>
      <c r="U681" s="291"/>
      <c r="V681" s="295"/>
      <c r="W681" s="296"/>
      <c r="X681" s="292">
        <f>X682-Z682-AA682</f>
        <v>0</v>
      </c>
      <c r="Y681" s="294"/>
      <c r="Z681" s="291"/>
      <c r="AA681" s="295"/>
      <c r="AB681" s="263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</row>
    <row r="682" spans="1:42" s="93" customFormat="1" ht="15">
      <c r="A682" s="92"/>
      <c r="B682" s="92"/>
      <c r="C682" s="92"/>
      <c r="D682" s="151" t="s">
        <v>256</v>
      </c>
      <c r="E682" s="151"/>
      <c r="F682" s="286" t="str">
        <f>микс!$H$26</f>
        <v>Вега</v>
      </c>
      <c r="G682" s="151" t="s">
        <v>261</v>
      </c>
      <c r="H682" s="311"/>
      <c r="I682" s="312">
        <f>SUMIFS(операции!$V:$V,операции!$T:$T,"&lt;"&amp;I$8,операции!$X:$X,"",операции!$O:$O,$F682)+SUMIFS(операции!$V:$V,операции!$T:$T,"&lt;"&amp;I$8,операции!$X:$X,"&gt;="&amp;I$8,операции!$O:$O,$F682)</f>
        <v>16865.120000000003</v>
      </c>
      <c r="J682" s="313">
        <f>I682-I687-I693</f>
        <v>0</v>
      </c>
      <c r="K682" s="312">
        <f>SUMIFS(операции!$V:$V,операции!$T:$T,"&lt;"&amp;I$8,операции!$X:$X,"",операции!$L:$L,K$9,операции!$O:$O,$F682)+SUMIFS(операции!$V:$V,операции!$T:$T,"&lt;"&amp;I$8,операции!$X:$X,"&gt;="&amp;I$8,операции!$L:$L,K$9,операции!$O:$O,$F682)</f>
        <v>16865.120000000003</v>
      </c>
      <c r="L682" s="314">
        <f>SUMIFS(операции!$V:$V,операции!$T:$T,"&lt;"&amp;I$8,операции!$X:$X,"",операции!$L:$L,L$9,операции!$O:$O,$F682)+SUMIFS(операции!$V:$V,операции!$T:$T,"&lt;"&amp;I$8,операции!$X:$X,"&gt;="&amp;I$8,операции!$L:$L,L$9,операции!$O:$O,$F682)</f>
        <v>0</v>
      </c>
      <c r="M682" s="273"/>
      <c r="N682" s="152">
        <f>SUMIFS(операции!$V:$V,операции!$T:$T,"&lt;"&amp;N$8,операции!$X:$X,"",операции!$O:$O,$F682)+SUMIFS(операции!$V:$V,операции!$T:$T,"&lt;"&amp;N$8,операции!$X:$X,"&gt;="&amp;N$8,операции!$O:$O,$F682)</f>
        <v>16865.120000000003</v>
      </c>
      <c r="O682" s="170">
        <f>N682-N687-N693</f>
        <v>0</v>
      </c>
      <c r="P682" s="152">
        <f>SUMIFS(операции!$V:$V,операции!$T:$T,"&lt;"&amp;N$8,операции!$X:$X,"",операции!$L:$L,P$9,операции!$O:$O,$F682)+SUMIFS(операции!$V:$V,операции!$T:$T,"&lt;"&amp;N$8,операции!$X:$X,"&gt;="&amp;N$8,операции!$L:$L,P$9,операции!$O:$O,$F682)</f>
        <v>16865.120000000003</v>
      </c>
      <c r="Q682" s="235">
        <f>SUMIFS(операции!$V:$V,операции!$T:$T,"&lt;"&amp;N$8,операции!$X:$X,"",операции!$L:$L,Q$9,операции!$O:$O,$F682)+SUMIFS(операции!$V:$V,операции!$T:$T,"&lt;"&amp;N$8,операции!$X:$X,"&gt;="&amp;N$8,операции!$L:$L,Q$9,операции!$O:$O,$F682)</f>
        <v>0</v>
      </c>
      <c r="R682" s="236"/>
      <c r="S682" s="152">
        <f>SUMIFS(операции!$V:$V,операции!$T:$T,"&lt;"&amp;S$8,операции!$X:$X,"",операции!$O:$O,$F682)+SUMIFS(операции!$V:$V,операции!$T:$T,"&lt;"&amp;S$8,операции!$X:$X,"&gt;="&amp;S$8,операции!$O:$O,$F682)</f>
        <v>19116.79</v>
      </c>
      <c r="T682" s="170">
        <f>S682-S687-S693</f>
        <v>0</v>
      </c>
      <c r="U682" s="152">
        <f>SUMIFS(операции!$V:$V,операции!$T:$T,"&lt;"&amp;S$8,операции!$X:$X,"",операции!$L:$L,U$9,операции!$O:$O,$F682)+SUMIFS(операции!$V:$V,операции!$T:$T,"&lt;"&amp;S$8,операции!$X:$X,"&gt;="&amp;S$8,операции!$L:$L,U$9,операции!$O:$O,$F682)</f>
        <v>15847.03</v>
      </c>
      <c r="V682" s="235">
        <f>SUMIFS(операции!$V:$V,операции!$T:$T,"&lt;"&amp;S$8,операции!$X:$X,"",операции!$L:$L,V$9,операции!$O:$O,$F682)+SUMIFS(операции!$V:$V,операции!$T:$T,"&lt;"&amp;S$8,операции!$X:$X,"&gt;="&amp;S$8,операции!$L:$L,V$9,операции!$O:$O,$F682)</f>
        <v>3269.7599999999998</v>
      </c>
      <c r="W682" s="236"/>
      <c r="X682" s="152">
        <f>SUMIFS(операции!$V:$V,операции!$T:$T,"&lt;"&amp;X$8,операции!$X:$X,"",операции!$O:$O,$F682)+SUMIFS(операции!$V:$V,операции!$T:$T,"&lt;"&amp;X$8,операции!$X:$X,"&gt;="&amp;X$8,операции!$O:$O,$F682)</f>
        <v>23634.13</v>
      </c>
      <c r="Y682" s="170">
        <f>X682-X687-X693</f>
        <v>0</v>
      </c>
      <c r="Z682" s="152">
        <f>SUMIFS(операции!$V:$V,операции!$T:$T,"&lt;"&amp;X$8,операции!$X:$X,"",операции!$L:$L,Z$9,операции!$O:$O,$F682)+SUMIFS(операции!$V:$V,операции!$T:$T,"&lt;"&amp;X$8,операции!$X:$X,"&gt;="&amp;X$8,операции!$L:$L,Z$9,операции!$O:$O,$F682)</f>
        <v>10797.45</v>
      </c>
      <c r="AA682" s="235">
        <f>SUMIFS(операции!$V:$V,операции!$T:$T,"&lt;"&amp;X$8,операции!$X:$X,"",операции!$L:$L,AA$9,операции!$O:$O,$F682)+SUMIFS(операции!$V:$V,операции!$T:$T,"&lt;"&amp;X$8,операции!$X:$X,"&gt;="&amp;X$8,операции!$L:$L,AA$9,операции!$O:$O,$F682)</f>
        <v>12836.68</v>
      </c>
      <c r="AB682" s="264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</row>
    <row r="683" spans="1:42" s="192" customFormat="1" ht="11.25">
      <c r="A683" s="37"/>
      <c r="B683" s="37"/>
      <c r="C683" s="37"/>
      <c r="D683" s="191" t="s">
        <v>255</v>
      </c>
      <c r="E683" s="191"/>
      <c r="F683" s="191" t="str">
        <f>F682</f>
        <v>Вега</v>
      </c>
      <c r="G683" s="191" t="s">
        <v>262</v>
      </c>
      <c r="H683" s="315"/>
      <c r="I683" s="316">
        <f>IF(I682=0,0,(SUMIFS(операции!$AF:$AF,операции!$T:$T,"&lt;"&amp;I$8,операции!$X:$X,"",операции!$O:$O,$F682)+SUMIFS(операции!$AF:$AF,операции!$T:$T,"&lt;"&amp;I$8,операции!$X:$X,"&gt;="&amp;I$8,операции!$O:$O,$F682))/I682)</f>
        <v>42110.347237375121</v>
      </c>
      <c r="J683" s="317"/>
      <c r="K683" s="316">
        <f>IF(K682=0,0,(SUMIFS(операции!$AF:$AF,операции!$T:$T,"&lt;"&amp;I$8,операции!$X:$X,"",операции!$L:$L,K$9,операции!$O:$O,$F682)+SUMIFS(операции!$AF:$AF,операции!$T:$T,"&lt;"&amp;I$8,операции!$X:$X,"&gt;="&amp;I$8,операции!$L:$L,K$9,операции!$O:$O,$F682))/K682)</f>
        <v>42110.347237375121</v>
      </c>
      <c r="L683" s="318">
        <f>IF(L682=0,0,(SUMIFS(операции!$AF:$AF,операции!$T:$T,"&lt;"&amp;I$8,операции!$X:$X,"",операции!$L:$L,L$9,операции!$O:$O,$F682)+SUMIFS(операции!$AF:$AF,операции!$T:$T,"&lt;"&amp;I$8,операции!$X:$X,"&gt;="&amp;I$8,операции!$L:$L,L$9,операции!$O:$O,$F682))/L682)</f>
        <v>0</v>
      </c>
      <c r="M683" s="274"/>
      <c r="N683" s="193">
        <f>IF(N682=0,0,(SUMIFS(операции!$AF:$AF,операции!$T:$T,"&lt;"&amp;N$8,операции!$X:$X,"",операции!$O:$O,$F682)+SUMIFS(операции!$AF:$AF,операции!$T:$T,"&lt;"&amp;N$8,операции!$X:$X,"&gt;="&amp;N$8,операции!$O:$O,$F682))/N682)</f>
        <v>42110.347237375121</v>
      </c>
      <c r="O683" s="196"/>
      <c r="P683" s="193">
        <f>IF(P682=0,0,(SUMIFS(операции!$AF:$AF,операции!$T:$T,"&lt;"&amp;N$8,операции!$X:$X,"",операции!$L:$L,P$9,операции!$O:$O,$F682)+SUMIFS(операции!$AF:$AF,операции!$T:$T,"&lt;"&amp;N$8,операции!$X:$X,"&gt;="&amp;N$8,операции!$L:$L,P$9,операции!$O:$O,$F682))/P682)</f>
        <v>42110.347237375121</v>
      </c>
      <c r="Q683" s="237">
        <f>IF(Q682=0,0,(SUMIFS(операции!$AF:$AF,операции!$T:$T,"&lt;"&amp;N$8,операции!$X:$X,"",операции!$L:$L,Q$9,операции!$O:$O,$F682)+SUMIFS(операции!$AF:$AF,операции!$T:$T,"&lt;"&amp;N$8,операции!$X:$X,"&gt;="&amp;N$8,операции!$L:$L,Q$9,операции!$O:$O,$F682))/Q682)</f>
        <v>0</v>
      </c>
      <c r="R683" s="238"/>
      <c r="S683" s="193">
        <f>IF(S682=0,0,(SUMIFS(операции!$AF:$AF,операции!$T:$T,"&lt;"&amp;S$8,операции!$X:$X,"",операции!$O:$O,$F682)+SUMIFS(операции!$AF:$AF,операции!$T:$T,"&lt;"&amp;S$8,операции!$X:$X,"&gt;="&amp;S$8,операции!$O:$O,$F682))/S682)</f>
        <v>42138.568016910787</v>
      </c>
      <c r="T683" s="196"/>
      <c r="U683" s="193">
        <f>IF(U682=0,0,(SUMIFS(операции!$AF:$AF,операции!$T:$T,"&lt;"&amp;S$8,операции!$X:$X,"",операции!$L:$L,U$9,операции!$O:$O,$F682)+SUMIFS(операции!$AF:$AF,операции!$T:$T,"&lt;"&amp;S$8,операции!$X:$X,"&gt;="&amp;S$8,операции!$L:$L,U$9,операции!$O:$O,$F682))/U682)</f>
        <v>42103.866112451353</v>
      </c>
      <c r="V683" s="237">
        <f>IF(V682=0,0,(SUMIFS(операции!$AF:$AF,операции!$T:$T,"&lt;"&amp;S$8,операции!$X:$X,"",операции!$L:$L,V$9,операции!$O:$O,$F682)+SUMIFS(операции!$AF:$AF,операции!$T:$T,"&lt;"&amp;S$8,операции!$X:$X,"&gt;="&amp;S$8,операции!$L:$L,V$9,операции!$O:$O,$F682))/V682)</f>
        <v>42306.752263163049</v>
      </c>
      <c r="W683" s="238"/>
      <c r="X683" s="193">
        <f>IF(X682=0,0,(SUMIFS(операции!$AF:$AF,операции!$T:$T,"&lt;"&amp;X$8,операции!$X:$X,"",операции!$O:$O,$F682)+SUMIFS(операции!$AF:$AF,операции!$T:$T,"&lt;"&amp;X$8,операции!$X:$X,"&gt;="&amp;X$8,операции!$O:$O,$F682))/X682)</f>
        <v>42235.450318670497</v>
      </c>
      <c r="Y683" s="196"/>
      <c r="Z683" s="193">
        <f>IF(Z682=0,0,(SUMIFS(операции!$AF:$AF,операции!$T:$T,"&lt;"&amp;X$8,операции!$X:$X,"",операции!$L:$L,Z$9,операции!$O:$O,$F682)+SUMIFS(операции!$AF:$AF,операции!$T:$T,"&lt;"&amp;X$8,операции!$X:$X,"&gt;="&amp;X$8,операции!$L:$L,Z$9,операции!$O:$O,$F682))/Z682)</f>
        <v>42116.079129794532</v>
      </c>
      <c r="AA683" s="237">
        <f>IF(AA682=0,0,(SUMIFS(операции!$AF:$AF,операции!$T:$T,"&lt;"&amp;X$8,операции!$X:$X,"",операции!$L:$L,AA$9,операции!$O:$O,$F682)+SUMIFS(операции!$AF:$AF,операции!$T:$T,"&lt;"&amp;X$8,операции!$X:$X,"&gt;="&amp;X$8,операции!$L:$L,AA$9,операции!$O:$O,$F682))/AA682)</f>
        <v>42335.858246836411</v>
      </c>
      <c r="AB683" s="265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</row>
    <row r="684" spans="1:42" s="50" customFormat="1" ht="11.25">
      <c r="A684" s="48"/>
      <c r="B684" s="48"/>
      <c r="C684" s="48"/>
      <c r="D684" s="154" t="s">
        <v>257</v>
      </c>
      <c r="E684" s="154"/>
      <c r="F684" s="154" t="str">
        <f t="shared" ref="F684:F750" si="1182">F683</f>
        <v>Вега</v>
      </c>
      <c r="G684" s="154" t="s">
        <v>219</v>
      </c>
      <c r="H684" s="319"/>
      <c r="I684" s="320">
        <f>IF(I682=0,0,I$8-I683)</f>
        <v>167.65276262487896</v>
      </c>
      <c r="J684" s="321">
        <f>I684-IF(I682=0,0,(I687*I689+I693*I695)/I682)</f>
        <v>4.0927261579781771E-12</v>
      </c>
      <c r="K684" s="320">
        <f>IF(K682=0,0,I$8-K683)</f>
        <v>167.65276262487896</v>
      </c>
      <c r="L684" s="322">
        <f>IF(L682=0,0,I$8-L683)</f>
        <v>0</v>
      </c>
      <c r="M684" s="275"/>
      <c r="N684" s="155">
        <f>IF(N682=0,0,N$8-N683)</f>
        <v>167.65276262487896</v>
      </c>
      <c r="O684" s="173">
        <f>N684-IF(N682=0,0,(N687*N689+N693*N695)/N682)</f>
        <v>4.0927261579781771E-12</v>
      </c>
      <c r="P684" s="155">
        <f>IF(P682=0,0,N$8-P683)</f>
        <v>167.65276262487896</v>
      </c>
      <c r="Q684" s="239">
        <f>IF(Q682=0,0,N$8-Q683)</f>
        <v>0</v>
      </c>
      <c r="R684" s="240"/>
      <c r="S684" s="155">
        <f>IF(S682=0,0,S$8-S683)</f>
        <v>170.43198308921274</v>
      </c>
      <c r="T684" s="173">
        <f>S684-IF(S682=0,0,(S687*S689+S693*S695)/S682)</f>
        <v>-3.893774191965349E-12</v>
      </c>
      <c r="U684" s="155">
        <f>IF(U682=0,0,S$8-U683)</f>
        <v>205.13388754864718</v>
      </c>
      <c r="V684" s="239">
        <f>IF(V682=0,0,S$8-V683)</f>
        <v>2.247736836950935</v>
      </c>
      <c r="W684" s="240"/>
      <c r="X684" s="155">
        <f>IF(X682=0,0,X$8-X683)</f>
        <v>103.54968132950307</v>
      </c>
      <c r="Y684" s="173">
        <f>X684-IF(X682=0,0,(X687*X689+X693*X695)/X682)</f>
        <v>4.4906300900038332E-12</v>
      </c>
      <c r="Z684" s="155">
        <f>IF(Z682=0,0,X$8-Z683)</f>
        <v>222.92087020546751</v>
      </c>
      <c r="AA684" s="239">
        <f>IF(AA682=0,0,X$8-AA683)</f>
        <v>3.1417531635888736</v>
      </c>
      <c r="AB684" s="230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</row>
    <row r="685" spans="1:42" s="93" customFormat="1" ht="15">
      <c r="A685" s="92"/>
      <c r="B685" s="92"/>
      <c r="C685" s="92"/>
      <c r="D685" s="198" t="s">
        <v>267</v>
      </c>
      <c r="E685" s="198"/>
      <c r="F685" s="198" t="str">
        <f t="shared" si="1182"/>
        <v>Вега</v>
      </c>
      <c r="G685" s="198" t="s">
        <v>219</v>
      </c>
      <c r="H685" s="323"/>
      <c r="I685" s="324">
        <f>IF(I682=0,0,(I687*I691+I693*I697)/I682)</f>
        <v>58.162120399974334</v>
      </c>
      <c r="J685" s="321"/>
      <c r="K685" s="324">
        <f t="shared" ref="K685" si="1183">IF(K682=0,0,(K687*K691+K693*K697)/K682)</f>
        <v>58.162120399974334</v>
      </c>
      <c r="L685" s="325">
        <f>IF(L682=0,0,(L687*L691+L693*L697)/L682)</f>
        <v>0</v>
      </c>
      <c r="M685" s="276"/>
      <c r="N685" s="199">
        <f>IF(N682=0,0,(N687*N691+N693*N697)/N682)</f>
        <v>58.162120399974334</v>
      </c>
      <c r="O685" s="173"/>
      <c r="P685" s="199">
        <f t="shared" ref="P685" si="1184">IF(P682=0,0,(P687*P691+P693*P697)/P682)</f>
        <v>58.162120399974334</v>
      </c>
      <c r="Q685" s="241">
        <f>IF(Q682=0,0,(Q687*Q691+Q693*Q697)/Q682)</f>
        <v>0</v>
      </c>
      <c r="R685" s="242"/>
      <c r="S685" s="199">
        <f>IF(S682=0,0,(S687*S691+S693*S697)/S682)</f>
        <v>58.000768434452063</v>
      </c>
      <c r="T685" s="173"/>
      <c r="U685" s="199">
        <f t="shared" ref="U685" si="1185">IF(U682=0,0,(U687*U691+U693*U697)/U682)</f>
        <v>69.504440264205044</v>
      </c>
      <c r="V685" s="241">
        <f>IF(V682=0,0,(V687*V691+V693*V697)/V682)</f>
        <v>2.247736836950935</v>
      </c>
      <c r="W685" s="242"/>
      <c r="X685" s="199">
        <f>IF(X682=0,0,(X687*X691+X693*X697)/X682)</f>
        <v>31.517309501129247</v>
      </c>
      <c r="Y685" s="173"/>
      <c r="Z685" s="199">
        <f t="shared" ref="Z685" si="1186">IF(Z682=0,0,(Z687*Z691+Z693*Z697)/Z682)</f>
        <v>65.251935410674605</v>
      </c>
      <c r="AA685" s="241">
        <f>IF(AA682=0,0,(AA687*AA691+AA693*AA697)/AA682)</f>
        <v>3.1417531635888731</v>
      </c>
      <c r="AB685" s="264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</row>
    <row r="686" spans="1:42" s="50" customFormat="1" ht="11.25">
      <c r="A686" s="48"/>
      <c r="B686" s="48"/>
      <c r="C686" s="48"/>
      <c r="D686" s="154" t="s">
        <v>270</v>
      </c>
      <c r="E686" s="154"/>
      <c r="F686" s="154" t="str">
        <f t="shared" si="1182"/>
        <v>Вега</v>
      </c>
      <c r="G686" s="154" t="s">
        <v>219</v>
      </c>
      <c r="H686" s="319"/>
      <c r="I686" s="320">
        <f>I684-I685</f>
        <v>109.49064222490463</v>
      </c>
      <c r="J686" s="321"/>
      <c r="K686" s="320">
        <f t="shared" ref="K686" si="1187">K684-K685</f>
        <v>109.49064222490463</v>
      </c>
      <c r="L686" s="322">
        <f t="shared" ref="L686" si="1188">L684-L685</f>
        <v>0</v>
      </c>
      <c r="M686" s="275"/>
      <c r="N686" s="155">
        <f>N684-N685</f>
        <v>109.49064222490463</v>
      </c>
      <c r="O686" s="173"/>
      <c r="P686" s="155">
        <f t="shared" ref="P686" si="1189">P684-P685</f>
        <v>109.49064222490463</v>
      </c>
      <c r="Q686" s="239">
        <f t="shared" ref="Q686" si="1190">Q684-Q685</f>
        <v>0</v>
      </c>
      <c r="R686" s="240"/>
      <c r="S686" s="155">
        <f>S684-S685</f>
        <v>112.43121465476068</v>
      </c>
      <c r="T686" s="173"/>
      <c r="U686" s="155">
        <f t="shared" ref="U686" si="1191">U684-U685</f>
        <v>135.62944728444214</v>
      </c>
      <c r="V686" s="239">
        <f t="shared" ref="V686" si="1192">V684-V685</f>
        <v>0</v>
      </c>
      <c r="W686" s="240"/>
      <c r="X686" s="155">
        <f>X684-X685</f>
        <v>72.032371828373826</v>
      </c>
      <c r="Y686" s="173"/>
      <c r="Z686" s="155">
        <f t="shared" ref="Z686" si="1193">Z684-Z685</f>
        <v>157.6689347947929</v>
      </c>
      <c r="AA686" s="239">
        <f t="shared" ref="AA686" si="1194">AA684-AA685</f>
        <v>0</v>
      </c>
      <c r="AB686" s="230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</row>
    <row r="687" spans="1:42" s="5" customFormat="1">
      <c r="A687" s="1"/>
      <c r="B687" s="1"/>
      <c r="C687" s="1"/>
      <c r="D687" s="168"/>
      <c r="E687" s="168" t="s">
        <v>258</v>
      </c>
      <c r="F687" s="168" t="str">
        <f t="shared" si="1182"/>
        <v>Вега</v>
      </c>
      <c r="G687" s="168" t="s">
        <v>261</v>
      </c>
      <c r="H687" s="326"/>
      <c r="I687" s="327">
        <f>SUMIFS(операции!$V:$V,операции!$T:$T,"&lt;"&amp;I$8,операции!$X:$X,"",операции!$AB:$AB,"&lt;&gt;"&amp;"",операции!$AB:$AB,"&lt;"&amp;I$8,операции!$O:$O,$F682)+SUMIFS(операции!$V:$V,операции!$T:$T,"&lt;"&amp;I$8,операции!$X:$X,"&gt;="&amp;I$8,операции!$AB:$AB,"&lt;&gt;"&amp;"",операции!$AB:$AB,"&lt;"&amp;I$8,операции!$O:$O,$F682)</f>
        <v>11307.73</v>
      </c>
      <c r="J687" s="313">
        <f>I687-K687-L687</f>
        <v>0</v>
      </c>
      <c r="K687" s="327">
        <f>SUMIFS(операции!$V:$V,операции!$T:$T,"&lt;"&amp;I$8,операции!$X:$X,"",операции!$AB:$AB,"&lt;&gt;"&amp;"",операции!$AB:$AB,"&lt;"&amp;I$8,операции!$L:$L,K$9,операции!$O:$O,$F682)+SUMIFS(операции!$V:$V,операции!$T:$T,"&lt;"&amp;I$8,операции!$X:$X,"&gt;="&amp;I$8,операции!$AB:$AB,"&lt;&gt;"&amp;"",операции!$AB:$AB,"&lt;"&amp;I$8,операции!$L:$L,K$9,операции!$O:$O,$F682)</f>
        <v>11307.73</v>
      </c>
      <c r="L687" s="328">
        <f>SUMIFS(операции!$V:$V,операции!$T:$T,"&lt;"&amp;I$8,операции!$X:$X,"",операции!$AB:$AB,"&lt;&gt;"&amp;"",операции!$AB:$AB,"&lt;"&amp;I$8,операции!$L:$L,L$9,операции!$O:$O,$F682)+SUMIFS(операции!$V:$V,операции!$T:$T,"&lt;"&amp;I$8,операции!$X:$X,"&gt;="&amp;I$8,операции!$AB:$AB,"&lt;&gt;"&amp;"",операции!$AB:$AB,"&lt;"&amp;I$8,операции!$L:$L,L$9,операции!$O:$O,$F682)</f>
        <v>0</v>
      </c>
      <c r="M687" s="277"/>
      <c r="N687" s="169">
        <f>SUMIFS(операции!$V:$V,операции!$T:$T,"&lt;"&amp;N$8,операции!$X:$X,"",операции!$AB:$AB,"&lt;&gt;"&amp;"",операции!$AB:$AB,"&lt;"&amp;N$8,операции!$O:$O,$F682)+SUMIFS(операции!$V:$V,операции!$T:$T,"&lt;"&amp;N$8,операции!$X:$X,"&gt;="&amp;N$8,операции!$AB:$AB,"&lt;&gt;"&amp;"",операции!$AB:$AB,"&lt;"&amp;N$8,операции!$O:$O,$F682)</f>
        <v>11307.73</v>
      </c>
      <c r="O687" s="170">
        <f>N687-P687-Q687</f>
        <v>0</v>
      </c>
      <c r="P687" s="169">
        <f>SUMIFS(операции!$V:$V,операции!$T:$T,"&lt;"&amp;N$8,операции!$X:$X,"",операции!$AB:$AB,"&lt;&gt;"&amp;"",операции!$AB:$AB,"&lt;"&amp;N$8,операции!$L:$L,P$9,операции!$O:$O,$F682)+SUMIFS(операции!$V:$V,операции!$T:$T,"&lt;"&amp;N$8,операции!$X:$X,"&gt;="&amp;N$8,операции!$AB:$AB,"&lt;&gt;"&amp;"",операции!$AB:$AB,"&lt;"&amp;N$8,операции!$L:$L,P$9,операции!$O:$O,$F682)</f>
        <v>11307.73</v>
      </c>
      <c r="Q687" s="243">
        <f>SUMIFS(операции!$V:$V,операции!$T:$T,"&lt;"&amp;N$8,операции!$X:$X,"",операции!$AB:$AB,"&lt;&gt;"&amp;"",операции!$AB:$AB,"&lt;"&amp;N$8,операции!$L:$L,Q$9,операции!$O:$O,$F682)+SUMIFS(операции!$V:$V,операции!$T:$T,"&lt;"&amp;N$8,операции!$X:$X,"&gt;="&amp;N$8,операции!$AB:$AB,"&lt;&gt;"&amp;"",операции!$AB:$AB,"&lt;"&amp;N$8,операции!$L:$L,Q$9,операции!$O:$O,$F682)</f>
        <v>0</v>
      </c>
      <c r="R687" s="244"/>
      <c r="S687" s="169">
        <f>SUMIFS(операции!$V:$V,операции!$T:$T,"&lt;"&amp;S$8,операции!$X:$X,"",операции!$AB:$AB,"&lt;&gt;"&amp;"",операции!$AB:$AB,"&lt;"&amp;S$8,операции!$O:$O,$F682)+SUMIFS(операции!$V:$V,операции!$T:$T,"&lt;"&amp;S$8,операции!$X:$X,"&gt;="&amp;S$8,операции!$AB:$AB,"&lt;&gt;"&amp;"",операции!$AB:$AB,"&lt;"&amp;S$8,операции!$O:$O,$F682)</f>
        <v>12072.490000000002</v>
      </c>
      <c r="T687" s="170">
        <f>S687-U687-V687</f>
        <v>0</v>
      </c>
      <c r="U687" s="169">
        <f>SUMIFS(операции!$V:$V,операции!$T:$T,"&lt;"&amp;S$8,операции!$X:$X,"",операции!$AB:$AB,"&lt;&gt;"&amp;"",операции!$AB:$AB,"&lt;"&amp;S$8,операции!$L:$L,U$9,операции!$O:$O,$F682)+SUMIFS(операции!$V:$V,операции!$T:$T,"&lt;"&amp;S$8,операции!$X:$X,"&gt;="&amp;S$8,операции!$AB:$AB,"&lt;&gt;"&amp;"",операции!$AB:$AB,"&lt;"&amp;S$8,операции!$L:$L,U$9,операции!$O:$O,$F682)</f>
        <v>12072.490000000002</v>
      </c>
      <c r="V687" s="243">
        <f>SUMIFS(операции!$V:$V,операции!$T:$T,"&lt;"&amp;S$8,операции!$X:$X,"",операции!$AB:$AB,"&lt;&gt;"&amp;"",операции!$AB:$AB,"&lt;"&amp;S$8,операции!$L:$L,V$9,операции!$O:$O,$F682)+SUMIFS(операции!$V:$V,операции!$T:$T,"&lt;"&amp;S$8,операции!$X:$X,"&gt;="&amp;S$8,операции!$AB:$AB,"&lt;&gt;"&amp;"",операции!$AB:$AB,"&lt;"&amp;S$8,операции!$L:$L,V$9,операции!$O:$O,$F682)</f>
        <v>0</v>
      </c>
      <c r="W687" s="244"/>
      <c r="X687" s="169">
        <f>SUMIFS(операции!$V:$V,операции!$T:$T,"&lt;"&amp;X$8,операции!$X:$X,"",операции!$AB:$AB,"&lt;&gt;"&amp;"",операции!$AB:$AB,"&lt;"&amp;X$8,операции!$O:$O,$F682)+SUMIFS(операции!$V:$V,операции!$T:$T,"&lt;"&amp;X$8,операции!$X:$X,"&gt;="&amp;X$8,операции!$AB:$AB,"&lt;&gt;"&amp;"",операции!$AB:$AB,"&lt;"&amp;X$8,операции!$O:$O,$F682)</f>
        <v>8739.35</v>
      </c>
      <c r="Y687" s="170">
        <f>X687-Z687-AA687</f>
        <v>0</v>
      </c>
      <c r="Z687" s="169">
        <f>SUMIFS(операции!$V:$V,операции!$T:$T,"&lt;"&amp;X$8,операции!$X:$X,"",операции!$AB:$AB,"&lt;&gt;"&amp;"",операции!$AB:$AB,"&lt;"&amp;X$8,операции!$L:$L,Z$9,операции!$O:$O,$F682)+SUMIFS(операции!$V:$V,операции!$T:$T,"&lt;"&amp;X$8,операции!$X:$X,"&gt;="&amp;X$8,операции!$AB:$AB,"&lt;&gt;"&amp;"",операции!$AB:$AB,"&lt;"&amp;X$8,операции!$L:$L,Z$9,операции!$O:$O,$F682)</f>
        <v>8739.35</v>
      </c>
      <c r="AA687" s="243">
        <f>SUMIFS(операции!$V:$V,операции!$T:$T,"&lt;"&amp;X$8,операции!$X:$X,"",операции!$AB:$AB,"&lt;&gt;"&amp;"",операции!$AB:$AB,"&lt;"&amp;X$8,операции!$L:$L,AA$9,операции!$O:$O,$F682)+SUMIFS(операции!$V:$V,операции!$T:$T,"&lt;"&amp;X$8,операции!$X:$X,"&gt;="&amp;X$8,операции!$AB:$AB,"&lt;&gt;"&amp;"",операции!$AB:$AB,"&lt;"&amp;X$8,операции!$L:$L,AA$9,операции!$O:$O,$F682)</f>
        <v>0</v>
      </c>
      <c r="AB687" s="266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s="192" customFormat="1" ht="11.25">
      <c r="A688" s="37"/>
      <c r="B688" s="37"/>
      <c r="C688" s="37"/>
      <c r="D688" s="191"/>
      <c r="E688" s="191" t="s">
        <v>255</v>
      </c>
      <c r="F688" s="191" t="str">
        <f t="shared" si="1182"/>
        <v>Вега</v>
      </c>
      <c r="G688" s="191" t="s">
        <v>262</v>
      </c>
      <c r="H688" s="315"/>
      <c r="I688" s="316">
        <f>IF(I687=0,0,(SUMIFS(операции!$AF:$AF,операции!$T:$T,"&lt;"&amp;I$8,операции!$X:$X,"",операции!$AB:$AB,"&lt;&gt;"&amp;"",операции!$AB:$AB,"&lt;"&amp;I$8,операции!$O:$O,$F682)+SUMIFS(операции!$AF:$AF,операции!$T:$T,"&lt;"&amp;I$8,операции!$X:$X,"&gt;="&amp;I$8,операции!$AB:$AB,"&lt;&gt;"&amp;"",операции!$AB:$AB,"&lt;"&amp;I$8,операции!$O:$O,$F682))/I687)</f>
        <v>42089.149868275948</v>
      </c>
      <c r="J688" s="317"/>
      <c r="K688" s="316">
        <f>IF(K687=0,0,(SUMIFS(операции!$AF:$AF,операции!$T:$T,"&lt;"&amp;I$8,операции!$X:$X,"",операции!$AB:$AB,"&lt;&gt;"&amp;"",операции!$AB:$AB,"&lt;"&amp;I$8,операции!$L:$L,K$9,операции!$O:$O,$F682)+SUMIFS(операции!$AF:$AF,операции!$T:$T,"&lt;"&amp;I$8,операции!$X:$X,"&gt;="&amp;I$8,операции!$AB:$AB,"&lt;&gt;"&amp;"",операции!$AB:$AB,"&lt;"&amp;I$8,операции!$L:$L,K$9,операции!$O:$O,$F682))/K687)</f>
        <v>42089.149868275948</v>
      </c>
      <c r="L688" s="318">
        <f>IF(L687=0,0,(SUMIFS(операции!$AF:$AF,операции!$T:$T,"&lt;"&amp;I$8,операции!$X:$X,"",операции!$AB:$AB,"&lt;&gt;"&amp;"",операции!$AB:$AB,"&lt;"&amp;I$8,операции!$L:$L,L$9,операции!$O:$O,$F682)+SUMIFS(операции!$AF:$AF,операции!$T:$T,"&lt;"&amp;I$8,операции!$X:$X,"&gt;="&amp;I$8,операции!$AB:$AB,"&lt;&gt;"&amp;"",операции!$AB:$AB,"&lt;"&amp;I$8,операции!$L:$L,L$9,операции!$O:$O,$F682))/L687)</f>
        <v>0</v>
      </c>
      <c r="M688" s="274"/>
      <c r="N688" s="193">
        <f>IF(N687=0,0,(SUMIFS(операции!$AF:$AF,операции!$T:$T,"&lt;"&amp;N$8,операции!$X:$X,"",операции!$AB:$AB,"&lt;&gt;"&amp;"",операции!$AB:$AB,"&lt;"&amp;N$8,операции!$O:$O,$F682)+SUMIFS(операции!$AF:$AF,операции!$T:$T,"&lt;"&amp;N$8,операции!$X:$X,"&gt;="&amp;N$8,операции!$AB:$AB,"&lt;&gt;"&amp;"",операции!$AB:$AB,"&lt;"&amp;N$8,операции!$O:$O,$F682))/N687)</f>
        <v>42089.149868275948</v>
      </c>
      <c r="O688" s="196"/>
      <c r="P688" s="193">
        <f>IF(P687=0,0,(SUMIFS(операции!$AF:$AF,операции!$T:$T,"&lt;"&amp;N$8,операции!$X:$X,"",операции!$AB:$AB,"&lt;&gt;"&amp;"",операции!$AB:$AB,"&lt;"&amp;N$8,операции!$L:$L,P$9,операции!$O:$O,$F682)+SUMIFS(операции!$AF:$AF,операции!$T:$T,"&lt;"&amp;N$8,операции!$X:$X,"&gt;="&amp;N$8,операции!$AB:$AB,"&lt;&gt;"&amp;"",операции!$AB:$AB,"&lt;"&amp;N$8,операции!$L:$L,P$9,операции!$O:$O,$F682))/P687)</f>
        <v>42089.149868275948</v>
      </c>
      <c r="Q688" s="237">
        <f>IF(Q687=0,0,(SUMIFS(операции!$AF:$AF,операции!$T:$T,"&lt;"&amp;N$8,операции!$X:$X,"",операции!$AB:$AB,"&lt;&gt;"&amp;"",операции!$AB:$AB,"&lt;"&amp;N$8,операции!$L:$L,Q$9,операции!$O:$O,$F682)+SUMIFS(операции!$AF:$AF,операции!$T:$T,"&lt;"&amp;N$8,операции!$X:$X,"&gt;="&amp;N$8,операции!$AB:$AB,"&lt;&gt;"&amp;"",операции!$AB:$AB,"&lt;"&amp;N$8,операции!$L:$L,Q$9,операции!$O:$O,$F682))/Q687)</f>
        <v>0</v>
      </c>
      <c r="R688" s="238"/>
      <c r="S688" s="193">
        <f>IF(S687=0,0,(SUMIFS(операции!$AF:$AF,операции!$T:$T,"&lt;"&amp;S$8,операции!$X:$X,"",операции!$AB:$AB,"&lt;&gt;"&amp;"",операции!$AB:$AB,"&lt;"&amp;S$8,операции!$O:$O,$F682)+SUMIFS(операции!$AF:$AF,операции!$T:$T,"&lt;"&amp;S$8,операции!$X:$X,"&gt;="&amp;S$8,операции!$AB:$AB,"&lt;&gt;"&amp;"",операции!$AB:$AB,"&lt;"&amp;S$8,операции!$O:$O,$F682))/S687)</f>
        <v>42103.782091349829</v>
      </c>
      <c r="T688" s="196"/>
      <c r="U688" s="193">
        <f>IF(U687=0,0,(SUMIFS(операции!$AF:$AF,операции!$T:$T,"&lt;"&amp;S$8,операции!$X:$X,"",операции!$AB:$AB,"&lt;&gt;"&amp;"",операции!$AB:$AB,"&lt;"&amp;S$8,операции!$L:$L,U$9,операции!$O:$O,$F682)+SUMIFS(операции!$AF:$AF,операции!$T:$T,"&lt;"&amp;S$8,операции!$X:$X,"&gt;="&amp;S$8,операции!$AB:$AB,"&lt;&gt;"&amp;"",операции!$AB:$AB,"&lt;"&amp;S$8,операции!$L:$L,U$9,операции!$O:$O,$F682))/U687)</f>
        <v>42103.782091349829</v>
      </c>
      <c r="V688" s="237">
        <f>IF(V687=0,0,(SUMIFS(операции!$AF:$AF,операции!$T:$T,"&lt;"&amp;S$8,операции!$X:$X,"",операции!$AB:$AB,"&lt;&gt;"&amp;"",операции!$AB:$AB,"&lt;"&amp;S$8,операции!$L:$L,V$9,операции!$O:$O,$F682)+SUMIFS(операции!$AF:$AF,операции!$T:$T,"&lt;"&amp;S$8,операции!$X:$X,"&gt;="&amp;S$8,операции!$AB:$AB,"&lt;&gt;"&amp;"",операции!$AB:$AB,"&lt;"&amp;S$8,операции!$L:$L,V$9,операции!$O:$O,$F682))/V687)</f>
        <v>0</v>
      </c>
      <c r="W688" s="238"/>
      <c r="X688" s="193">
        <f>IF(X687=0,0,(SUMIFS(операции!$AF:$AF,операции!$T:$T,"&lt;"&amp;X$8,операции!$X:$X,"",операции!$AB:$AB,"&lt;&gt;"&amp;"",операции!$AB:$AB,"&lt;"&amp;X$8,операции!$O:$O,$F682)+SUMIFS(операции!$AF:$AF,операции!$T:$T,"&lt;"&amp;X$8,операции!$X:$X,"&gt;="&amp;X$8,операции!$AB:$AB,"&lt;&gt;"&amp;"",операции!$AB:$AB,"&lt;"&amp;X$8,операции!$O:$O,$F682))/X687)</f>
        <v>42112.18777826726</v>
      </c>
      <c r="Y688" s="196"/>
      <c r="Z688" s="193">
        <f>IF(Z687=0,0,(SUMIFS(операции!$AF:$AF,операции!$T:$T,"&lt;"&amp;X$8,операции!$X:$X,"",операции!$AB:$AB,"&lt;&gt;"&amp;"",операции!$AB:$AB,"&lt;"&amp;X$8,операции!$L:$L,Z$9,операции!$O:$O,$F682)+SUMIFS(операции!$AF:$AF,операции!$T:$T,"&lt;"&amp;X$8,операции!$X:$X,"&gt;="&amp;X$8,операции!$AB:$AB,"&lt;&gt;"&amp;"",операции!$AB:$AB,"&lt;"&amp;X$8,операции!$L:$L,Z$9,операции!$O:$O,$F682))/Z687)</f>
        <v>42112.18777826726</v>
      </c>
      <c r="AA688" s="237">
        <f>IF(AA687=0,0,(SUMIFS(операции!$AF:$AF,операции!$T:$T,"&lt;"&amp;X$8,операции!$X:$X,"",операции!$AB:$AB,"&lt;&gt;"&amp;"",операции!$AB:$AB,"&lt;"&amp;X$8,операции!$L:$L,AA$9,операции!$O:$O,$F682)+SUMIFS(операции!$AF:$AF,операции!$T:$T,"&lt;"&amp;X$8,операции!$X:$X,"&gt;="&amp;X$8,операции!$AB:$AB,"&lt;&gt;"&amp;"",операции!$AB:$AB,"&lt;"&amp;X$8,операции!$L:$L,AA$9,операции!$O:$O,$F682))/AA687)</f>
        <v>0</v>
      </c>
      <c r="AB688" s="265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</row>
    <row r="689" spans="1:42" s="192" customFormat="1" ht="11.25">
      <c r="A689" s="37"/>
      <c r="B689" s="37"/>
      <c r="C689" s="37"/>
      <c r="D689" s="191"/>
      <c r="E689" s="191" t="s">
        <v>260</v>
      </c>
      <c r="F689" s="191" t="str">
        <f t="shared" si="1182"/>
        <v>Вега</v>
      </c>
      <c r="G689" s="191" t="s">
        <v>219</v>
      </c>
      <c r="H689" s="315"/>
      <c r="I689" s="329">
        <f>IF(I687=0,0,I$8-I688)</f>
        <v>188.85013172405161</v>
      </c>
      <c r="J689" s="317"/>
      <c r="K689" s="329">
        <f>IF(K687=0,0,I$8-K688)</f>
        <v>188.85013172405161</v>
      </c>
      <c r="L689" s="330">
        <f>IF(L687=0,0,I$8-L688)</f>
        <v>0</v>
      </c>
      <c r="M689" s="274"/>
      <c r="N689" s="156">
        <f>IF(N687=0,0,N$8-N688)</f>
        <v>188.85013172405161</v>
      </c>
      <c r="O689" s="196"/>
      <c r="P689" s="156">
        <f>IF(P687=0,0,N$8-P688)</f>
        <v>188.85013172405161</v>
      </c>
      <c r="Q689" s="245">
        <f>IF(Q687=0,0,N$8-Q688)</f>
        <v>0</v>
      </c>
      <c r="R689" s="238"/>
      <c r="S689" s="156">
        <f>IF(S687=0,0,S$8-S688)</f>
        <v>205.21790865017101</v>
      </c>
      <c r="T689" s="196"/>
      <c r="U689" s="156">
        <f>IF(U687=0,0,S$8-U688)</f>
        <v>205.21790865017101</v>
      </c>
      <c r="V689" s="245">
        <f>IF(V687=0,0,S$8-V688)</f>
        <v>0</v>
      </c>
      <c r="W689" s="238"/>
      <c r="X689" s="156">
        <f>IF(X687=0,0,X$8-X688)</f>
        <v>226.81222173274</v>
      </c>
      <c r="Y689" s="196"/>
      <c r="Z689" s="156">
        <f>IF(Z687=0,0,X$8-Z688)</f>
        <v>226.81222173274</v>
      </c>
      <c r="AA689" s="245">
        <f>IF(AA687=0,0,X$8-AA688)</f>
        <v>0</v>
      </c>
      <c r="AB689" s="265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</row>
    <row r="690" spans="1:42" s="192" customFormat="1" ht="11.25">
      <c r="A690" s="37"/>
      <c r="B690" s="37"/>
      <c r="C690" s="37"/>
      <c r="D690" s="191"/>
      <c r="E690" s="191" t="s">
        <v>259</v>
      </c>
      <c r="F690" s="191" t="str">
        <f t="shared" si="1182"/>
        <v>Вега</v>
      </c>
      <c r="G690" s="191" t="s">
        <v>262</v>
      </c>
      <c r="H690" s="315"/>
      <c r="I690" s="316">
        <f>IF(I687=0,0,(SUMIFS(операции!$AH:$AH,операции!$T:$T,"&lt;"&amp;I$8,операции!$X:$X,"",операции!$AB:$AB,"&lt;&gt;"&amp;"",операции!$AB:$AB,"&lt;"&amp;I$8,операции!$O:$O,$F682)+SUMIFS(операции!$AH:$AH,операции!$T:$T,"&lt;"&amp;I$8,операции!$X:$X,"&gt;="&amp;I$8,операции!$AB:$AB,"&lt;&gt;"&amp;"",операции!$AB:$AB,"&lt;"&amp;I$8,операции!$O:$O,$F682))/I687)</f>
        <v>42114.698186108086</v>
      </c>
      <c r="J690" s="317"/>
      <c r="K690" s="316">
        <f>IF(K687=0,0,(SUMIFS(операции!$AH:$AH,операции!$T:$T,"&lt;"&amp;I$8,операции!$X:$X,"",операции!$AB:$AB,"&lt;&gt;"&amp;"",операции!$AB:$AB,"&lt;"&amp;I$8,операции!$L:$L,K$9,операции!$O:$O,$F682)+SUMIFS(операции!$AH:$AH,операции!$T:$T,"&lt;"&amp;I$8,операции!$X:$X,"&gt;="&amp;I$8,операции!$AB:$AB,"&lt;&gt;"&amp;"",операции!$AB:$AB,"&lt;"&amp;I$8,операции!$L:$L,K$9,операции!$O:$O,$F682))/K687)</f>
        <v>42114.698186108086</v>
      </c>
      <c r="L690" s="318">
        <f>IF(L687=0,0,(SUMIFS(операции!$AH:$AH,операции!$T:$T,"&lt;"&amp;I$8,операции!$X:$X,"",операции!$AB:$AB,"&lt;&gt;"&amp;"",операции!$AB:$AB,"&lt;"&amp;I$8,операции!$L:$L,L$9,операции!$O:$O,$F682)+SUMIFS(операции!$AH:$AH,операции!$T:$T,"&lt;"&amp;I$8,операции!$X:$X,"&gt;="&amp;I$8,операции!$AB:$AB,"&lt;&gt;"&amp;"",операции!$AB:$AB,"&lt;"&amp;I$8,операции!$L:$L,L$9,операции!$O:$O,$F682))/L687)</f>
        <v>0</v>
      </c>
      <c r="M690" s="274"/>
      <c r="N690" s="193">
        <f>IF(N687=0,0,(SUMIFS(операции!$AH:$AH,операции!$T:$T,"&lt;"&amp;N$8,операции!$X:$X,"",операции!$AB:$AB,"&lt;&gt;"&amp;"",операции!$AB:$AB,"&lt;"&amp;N$8,операции!$O:$O,$F682)+SUMIFS(операции!$AH:$AH,операции!$T:$T,"&lt;"&amp;N$8,операции!$X:$X,"&gt;="&amp;N$8,операции!$AB:$AB,"&lt;&gt;"&amp;"",операции!$AB:$AB,"&lt;"&amp;N$8,операции!$O:$O,$F682))/N687)</f>
        <v>42114.698186108086</v>
      </c>
      <c r="O690" s="196"/>
      <c r="P690" s="193">
        <f>IF(P687=0,0,(SUMIFS(операции!$AH:$AH,операции!$T:$T,"&lt;"&amp;N$8,операции!$X:$X,"",операции!$AB:$AB,"&lt;&gt;"&amp;"",операции!$AB:$AB,"&lt;"&amp;N$8,операции!$L:$L,P$9,операции!$O:$O,$F682)+SUMIFS(операции!$AH:$AH,операции!$T:$T,"&lt;"&amp;N$8,операции!$X:$X,"&gt;="&amp;N$8,операции!$AB:$AB,"&lt;&gt;"&amp;"",операции!$AB:$AB,"&lt;"&amp;N$8,операции!$L:$L,P$9,операции!$O:$O,$F682))/P687)</f>
        <v>42114.698186108086</v>
      </c>
      <c r="Q690" s="237">
        <f>IF(Q687=0,0,(SUMIFS(операции!$AH:$AH,операции!$T:$T,"&lt;"&amp;N$8,операции!$X:$X,"",операции!$AB:$AB,"&lt;&gt;"&amp;"",операции!$AB:$AB,"&lt;"&amp;N$8,операции!$L:$L,Q$9,операции!$O:$O,$F682)+SUMIFS(операции!$AH:$AH,операции!$T:$T,"&lt;"&amp;N$8,операции!$X:$X,"&gt;="&amp;N$8,операции!$AB:$AB,"&lt;&gt;"&amp;"",операции!$AB:$AB,"&lt;"&amp;N$8,операции!$L:$L,Q$9,операции!$O:$O,$F682))/Q687)</f>
        <v>0</v>
      </c>
      <c r="R690" s="238"/>
      <c r="S690" s="193">
        <f>IF(S687=0,0,(SUMIFS(операции!$AH:$AH,операции!$T:$T,"&lt;"&amp;S$8,операции!$X:$X,"",операции!$AB:$AB,"&lt;&gt;"&amp;"",операции!$AB:$AB,"&lt;"&amp;S$8,операции!$O:$O,$F682)+SUMIFS(операции!$AH:$AH,операции!$T:$T,"&lt;"&amp;S$8,операции!$X:$X,"&gt;="&amp;S$8,операции!$AB:$AB,"&lt;&gt;"&amp;"",операции!$AB:$AB,"&lt;"&amp;S$8,операции!$O:$O,$F682))/S687)</f>
        <v>42130.965152176555</v>
      </c>
      <c r="T690" s="196"/>
      <c r="U690" s="193">
        <f>IF(U687=0,0,(SUMIFS(операции!$AH:$AH,операции!$T:$T,"&lt;"&amp;S$8,операции!$X:$X,"",операции!$AB:$AB,"&lt;&gt;"&amp;"",операции!$AB:$AB,"&lt;"&amp;S$8,операции!$L:$L,U$9,операции!$O:$O,$F682)+SUMIFS(операции!$AH:$AH,операции!$T:$T,"&lt;"&amp;S$8,операции!$X:$X,"&gt;="&amp;S$8,операции!$AB:$AB,"&lt;&gt;"&amp;"",операции!$AB:$AB,"&lt;"&amp;S$8,операции!$L:$L,U$9,операции!$O:$O,$F682))/U687)</f>
        <v>42130.965152176555</v>
      </c>
      <c r="V690" s="237">
        <f>IF(V687=0,0,(SUMIFS(операции!$AH:$AH,операции!$T:$T,"&lt;"&amp;S$8,операции!$X:$X,"",операции!$AB:$AB,"&lt;&gt;"&amp;"",операции!$AB:$AB,"&lt;"&amp;S$8,операции!$L:$L,V$9,операции!$O:$O,$F682)+SUMIFS(операции!$AH:$AH,операции!$T:$T,"&lt;"&amp;S$8,операции!$X:$X,"&gt;="&amp;S$8,операции!$AB:$AB,"&lt;&gt;"&amp;"",операции!$AB:$AB,"&lt;"&amp;S$8,операции!$L:$L,V$9,операции!$O:$O,$F682))/V687)</f>
        <v>0</v>
      </c>
      <c r="W690" s="238"/>
      <c r="X690" s="193">
        <f>IF(X687=0,0,(SUMIFS(операции!$AH:$AH,операции!$T:$T,"&lt;"&amp;X$8,операции!$X:$X,"",операции!$AB:$AB,"&lt;&gt;"&amp;"",операции!$AB:$AB,"&lt;"&amp;X$8,операции!$O:$O,$F682)+SUMIFS(операции!$AH:$AH,операции!$T:$T,"&lt;"&amp;X$8,операции!$X:$X,"&gt;="&amp;X$8,операции!$AB:$AB,"&lt;&gt;"&amp;"",операции!$AB:$AB,"&lt;"&amp;X$8,операции!$O:$O,$F682))/X687)</f>
        <v>42144.200336409456</v>
      </c>
      <c r="Y690" s="196"/>
      <c r="Z690" s="193">
        <f>IF(Z687=0,0,(SUMIFS(операции!$AH:$AH,операции!$T:$T,"&lt;"&amp;X$8,операции!$X:$X,"",операции!$AB:$AB,"&lt;&gt;"&amp;"",операции!$AB:$AB,"&lt;"&amp;X$8,операции!$L:$L,Z$9,операции!$O:$O,$F682)+SUMIFS(операции!$AH:$AH,операции!$T:$T,"&lt;"&amp;X$8,операции!$X:$X,"&gt;="&amp;X$8,операции!$AB:$AB,"&lt;&gt;"&amp;"",операции!$AB:$AB,"&lt;"&amp;X$8,операции!$L:$L,Z$9,операции!$O:$O,$F682))/Z687)</f>
        <v>42144.200336409456</v>
      </c>
      <c r="AA690" s="237">
        <f>IF(AA687=0,0,(SUMIFS(операции!$AH:$AH,операции!$T:$T,"&lt;"&amp;X$8,операции!$X:$X,"",операции!$AB:$AB,"&lt;&gt;"&amp;"",операции!$AB:$AB,"&lt;"&amp;X$8,операции!$L:$L,AA$9,операции!$O:$O,$F682)+SUMIFS(операции!$AH:$AH,операции!$T:$T,"&lt;"&amp;X$8,операции!$X:$X,"&gt;="&amp;X$8,операции!$AB:$AB,"&lt;&gt;"&amp;"",операции!$AB:$AB,"&lt;"&amp;X$8,операции!$L:$L,AA$9,операции!$O:$O,$F682))/AA687)</f>
        <v>0</v>
      </c>
      <c r="AB690" s="265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</row>
    <row r="691" spans="1:42" s="192" customFormat="1" ht="11.25">
      <c r="A691" s="37"/>
      <c r="B691" s="37"/>
      <c r="C691" s="37"/>
      <c r="D691" s="191"/>
      <c r="E691" s="191" t="s">
        <v>265</v>
      </c>
      <c r="F691" s="191" t="str">
        <f t="shared" si="1182"/>
        <v>Вега</v>
      </c>
      <c r="G691" s="191" t="s">
        <v>219</v>
      </c>
      <c r="H691" s="315"/>
      <c r="I691" s="329">
        <f>I690-I688</f>
        <v>25.5483178321374</v>
      </c>
      <c r="J691" s="317"/>
      <c r="K691" s="329">
        <f t="shared" ref="K691" si="1195">K690-K688</f>
        <v>25.5483178321374</v>
      </c>
      <c r="L691" s="330">
        <f>L690-L688</f>
        <v>0</v>
      </c>
      <c r="M691" s="274"/>
      <c r="N691" s="156">
        <f>N690-N688</f>
        <v>25.5483178321374</v>
      </c>
      <c r="O691" s="196"/>
      <c r="P691" s="156">
        <f t="shared" ref="P691" si="1196">P690-P688</f>
        <v>25.5483178321374</v>
      </c>
      <c r="Q691" s="245">
        <f>Q690-Q688</f>
        <v>0</v>
      </c>
      <c r="R691" s="238"/>
      <c r="S691" s="156">
        <f>S690-S688</f>
        <v>27.183060826726432</v>
      </c>
      <c r="T691" s="196"/>
      <c r="U691" s="156">
        <f t="shared" ref="U691" si="1197">U690-U688</f>
        <v>27.183060826726432</v>
      </c>
      <c r="V691" s="245">
        <f>V690-V688</f>
        <v>0</v>
      </c>
      <c r="W691" s="238"/>
      <c r="X691" s="156">
        <f>X690-X688</f>
        <v>32.012558142196212</v>
      </c>
      <c r="Y691" s="196"/>
      <c r="Z691" s="156">
        <f t="shared" ref="Z691" si="1198">Z690-Z688</f>
        <v>32.012558142196212</v>
      </c>
      <c r="AA691" s="245">
        <f>AA690-AA688</f>
        <v>0</v>
      </c>
      <c r="AB691" s="265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</row>
    <row r="692" spans="1:42" s="192" customFormat="1" ht="11.25">
      <c r="A692" s="37"/>
      <c r="B692" s="37"/>
      <c r="C692" s="37"/>
      <c r="D692" s="191"/>
      <c r="E692" s="191" t="s">
        <v>268</v>
      </c>
      <c r="F692" s="191" t="str">
        <f t="shared" si="1182"/>
        <v>Вега</v>
      </c>
      <c r="G692" s="191" t="s">
        <v>219</v>
      </c>
      <c r="H692" s="315"/>
      <c r="I692" s="329">
        <f>I689-I691</f>
        <v>163.30181389191421</v>
      </c>
      <c r="J692" s="317"/>
      <c r="K692" s="329">
        <f t="shared" ref="K692" si="1199">K689-K691</f>
        <v>163.30181389191421</v>
      </c>
      <c r="L692" s="330">
        <f t="shared" ref="L692" si="1200">L689-L691</f>
        <v>0</v>
      </c>
      <c r="M692" s="274"/>
      <c r="N692" s="156">
        <f>N689-N691</f>
        <v>163.30181389191421</v>
      </c>
      <c r="O692" s="196"/>
      <c r="P692" s="156">
        <f t="shared" ref="P692" si="1201">P689-P691</f>
        <v>163.30181389191421</v>
      </c>
      <c r="Q692" s="245">
        <f t="shared" ref="Q692" si="1202">Q689-Q691</f>
        <v>0</v>
      </c>
      <c r="R692" s="238"/>
      <c r="S692" s="156">
        <f>S689-S691</f>
        <v>178.03484782344458</v>
      </c>
      <c r="T692" s="196"/>
      <c r="U692" s="156">
        <f t="shared" ref="U692" si="1203">U689-U691</f>
        <v>178.03484782344458</v>
      </c>
      <c r="V692" s="245">
        <f t="shared" ref="V692" si="1204">V689-V691</f>
        <v>0</v>
      </c>
      <c r="W692" s="238"/>
      <c r="X692" s="156">
        <f>X689-X691</f>
        <v>194.79966359054379</v>
      </c>
      <c r="Y692" s="196"/>
      <c r="Z692" s="156">
        <f t="shared" ref="Z692" si="1205">Z689-Z691</f>
        <v>194.79966359054379</v>
      </c>
      <c r="AA692" s="245">
        <f t="shared" ref="AA692" si="1206">AA689-AA691</f>
        <v>0</v>
      </c>
      <c r="AB692" s="265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</row>
    <row r="693" spans="1:42" s="5" customFormat="1">
      <c r="A693" s="1"/>
      <c r="B693" s="1"/>
      <c r="C693" s="1"/>
      <c r="D693" s="168"/>
      <c r="E693" s="168" t="s">
        <v>276</v>
      </c>
      <c r="F693" s="168" t="str">
        <f t="shared" si="1182"/>
        <v>Вега</v>
      </c>
      <c r="G693" s="168" t="s">
        <v>261</v>
      </c>
      <c r="H693" s="326"/>
      <c r="I693" s="327">
        <f>SUMIFS(операции!$V:$V,операции!$T:$T,"&lt;"&amp;I$8,операции!$X:$X,"",операции!$AB:$AB,"",операции!$O:$O,$F682)+SUMIFS(операции!$V:$V,операции!$T:$T,"&lt;"&amp;I$8,операции!$X:$X,"&gt;="&amp;I$8,операции!$AB:$AB,"",операции!$O:$O,$F682)+SUMIFS(операции!$V:$V,операции!$T:$T,"&lt;"&amp;I$8,операции!$X:$X,"",операции!$AB:$AB,"&gt;="&amp;I$8,операции!$O:$O,$F682)+SUMIFS(операции!$V:$V,операции!$T:$T,"&lt;"&amp;I$8,операции!$X:$X,"&gt;="&amp;I$8,операции!$AB:$AB,"&gt;="&amp;I$8,операции!$O:$O,$F682)</f>
        <v>5557.39</v>
      </c>
      <c r="J693" s="313">
        <f>I693-K693-L693</f>
        <v>0</v>
      </c>
      <c r="K693" s="327">
        <f>SUMIFS(операции!$V:$V,операции!$T:$T,"&lt;"&amp;I$8,операции!$X:$X,"",операции!$AB:$AB,"",операции!$L:$L,K$9,операции!$O:$O,$F682)+SUMIFS(операции!$V:$V,операции!$T:$T,"&lt;"&amp;I$8,операции!$X:$X,"&gt;="&amp;I$8,операции!$AB:$AB,"",операции!$L:$L,K$9,операции!$O:$O,$F682)+SUMIFS(операции!$V:$V,операции!$T:$T,"&lt;"&amp;I$8,операции!$X:$X,"",операции!$AB:$AB,"&gt;="&amp;I$8,операции!$L:$L,K$9,операции!$O:$O,$F682)+SUMIFS(операции!$V:$V,операции!$T:$T,"&lt;"&amp;I$8,операции!$X:$X,"&gt;="&amp;I$8,операции!$AB:$AB,"&gt;="&amp;I$8,операции!$L:$L,K$9,операции!$O:$O,$F682)</f>
        <v>5557.39</v>
      </c>
      <c r="L693" s="328">
        <f>SUMIFS(операции!$V:$V,операции!$T:$T,"&lt;"&amp;I$8,операции!$X:$X,"",операции!$AB:$AB,"",операции!$L:$L,L$9,операции!$O:$O,$F682)+SUMIFS(операции!$V:$V,операции!$T:$T,"&lt;"&amp;I$8,операции!$X:$X,"&gt;="&amp;I$8,операции!$AB:$AB,"",операции!$L:$L,L$9,операции!$O:$O,$F682)+SUMIFS(операции!$V:$V,операции!$T:$T,"&lt;"&amp;I$8,операции!$X:$X,"",операции!$AB:$AB,"&gt;="&amp;I$8,операции!$L:$L,L$9,операции!$O:$O,$F682)+SUMIFS(операции!$V:$V,операции!$T:$T,"&lt;"&amp;I$8,операции!$X:$X,"&gt;="&amp;I$8,операции!$AB:$AB,"&gt;="&amp;I$8,операции!$L:$L,L$9,операции!$O:$O,$F682)</f>
        <v>0</v>
      </c>
      <c r="M693" s="277"/>
      <c r="N693" s="169">
        <f>SUMIFS(операции!$V:$V,операции!$T:$T,"&lt;"&amp;N$8,операции!$X:$X,"",операции!$AB:$AB,"",операции!$O:$O,$F682)+SUMIFS(операции!$V:$V,операции!$T:$T,"&lt;"&amp;N$8,операции!$X:$X,"&gt;="&amp;N$8,операции!$AB:$AB,"",операции!$O:$O,$F682)+SUMIFS(операции!$V:$V,операции!$T:$T,"&lt;"&amp;N$8,операции!$X:$X,"",операции!$AB:$AB,"&gt;="&amp;N$8,операции!$O:$O,$F682)+SUMIFS(операции!$V:$V,операции!$T:$T,"&lt;"&amp;N$8,операции!$X:$X,"&gt;="&amp;N$8,операции!$AB:$AB,"&gt;="&amp;N$8,операции!$O:$O,$F682)</f>
        <v>5557.39</v>
      </c>
      <c r="O693" s="170">
        <f>N693-P693-Q693</f>
        <v>0</v>
      </c>
      <c r="P693" s="169">
        <f>SUMIFS(операции!$V:$V,операции!$T:$T,"&lt;"&amp;N$8,операции!$X:$X,"",операции!$AB:$AB,"",операции!$L:$L,P$9,операции!$O:$O,$F682)+SUMIFS(операции!$V:$V,операции!$T:$T,"&lt;"&amp;N$8,операции!$X:$X,"&gt;="&amp;N$8,операции!$AB:$AB,"",операции!$L:$L,P$9,операции!$O:$O,$F682)+SUMIFS(операции!$V:$V,операции!$T:$T,"&lt;"&amp;N$8,операции!$X:$X,"",операции!$AB:$AB,"&gt;="&amp;N$8,операции!$L:$L,P$9,операции!$O:$O,$F682)+SUMIFS(операции!$V:$V,операции!$T:$T,"&lt;"&amp;N$8,операции!$X:$X,"&gt;="&amp;N$8,операции!$AB:$AB,"&gt;="&amp;N$8,операции!$L:$L,P$9,операции!$O:$O,$F682)</f>
        <v>5557.39</v>
      </c>
      <c r="Q693" s="243">
        <f>SUMIFS(операции!$V:$V,операции!$T:$T,"&lt;"&amp;N$8,операции!$X:$X,"",операции!$AB:$AB,"",операции!$L:$L,Q$9,операции!$O:$O,$F682)+SUMIFS(операции!$V:$V,операции!$T:$T,"&lt;"&amp;N$8,операции!$X:$X,"&gt;="&amp;N$8,операции!$AB:$AB,"",операции!$L:$L,Q$9,операции!$O:$O,$F682)+SUMIFS(операции!$V:$V,операции!$T:$T,"&lt;"&amp;N$8,операции!$X:$X,"",операции!$AB:$AB,"&gt;="&amp;N$8,операции!$L:$L,Q$9,операции!$O:$O,$F682)+SUMIFS(операции!$V:$V,операции!$T:$T,"&lt;"&amp;N$8,операции!$X:$X,"&gt;="&amp;N$8,операции!$AB:$AB,"&gt;="&amp;N$8,операции!$L:$L,Q$9,операции!$O:$O,$F682)</f>
        <v>0</v>
      </c>
      <c r="R693" s="244"/>
      <c r="S693" s="169">
        <f>SUMIFS(операции!$V:$V,операции!$T:$T,"&lt;"&amp;S$8,операции!$X:$X,"",операции!$AB:$AB,"",операции!$O:$O,$F682)+SUMIFS(операции!$V:$V,операции!$T:$T,"&lt;"&amp;S$8,операции!$X:$X,"&gt;="&amp;S$8,операции!$AB:$AB,"",операции!$O:$O,$F682)+SUMIFS(операции!$V:$V,операции!$T:$T,"&lt;"&amp;S$8,операции!$X:$X,"",операции!$AB:$AB,"&gt;="&amp;S$8,операции!$O:$O,$F682)+SUMIFS(операции!$V:$V,операции!$T:$T,"&lt;"&amp;S$8,операции!$X:$X,"&gt;="&amp;S$8,операции!$AB:$AB,"&gt;="&amp;S$8,операции!$O:$O,$F682)</f>
        <v>7044.2999999999993</v>
      </c>
      <c r="T693" s="170">
        <f>S693-U693-V693</f>
        <v>0</v>
      </c>
      <c r="U693" s="169">
        <f>SUMIFS(операции!$V:$V,операции!$T:$T,"&lt;"&amp;S$8,операции!$X:$X,"",операции!$AB:$AB,"",операции!$L:$L,U$9,операции!$O:$O,$F682)+SUMIFS(операции!$V:$V,операции!$T:$T,"&lt;"&amp;S$8,операции!$X:$X,"&gt;="&amp;S$8,операции!$AB:$AB,"",операции!$L:$L,U$9,операции!$O:$O,$F682)+SUMIFS(операции!$V:$V,операции!$T:$T,"&lt;"&amp;S$8,операции!$X:$X,"",операции!$AB:$AB,"&gt;="&amp;S$8,операции!$L:$L,U$9,операции!$O:$O,$F682)+SUMIFS(операции!$V:$V,операции!$T:$T,"&lt;"&amp;S$8,операции!$X:$X,"&gt;="&amp;S$8,операции!$AB:$AB,"&gt;="&amp;S$8,операции!$L:$L,U$9,операции!$O:$O,$F682)</f>
        <v>3774.54</v>
      </c>
      <c r="V693" s="243">
        <f>SUMIFS(операции!$V:$V,операции!$T:$T,"&lt;"&amp;S$8,операции!$X:$X,"",операции!$AB:$AB,"",операции!$L:$L,V$9,операции!$O:$O,$F682)+SUMIFS(операции!$V:$V,операции!$T:$T,"&lt;"&amp;S$8,операции!$X:$X,"&gt;="&amp;S$8,операции!$AB:$AB,"",операции!$L:$L,V$9,операции!$O:$O,$F682)+SUMIFS(операции!$V:$V,операции!$T:$T,"&lt;"&amp;S$8,операции!$X:$X,"",операции!$AB:$AB,"&gt;="&amp;S$8,операции!$L:$L,V$9,операции!$O:$O,$F682)+SUMIFS(операции!$V:$V,операции!$T:$T,"&lt;"&amp;S$8,операции!$X:$X,"&gt;="&amp;S$8,операции!$AB:$AB,"&gt;="&amp;S$8,операции!$L:$L,V$9,операции!$O:$O,$F682)</f>
        <v>3269.7599999999998</v>
      </c>
      <c r="W693" s="244"/>
      <c r="X693" s="169">
        <f>SUMIFS(операции!$V:$V,операции!$T:$T,"&lt;"&amp;X$8,операции!$X:$X,"",операции!$AB:$AB,"",операции!$O:$O,$F682)+SUMIFS(операции!$V:$V,операции!$T:$T,"&lt;"&amp;X$8,операции!$X:$X,"&gt;="&amp;X$8,операции!$AB:$AB,"",операции!$O:$O,$F682)+SUMIFS(операции!$V:$V,операции!$T:$T,"&lt;"&amp;X$8,операции!$X:$X,"",операции!$AB:$AB,"&gt;="&amp;X$8,операции!$O:$O,$F682)+SUMIFS(операции!$V:$V,операции!$T:$T,"&lt;"&amp;X$8,операции!$X:$X,"&gt;="&amp;X$8,операции!$AB:$AB,"&gt;="&amp;X$8,операции!$O:$O,$F682)</f>
        <v>14894.78</v>
      </c>
      <c r="Y693" s="170">
        <f>X693-Z693-AA693</f>
        <v>0</v>
      </c>
      <c r="Z693" s="169">
        <f>SUMIFS(операции!$V:$V,операции!$T:$T,"&lt;"&amp;X$8,операции!$X:$X,"",операции!$AB:$AB,"",операции!$L:$L,Z$9,операции!$O:$O,$F682)+SUMIFS(операции!$V:$V,операции!$T:$T,"&lt;"&amp;X$8,операции!$X:$X,"&gt;="&amp;X$8,операции!$AB:$AB,"",операции!$L:$L,Z$9,операции!$O:$O,$F682)+SUMIFS(операции!$V:$V,операции!$T:$T,"&lt;"&amp;X$8,операции!$X:$X,"",операции!$AB:$AB,"&gt;="&amp;X$8,операции!$L:$L,Z$9,операции!$O:$O,$F682)+SUMIFS(операции!$V:$V,операции!$T:$T,"&lt;"&amp;X$8,операции!$X:$X,"&gt;="&amp;X$8,операции!$AB:$AB,"&gt;="&amp;X$8,операции!$L:$L,Z$9,операции!$O:$O,$F682)</f>
        <v>2058.1</v>
      </c>
      <c r="AA693" s="243">
        <f>SUMIFS(операции!$V:$V,операции!$T:$T,"&lt;"&amp;X$8,операции!$X:$X,"",операции!$AB:$AB,"",операции!$L:$L,AA$9,операции!$O:$O,$F682)+SUMIFS(операции!$V:$V,операции!$T:$T,"&lt;"&amp;X$8,операции!$X:$X,"&gt;="&amp;X$8,операции!$AB:$AB,"",операции!$L:$L,AA$9,операции!$O:$O,$F682)+SUMIFS(операции!$V:$V,операции!$T:$T,"&lt;"&amp;X$8,операции!$X:$X,"",операции!$AB:$AB,"&gt;="&amp;X$8,операции!$L:$L,AA$9,операции!$O:$O,$F682)+SUMIFS(операции!$V:$V,операции!$T:$T,"&lt;"&amp;X$8,операции!$X:$X,"&gt;="&amp;X$8,операции!$AB:$AB,"&gt;="&amp;X$8,операции!$L:$L,AA$9,операции!$O:$O,$F682)</f>
        <v>12836.68</v>
      </c>
      <c r="AB693" s="266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s="192" customFormat="1" ht="11.25">
      <c r="A694" s="37"/>
      <c r="B694" s="37"/>
      <c r="C694" s="37"/>
      <c r="D694" s="191"/>
      <c r="E694" s="191" t="s">
        <v>255</v>
      </c>
      <c r="F694" s="191" t="str">
        <f t="shared" si="1182"/>
        <v>Вега</v>
      </c>
      <c r="G694" s="191" t="s">
        <v>262</v>
      </c>
      <c r="H694" s="315"/>
      <c r="I694" s="316">
        <f>IF(I693=0,0,(SUMIFS(операции!$AF:$AF,операции!$T:$T,"&lt;"&amp;I$8,операции!$X:$X,"",операции!$AB:$AB,"",операции!$O:$O,$F682)+SUMIFS(операции!$AF:$AF,операции!$T:$T,"&lt;"&amp;I$8,операции!$X:$X,"&gt;="&amp;I$8,операции!$AB:$AB,"",операции!$O:$O,$F682)+SUMIFS(операции!$AF:$AF,операции!$T:$T,"&lt;"&amp;I$8,операции!$X:$X,"",операции!$AB:$AB,"&gt;="&amp;I$8,операции!$O:$O,$F682)+SUMIFS(операции!$AF:$AF,операции!$T:$T,"&lt;"&amp;I$8,операции!$X:$X,"&gt;="&amp;I$8,операции!$AB:$AB,"&gt;="&amp;I$8,операции!$O:$O,$F682))/I693)</f>
        <v>42153.477938384742</v>
      </c>
      <c r="J694" s="317"/>
      <c r="K694" s="316">
        <f>IF(K693=0,0,(SUMIFS(операции!$AF:$AF,операции!$T:$T,"&lt;"&amp;I$8,операции!$X:$X,"",операции!$AB:$AB,"",операции!$L:$L,K$9,операции!$O:$O,$F682)+SUMIFS(операции!$AF:$AF,операции!$T:$T,"&lt;"&amp;I$8,операции!$X:$X,"&gt;="&amp;I$8,операции!$AB:$AB,"",операции!$L:$L,K$9,операции!$O:$O,$F682)+SUMIFS(операции!$AF:$AF,операции!$T:$T,"&lt;"&amp;I$8,операции!$X:$X,"",операции!$AB:$AB,"&gt;="&amp;I$8,операции!$L:$L,K$9,операции!$O:$O,$F682)+SUMIFS(операции!$AF:$AF,операции!$T:$T,"&lt;"&amp;I$8,операции!$X:$X,"&gt;="&amp;I$8,операции!$AB:$AB,"&gt;="&amp;I$8,операции!$L:$L,K$9,операции!$O:$O,$F682))/K693)</f>
        <v>42153.477938384742</v>
      </c>
      <c r="L694" s="318">
        <f>IF(L693=0,0,(SUMIFS(операции!$AF:$AF,операции!$T:$T,"&lt;"&amp;I$8,операции!$X:$X,"",операции!$AB:$AB,"",операции!$L:$L,L$9,операции!$O:$O,$F682)+SUMIFS(операции!$AF:$AF,операции!$T:$T,"&lt;"&amp;I$8,операции!$X:$X,"&gt;="&amp;I$8,операции!$AB:$AB,"",операции!$L:$L,L$9,операции!$O:$O,$F682)+SUMIFS(операции!$AF:$AF,операции!$T:$T,"&lt;"&amp;I$8,операции!$X:$X,"",операции!$AB:$AB,"&gt;="&amp;I$8,операции!$L:$L,L$9,операции!$O:$O,$F682)+SUMIFS(операции!$AF:$AF,операции!$T:$T,"&lt;"&amp;I$8,операции!$X:$X,"&gt;="&amp;I$8,операции!$AB:$AB,"&gt;="&amp;I$8,операции!$L:$L,L$9,операции!$O:$O,$F682))/L693)</f>
        <v>0</v>
      </c>
      <c r="M694" s="274"/>
      <c r="N694" s="193">
        <f>IF(N693=0,0,(SUMIFS(операции!$AF:$AF,операции!$T:$T,"&lt;"&amp;N$8,операции!$X:$X,"",операции!$AB:$AB,"",операции!$O:$O,$F682)+SUMIFS(операции!$AF:$AF,операции!$T:$T,"&lt;"&amp;N$8,операции!$X:$X,"&gt;="&amp;N$8,операции!$AB:$AB,"",операции!$O:$O,$F682)+SUMIFS(операции!$AF:$AF,операции!$T:$T,"&lt;"&amp;N$8,операции!$X:$X,"",операции!$AB:$AB,"&gt;="&amp;N$8,операции!$O:$O,$F682)+SUMIFS(операции!$AF:$AF,операции!$T:$T,"&lt;"&amp;N$8,операции!$X:$X,"&gt;="&amp;N$8,операции!$AB:$AB,"&gt;="&amp;N$8,операции!$O:$O,$F682))/N693)</f>
        <v>42153.477938384742</v>
      </c>
      <c r="O694" s="196"/>
      <c r="P694" s="193">
        <f>IF(P693=0,0,(SUMIFS(операции!$AF:$AF,операции!$T:$T,"&lt;"&amp;N$8,операции!$X:$X,"",операции!$AB:$AB,"",операции!$L:$L,P$9,операции!$O:$O,$F682)+SUMIFS(операции!$AF:$AF,операции!$T:$T,"&lt;"&amp;N$8,операции!$X:$X,"&gt;="&amp;N$8,операции!$AB:$AB,"",операции!$L:$L,P$9,операции!$O:$O,$F682)+SUMIFS(операции!$AF:$AF,операции!$T:$T,"&lt;"&amp;N$8,операции!$X:$X,"",операции!$AB:$AB,"&gt;="&amp;N$8,операции!$L:$L,P$9,операции!$O:$O,$F682)+SUMIFS(операции!$AF:$AF,операции!$T:$T,"&lt;"&amp;N$8,операции!$X:$X,"&gt;="&amp;N$8,операции!$AB:$AB,"&gt;="&amp;N$8,операции!$L:$L,P$9,операции!$O:$O,$F682))/P693)</f>
        <v>42153.477938384742</v>
      </c>
      <c r="Q694" s="237">
        <f>IF(Q693=0,0,(SUMIFS(операции!$AF:$AF,операции!$T:$T,"&lt;"&amp;N$8,операции!$X:$X,"",операции!$AB:$AB,"",операции!$L:$L,Q$9,операции!$O:$O,$F682)+SUMIFS(операции!$AF:$AF,операции!$T:$T,"&lt;"&amp;N$8,операции!$X:$X,"&gt;="&amp;N$8,операции!$AB:$AB,"",операции!$L:$L,Q$9,операции!$O:$O,$F682)+SUMIFS(операции!$AF:$AF,операции!$T:$T,"&lt;"&amp;N$8,операции!$X:$X,"",операции!$AB:$AB,"&gt;="&amp;N$8,операции!$L:$L,Q$9,операции!$O:$O,$F682)+SUMIFS(операции!$AF:$AF,операции!$T:$T,"&lt;"&amp;N$8,операции!$X:$X,"&gt;="&amp;N$8,операции!$AB:$AB,"&gt;="&amp;N$8,операции!$L:$L,Q$9,операции!$O:$O,$F682))/Q693)</f>
        <v>0</v>
      </c>
      <c r="R694" s="238"/>
      <c r="S694" s="193">
        <f>IF(S693=0,0,(SUMIFS(операции!$AF:$AF,операции!$T:$T,"&lt;"&amp;S$8,операции!$X:$X,"",операции!$AB:$AB,"",операции!$O:$O,$F682)+SUMIFS(операции!$AF:$AF,операции!$T:$T,"&lt;"&amp;S$8,операции!$X:$X,"&gt;="&amp;S$8,операции!$AB:$AB,"",операции!$O:$O,$F682)+SUMIFS(операции!$AF:$AF,операции!$T:$T,"&lt;"&amp;S$8,операции!$X:$X,"",операции!$AB:$AB,"&gt;="&amp;S$8,операции!$O:$O,$F682)+SUMIFS(операции!$AF:$AF,операции!$T:$T,"&lt;"&amp;S$8,операции!$X:$X,"&gt;="&amp;S$8,операции!$AB:$AB,"&gt;="&amp;S$8,операции!$O:$O,$F682))/S693)</f>
        <v>42198.183981375012</v>
      </c>
      <c r="T694" s="196"/>
      <c r="U694" s="193">
        <f>IF(U693=0,0,(SUMIFS(операции!$AF:$AF,операции!$T:$T,"&lt;"&amp;S$8,операции!$X:$X,"",операции!$AB:$AB,"",операции!$L:$L,U$9,операции!$O:$O,$F682)+SUMIFS(операции!$AF:$AF,операции!$T:$T,"&lt;"&amp;S$8,операции!$X:$X,"&gt;="&amp;S$8,операции!$AB:$AB,"",операции!$L:$L,U$9,операции!$O:$O,$F682)+SUMIFS(операции!$AF:$AF,операции!$T:$T,"&lt;"&amp;S$8,операции!$X:$X,"",операции!$AB:$AB,"&gt;="&amp;S$8,операции!$L:$L,U$9,операции!$O:$O,$F682)+SUMIFS(операции!$AF:$AF,операции!$T:$T,"&lt;"&amp;S$8,операции!$X:$X,"&gt;="&amp;S$8,операции!$AB:$AB,"&gt;="&amp;S$8,операции!$L:$L,U$9,операции!$O:$O,$F682))/U693)</f>
        <v>42104.134845570581</v>
      </c>
      <c r="V694" s="237">
        <f>IF(V693=0,0,(SUMIFS(операции!$AF:$AF,операции!$T:$T,"&lt;"&amp;S$8,операции!$X:$X,"",операции!$AB:$AB,"",операции!$L:$L,V$9,операции!$O:$O,$F682)+SUMIFS(операции!$AF:$AF,операции!$T:$T,"&lt;"&amp;S$8,операции!$X:$X,"&gt;="&amp;S$8,операции!$AB:$AB,"",операции!$L:$L,V$9,операции!$O:$O,$F682)+SUMIFS(операции!$AF:$AF,операции!$T:$T,"&lt;"&amp;S$8,операции!$X:$X,"",операции!$AB:$AB,"&gt;="&amp;S$8,операции!$L:$L,V$9,операции!$O:$O,$F682)+SUMIFS(операции!$AF:$AF,операции!$T:$T,"&lt;"&amp;S$8,операции!$X:$X,"&gt;="&amp;S$8,операции!$AB:$AB,"&gt;="&amp;S$8,операции!$L:$L,V$9,операции!$O:$O,$F682))/V693)</f>
        <v>42306.752263163049</v>
      </c>
      <c r="W694" s="238"/>
      <c r="X694" s="193">
        <f>IF(X693=0,0,(SUMIFS(операции!$AF:$AF,операции!$T:$T,"&lt;"&amp;X$8,операции!$X:$X,"",операции!$AB:$AB,"",операции!$O:$O,$F682)+SUMIFS(операции!$AF:$AF,операции!$T:$T,"&lt;"&amp;X$8,операции!$X:$X,"&gt;="&amp;X$8,операции!$AB:$AB,"",операции!$O:$O,$F682)+SUMIFS(операции!$AF:$AF,операции!$T:$T,"&lt;"&amp;X$8,операции!$X:$X,"",операции!$AB:$AB,"&gt;="&amp;X$8,операции!$O:$O,$F682)+SUMIFS(операции!$AF:$AF,операции!$T:$T,"&lt;"&amp;X$8,операции!$X:$X,"&gt;="&amp;X$8,операции!$AB:$AB,"&gt;="&amp;X$8,операции!$O:$O,$F682))/X693)</f>
        <v>42307.773272247061</v>
      </c>
      <c r="Y694" s="196"/>
      <c r="Z694" s="193">
        <f>IF(Z693=0,0,(SUMIFS(операции!$AF:$AF,операции!$T:$T,"&lt;"&amp;X$8,операции!$X:$X,"",операции!$AB:$AB,"",операции!$L:$L,Z$9,операции!$O:$O,$F682)+SUMIFS(операции!$AF:$AF,операции!$T:$T,"&lt;"&amp;X$8,операции!$X:$X,"&gt;="&amp;X$8,операции!$AB:$AB,"",операции!$L:$L,Z$9,операции!$O:$O,$F682)+SUMIFS(операции!$AF:$AF,операции!$T:$T,"&lt;"&amp;X$8,операции!$X:$X,"",операции!$AB:$AB,"&gt;="&amp;X$8,операции!$L:$L,Z$9,операции!$O:$O,$F682)+SUMIFS(операции!$AF:$AF,операции!$T:$T,"&lt;"&amp;X$8,операции!$X:$X,"&gt;="&amp;X$8,операции!$AB:$AB,"&gt;="&amp;X$8,операции!$L:$L,Z$9,операции!$O:$O,$F682))/Z693)</f>
        <v>42132.603051358055</v>
      </c>
      <c r="AA694" s="237">
        <f>IF(AA693=0,0,(SUMIFS(операции!$AF:$AF,операции!$T:$T,"&lt;"&amp;X$8,операции!$X:$X,"",операции!$AB:$AB,"",операции!$L:$L,AA$9,операции!$O:$O,$F682)+SUMIFS(операции!$AF:$AF,операции!$T:$T,"&lt;"&amp;X$8,операции!$X:$X,"&gt;="&amp;X$8,операции!$AB:$AB,"",операции!$L:$L,AA$9,операции!$O:$O,$F682)+SUMIFS(операции!$AF:$AF,операции!$T:$T,"&lt;"&amp;X$8,операции!$X:$X,"",операции!$AB:$AB,"&gt;="&amp;X$8,операции!$L:$L,AA$9,операции!$O:$O,$F682)+SUMIFS(операции!$AF:$AF,операции!$T:$T,"&lt;"&amp;X$8,операции!$X:$X,"&gt;="&amp;X$8,операции!$AB:$AB,"&gt;="&amp;X$8,операции!$L:$L,AA$9,операции!$O:$O,$F682))/AA693)</f>
        <v>42335.858246836411</v>
      </c>
      <c r="AB694" s="265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</row>
    <row r="695" spans="1:42" s="192" customFormat="1" ht="11.25">
      <c r="A695" s="37"/>
      <c r="B695" s="37"/>
      <c r="C695" s="37"/>
      <c r="D695" s="191"/>
      <c r="E695" s="191" t="s">
        <v>263</v>
      </c>
      <c r="F695" s="191" t="str">
        <f t="shared" si="1182"/>
        <v>Вега</v>
      </c>
      <c r="G695" s="191" t="s">
        <v>219</v>
      </c>
      <c r="H695" s="315"/>
      <c r="I695" s="329">
        <f>IF(I693=0,0,I$8-I694)</f>
        <v>124.52206161525828</v>
      </c>
      <c r="J695" s="317"/>
      <c r="K695" s="329">
        <f>IF(K693=0,0,I$8-K694)</f>
        <v>124.52206161525828</v>
      </c>
      <c r="L695" s="330">
        <f>IF(L693=0,0,I$8-L694)</f>
        <v>0</v>
      </c>
      <c r="M695" s="274"/>
      <c r="N695" s="156">
        <f>IF(N693=0,0,N$8-N694)</f>
        <v>124.52206161525828</v>
      </c>
      <c r="O695" s="196"/>
      <c r="P695" s="156">
        <f>IF(P693=0,0,N$8-P694)</f>
        <v>124.52206161525828</v>
      </c>
      <c r="Q695" s="245">
        <f>IF(Q693=0,0,N$8-Q694)</f>
        <v>0</v>
      </c>
      <c r="R695" s="238"/>
      <c r="S695" s="156">
        <f>IF(S693=0,0,S$8-S694)</f>
        <v>110.81601862498792</v>
      </c>
      <c r="T695" s="196"/>
      <c r="U695" s="156">
        <f>IF(U693=0,0,S$8-U694)</f>
        <v>204.86515442941891</v>
      </c>
      <c r="V695" s="245">
        <f>IF(V693=0,0,S$8-V694)</f>
        <v>2.247736836950935</v>
      </c>
      <c r="W695" s="238"/>
      <c r="X695" s="156">
        <f>IF(X693=0,0,X$8-X694)</f>
        <v>31.226727752939041</v>
      </c>
      <c r="Y695" s="196"/>
      <c r="Z695" s="156">
        <f>IF(Z693=0,0,X$8-Z694)</f>
        <v>206.39694864194462</v>
      </c>
      <c r="AA695" s="245">
        <f>IF(AA693=0,0,X$8-AA694)</f>
        <v>3.1417531635888736</v>
      </c>
      <c r="AB695" s="265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</row>
    <row r="696" spans="1:42" s="192" customFormat="1" ht="11.25">
      <c r="A696" s="37"/>
      <c r="B696" s="37"/>
      <c r="C696" s="37"/>
      <c r="D696" s="191"/>
      <c r="E696" s="191" t="s">
        <v>311</v>
      </c>
      <c r="F696" s="191" t="str">
        <f t="shared" si="1182"/>
        <v>Вега</v>
      </c>
      <c r="G696" s="191" t="s">
        <v>262</v>
      </c>
      <c r="H696" s="315"/>
      <c r="I696" s="316">
        <f>I$8</f>
        <v>42278</v>
      </c>
      <c r="J696" s="317"/>
      <c r="K696" s="316">
        <f>I$8</f>
        <v>42278</v>
      </c>
      <c r="L696" s="318">
        <f>I$8</f>
        <v>42278</v>
      </c>
      <c r="M696" s="274"/>
      <c r="N696" s="193">
        <f>N$8</f>
        <v>42278</v>
      </c>
      <c r="O696" s="196"/>
      <c r="P696" s="193">
        <f>N$8</f>
        <v>42278</v>
      </c>
      <c r="Q696" s="237">
        <f>N$8</f>
        <v>42278</v>
      </c>
      <c r="R696" s="238"/>
      <c r="S696" s="193">
        <f>S$8</f>
        <v>42309</v>
      </c>
      <c r="T696" s="196"/>
      <c r="U696" s="193">
        <f>S$8</f>
        <v>42309</v>
      </c>
      <c r="V696" s="237">
        <f>S$8</f>
        <v>42309</v>
      </c>
      <c r="W696" s="238"/>
      <c r="X696" s="193">
        <f>X$8</f>
        <v>42339</v>
      </c>
      <c r="Y696" s="196"/>
      <c r="Z696" s="193">
        <f>X$8</f>
        <v>42339</v>
      </c>
      <c r="AA696" s="237">
        <f>X$8</f>
        <v>42339</v>
      </c>
      <c r="AB696" s="265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</row>
    <row r="697" spans="1:42" s="192" customFormat="1" ht="11.25">
      <c r="A697" s="37"/>
      <c r="B697" s="37"/>
      <c r="C697" s="37"/>
      <c r="D697" s="191"/>
      <c r="E697" s="191" t="s">
        <v>264</v>
      </c>
      <c r="F697" s="191" t="str">
        <f t="shared" si="1182"/>
        <v>Вега</v>
      </c>
      <c r="G697" s="191" t="s">
        <v>219</v>
      </c>
      <c r="H697" s="315"/>
      <c r="I697" s="329">
        <f>IF(I693=0,0,I696-I694)</f>
        <v>124.52206161525828</v>
      </c>
      <c r="J697" s="317"/>
      <c r="K697" s="329">
        <f>IF(K693=0,0,K696-K694)</f>
        <v>124.52206161525828</v>
      </c>
      <c r="L697" s="330">
        <f>IF(L693=0,0,L696-L694)</f>
        <v>0</v>
      </c>
      <c r="M697" s="274"/>
      <c r="N697" s="156">
        <f>IF(N693=0,0,N696-N694)</f>
        <v>124.52206161525828</v>
      </c>
      <c r="O697" s="196"/>
      <c r="P697" s="156">
        <f>IF(P693=0,0,P696-P694)</f>
        <v>124.52206161525828</v>
      </c>
      <c r="Q697" s="245">
        <f>IF(Q693=0,0,Q696-Q694)</f>
        <v>0</v>
      </c>
      <c r="R697" s="238"/>
      <c r="S697" s="156">
        <f>IF(S693=0,0,S696-S694)</f>
        <v>110.81601862498792</v>
      </c>
      <c r="T697" s="196"/>
      <c r="U697" s="156">
        <f>IF(U693=0,0,U696-U694)</f>
        <v>204.86515442941891</v>
      </c>
      <c r="V697" s="245">
        <f>IF(V693=0,0,V696-V694)</f>
        <v>2.247736836950935</v>
      </c>
      <c r="W697" s="238"/>
      <c r="X697" s="156">
        <f>IF(X693=0,0,X696-X694)</f>
        <v>31.226727752939041</v>
      </c>
      <c r="Y697" s="196"/>
      <c r="Z697" s="156">
        <f>IF(Z693=0,0,Z696-Z694)</f>
        <v>206.39694864194462</v>
      </c>
      <c r="AA697" s="245">
        <f>IF(AA693=0,0,AA696-AA694)</f>
        <v>3.1417531635888736</v>
      </c>
      <c r="AB697" s="265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</row>
    <row r="698" spans="1:42" s="192" customFormat="1" ht="11.25">
      <c r="A698" s="37"/>
      <c r="B698" s="37"/>
      <c r="C698" s="37"/>
      <c r="D698" s="207"/>
      <c r="E698" s="207" t="s">
        <v>269</v>
      </c>
      <c r="F698" s="207" t="str">
        <f t="shared" si="1182"/>
        <v>Вега</v>
      </c>
      <c r="G698" s="207" t="s">
        <v>219</v>
      </c>
      <c r="H698" s="331"/>
      <c r="I698" s="332">
        <f>I695-I697</f>
        <v>0</v>
      </c>
      <c r="J698" s="333"/>
      <c r="K698" s="332">
        <f t="shared" ref="K698" si="1207">K695-K697</f>
        <v>0</v>
      </c>
      <c r="L698" s="334">
        <f>L695-L697</f>
        <v>0</v>
      </c>
      <c r="M698" s="278"/>
      <c r="N698" s="162">
        <f>N695-N697</f>
        <v>0</v>
      </c>
      <c r="O698" s="208"/>
      <c r="P698" s="162">
        <f t="shared" ref="P698" si="1208">P695-P697</f>
        <v>0</v>
      </c>
      <c r="Q698" s="246">
        <f>Q695-Q697</f>
        <v>0</v>
      </c>
      <c r="R698" s="247"/>
      <c r="S698" s="162">
        <f>S695-S697</f>
        <v>0</v>
      </c>
      <c r="T698" s="208"/>
      <c r="U698" s="162">
        <f t="shared" ref="U698" si="1209">U695-U697</f>
        <v>0</v>
      </c>
      <c r="V698" s="246">
        <f>V695-V697</f>
        <v>0</v>
      </c>
      <c r="W698" s="247"/>
      <c r="X698" s="162">
        <f>X695-X697</f>
        <v>0</v>
      </c>
      <c r="Y698" s="208"/>
      <c r="Z698" s="162">
        <f t="shared" ref="Z698" si="1210">Z695-Z697</f>
        <v>0</v>
      </c>
      <c r="AA698" s="246">
        <f>AA695-AA697</f>
        <v>0</v>
      </c>
      <c r="AB698" s="265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</row>
    <row r="699" spans="1:42" s="111" customFormat="1" ht="11.25">
      <c r="A699" s="108"/>
      <c r="B699" s="108"/>
      <c r="C699" s="108" t="s">
        <v>272</v>
      </c>
      <c r="D699" s="109"/>
      <c r="E699" s="109"/>
      <c r="F699" s="109" t="str">
        <f t="shared" si="1182"/>
        <v>Вега</v>
      </c>
      <c r="G699" s="109"/>
      <c r="H699" s="307"/>
      <c r="I699" s="308">
        <f>I700-K700-L700</f>
        <v>0</v>
      </c>
      <c r="J699" s="335"/>
      <c r="K699" s="308"/>
      <c r="L699" s="336"/>
      <c r="M699" s="272"/>
      <c r="N699" s="110">
        <f>N700-P700-Q700</f>
        <v>0</v>
      </c>
      <c r="O699" s="105"/>
      <c r="P699" s="110"/>
      <c r="Q699" s="248"/>
      <c r="R699" s="234"/>
      <c r="S699" s="110">
        <f>S700-U700-V700</f>
        <v>0</v>
      </c>
      <c r="T699" s="105"/>
      <c r="U699" s="110"/>
      <c r="V699" s="248"/>
      <c r="W699" s="234"/>
      <c r="X699" s="110">
        <f>X700-Z700-AA700</f>
        <v>0</v>
      </c>
      <c r="Y699" s="105"/>
      <c r="Z699" s="110"/>
      <c r="AA699" s="248"/>
      <c r="AB699" s="263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</row>
    <row r="700" spans="1:42" s="5" customFormat="1">
      <c r="A700" s="1"/>
      <c r="B700" s="1"/>
      <c r="C700" s="1"/>
      <c r="D700" s="168" t="s">
        <v>273</v>
      </c>
      <c r="E700" s="168"/>
      <c r="F700" s="168" t="str">
        <f t="shared" si="1182"/>
        <v>Вега</v>
      </c>
      <c r="G700" s="168" t="s">
        <v>261</v>
      </c>
      <c r="H700" s="326"/>
      <c r="I700" s="327">
        <f>SUMIFS(операции!$V:$V,операции!$T:$T,"&gt;="&amp;I$8,операции!$T:$T,"&lt;="&amp;I$9,операции!$O:$O,$F682)</f>
        <v>62658.03</v>
      </c>
      <c r="J700" s="313"/>
      <c r="K700" s="327">
        <f>SUMIFS(операции!$V:$V,операции!$T:$T,"&gt;="&amp;I$8,операции!$T:$T,"&lt;="&amp;I$9,операции!$L:$L,K$9,операции!$O:$O,$F682)</f>
        <v>0</v>
      </c>
      <c r="L700" s="328">
        <f>SUMIFS(операции!$V:$V,операции!$T:$T,"&gt;="&amp;I$8,операции!$T:$T,"&lt;="&amp;I$9,операции!$L:$L,L$9,операции!$O:$O,$F682)</f>
        <v>62658.03</v>
      </c>
      <c r="M700" s="277"/>
      <c r="N700" s="169">
        <f>SUMIFS(операции!$V:$V,операции!$T:$T,"&gt;="&amp;N$8,операции!$T:$T,"&lt;="&amp;N$9,операции!$O:$O,$F682)</f>
        <v>12646.22</v>
      </c>
      <c r="O700" s="170"/>
      <c r="P700" s="169">
        <f>SUMIFS(операции!$V:$V,операции!$T:$T,"&gt;="&amp;N$8,операции!$T:$T,"&lt;="&amp;N$9,операции!$L:$L,P$9,операции!$O:$O,$F682)</f>
        <v>0</v>
      </c>
      <c r="Q700" s="243">
        <f>SUMIFS(операции!$V:$V,операции!$T:$T,"&gt;="&amp;N$8,операции!$T:$T,"&lt;="&amp;N$9,операции!$L:$L,Q$9,операции!$O:$O,$F682)</f>
        <v>12646.22</v>
      </c>
      <c r="R700" s="244"/>
      <c r="S700" s="169">
        <f>SUMIFS(операции!$V:$V,операции!$T:$T,"&gt;="&amp;S$8,операции!$T:$T,"&lt;="&amp;S$9,операции!$O:$O,$F682)</f>
        <v>36456.32</v>
      </c>
      <c r="T700" s="170"/>
      <c r="U700" s="169">
        <f>SUMIFS(операции!$V:$V,операции!$T:$T,"&gt;="&amp;S$8,операции!$T:$T,"&lt;="&amp;S$9,операции!$L:$L,U$9,операции!$O:$O,$F682)</f>
        <v>0</v>
      </c>
      <c r="V700" s="243">
        <f>SUMIFS(операции!$V:$V,операции!$T:$T,"&gt;="&amp;S$8,операции!$T:$T,"&lt;="&amp;S$9,операции!$L:$L,V$9,операции!$O:$O,$F682)</f>
        <v>36456.32</v>
      </c>
      <c r="W700" s="244"/>
      <c r="X700" s="169">
        <f>SUMIFS(операции!$V:$V,операции!$T:$T,"&gt;="&amp;X$8,операции!$T:$T,"&lt;="&amp;X$9,операции!$O:$O,$F682)</f>
        <v>13555.49</v>
      </c>
      <c r="Y700" s="170"/>
      <c r="Z700" s="169">
        <f>SUMIFS(операции!$V:$V,операции!$T:$T,"&gt;="&amp;X$8,операции!$T:$T,"&lt;="&amp;X$9,операции!$L:$L,Z$9,операции!$O:$O,$F682)</f>
        <v>0</v>
      </c>
      <c r="AA700" s="243">
        <f>SUMIFS(операции!$V:$V,операции!$T:$T,"&gt;="&amp;X$8,операции!$T:$T,"&lt;="&amp;X$9,операции!$L:$L,AA$9,операции!$O:$O,$F682)</f>
        <v>13555.49</v>
      </c>
      <c r="AB700" s="266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s="192" customFormat="1" ht="11.25">
      <c r="A701" s="37"/>
      <c r="B701" s="37"/>
      <c r="C701" s="37"/>
      <c r="D701" s="207" t="s">
        <v>255</v>
      </c>
      <c r="E701" s="207"/>
      <c r="F701" s="207" t="str">
        <f t="shared" si="1182"/>
        <v>Вега</v>
      </c>
      <c r="G701" s="207" t="s">
        <v>262</v>
      </c>
      <c r="H701" s="331"/>
      <c r="I701" s="337">
        <f>IF(I700=0,0,SUMIFS(операции!$AF:$AF,операции!$T:$T,"&gt;="&amp;I$8,операции!$T:$T,"&lt;="&amp;I$9,операции!$O:$O,$F682)/I700)</f>
        <v>42329.910082714072</v>
      </c>
      <c r="J701" s="333"/>
      <c r="K701" s="337">
        <f>IF(K700=0,0,SUMIFS(операции!$AF:$AF,операции!$T:$T,"&gt;="&amp;I$8,операции!$T:$T,"&lt;="&amp;I$9,операции!$L:$L,K$9,операции!$O:$O,$F682)/K700)</f>
        <v>0</v>
      </c>
      <c r="L701" s="338">
        <f>IF(L700=0,0,SUMIFS(операции!$AF:$AF,операции!$T:$T,"&gt;="&amp;I$8,операции!$T:$T,"&lt;="&amp;I$9,операции!$L:$L,L$9,операции!$O:$O,$F682)/L700)</f>
        <v>42329.910082714072</v>
      </c>
      <c r="M701" s="278"/>
      <c r="N701" s="217">
        <f>IF(N700=0,0,SUMIFS(операции!$AF:$AF,операции!$T:$T,"&gt;="&amp;N$8,операции!$T:$T,"&lt;="&amp;N$9,операции!$O:$O,$F682)/N700)</f>
        <v>42304.363289583765</v>
      </c>
      <c r="O701" s="208"/>
      <c r="P701" s="217">
        <f>IF(P700=0,0,SUMIFS(операции!$AF:$AF,операции!$T:$T,"&gt;="&amp;N$8,операции!$T:$T,"&lt;="&amp;N$9,операции!$L:$L,P$9,операции!$O:$O,$F682)/P700)</f>
        <v>0</v>
      </c>
      <c r="Q701" s="249">
        <f>IF(Q700=0,0,SUMIFS(операции!$AF:$AF,операции!$T:$T,"&gt;="&amp;N$8,операции!$T:$T,"&lt;="&amp;N$9,операции!$L:$L,Q$9,операции!$O:$O,$F682)/Q700)</f>
        <v>42304.363289583765</v>
      </c>
      <c r="R701" s="247"/>
      <c r="S701" s="217">
        <f>IF(S700=0,0,SUMIFS(операции!$AF:$AF,операции!$T:$T,"&gt;="&amp;S$8,операции!$T:$T,"&lt;="&amp;S$9,операции!$O:$O,$F682)/S700)</f>
        <v>42328.157098686868</v>
      </c>
      <c r="T701" s="208"/>
      <c r="U701" s="217">
        <f>IF(U700=0,0,SUMIFS(операции!$AF:$AF,операции!$T:$T,"&gt;="&amp;S$8,операции!$T:$T,"&lt;="&amp;S$9,операции!$L:$L,U$9,операции!$O:$O,$F682)/U700)</f>
        <v>0</v>
      </c>
      <c r="V701" s="249">
        <f>IF(V700=0,0,SUMIFS(операции!$AF:$AF,операции!$T:$T,"&gt;="&amp;S$8,операции!$T:$T,"&lt;="&amp;S$9,операции!$L:$L,V$9,операции!$O:$O,$F682)/V700)</f>
        <v>42328.157098686868</v>
      </c>
      <c r="W701" s="247"/>
      <c r="X701" s="217">
        <f>IF(X700=0,0,SUMIFS(операции!$AF:$AF,операции!$T:$T,"&gt;="&amp;X$8,операции!$T:$T,"&lt;="&amp;X$9,операции!$O:$O,$F682)/X700)</f>
        <v>42358.457756967837</v>
      </c>
      <c r="Y701" s="208"/>
      <c r="Z701" s="217">
        <f>IF(Z700=0,0,SUMIFS(операции!$AF:$AF,операции!$T:$T,"&gt;="&amp;X$8,операции!$T:$T,"&lt;="&amp;X$9,операции!$L:$L,Z$9,операции!$O:$O,$F682)/Z700)</f>
        <v>0</v>
      </c>
      <c r="AA701" s="249">
        <f>IF(AA700=0,0,SUMIFS(операции!$AF:$AF,операции!$T:$T,"&gt;="&amp;X$8,операции!$T:$T,"&lt;="&amp;X$9,операции!$L:$L,AA$9,операции!$O:$O,$F682)/AA700)</f>
        <v>42358.457756967837</v>
      </c>
      <c r="AB701" s="265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</row>
    <row r="702" spans="1:42" s="93" customFormat="1" ht="15">
      <c r="A702" s="92"/>
      <c r="B702" s="92"/>
      <c r="C702" s="92"/>
      <c r="D702" s="212" t="s">
        <v>274</v>
      </c>
      <c r="E702" s="212"/>
      <c r="F702" s="212" t="str">
        <f t="shared" si="1182"/>
        <v>Вега</v>
      </c>
      <c r="G702" s="212" t="s">
        <v>261</v>
      </c>
      <c r="H702" s="339"/>
      <c r="I702" s="340">
        <f>SUMIFS(операции!$Z:$Z,операции!$X:$X,"&gt;="&amp;I$8,операции!$X:$X,"&lt;="&amp;I$9,операции!$O:$O,$F682)</f>
        <v>71384</v>
      </c>
      <c r="J702" s="341">
        <f>I702-I715-I725</f>
        <v>0</v>
      </c>
      <c r="K702" s="340">
        <f>SUMIFS(операции!$Z:$Z,операции!$X:$X,"&gt;="&amp;I$8,операции!$X:$X,"&lt;="&amp;I$9,операции!$L:$L,K$9,операции!$O:$O,$F682)</f>
        <v>12195</v>
      </c>
      <c r="L702" s="342">
        <f>SUMIFS(операции!$Z:$Z,операции!$X:$X,"&gt;="&amp;I$8,операции!$X:$X,"&lt;="&amp;I$9,операции!$L:$L,L$9,операции!$O:$O,$F682)</f>
        <v>59189</v>
      </c>
      <c r="M702" s="279"/>
      <c r="N702" s="213">
        <f>SUMIFS(операции!$Z:$Z,операции!$X:$X,"&gt;="&amp;N$8,операции!$X:$X,"&lt;="&amp;N$9,операции!$O:$O,$F682)</f>
        <v>13367</v>
      </c>
      <c r="O702" s="216">
        <f>N702-N715-N725</f>
        <v>0</v>
      </c>
      <c r="P702" s="213">
        <f>SUMIFS(операции!$Z:$Z,операции!$X:$X,"&gt;="&amp;N$8,операции!$X:$X,"&lt;="&amp;N$9,операции!$L:$L,P$9,операции!$O:$O,$F682)</f>
        <v>1481</v>
      </c>
      <c r="Q702" s="250">
        <f>SUMIFS(операции!$Z:$Z,операции!$X:$X,"&gt;="&amp;N$8,операции!$X:$X,"&lt;="&amp;N$9,операции!$L:$L,Q$9,операции!$O:$O,$F682)</f>
        <v>11886</v>
      </c>
      <c r="R702" s="251"/>
      <c r="S702" s="213">
        <f>SUMIFS(операции!$Z:$Z,операции!$X:$X,"&gt;="&amp;S$8,операции!$X:$X,"&lt;="&amp;S$9,операции!$O:$O,$F682)</f>
        <v>38940</v>
      </c>
      <c r="T702" s="216">
        <f>S702-S715-S725</f>
        <v>0</v>
      </c>
      <c r="U702" s="213">
        <f>SUMIFS(операции!$Z:$Z,операции!$X:$X,"&gt;="&amp;S$8,операции!$X:$X,"&lt;="&amp;S$9,операции!$L:$L,U$9,операции!$O:$O,$F682)</f>
        <v>7215</v>
      </c>
      <c r="V702" s="250">
        <f>SUMIFS(операции!$Z:$Z,операции!$X:$X,"&gt;="&amp;S$8,операции!$X:$X,"&lt;="&amp;S$9,операции!$L:$L,V$9,операции!$O:$O,$F682)</f>
        <v>31725</v>
      </c>
      <c r="W702" s="251"/>
      <c r="X702" s="213">
        <f>SUMIFS(операции!$Z:$Z,операции!$X:$X,"&gt;="&amp;X$8,операции!$X:$X,"&lt;="&amp;X$9,операции!$O:$O,$F682)</f>
        <v>19077</v>
      </c>
      <c r="Y702" s="216">
        <f>X702-X715-X725</f>
        <v>0</v>
      </c>
      <c r="Z702" s="213">
        <f>SUMIFS(операции!$Z:$Z,операции!$X:$X,"&gt;="&amp;X$8,операции!$X:$X,"&lt;="&amp;X$9,операции!$L:$L,Z$9,операции!$O:$O,$F682)</f>
        <v>3499</v>
      </c>
      <c r="AA702" s="250">
        <f>SUMIFS(операции!$Z:$Z,операции!$X:$X,"&gt;="&amp;X$8,операции!$X:$X,"&lt;="&amp;X$9,операции!$L:$L,AA$9,операции!$O:$O,$F682)</f>
        <v>15578</v>
      </c>
      <c r="AB702" s="264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</row>
    <row r="703" spans="1:42" s="407" customFormat="1" ht="11.25">
      <c r="A703" s="404"/>
      <c r="B703" s="404"/>
      <c r="C703" s="404"/>
      <c r="D703" s="405" t="s">
        <v>332</v>
      </c>
      <c r="E703" s="405"/>
      <c r="F703" s="405" t="str">
        <f>F701</f>
        <v>Вега</v>
      </c>
      <c r="G703" s="405" t="s">
        <v>218</v>
      </c>
      <c r="H703" s="408"/>
      <c r="I703" s="408">
        <f>IF(I$31=0,0,I702/I$31)</f>
        <v>1.9242132139514624E-2</v>
      </c>
      <c r="J703" s="409"/>
      <c r="K703" s="408">
        <f t="shared" ref="K703" si="1211">IF(K$31=0,0,K702/K$31)</f>
        <v>9.3672659566133125E-3</v>
      </c>
      <c r="L703" s="410">
        <f t="shared" ref="L703" si="1212">IF(L$31=0,0,L702/L$31)</f>
        <v>2.4581149897296484E-2</v>
      </c>
      <c r="M703" s="411"/>
      <c r="N703" s="412">
        <f t="shared" ref="N703" si="1213">IF(N$31=0,0,N702/N$31)</f>
        <v>1.7247675170289665E-2</v>
      </c>
      <c r="O703" s="413"/>
      <c r="P703" s="412">
        <f t="shared" ref="P703" si="1214">IF(P$31=0,0,P702/P$31)</f>
        <v>2.9591828579192607E-3</v>
      </c>
      <c r="Q703" s="414">
        <f t="shared" ref="Q703" si="1215">IF(Q$31=0,0,Q702/Q$31)</f>
        <v>4.3296287796828724E-2</v>
      </c>
      <c r="R703" s="415"/>
      <c r="S703" s="412">
        <f t="shared" ref="S703" si="1216">IF(S$31=0,0,S702/S$31)</f>
        <v>2.1941798449874487E-2</v>
      </c>
      <c r="T703" s="413"/>
      <c r="U703" s="412">
        <f t="shared" ref="U703" si="1217">IF(U$31=0,0,U702/U$31)</f>
        <v>1.1456836388754357E-2</v>
      </c>
      <c r="V703" s="414">
        <f t="shared" ref="V703" si="1218">IF(V$31=0,0,V702/V$31)</f>
        <v>2.77088755742659E-2</v>
      </c>
      <c r="W703" s="415"/>
      <c r="X703" s="412">
        <f t="shared" ref="X703" si="1219">IF(X$31=0,0,X702/X$31)</f>
        <v>1.6444583898668881E-2</v>
      </c>
      <c r="Y703" s="413"/>
      <c r="Z703" s="412">
        <f t="shared" ref="Z703" si="1220">IF(Z$31=0,0,Z702/Z$31)</f>
        <v>2.0385334677207927E-2</v>
      </c>
      <c r="AA703" s="414">
        <f t="shared" ref="AA703" si="1221">IF(AA$31=0,0,AA702/AA$31)</f>
        <v>1.5760267493563056E-2</v>
      </c>
      <c r="AB703" s="406"/>
      <c r="AC703" s="404"/>
      <c r="AD703" s="404"/>
      <c r="AE703" s="404"/>
      <c r="AF703" s="404"/>
      <c r="AG703" s="404"/>
      <c r="AH703" s="404"/>
      <c r="AI703" s="404"/>
      <c r="AJ703" s="404"/>
      <c r="AK703" s="404"/>
      <c r="AL703" s="404"/>
      <c r="AM703" s="404"/>
      <c r="AN703" s="404"/>
      <c r="AO703" s="404"/>
      <c r="AP703" s="404"/>
    </row>
    <row r="704" spans="1:42" s="192" customFormat="1" ht="11.25">
      <c r="A704" s="37"/>
      <c r="B704" s="37"/>
      <c r="C704" s="37"/>
      <c r="D704" s="191" t="s">
        <v>331</v>
      </c>
      <c r="E704" s="191"/>
      <c r="F704" s="191" t="str">
        <f>F702</f>
        <v>Вега</v>
      </c>
      <c r="G704" s="191" t="s">
        <v>334</v>
      </c>
      <c r="H704" s="315"/>
      <c r="I704" s="329">
        <f>SUMIFS(операции!$R:$R,операции!$X:$X,"&gt;="&amp;I$8,операции!$X:$X,"&lt;="&amp;I$9,операции!$O:$O,$F682)</f>
        <v>46</v>
      </c>
      <c r="J704" s="317">
        <f>I704-K704-L704</f>
        <v>0</v>
      </c>
      <c r="K704" s="329">
        <f>SUMIFS(операции!$R:$R,операции!$X:$X,"&gt;="&amp;I$8,операции!$X:$X,"&lt;="&amp;I$9,операции!$L:$L,K$9,операции!$O:$O,$F682)</f>
        <v>11</v>
      </c>
      <c r="L704" s="330">
        <f>SUMIFS(операции!$R:$R,операции!$X:$X,"&gt;="&amp;I$8,операции!$X:$X,"&lt;="&amp;I$9,операции!$L:$L,L$9,операции!$O:$O,$F682)</f>
        <v>35</v>
      </c>
      <c r="M704" s="402"/>
      <c r="N704" s="156">
        <f>SUMIFS(операции!$R:$R,операции!$X:$X,"&gt;="&amp;N$8,операции!$X:$X,"&lt;="&amp;N$9,операции!$O:$O,$F682)</f>
        <v>7</v>
      </c>
      <c r="O704" s="196">
        <f t="shared" ref="O704" si="1222">N704-P704-Q704</f>
        <v>0</v>
      </c>
      <c r="P704" s="156">
        <f>SUMIFS(операции!$R:$R,операции!$X:$X,"&gt;="&amp;N$8,операции!$X:$X,"&lt;="&amp;N$9,операции!$L:$L,P$9,операции!$O:$O,$F682)</f>
        <v>2</v>
      </c>
      <c r="Q704" s="245">
        <f>SUMIFS(операции!$R:$R,операции!$X:$X,"&gt;="&amp;N$8,операции!$X:$X,"&lt;="&amp;N$9,операции!$L:$L,Q$9,операции!$O:$O,$F682)</f>
        <v>5</v>
      </c>
      <c r="R704" s="403"/>
      <c r="S704" s="156">
        <f>SUMIFS(операции!$R:$R,операции!$X:$X,"&gt;="&amp;S$8,операции!$X:$X,"&lt;="&amp;S$9,операции!$O:$O,$F682)</f>
        <v>27</v>
      </c>
      <c r="T704" s="196">
        <f t="shared" ref="T704" si="1223">S704-U704-V704</f>
        <v>0</v>
      </c>
      <c r="U704" s="156">
        <f>SUMIFS(операции!$R:$R,операции!$X:$X,"&gt;="&amp;S$8,операции!$X:$X,"&lt;="&amp;S$9,операции!$L:$L,U$9,операции!$O:$O,$F682)</f>
        <v>6</v>
      </c>
      <c r="V704" s="245">
        <f>SUMIFS(операции!$R:$R,операции!$X:$X,"&gt;="&amp;S$8,операции!$X:$X,"&lt;="&amp;S$9,операции!$L:$L,V$9,операции!$O:$O,$F682)</f>
        <v>21</v>
      </c>
      <c r="W704" s="403"/>
      <c r="X704" s="156">
        <f>SUMIFS(операции!$R:$R,операции!$X:$X,"&gt;="&amp;X$8,операции!$X:$X,"&lt;="&amp;X$9,операции!$O:$O,$F682)</f>
        <v>12</v>
      </c>
      <c r="Y704" s="196">
        <f t="shared" ref="Y704" si="1224">X704-Z704-AA704</f>
        <v>0</v>
      </c>
      <c r="Z704" s="156">
        <f>SUMIFS(операции!$R:$R,операции!$X:$X,"&gt;="&amp;X$8,операции!$X:$X,"&lt;="&amp;X$9,операции!$L:$L,Z$9,операции!$O:$O,$F682)</f>
        <v>3</v>
      </c>
      <c r="AA704" s="245">
        <f>SUMIFS(операции!$R:$R,операции!$X:$X,"&gt;="&amp;X$8,операции!$X:$X,"&lt;="&amp;X$9,операции!$L:$L,AA$9,операции!$O:$O,$F682)</f>
        <v>9</v>
      </c>
      <c r="AB704" s="265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</row>
    <row r="705" spans="1:42" s="192" customFormat="1" ht="11.25">
      <c r="A705" s="37"/>
      <c r="B705" s="37"/>
      <c r="C705" s="37"/>
      <c r="D705" s="191" t="s">
        <v>333</v>
      </c>
      <c r="E705" s="191"/>
      <c r="F705" s="191" t="str">
        <f t="shared" si="1182"/>
        <v>Вега</v>
      </c>
      <c r="G705" s="191" t="s">
        <v>261</v>
      </c>
      <c r="H705" s="315"/>
      <c r="I705" s="329">
        <f>IF(I704=0,0,I702/I704)</f>
        <v>1551.8260869565217</v>
      </c>
      <c r="J705" s="317"/>
      <c r="K705" s="329">
        <f t="shared" ref="K705" si="1225">IF(K704=0,0,K702/K704)</f>
        <v>1108.6363636363637</v>
      </c>
      <c r="L705" s="330">
        <f t="shared" ref="L705" si="1226">IF(L704=0,0,L702/L704)</f>
        <v>1691.1142857142856</v>
      </c>
      <c r="M705" s="402"/>
      <c r="N705" s="156">
        <f>IF(N704=0,0,N702/N704)</f>
        <v>1909.5714285714287</v>
      </c>
      <c r="O705" s="196"/>
      <c r="P705" s="156">
        <f>IF(P704=0,0,P702/P704)</f>
        <v>740.5</v>
      </c>
      <c r="Q705" s="245">
        <f>IF(Q704=0,0,Q702/Q704)</f>
        <v>2377.1999999999998</v>
      </c>
      <c r="R705" s="403"/>
      <c r="S705" s="156">
        <f>IF(S704=0,0,S702/S704)</f>
        <v>1442.2222222222222</v>
      </c>
      <c r="T705" s="196"/>
      <c r="U705" s="156">
        <f>IF(U704=0,0,U702/U704)</f>
        <v>1202.5</v>
      </c>
      <c r="V705" s="245">
        <f>IF(V704=0,0,V702/V704)</f>
        <v>1510.7142857142858</v>
      </c>
      <c r="W705" s="403"/>
      <c r="X705" s="156">
        <f>IF(X704=0,0,X702/X704)</f>
        <v>1589.75</v>
      </c>
      <c r="Y705" s="196"/>
      <c r="Z705" s="156">
        <f>IF(Z704=0,0,Z702/Z704)</f>
        <v>1166.3333333333333</v>
      </c>
      <c r="AA705" s="245">
        <f>IF(AA704=0,0,AA702/AA704)</f>
        <v>1730.8888888888889</v>
      </c>
      <c r="AB705" s="265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</row>
    <row r="706" spans="1:42" s="192" customFormat="1" ht="11.25">
      <c r="A706" s="37"/>
      <c r="B706" s="37"/>
      <c r="C706" s="37"/>
      <c r="D706" s="191" t="s">
        <v>290</v>
      </c>
      <c r="E706" s="191"/>
      <c r="F706" s="191" t="str">
        <f>F702</f>
        <v>Вега</v>
      </c>
      <c r="G706" s="191" t="s">
        <v>262</v>
      </c>
      <c r="H706" s="315"/>
      <c r="I706" s="316">
        <f>IF(I702=0,0,SUMIFS(операции!$AG:$AG,операции!$X:$X,"&gt;="&amp;I$8,операции!$X:$X,"&lt;="&amp;I$9,операции!$O:$O,$F682)/I702)</f>
        <v>42325.797545668494</v>
      </c>
      <c r="J706" s="317"/>
      <c r="K706" s="316">
        <f>IF(K702=0,0,SUMIFS(операции!$AG:$AG,операции!$X:$X,"&gt;="&amp;I$8,операции!$X:$X,"&lt;="&amp;I$9,операции!$L:$L,K$9,операции!$O:$O,$F682)/K702)</f>
        <v>42325.950143501432</v>
      </c>
      <c r="L706" s="318">
        <f>IF(L702=0,0,SUMIFS(операции!$AG:$AG,операции!$X:$X,"&gt;="&amp;I$8,операции!$X:$X,"&lt;="&amp;I$9,операции!$L:$L,L$9,операции!$O:$O,$F682)/L702)</f>
        <v>42325.766105188464</v>
      </c>
      <c r="M706" s="274"/>
      <c r="N706" s="193">
        <f>IF(N702=0,0,SUMIFS(операции!$AG:$AG,операции!$X:$X,"&gt;="&amp;N$8,операции!$X:$X,"&lt;="&amp;N$9,операции!$O:$O,$F682)/N702)</f>
        <v>42305.466297598563</v>
      </c>
      <c r="O706" s="196"/>
      <c r="P706" s="193">
        <f>IF(P702=0,0,SUMIFS(операции!$AG:$AG,операции!$X:$X,"&gt;="&amp;N$8,операции!$X:$X,"&lt;="&amp;N$9,операции!$L:$L,P$9,операции!$O:$O,$F682)/P702)</f>
        <v>42305.280216070219</v>
      </c>
      <c r="Q706" s="237">
        <f>IF(Q702=0,0,SUMIFS(операции!$AG:$AG,операции!$X:$X,"&gt;="&amp;N$8,операции!$X:$X,"&lt;="&amp;N$9,операции!$L:$L,Q$9,операции!$O:$O,$F682)/Q702)</f>
        <v>42305.489483425881</v>
      </c>
      <c r="R706" s="238"/>
      <c r="S706" s="193">
        <f>IF(S702=0,0,SUMIFS(операции!$AG:$AG,операции!$X:$X,"&gt;="&amp;S$8,операции!$X:$X,"&lt;="&amp;S$9,операции!$O:$O,$F682)/S702)</f>
        <v>42324.887827426814</v>
      </c>
      <c r="T706" s="196"/>
      <c r="U706" s="193">
        <f>IF(U702=0,0,SUMIFS(операции!$AG:$AG,операции!$X:$X,"&gt;="&amp;S$8,операции!$X:$X,"&lt;="&amp;S$9,операции!$L:$L,U$9,операции!$O:$O,$F682)/U702)</f>
        <v>42322.819542619545</v>
      </c>
      <c r="V706" s="237">
        <f>IF(V702=0,0,SUMIFS(операции!$AG:$AG,операции!$X:$X,"&gt;="&amp;S$8,операции!$X:$X,"&lt;="&amp;S$9,операции!$L:$L,V$9,операции!$O:$O,$F682)/V702)</f>
        <v>42325.35820330969</v>
      </c>
      <c r="W706" s="238"/>
      <c r="X706" s="193">
        <f>IF(X702=0,0,SUMIFS(операции!$AG:$AG,операции!$X:$X,"&gt;="&amp;X$8,операции!$X:$X,"&lt;="&amp;X$9,операции!$O:$O,$F682)/X702)</f>
        <v>42341.900298789114</v>
      </c>
      <c r="Y706" s="196"/>
      <c r="Z706" s="193">
        <f>IF(Z702=0,0,SUMIFS(операции!$AG:$AG,операции!$X:$X,"&gt;="&amp;X$8,операции!$X:$X,"&lt;="&amp;X$9,операции!$L:$L,Z$9,операции!$O:$O,$F682)/Z702)</f>
        <v>42341.154329808516</v>
      </c>
      <c r="AA706" s="237">
        <f>IF(AA702=0,0,SUMIFS(операции!$AG:$AG,операции!$X:$X,"&gt;="&amp;X$8,операции!$X:$X,"&lt;="&amp;X$9,операции!$L:$L,AA$9,операции!$O:$O,$F682)/AA702)</f>
        <v>42342.067852099113</v>
      </c>
      <c r="AB706" s="265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</row>
    <row r="707" spans="1:42" s="93" customFormat="1" ht="15">
      <c r="A707" s="92"/>
      <c r="B707" s="92"/>
      <c r="C707" s="92"/>
      <c r="D707" s="151" t="s">
        <v>275</v>
      </c>
      <c r="E707" s="151"/>
      <c r="F707" s="151" t="str">
        <f t="shared" si="1182"/>
        <v>Вега</v>
      </c>
      <c r="G707" s="151" t="s">
        <v>261</v>
      </c>
      <c r="H707" s="311"/>
      <c r="I707" s="312">
        <f>SUMIFS(операции!$V:$V,операции!$X:$X,"&gt;="&amp;I$8,операции!$X:$X,"&lt;="&amp;I$9,операции!$O:$O,$F682)</f>
        <v>57854.350000000013</v>
      </c>
      <c r="J707" s="313">
        <f>I707-I717-I727</f>
        <v>0</v>
      </c>
      <c r="K707" s="312">
        <f>SUMIFS(операции!$V:$V,операции!$X:$X,"&gt;="&amp;I$8,операции!$X:$X,"&lt;="&amp;I$9,операции!$L:$L,K$9,операции!$O:$O,$F682)</f>
        <v>8751.8100000000013</v>
      </c>
      <c r="L707" s="314">
        <f>SUMIFS(операции!$V:$V,операции!$X:$X,"&gt;="&amp;I$8,операции!$X:$X,"&lt;="&amp;I$9,операции!$L:$L,L$9,операции!$O:$O,$F682)</f>
        <v>49102.54</v>
      </c>
      <c r="M707" s="273"/>
      <c r="N707" s="152">
        <f>SUMIFS(операции!$V:$V,операции!$X:$X,"&gt;="&amp;N$8,операции!$X:$X,"&lt;="&amp;N$9,операции!$O:$O,$F682)</f>
        <v>10394.549999999999</v>
      </c>
      <c r="O707" s="170">
        <f>N707-N717-N727</f>
        <v>0</v>
      </c>
      <c r="P707" s="152">
        <f>SUMIFS(операции!$V:$V,операции!$X:$X,"&gt;="&amp;N$8,операции!$X:$X,"&lt;="&amp;N$9,операции!$L:$L,P$9,операции!$O:$O,$F682)</f>
        <v>1018.09</v>
      </c>
      <c r="Q707" s="235">
        <f>SUMIFS(операции!$V:$V,операции!$X:$X,"&gt;="&amp;N$8,операции!$X:$X,"&lt;="&amp;N$9,операции!$L:$L,Q$9,операции!$O:$O,$F682)</f>
        <v>9376.4599999999991</v>
      </c>
      <c r="R707" s="236"/>
      <c r="S707" s="152">
        <f>SUMIFS(операции!$V:$V,операции!$X:$X,"&gt;="&amp;S$8,операции!$X:$X,"&lt;="&amp;S$9,операции!$O:$O,$F682)</f>
        <v>31938.979999999996</v>
      </c>
      <c r="T707" s="170">
        <f>S707-S717-S727</f>
        <v>0</v>
      </c>
      <c r="U707" s="152">
        <f>SUMIFS(операции!$V:$V,операции!$X:$X,"&gt;="&amp;S$8,операции!$X:$X,"&lt;="&amp;S$9,операции!$L:$L,U$9,операции!$O:$O,$F682)</f>
        <v>5049.58</v>
      </c>
      <c r="V707" s="235">
        <f>SUMIFS(операции!$V:$V,операции!$X:$X,"&gt;="&amp;S$8,операции!$X:$X,"&lt;="&amp;S$9,операции!$L:$L,V$9,операции!$O:$O,$F682)</f>
        <v>26889.399999999998</v>
      </c>
      <c r="W707" s="236"/>
      <c r="X707" s="152">
        <f>SUMIFS(операции!$V:$V,операции!$X:$X,"&gt;="&amp;X$8,операции!$X:$X,"&lt;="&amp;X$9,операции!$O:$O,$F682)</f>
        <v>15520.820000000002</v>
      </c>
      <c r="Y707" s="170">
        <f>X707-X717-X727</f>
        <v>0</v>
      </c>
      <c r="Z707" s="152">
        <f>SUMIFS(операции!$V:$V,операции!$X:$X,"&gt;="&amp;X$8,операции!$X:$X,"&lt;="&amp;X$9,операции!$L:$L,Z$9,операции!$O:$O,$F682)</f>
        <v>2684.1400000000003</v>
      </c>
      <c r="AA707" s="235">
        <f>SUMIFS(операции!$V:$V,операции!$X:$X,"&gt;="&amp;X$8,операции!$X:$X,"&lt;="&amp;X$9,операции!$L:$L,AA$9,операции!$O:$O,$F682)</f>
        <v>12836.68</v>
      </c>
      <c r="AB707" s="264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</row>
    <row r="708" spans="1:42" s="192" customFormat="1" ht="11.25">
      <c r="A708" s="37"/>
      <c r="B708" s="37"/>
      <c r="C708" s="37"/>
      <c r="D708" s="191" t="s">
        <v>291</v>
      </c>
      <c r="E708" s="191"/>
      <c r="F708" s="191" t="str">
        <f t="shared" si="1182"/>
        <v>Вега</v>
      </c>
      <c r="G708" s="191" t="s">
        <v>262</v>
      </c>
      <c r="H708" s="315"/>
      <c r="I708" s="316">
        <f>IF(I707=0,0,SUMIFS(операции!$AF:$AF,операции!$X:$X,"&gt;="&amp;I$8,операции!$X:$X,"&lt;="&amp;I$9,операции!$O:$O,$F682)/I707)</f>
        <v>42290.192993612414</v>
      </c>
      <c r="J708" s="317"/>
      <c r="K708" s="316">
        <f>IF(K707=0,0,SUMIFS(операции!$AF:$AF,операции!$X:$X,"&gt;="&amp;I$8,операции!$X:$X,"&lt;="&amp;I$9,операции!$L:$L,K$9,операции!$O:$O,$F682)/K707)</f>
        <v>42111.574828521181</v>
      </c>
      <c r="L708" s="318">
        <f>IF(L707=0,0,SUMIFS(операции!$AF:$AF,операции!$X:$X,"&gt;="&amp;I$8,операции!$X:$X,"&lt;="&amp;I$9,операции!$L:$L,L$9,операции!$O:$O,$F682)/L707)</f>
        <v>42322.029070593919</v>
      </c>
      <c r="M708" s="274"/>
      <c r="N708" s="193">
        <f>IF(N707=0,0,SUMIFS(операции!$AF:$AF,операции!$X:$X,"&gt;="&amp;N$8,операции!$X:$X,"&lt;="&amp;N$9,операции!$O:$O,$F682)/N707)</f>
        <v>42294.489789360778</v>
      </c>
      <c r="O708" s="196"/>
      <c r="P708" s="193">
        <f>IF(P707=0,0,SUMIFS(операции!$AF:$AF,операции!$X:$X,"&gt;="&amp;N$8,операции!$X:$X,"&lt;="&amp;N$9,операции!$L:$L,P$9,операции!$O:$O,$F682)/P707)</f>
        <v>42211.228869746286</v>
      </c>
      <c r="Q708" s="237">
        <f>IF(Q707=0,0,SUMIFS(операции!$AF:$AF,операции!$X:$X,"&gt;="&amp;N$8,операции!$X:$X,"&lt;="&amp;N$9,операции!$L:$L,Q$9,операции!$O:$O,$F682)/Q707)</f>
        <v>42303.530206495852</v>
      </c>
      <c r="R708" s="238"/>
      <c r="S708" s="193">
        <f>IF(S707=0,0,SUMIFS(операции!$AF:$AF,операции!$X:$X,"&gt;="&amp;S$8,операции!$X:$X,"&lt;="&amp;S$9,операции!$O:$O,$F682)/S707)</f>
        <v>42283.281195579832</v>
      </c>
      <c r="T708" s="196"/>
      <c r="U708" s="193">
        <f>IF(U707=0,0,SUMIFS(операции!$AF:$AF,операции!$X:$X,"&gt;="&amp;S$8,операции!$X:$X,"&lt;="&amp;S$9,операции!$L:$L,U$9,операции!$O:$O,$F682)/U707)</f>
        <v>42077.751179306004</v>
      </c>
      <c r="V708" s="237">
        <f>IF(V707=0,0,SUMIFS(операции!$AF:$AF,операции!$X:$X,"&gt;="&amp;S$8,операции!$X:$X,"&lt;="&amp;S$9,операции!$L:$L,V$9,операции!$O:$O,$F682)/V707)</f>
        <v>42321.877826950396</v>
      </c>
      <c r="W708" s="238"/>
      <c r="X708" s="193">
        <f>IF(X707=0,0,SUMIFS(операции!$AF:$AF,операции!$X:$X,"&gt;="&amp;X$8,операции!$X:$X,"&lt;="&amp;X$9,операции!$O:$O,$F682)/X707)</f>
        <v>42301.538561751251</v>
      </c>
      <c r="Y708" s="196"/>
      <c r="Z708" s="193">
        <f>IF(Z707=0,0,SUMIFS(операции!$AF:$AF,операции!$X:$X,"&gt;="&amp;X$8,операции!$X:$X,"&lt;="&amp;X$9,операции!$L:$L,Z$9,операции!$O:$O,$F682)/Z707)</f>
        <v>42137.407475019929</v>
      </c>
      <c r="AA708" s="237">
        <f>IF(AA707=0,0,SUMIFS(операции!$AF:$AF,операции!$X:$X,"&gt;="&amp;X$8,операции!$X:$X,"&lt;="&amp;X$9,операции!$L:$L,AA$9,операции!$O:$O,$F682)/AA707)</f>
        <v>42335.858246836411</v>
      </c>
      <c r="AB708" s="265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</row>
    <row r="709" spans="1:42" s="192" customFormat="1" ht="11.25">
      <c r="A709" s="37"/>
      <c r="B709" s="37"/>
      <c r="C709" s="37"/>
      <c r="D709" s="191" t="s">
        <v>308</v>
      </c>
      <c r="E709" s="191"/>
      <c r="F709" s="191" t="str">
        <f t="shared" si="1182"/>
        <v>Вега</v>
      </c>
      <c r="G709" s="191" t="s">
        <v>262</v>
      </c>
      <c r="H709" s="315"/>
      <c r="I709" s="316">
        <f>IF(I707=0,0,(I717*I719+I727*I729)/I707)</f>
        <v>42333.937928608648</v>
      </c>
      <c r="J709" s="317"/>
      <c r="K709" s="316">
        <f t="shared" ref="K709:L709" si="1227">IF(K707=0,0,(K717*K719+K727*K729)/K707)</f>
        <v>42231.023907054645</v>
      </c>
      <c r="L709" s="318">
        <f t="shared" si="1227"/>
        <v>42352.280848607843</v>
      </c>
      <c r="M709" s="274"/>
      <c r="N709" s="193">
        <f>IF(N707=0,0,(N717*N719+N727*N729)/N707)</f>
        <v>42328.467605620252</v>
      </c>
      <c r="O709" s="196"/>
      <c r="P709" s="193">
        <f t="shared" ref="P709:Q709" si="1228">IF(P707=0,0,(P717*P719+P727*P729)/P707)</f>
        <v>42242.761003447631</v>
      </c>
      <c r="Q709" s="237">
        <f t="shared" si="1228"/>
        <v>42337.773573395505</v>
      </c>
      <c r="R709" s="238"/>
      <c r="S709" s="193">
        <f>IF(S707=0,0,(S717*S719+S727*S729)/S707)</f>
        <v>42321.901014684889</v>
      </c>
      <c r="T709" s="196"/>
      <c r="U709" s="193">
        <f t="shared" ref="U709:V709" si="1229">IF(U707=0,0,(U717*U719+U727*U729)/U707)</f>
        <v>42178.433651907682</v>
      </c>
      <c r="V709" s="237">
        <f t="shared" si="1229"/>
        <v>42348.842855177136</v>
      </c>
      <c r="W709" s="238"/>
      <c r="X709" s="193">
        <f>IF(X707=0,0,(X717*X719+X727*X729)/X707)</f>
        <v>42353.514550133303</v>
      </c>
      <c r="Y709" s="196"/>
      <c r="Z709" s="193">
        <f t="shared" ref="Z709:AA709" si="1230">IF(Z707=0,0,(Z717*Z719+Z727*Z729)/Z707)</f>
        <v>42305.684558182504</v>
      </c>
      <c r="AA709" s="237">
        <f t="shared" si="1230"/>
        <v>42363.515764979726</v>
      </c>
      <c r="AB709" s="265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</row>
    <row r="710" spans="1:42" s="93" customFormat="1" ht="15">
      <c r="A710" s="92"/>
      <c r="B710" s="92"/>
      <c r="C710" s="92"/>
      <c r="D710" s="151" t="s">
        <v>278</v>
      </c>
      <c r="E710" s="151"/>
      <c r="F710" s="151" t="str">
        <f t="shared" si="1182"/>
        <v>Вега</v>
      </c>
      <c r="G710" s="151" t="s">
        <v>261</v>
      </c>
      <c r="H710" s="311"/>
      <c r="I710" s="312">
        <f>I702-I707</f>
        <v>13529.649999999987</v>
      </c>
      <c r="J710" s="313">
        <f>I710-K710-L710</f>
        <v>0</v>
      </c>
      <c r="K710" s="312">
        <f t="shared" ref="K710:L710" si="1231">K702-K707</f>
        <v>3443.1899999999987</v>
      </c>
      <c r="L710" s="314">
        <f t="shared" si="1231"/>
        <v>10086.459999999999</v>
      </c>
      <c r="M710" s="273"/>
      <c r="N710" s="152">
        <f>N702-N707</f>
        <v>2972.4500000000007</v>
      </c>
      <c r="O710" s="170">
        <f>N710-P710-Q710</f>
        <v>0</v>
      </c>
      <c r="P710" s="152">
        <f t="shared" ref="P710:Q710" si="1232">P702-P707</f>
        <v>462.90999999999997</v>
      </c>
      <c r="Q710" s="235">
        <f t="shared" si="1232"/>
        <v>2509.5400000000009</v>
      </c>
      <c r="R710" s="236"/>
      <c r="S710" s="152">
        <f>S702-S707</f>
        <v>7001.0200000000041</v>
      </c>
      <c r="T710" s="170">
        <f>S710-U710-V710</f>
        <v>0</v>
      </c>
      <c r="U710" s="152">
        <f t="shared" ref="U710:V710" si="1233">U702-U707</f>
        <v>2165.42</v>
      </c>
      <c r="V710" s="235">
        <f t="shared" si="1233"/>
        <v>4835.6000000000022</v>
      </c>
      <c r="W710" s="236"/>
      <c r="X710" s="152">
        <f>X702-X707</f>
        <v>3556.1799999999985</v>
      </c>
      <c r="Y710" s="170">
        <f>X710-Z710-AA710</f>
        <v>0</v>
      </c>
      <c r="Z710" s="152">
        <f t="shared" ref="Z710:AA710" si="1234">Z702-Z707</f>
        <v>814.85999999999967</v>
      </c>
      <c r="AA710" s="235">
        <f t="shared" si="1234"/>
        <v>2741.3199999999997</v>
      </c>
      <c r="AB710" s="264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</row>
    <row r="711" spans="1:42" s="211" customFormat="1">
      <c r="A711" s="210"/>
      <c r="B711" s="210"/>
      <c r="C711" s="210"/>
      <c r="D711" s="218" t="s">
        <v>277</v>
      </c>
      <c r="E711" s="218"/>
      <c r="F711" s="218" t="str">
        <f t="shared" si="1182"/>
        <v>Вега</v>
      </c>
      <c r="G711" s="218" t="s">
        <v>218</v>
      </c>
      <c r="H711" s="343"/>
      <c r="I711" s="344">
        <f>IF(I702=0,0,(I710/I702))</f>
        <v>0.18953336882214483</v>
      </c>
      <c r="J711" s="345"/>
      <c r="K711" s="344">
        <f t="shared" ref="K711" si="1235">IF(K702=0,0,(K710/K702))</f>
        <v>0.28234440344403433</v>
      </c>
      <c r="L711" s="346">
        <f t="shared" ref="L711" si="1236">IF(L702=0,0,(L710/L702))</f>
        <v>0.17041105610839852</v>
      </c>
      <c r="M711" s="280"/>
      <c r="N711" s="219">
        <f>IF(N702=0,0,(N710/N702))</f>
        <v>0.2223722600433905</v>
      </c>
      <c r="O711" s="220"/>
      <c r="P711" s="219">
        <f t="shared" ref="P711" si="1237">IF(P702=0,0,(P710/P702))</f>
        <v>0.31256583389601617</v>
      </c>
      <c r="Q711" s="252">
        <f t="shared" ref="Q711" si="1238">IF(Q702=0,0,(Q710/Q702))</f>
        <v>0.21113410735318869</v>
      </c>
      <c r="R711" s="253"/>
      <c r="S711" s="219">
        <f>IF(S702=0,0,(S710/S702))</f>
        <v>0.17978993323061129</v>
      </c>
      <c r="T711" s="220"/>
      <c r="U711" s="219">
        <f t="shared" ref="U711" si="1239">IF(U702=0,0,(U710/U702))</f>
        <v>0.30012751212751215</v>
      </c>
      <c r="V711" s="252">
        <f t="shared" ref="V711" si="1240">IF(V702=0,0,(V710/V702))</f>
        <v>0.1524223798266352</v>
      </c>
      <c r="W711" s="253"/>
      <c r="X711" s="219">
        <f>IF(X702=0,0,(X710/X702))</f>
        <v>0.18641190962939658</v>
      </c>
      <c r="Y711" s="220"/>
      <c r="Z711" s="219">
        <f t="shared" ref="Z711" si="1241">IF(Z702=0,0,(Z710/Z702))</f>
        <v>0.23288368105172896</v>
      </c>
      <c r="AA711" s="252">
        <f t="shared" ref="AA711" si="1242">IF(AA702=0,0,(AA710/AA702))</f>
        <v>0.17597380921812811</v>
      </c>
      <c r="AB711" s="267"/>
      <c r="AC711" s="210"/>
      <c r="AD711" s="210"/>
      <c r="AE711" s="210"/>
      <c r="AF711" s="210"/>
      <c r="AG711" s="210"/>
      <c r="AH711" s="210"/>
      <c r="AI711" s="210"/>
      <c r="AJ711" s="210"/>
      <c r="AK711" s="210"/>
      <c r="AL711" s="210"/>
      <c r="AM711" s="210"/>
      <c r="AN711" s="210"/>
      <c r="AO711" s="210"/>
      <c r="AP711" s="210"/>
    </row>
    <row r="712" spans="1:42" s="93" customFormat="1" ht="15">
      <c r="A712" s="92"/>
      <c r="B712" s="92"/>
      <c r="C712" s="92"/>
      <c r="D712" s="198" t="s">
        <v>220</v>
      </c>
      <c r="E712" s="198"/>
      <c r="F712" s="198" t="str">
        <f t="shared" si="1182"/>
        <v>Вега</v>
      </c>
      <c r="G712" s="198" t="s">
        <v>219</v>
      </c>
      <c r="H712" s="323"/>
      <c r="I712" s="324">
        <f>I706-I708</f>
        <v>35.604552056080138</v>
      </c>
      <c r="J712" s="321">
        <f>I712-SUMIFS(ПОбТЗ!$I:$I,ПОбТЗ!$E:$E,$D712,ПОбТЗ!$F:$F,$F712)</f>
        <v>0</v>
      </c>
      <c r="K712" s="324">
        <f t="shared" ref="K712:L712" si="1243">K706-K708</f>
        <v>214.37531498025055</v>
      </c>
      <c r="L712" s="325">
        <f t="shared" si="1243"/>
        <v>3.7370345945455483</v>
      </c>
      <c r="M712" s="276"/>
      <c r="N712" s="199">
        <f>N706-N708</f>
        <v>10.97650823778531</v>
      </c>
      <c r="O712" s="173">
        <f>N712-SUMIFS(ПОбТЗ_3!$J:$J,ПОбТЗ_3!$D:$D,$D712,ПОбТЗ_3!$E:$E,$F712)</f>
        <v>0</v>
      </c>
      <c r="P712" s="199">
        <f t="shared" ref="P712:Q712" si="1244">P706-P708</f>
        <v>94.051346323933103</v>
      </c>
      <c r="Q712" s="241">
        <f t="shared" si="1244"/>
        <v>1.9592769300288637</v>
      </c>
      <c r="R712" s="242"/>
      <c r="S712" s="199">
        <f>S706-S708</f>
        <v>41.606631846982054</v>
      </c>
      <c r="T712" s="173">
        <f>S712-SUMIFS(ПОбТЗ_3!$K:$K,ПОбТЗ_3!$D:$D,$D712,ПОбТЗ_3!$E:$E,$F712)</f>
        <v>0</v>
      </c>
      <c r="U712" s="199">
        <f t="shared" ref="U712:V712" si="1245">U706-U708</f>
        <v>245.06836331354134</v>
      </c>
      <c r="V712" s="241">
        <f t="shared" si="1245"/>
        <v>3.4803763592935866</v>
      </c>
      <c r="W712" s="242"/>
      <c r="X712" s="199">
        <f>X706-X708</f>
        <v>40.36173703786335</v>
      </c>
      <c r="Y712" s="173">
        <f>X712-SUMIFS(ПОбТЗ_3!$L:$L,ПОбТЗ_3!$D:$D,$D712,ПОбТЗ_3!$E:$E,$F712)</f>
        <v>0</v>
      </c>
      <c r="Z712" s="199">
        <f t="shared" ref="Z712:AA712" si="1246">Z706-Z708</f>
        <v>203.74685478858737</v>
      </c>
      <c r="AA712" s="241">
        <f t="shared" si="1246"/>
        <v>6.2096052627020981</v>
      </c>
      <c r="AB712" s="264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</row>
    <row r="713" spans="1:42" s="5" customFormat="1">
      <c r="A713" s="1"/>
      <c r="B713" s="1"/>
      <c r="C713" s="1"/>
      <c r="D713" s="227" t="s">
        <v>309</v>
      </c>
      <c r="E713" s="227"/>
      <c r="F713" s="227" t="str">
        <f t="shared" si="1182"/>
        <v>Вега</v>
      </c>
      <c r="G713" s="227" t="s">
        <v>219</v>
      </c>
      <c r="H713" s="347"/>
      <c r="I713" s="348">
        <f>I709-I708</f>
        <v>43.744934996233496</v>
      </c>
      <c r="J713" s="321"/>
      <c r="K713" s="348">
        <f t="shared" ref="K713:L713" si="1247">K709-K708</f>
        <v>119.44907853346376</v>
      </c>
      <c r="L713" s="349">
        <f t="shared" si="1247"/>
        <v>30.251778013924195</v>
      </c>
      <c r="M713" s="281"/>
      <c r="N713" s="228">
        <f>N709-N708</f>
        <v>33.977816259473911</v>
      </c>
      <c r="O713" s="173"/>
      <c r="P713" s="228">
        <f t="shared" ref="P713:Q713" si="1248">P709-P708</f>
        <v>31.532133701344719</v>
      </c>
      <c r="Q713" s="254">
        <f t="shared" si="1248"/>
        <v>34.243366899652756</v>
      </c>
      <c r="R713" s="255"/>
      <c r="S713" s="228">
        <f>S709-S708</f>
        <v>38.619819105057104</v>
      </c>
      <c r="T713" s="173"/>
      <c r="U713" s="228">
        <f t="shared" ref="U713:V713" si="1249">U709-U708</f>
        <v>100.68247260167846</v>
      </c>
      <c r="V713" s="254">
        <f t="shared" si="1249"/>
        <v>26.965028226739378</v>
      </c>
      <c r="W713" s="255"/>
      <c r="X713" s="228">
        <f>X709-X708</f>
        <v>51.975988382051582</v>
      </c>
      <c r="Y713" s="173"/>
      <c r="Z713" s="228">
        <f t="shared" ref="Z713:AA713" si="1250">Z709-Z708</f>
        <v>168.27708316257485</v>
      </c>
      <c r="AA713" s="254">
        <f t="shared" si="1250"/>
        <v>27.657518143314519</v>
      </c>
      <c r="AB713" s="266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s="5" customFormat="1">
      <c r="A714" s="1"/>
      <c r="B714" s="1"/>
      <c r="C714" s="1"/>
      <c r="D714" s="225" t="s">
        <v>310</v>
      </c>
      <c r="E714" s="225"/>
      <c r="F714" s="225" t="str">
        <f t="shared" si="1182"/>
        <v>Вега</v>
      </c>
      <c r="G714" s="225" t="s">
        <v>219</v>
      </c>
      <c r="H714" s="350"/>
      <c r="I714" s="351">
        <f>I712-I713</f>
        <v>-8.1403829401533585</v>
      </c>
      <c r="J714" s="352"/>
      <c r="K714" s="351">
        <f t="shared" ref="K714" si="1251">K712-K713</f>
        <v>94.926236446786788</v>
      </c>
      <c r="L714" s="353">
        <f t="shared" ref="L714" si="1252">L712-L713</f>
        <v>-26.514743419378647</v>
      </c>
      <c r="M714" s="282"/>
      <c r="N714" s="226">
        <f>N712-N713</f>
        <v>-23.001308021688601</v>
      </c>
      <c r="O714" s="181"/>
      <c r="P714" s="226">
        <f t="shared" ref="P714" si="1253">P712-P713</f>
        <v>62.519212622588384</v>
      </c>
      <c r="Q714" s="256">
        <f t="shared" ref="Q714" si="1254">Q712-Q713</f>
        <v>-32.284089969623892</v>
      </c>
      <c r="R714" s="257"/>
      <c r="S714" s="226">
        <f>S712-S713</f>
        <v>2.9868127419249504</v>
      </c>
      <c r="T714" s="181"/>
      <c r="U714" s="226">
        <f t="shared" ref="U714" si="1255">U712-U713</f>
        <v>144.38589071186288</v>
      </c>
      <c r="V714" s="256">
        <f t="shared" ref="V714" si="1256">V712-V713</f>
        <v>-23.484651867445791</v>
      </c>
      <c r="W714" s="257"/>
      <c r="X714" s="226">
        <f>X712-X713</f>
        <v>-11.614251344188233</v>
      </c>
      <c r="Y714" s="181"/>
      <c r="Z714" s="226">
        <f t="shared" ref="Z714" si="1257">Z712-Z713</f>
        <v>35.469771626012516</v>
      </c>
      <c r="AA714" s="256">
        <f t="shared" ref="AA714" si="1258">AA712-AA713</f>
        <v>-21.447912880612421</v>
      </c>
      <c r="AB714" s="266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s="5" customFormat="1">
      <c r="A715" s="1"/>
      <c r="B715" s="1"/>
      <c r="C715" s="1"/>
      <c r="D715" s="223"/>
      <c r="E715" s="223" t="s">
        <v>293</v>
      </c>
      <c r="F715" s="223" t="str">
        <f t="shared" si="1182"/>
        <v>Вега</v>
      </c>
      <c r="G715" s="223" t="s">
        <v>261</v>
      </c>
      <c r="H715" s="354"/>
      <c r="I715" s="355">
        <f>SUMIFS(операции!$Z:$Z,операции!$X:$X,"&gt;="&amp;I$8,операции!$X:$X,"&lt;="&amp;I$9,операции!$AB:$AB,"&lt;&gt;"&amp;"",операции!$O:$O,$F682)</f>
        <v>56935</v>
      </c>
      <c r="J715" s="341">
        <f>I715-K715-L715</f>
        <v>0</v>
      </c>
      <c r="K715" s="355">
        <f>SUMIFS(операции!$Z:$Z,операции!$X:$X,"&gt;="&amp;I$8,операции!$X:$X,"&lt;="&amp;I$9,операции!$AB:$AB,"&lt;&gt;"&amp;"",операции!$L:$L,K$9,операции!$O:$O,$F682)</f>
        <v>7912</v>
      </c>
      <c r="L715" s="356">
        <f>SUMIFS(операции!$Z:$Z,операции!$X:$X,"&gt;="&amp;I$8,операции!$X:$X,"&lt;="&amp;I$9,операции!$AB:$AB,"&lt;&gt;"&amp;"",операции!$L:$L,L$9,операции!$O:$O,$F682)</f>
        <v>49023</v>
      </c>
      <c r="M715" s="283"/>
      <c r="N715" s="224">
        <f>SUMIFS(операции!$Z:$Z,операции!$X:$X,"&gt;="&amp;N$8,операции!$X:$X,"&lt;="&amp;N$9,операции!$AB:$AB,"&lt;&gt;"&amp;"",операции!$O:$O,$F682)</f>
        <v>11933</v>
      </c>
      <c r="O715" s="216">
        <f>N715-P715-Q715</f>
        <v>0</v>
      </c>
      <c r="P715" s="224">
        <f>SUMIFS(операции!$Z:$Z,операции!$X:$X,"&gt;="&amp;N$8,операции!$X:$X,"&lt;="&amp;N$9,операции!$AB:$AB,"&lt;&gt;"&amp;"",операции!$L:$L,P$9,операции!$O:$O,$F682)</f>
        <v>1481</v>
      </c>
      <c r="Q715" s="258">
        <f>SUMIFS(операции!$Z:$Z,операции!$X:$X,"&gt;="&amp;N$8,операции!$X:$X,"&lt;="&amp;N$9,операции!$AB:$AB,"&lt;&gt;"&amp;"",операции!$L:$L,Q$9,операции!$O:$O,$F682)</f>
        <v>10452</v>
      </c>
      <c r="R715" s="259"/>
      <c r="S715" s="224">
        <f>SUMIFS(операции!$Z:$Z,операции!$X:$X,"&gt;="&amp;S$8,операции!$X:$X,"&lt;="&amp;S$9,операции!$AB:$AB,"&lt;&gt;"&amp;"",операции!$O:$O,$F682)</f>
        <v>35826</v>
      </c>
      <c r="T715" s="216">
        <f>S715-U715-V715</f>
        <v>0</v>
      </c>
      <c r="U715" s="224">
        <f>SUMIFS(операции!$Z:$Z,операции!$X:$X,"&gt;="&amp;S$8,операции!$X:$X,"&lt;="&amp;S$9,операции!$AB:$AB,"&lt;&gt;"&amp;"",операции!$L:$L,U$9,операции!$O:$O,$F682)</f>
        <v>4822</v>
      </c>
      <c r="V715" s="258">
        <f>SUMIFS(операции!$Z:$Z,операции!$X:$X,"&gt;="&amp;S$8,операции!$X:$X,"&lt;="&amp;S$9,операции!$AB:$AB,"&lt;&gt;"&amp;"",операции!$L:$L,V$9,операции!$O:$O,$F682)</f>
        <v>31004</v>
      </c>
      <c r="W715" s="259"/>
      <c r="X715" s="224">
        <f>SUMIFS(операции!$Z:$Z,операции!$X:$X,"&gt;="&amp;X$8,операции!$X:$X,"&lt;="&amp;X$9,операции!$AB:$AB,"&lt;&gt;"&amp;"",операции!$O:$O,$F682)</f>
        <v>9176</v>
      </c>
      <c r="Y715" s="216">
        <f>X715-Z715-AA715</f>
        <v>0</v>
      </c>
      <c r="Z715" s="224">
        <f>SUMIFS(операции!$Z:$Z,операции!$X:$X,"&gt;="&amp;X$8,операции!$X:$X,"&lt;="&amp;X$9,операции!$AB:$AB,"&lt;&gt;"&amp;"",операции!$L:$L,Z$9,операции!$O:$O,$F682)</f>
        <v>1609</v>
      </c>
      <c r="AA715" s="258">
        <f>SUMIFS(операции!$Z:$Z,операции!$X:$X,"&gt;="&amp;X$8,операции!$X:$X,"&lt;="&amp;X$9,операции!$AB:$AB,"&lt;&gt;"&amp;"",операции!$L:$L,AA$9,операции!$O:$O,$F682)</f>
        <v>7567</v>
      </c>
      <c r="AB715" s="266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s="192" customFormat="1" ht="11.25">
      <c r="A716" s="37"/>
      <c r="B716" s="37"/>
      <c r="C716" s="37"/>
      <c r="D716" s="191"/>
      <c r="E716" s="191" t="s">
        <v>295</v>
      </c>
      <c r="F716" s="191" t="str">
        <f t="shared" si="1182"/>
        <v>Вега</v>
      </c>
      <c r="G716" s="191" t="s">
        <v>262</v>
      </c>
      <c r="H716" s="315"/>
      <c r="I716" s="316">
        <f>IF(I715=0,0,SUMIFS(операции!$AG:$AG,операции!$X:$X,"&gt;="&amp;I$8,операции!$X:$X,"&lt;="&amp;I$9,операции!$AB:$AB,"&lt;&gt;"&amp;"",операции!$O:$O,$F682)/I715)</f>
        <v>42324.035654693951</v>
      </c>
      <c r="J716" s="317"/>
      <c r="K716" s="316">
        <f>IF(K715=0,0,SUMIFS(операции!$AG:$AG,операции!$X:$X,"&gt;="&amp;I$8,операции!$X:$X,"&lt;="&amp;I$9,операции!$AB:$AB,"&lt;&gt;"&amp;"",операции!$L:$L,K$9,операции!$O:$O,$F682)/K715)</f>
        <v>42324.091127401414</v>
      </c>
      <c r="L716" s="318">
        <f>IF(L715=0,0,SUMIFS(операции!$AG:$AG,операции!$X:$X,"&gt;="&amp;I$8,операции!$X:$X,"&lt;="&amp;I$9,операции!$AB:$AB,"&lt;&gt;"&amp;"",операции!$L:$L,L$9,операции!$O:$O,$F682)/L715)</f>
        <v>42324.026701752242</v>
      </c>
      <c r="M716" s="274"/>
      <c r="N716" s="193">
        <f>IF(N715=0,0,SUMIFS(операции!$AG:$AG,операции!$X:$X,"&gt;="&amp;N$8,операции!$X:$X,"&lt;="&amp;N$9,операции!$AB:$AB,"&lt;&gt;"&amp;"",операции!$O:$O,$F682)/N715)</f>
        <v>42306.363529707531</v>
      </c>
      <c r="O716" s="196"/>
      <c r="P716" s="193">
        <f>IF(P715=0,0,SUMIFS(операции!$AG:$AG,операции!$X:$X,"&gt;="&amp;N$8,операции!$X:$X,"&lt;="&amp;N$9,операции!$AB:$AB,"&lt;&gt;"&amp;"",операции!$L:$L,P$9,операции!$O:$O,$F682)/P715)</f>
        <v>42305.280216070219</v>
      </c>
      <c r="Q716" s="237">
        <f>IF(Q715=0,0,SUMIFS(операции!$AG:$AG,операции!$X:$X,"&gt;="&amp;N$8,операции!$X:$X,"&lt;="&amp;N$9,операции!$AB:$AB,"&lt;&gt;"&amp;"",операции!$L:$L,Q$9,операции!$O:$O,$F682)/Q715)</f>
        <v>42306.517030233445</v>
      </c>
      <c r="R716" s="238"/>
      <c r="S716" s="193">
        <f>IF(S715=0,0,SUMIFS(операции!$AG:$AG,операции!$X:$X,"&gt;="&amp;S$8,операции!$X:$X,"&lt;="&amp;S$9,операции!$AB:$AB,"&lt;&gt;"&amp;"",операции!$O:$O,$F682)/S715)</f>
        <v>42325.245882878356</v>
      </c>
      <c r="T716" s="196"/>
      <c r="U716" s="193">
        <f>IF(U715=0,0,SUMIFS(операции!$AG:$AG,операции!$X:$X,"&gt;="&amp;S$8,операции!$X:$X,"&lt;="&amp;S$9,операции!$AB:$AB,"&lt;&gt;"&amp;"",операции!$L:$L,U$9,операции!$O:$O,$F682)/U715)</f>
        <v>42323.722521775198</v>
      </c>
      <c r="V716" s="237">
        <f>IF(V715=0,0,SUMIFS(операции!$AG:$AG,операции!$X:$X,"&gt;="&amp;S$8,операции!$X:$X,"&lt;="&amp;S$9,операции!$AB:$AB,"&lt;&gt;"&amp;"",операции!$L:$L,V$9,операции!$O:$O,$F682)/V715)</f>
        <v>42325.482808669847</v>
      </c>
      <c r="W716" s="238"/>
      <c r="X716" s="193">
        <f>IF(X715=0,0,SUMIFS(операции!$AG:$AG,операции!$X:$X,"&gt;="&amp;X$8,операции!$X:$X,"&lt;="&amp;X$9,операции!$AB:$AB,"&lt;&gt;"&amp;"",операции!$O:$O,$F682)/X715)</f>
        <v>42342.292393199648</v>
      </c>
      <c r="Y716" s="196"/>
      <c r="Z716" s="193">
        <f>IF(Z715=0,0,SUMIFS(операции!$AG:$AG,операции!$X:$X,"&gt;="&amp;X$8,операции!$X:$X,"&lt;="&amp;X$9,операции!$AB:$AB,"&lt;&gt;"&amp;"",операции!$L:$L,Z$9,операции!$O:$O,$F682)/Z715)</f>
        <v>42342.510254816654</v>
      </c>
      <c r="AA716" s="237">
        <f>IF(AA715=0,0,SUMIFS(операции!$AG:$AG,операции!$X:$X,"&gt;="&amp;X$8,операции!$X:$X,"&lt;="&amp;X$9,операции!$AB:$AB,"&lt;&gt;"&amp;"",операции!$L:$L,AA$9,операции!$O:$O,$F682)/AA715)</f>
        <v>42342.246068455133</v>
      </c>
      <c r="AB716" s="265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</row>
    <row r="717" spans="1:42" s="93" customFormat="1" ht="15">
      <c r="A717" s="92"/>
      <c r="B717" s="92"/>
      <c r="C717" s="92"/>
      <c r="D717" s="151"/>
      <c r="E717" s="151" t="s">
        <v>292</v>
      </c>
      <c r="F717" s="151" t="str">
        <f t="shared" si="1182"/>
        <v>Вега</v>
      </c>
      <c r="G717" s="151" t="s">
        <v>261</v>
      </c>
      <c r="H717" s="311"/>
      <c r="I717" s="312">
        <f>SUMIFS(операции!$V:$V,операции!$X:$X,"&gt;="&amp;I$8,операции!$X:$X,"&lt;="&amp;I$9,операции!$AB:$AB,"&lt;&gt;"&amp;"",операции!$O:$O,$F682)</f>
        <v>46616.05000000001</v>
      </c>
      <c r="J717" s="313">
        <f>I717-K717-L717</f>
        <v>0</v>
      </c>
      <c r="K717" s="312">
        <f>SUMIFS(операции!$V:$V,операции!$X:$X,"&gt;="&amp;I$8,операции!$X:$X,"&lt;="&amp;I$9,операции!$AB:$AB,"&lt;&gt;"&amp;"",операции!$L:$L,K$9,операции!$O:$O,$F682)</f>
        <v>5579.8600000000006</v>
      </c>
      <c r="L717" s="314">
        <f>SUMIFS(операции!$V:$V,операции!$X:$X,"&gt;="&amp;I$8,операции!$X:$X,"&lt;="&amp;I$9,операции!$AB:$AB,"&lt;&gt;"&amp;"",операции!$L:$L,L$9,операции!$O:$O,$F682)</f>
        <v>41036.19</v>
      </c>
      <c r="M717" s="273"/>
      <c r="N717" s="152">
        <f>SUMIFS(операции!$V:$V,операции!$X:$X,"&gt;="&amp;N$8,операции!$X:$X,"&lt;="&amp;N$9,операции!$AB:$AB,"&lt;&gt;"&amp;"",операции!$O:$O,$F682)</f>
        <v>9282.67</v>
      </c>
      <c r="O717" s="170">
        <f>N717-P717-Q717</f>
        <v>0</v>
      </c>
      <c r="P717" s="152">
        <f>SUMIFS(операции!$V:$V,операции!$X:$X,"&gt;="&amp;N$8,операции!$X:$X,"&lt;="&amp;N$9,операции!$AB:$AB,"&lt;&gt;"&amp;"",операции!$L:$L,P$9,операции!$O:$O,$F682)</f>
        <v>1018.09</v>
      </c>
      <c r="Q717" s="235">
        <f>SUMIFS(операции!$V:$V,операции!$X:$X,"&gt;="&amp;N$8,операции!$X:$X,"&lt;="&amp;N$9,операции!$AB:$AB,"&lt;&gt;"&amp;"",операции!$L:$L,Q$9,операции!$O:$O,$F682)</f>
        <v>8264.58</v>
      </c>
      <c r="R717" s="236"/>
      <c r="S717" s="152">
        <f>SUMIFS(операции!$V:$V,операции!$X:$X,"&gt;="&amp;S$8,операции!$X:$X,"&lt;="&amp;S$9,операции!$AB:$AB,"&lt;&gt;"&amp;"",операции!$O:$O,$F682)</f>
        <v>29692.579999999998</v>
      </c>
      <c r="T717" s="170">
        <f>S717-U717-V717</f>
        <v>0</v>
      </c>
      <c r="U717" s="152">
        <f>SUMIFS(операции!$V:$V,операции!$X:$X,"&gt;="&amp;S$8,операции!$X:$X,"&lt;="&amp;S$9,операции!$AB:$AB,"&lt;&gt;"&amp;"",операции!$L:$L,U$9,операции!$O:$O,$F682)</f>
        <v>3333.1400000000003</v>
      </c>
      <c r="V717" s="235">
        <f>SUMIFS(операции!$V:$V,операции!$X:$X,"&gt;="&amp;S$8,операции!$X:$X,"&lt;="&amp;S$9,операции!$AB:$AB,"&lt;&gt;"&amp;"",операции!$L:$L,V$9,операции!$O:$O,$F682)</f>
        <v>26359.439999999999</v>
      </c>
      <c r="W717" s="236"/>
      <c r="X717" s="152">
        <f>SUMIFS(операции!$V:$V,операции!$X:$X,"&gt;="&amp;X$8,операции!$X:$X,"&lt;="&amp;X$9,операции!$AB:$AB,"&lt;&gt;"&amp;"",операции!$O:$O,$F682)</f>
        <v>7640.8</v>
      </c>
      <c r="Y717" s="170">
        <f>X717-Z717-AA717</f>
        <v>0</v>
      </c>
      <c r="Z717" s="152">
        <f>SUMIFS(операции!$V:$V,операции!$X:$X,"&gt;="&amp;X$8,операции!$X:$X,"&lt;="&amp;X$9,операции!$AB:$AB,"&lt;&gt;"&amp;"",операции!$L:$L,Z$9,операции!$O:$O,$F682)</f>
        <v>1228.6300000000001</v>
      </c>
      <c r="AA717" s="235">
        <f>SUMIFS(операции!$V:$V,операции!$X:$X,"&gt;="&amp;X$8,операции!$X:$X,"&lt;="&amp;X$9,операции!$AB:$AB,"&lt;&gt;"&amp;"",операции!$L:$L,AA$9,операции!$O:$O,$F682)</f>
        <v>6412.17</v>
      </c>
      <c r="AB717" s="264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</row>
    <row r="718" spans="1:42" s="192" customFormat="1" ht="11.25">
      <c r="A718" s="37"/>
      <c r="B718" s="37"/>
      <c r="C718" s="37"/>
      <c r="D718" s="191"/>
      <c r="E718" s="191" t="s">
        <v>294</v>
      </c>
      <c r="F718" s="191" t="str">
        <f t="shared" si="1182"/>
        <v>Вега</v>
      </c>
      <c r="G718" s="191" t="s">
        <v>262</v>
      </c>
      <c r="H718" s="315"/>
      <c r="I718" s="316">
        <f>IF(I717=0,0,SUMIFS(операции!$AF:$AF,операции!$X:$X,"&gt;="&amp;I$8,операции!$X:$X,"&lt;="&amp;I$9,операции!$AB:$AB,"&lt;&gt;"&amp;"",операции!$O:$O,$F682)/I717)</f>
        <v>42298.080419512153</v>
      </c>
      <c r="J718" s="317"/>
      <c r="K718" s="316">
        <f>IF(K717=0,0,SUMIFS(операции!$AF:$AF,операции!$X:$X,"&gt;="&amp;I$8,операции!$X:$X,"&lt;="&amp;I$9,операции!$AB:$AB,"&lt;&gt;"&amp;"",операции!$L:$L,K$9,операции!$O:$O,$F682)/K717)</f>
        <v>42131.556716476756</v>
      </c>
      <c r="L718" s="318">
        <f>IF(L717=0,0,SUMIFS(операции!$AF:$AF,операции!$X:$X,"&gt;="&amp;I$8,операции!$X:$X,"&lt;="&amp;I$9,операции!$AB:$AB,"&lt;&gt;"&amp;"",операции!$L:$L,L$9,операции!$O:$O,$F682)/L717)</f>
        <v>42320.723334208167</v>
      </c>
      <c r="M718" s="274"/>
      <c r="N718" s="193">
        <f>IF(N717=0,0,SUMIFS(операции!$AF:$AF,операции!$X:$X,"&gt;="&amp;N$8,операции!$X:$X,"&lt;="&amp;N$9,операции!$AB:$AB,"&lt;&gt;"&amp;"",операции!$O:$O,$F682)/N717)</f>
        <v>42294.548456424716</v>
      </c>
      <c r="O718" s="196"/>
      <c r="P718" s="193">
        <f>IF(P717=0,0,SUMIFS(операции!$AF:$AF,операции!$X:$X,"&gt;="&amp;N$8,операции!$X:$X,"&lt;="&amp;N$9,операции!$AB:$AB,"&lt;&gt;"&amp;"",операции!$L:$L,P$9,операции!$O:$O,$F682)/P717)</f>
        <v>42211.228869746286</v>
      </c>
      <c r="Q718" s="237">
        <f>IF(Q717=0,0,SUMIFS(операции!$AF:$AF,операции!$X:$X,"&gt;="&amp;N$8,операции!$X:$X,"&lt;="&amp;N$9,операции!$AB:$AB,"&lt;&gt;"&amp;"",операции!$L:$L,Q$9,операции!$O:$O,$F682)/Q717)</f>
        <v>42304.81235828076</v>
      </c>
      <c r="R718" s="238"/>
      <c r="S718" s="193">
        <f>IF(S717=0,0,SUMIFS(операции!$AF:$AF,операции!$X:$X,"&gt;="&amp;S$8,операции!$X:$X,"&lt;="&amp;S$9,операции!$AB:$AB,"&lt;&gt;"&amp;"",операции!$O:$O,$F682)/S717)</f>
        <v>42295.062072746798</v>
      </c>
      <c r="T718" s="196"/>
      <c r="U718" s="193">
        <f>IF(U717=0,0,SUMIFS(операции!$AF:$AF,операции!$X:$X,"&gt;="&amp;S$8,операции!$X:$X,"&lt;="&amp;S$9,операции!$AB:$AB,"&lt;&gt;"&amp;"",операции!$L:$L,U$9,операции!$O:$O,$F682)/U717)</f>
        <v>42081.742741078975</v>
      </c>
      <c r="V718" s="237">
        <f>IF(V717=0,0,SUMIFS(операции!$AF:$AF,операции!$X:$X,"&gt;="&amp;S$8,операции!$X:$X,"&lt;="&amp;S$9,операции!$AB:$AB,"&lt;&gt;"&amp;"",операции!$L:$L,V$9,операции!$O:$O,$F682)/V717)</f>
        <v>42322.036211694933</v>
      </c>
      <c r="W718" s="238"/>
      <c r="X718" s="193">
        <f>IF(X717=0,0,SUMIFS(операции!$AF:$AF,операции!$X:$X,"&gt;="&amp;X$8,операции!$X:$X,"&lt;="&amp;X$9,операции!$AB:$AB,"&lt;&gt;"&amp;"",операции!$O:$O,$F682)/X717)</f>
        <v>42314.100803580775</v>
      </c>
      <c r="Y718" s="196"/>
      <c r="Z718" s="193">
        <f>IF(Z717=0,0,SUMIFS(операции!$AF:$AF,операции!$X:$X,"&gt;="&amp;X$8,операции!$X:$X,"&lt;="&amp;X$9,операции!$AB:$AB,"&lt;&gt;"&amp;"",операции!$L:$L,Z$9,операции!$O:$O,$F682)/Z717)</f>
        <v>42200.677225853186</v>
      </c>
      <c r="AA718" s="237">
        <f>IF(AA717=0,0,SUMIFS(операции!$AF:$AF,операции!$X:$X,"&gt;="&amp;X$8,операции!$X:$X,"&lt;="&amp;X$9,операции!$AB:$AB,"&lt;&gt;"&amp;"",операции!$L:$L,AA$9,операции!$O:$O,$F682)/AA717)</f>
        <v>42335.833791056699</v>
      </c>
      <c r="AB718" s="265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</row>
    <row r="719" spans="1:42" s="192" customFormat="1" ht="11.25">
      <c r="A719" s="37"/>
      <c r="B719" s="37"/>
      <c r="C719" s="37"/>
      <c r="D719" s="191"/>
      <c r="E719" s="191" t="s">
        <v>299</v>
      </c>
      <c r="F719" s="191" t="str">
        <f t="shared" si="1182"/>
        <v>Вега</v>
      </c>
      <c r="G719" s="191" t="s">
        <v>262</v>
      </c>
      <c r="H719" s="315"/>
      <c r="I719" s="316">
        <f>IF(I717=0,0,SUMIFS(операции!$AH:$AH,операции!$X:$X,"&gt;="&amp;I$8,операции!$X:$X,"&lt;="&amp;I$9,операции!$AB:$AB,"&lt;&gt;"&amp;"",операции!$O:$O,$F682)/I717)</f>
        <v>42325.485087217814</v>
      </c>
      <c r="J719" s="317"/>
      <c r="K719" s="316">
        <f>IF(K717=0,0,SUMIFS(операции!$AH:$AH,операции!$X:$X,"&gt;="&amp;I$8,операции!$X:$X,"&lt;="&amp;I$9,операции!$AB:$AB,"&lt;&gt;"&amp;"",операции!$L:$L,K$9,операции!$O:$O,$F682)/K717)</f>
        <v>42152.589453857261</v>
      </c>
      <c r="L719" s="318">
        <f>IF(L717=0,0,SUMIFS(операции!$AH:$AH,операции!$X:$X,"&gt;="&amp;I$8,операции!$X:$X,"&lt;="&amp;I$9,операции!$AB:$AB,"&lt;&gt;"&amp;"",операции!$L:$L,L$9,операции!$O:$O,$F682)/L717)</f>
        <v>42348.994419559916</v>
      </c>
      <c r="M719" s="274"/>
      <c r="N719" s="193">
        <f>IF(N717=0,0,SUMIFS(операции!$AH:$AH,операции!$X:$X,"&gt;="&amp;N$8,операции!$X:$X,"&lt;="&amp;N$9,операции!$AB:$AB,"&lt;&gt;"&amp;"",операции!$O:$O,$F682)/N717)</f>
        <v>42330.919219362528</v>
      </c>
      <c r="O719" s="196"/>
      <c r="P719" s="193">
        <f>IF(P717=0,0,SUMIFS(операции!$AH:$AH,операции!$X:$X,"&gt;="&amp;N$8,операции!$X:$X,"&lt;="&amp;N$9,операции!$AB:$AB,"&lt;&gt;"&amp;"",операции!$L:$L,P$9,операции!$O:$O,$F682)/P717)</f>
        <v>42242.761003447631</v>
      </c>
      <c r="Q719" s="237">
        <f>IF(Q717=0,0,SUMIFS(операции!$AH:$AH,операции!$X:$X,"&gt;="&amp;N$8,операции!$X:$X,"&lt;="&amp;N$9,операции!$AB:$AB,"&lt;&gt;"&amp;"",операции!$L:$L,Q$9,операции!$O:$O,$F682)/Q717)</f>
        <v>42341.779178131248</v>
      </c>
      <c r="R719" s="238"/>
      <c r="S719" s="193">
        <f>IF(S717=0,0,SUMIFS(операции!$AH:$AH,операции!$X:$X,"&gt;="&amp;S$8,операции!$X:$X,"&lt;="&amp;S$9,операции!$AB:$AB,"&lt;&gt;"&amp;"",операции!$O:$O,$F682)/S717)</f>
        <v>42320.683041689212</v>
      </c>
      <c r="T719" s="196"/>
      <c r="U719" s="193">
        <f>IF(U717=0,0,SUMIFS(операции!$AH:$AH,операции!$X:$X,"&gt;="&amp;S$8,операции!$X:$X,"&lt;="&amp;S$9,операции!$AB:$AB,"&lt;&gt;"&amp;"",операции!$L:$L,U$9,операции!$O:$O,$F682)/U717)</f>
        <v>42096.263067257896</v>
      </c>
      <c r="V719" s="237">
        <f>IF(V717=0,0,SUMIFS(операции!$AH:$AH,операции!$X:$X,"&gt;="&amp;S$8,операции!$X:$X,"&lt;="&amp;S$9,операции!$AB:$AB,"&lt;&gt;"&amp;"",операции!$L:$L,V$9,операции!$O:$O,$F682)/V717)</f>
        <v>42349.060852203234</v>
      </c>
      <c r="W719" s="238"/>
      <c r="X719" s="193">
        <f>IF(X717=0,0,SUMIFS(операции!$AH:$AH,операции!$X:$X,"&gt;="&amp;X$8,операции!$X:$X,"&lt;="&amp;X$9,операции!$AB:$AB,"&lt;&gt;"&amp;"",операции!$O:$O,$F682)/X717)</f>
        <v>42337.544278086061</v>
      </c>
      <c r="Y719" s="196"/>
      <c r="Z719" s="193">
        <f>IF(Z717=0,0,SUMIFS(операции!$AH:$AH,операции!$X:$X,"&gt;="&amp;X$8,операции!$X:$X,"&lt;="&amp;X$9,операции!$AB:$AB,"&lt;&gt;"&amp;"",операции!$L:$L,Z$9,операции!$O:$O,$F682)/Z717)</f>
        <v>42230.677225853186</v>
      </c>
      <c r="AA719" s="237">
        <f>IF(AA717=0,0,SUMIFS(операции!$AH:$AH,операции!$X:$X,"&gt;="&amp;X$8,операции!$X:$X,"&lt;="&amp;X$9,операции!$AB:$AB,"&lt;&gt;"&amp;"",операции!$L:$L,AA$9,операции!$O:$O,$F682)/AA717)</f>
        <v>42358.020975738327</v>
      </c>
      <c r="AB719" s="265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</row>
    <row r="720" spans="1:42" s="5" customFormat="1">
      <c r="A720" s="1"/>
      <c r="B720" s="1"/>
      <c r="C720" s="1"/>
      <c r="D720" s="168"/>
      <c r="E720" s="168" t="s">
        <v>296</v>
      </c>
      <c r="F720" s="168" t="str">
        <f t="shared" si="1182"/>
        <v>Вега</v>
      </c>
      <c r="G720" s="168" t="s">
        <v>261</v>
      </c>
      <c r="H720" s="326"/>
      <c r="I720" s="327">
        <f>I715-I717</f>
        <v>10318.94999999999</v>
      </c>
      <c r="J720" s="313">
        <f>I720-K720-L720</f>
        <v>-7.2759576141834259E-12</v>
      </c>
      <c r="K720" s="327">
        <f t="shared" ref="K720:L720" si="1259">K715-K717</f>
        <v>2332.1399999999994</v>
      </c>
      <c r="L720" s="328">
        <f t="shared" si="1259"/>
        <v>7986.8099999999977</v>
      </c>
      <c r="M720" s="277"/>
      <c r="N720" s="169">
        <f>N715-N717</f>
        <v>2650.33</v>
      </c>
      <c r="O720" s="170">
        <f>N720-P720-Q720</f>
        <v>0</v>
      </c>
      <c r="P720" s="169">
        <f t="shared" ref="P720:Q720" si="1260">P715-P717</f>
        <v>462.90999999999997</v>
      </c>
      <c r="Q720" s="243">
        <f t="shared" si="1260"/>
        <v>2187.42</v>
      </c>
      <c r="R720" s="244"/>
      <c r="S720" s="169">
        <f>S715-S717</f>
        <v>6133.4200000000019</v>
      </c>
      <c r="T720" s="170">
        <f>S720-U720-V720</f>
        <v>0</v>
      </c>
      <c r="U720" s="169">
        <f t="shared" ref="U720:V720" si="1261">U715-U717</f>
        <v>1488.8599999999997</v>
      </c>
      <c r="V720" s="243">
        <f t="shared" si="1261"/>
        <v>4644.5600000000013</v>
      </c>
      <c r="W720" s="244"/>
      <c r="X720" s="169">
        <f>X715-X717</f>
        <v>1535.1999999999998</v>
      </c>
      <c r="Y720" s="170">
        <f>X720-Z720-AA720</f>
        <v>0</v>
      </c>
      <c r="Z720" s="169">
        <f t="shared" ref="Z720:AA720" si="1262">Z715-Z717</f>
        <v>380.36999999999989</v>
      </c>
      <c r="AA720" s="243">
        <f t="shared" si="1262"/>
        <v>1154.83</v>
      </c>
      <c r="AB720" s="266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s="211" customFormat="1">
      <c r="A721" s="210"/>
      <c r="B721" s="210"/>
      <c r="C721" s="210"/>
      <c r="D721" s="218"/>
      <c r="E721" s="218" t="s">
        <v>297</v>
      </c>
      <c r="F721" s="218" t="str">
        <f t="shared" si="1182"/>
        <v>Вега</v>
      </c>
      <c r="G721" s="218" t="s">
        <v>218</v>
      </c>
      <c r="H721" s="343"/>
      <c r="I721" s="344">
        <f>IF(I715=0,0,(I720/I715))</f>
        <v>0.18124088873276525</v>
      </c>
      <c r="J721" s="345"/>
      <c r="K721" s="344">
        <f t="shared" ref="K721" si="1263">IF(K715=0,0,(K720/K715))</f>
        <v>0.2947598584428715</v>
      </c>
      <c r="L721" s="346">
        <f t="shared" ref="L721" si="1264">IF(L715=0,0,(L720/L715))</f>
        <v>0.16291964996022271</v>
      </c>
      <c r="M721" s="280"/>
      <c r="N721" s="219">
        <f>IF(N715=0,0,(N720/N715))</f>
        <v>0.22210089667309141</v>
      </c>
      <c r="O721" s="220"/>
      <c r="P721" s="219">
        <f t="shared" ref="P721" si="1265">IF(P715=0,0,(P720/P715))</f>
        <v>0.31256583389601617</v>
      </c>
      <c r="Q721" s="252">
        <f t="shared" ref="Q721" si="1266">IF(Q715=0,0,(Q720/Q715))</f>
        <v>0.20928243398392654</v>
      </c>
      <c r="R721" s="253"/>
      <c r="S721" s="219">
        <f>IF(S715=0,0,(S720/S715))</f>
        <v>0.17120024563166419</v>
      </c>
      <c r="T721" s="220"/>
      <c r="U721" s="219">
        <f t="shared" ref="U721" si="1267">IF(U715=0,0,(U720/U715))</f>
        <v>0.30876399834093732</v>
      </c>
      <c r="V721" s="252">
        <f t="shared" ref="V721" si="1268">IF(V715=0,0,(V720/V715))</f>
        <v>0.14980518642755777</v>
      </c>
      <c r="W721" s="253"/>
      <c r="X721" s="219">
        <f>IF(X715=0,0,(X720/X715))</f>
        <v>0.16730601569311246</v>
      </c>
      <c r="Y721" s="220"/>
      <c r="Z721" s="219">
        <f t="shared" ref="Z721" si="1269">IF(Z715=0,0,(Z720/Z715))</f>
        <v>0.2364014916096954</v>
      </c>
      <c r="AA721" s="252">
        <f t="shared" ref="AA721" si="1270">IF(AA715=0,0,(AA720/AA715))</f>
        <v>0.15261398176291793</v>
      </c>
      <c r="AB721" s="267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</row>
    <row r="722" spans="1:42" s="5" customFormat="1">
      <c r="A722" s="1"/>
      <c r="B722" s="1"/>
      <c r="C722" s="1"/>
      <c r="D722" s="227"/>
      <c r="E722" s="227" t="s">
        <v>298</v>
      </c>
      <c r="F722" s="227" t="str">
        <f t="shared" si="1182"/>
        <v>Вега</v>
      </c>
      <c r="G722" s="227" t="s">
        <v>219</v>
      </c>
      <c r="H722" s="347"/>
      <c r="I722" s="348">
        <f>I716-I718</f>
        <v>25.955235181798344</v>
      </c>
      <c r="J722" s="321"/>
      <c r="K722" s="348">
        <f t="shared" ref="K722:L722" si="1271">K716-K718</f>
        <v>192.534410924658</v>
      </c>
      <c r="L722" s="349">
        <f t="shared" si="1271"/>
        <v>3.3033675440747174</v>
      </c>
      <c r="M722" s="281"/>
      <c r="N722" s="228">
        <f>N716-N718</f>
        <v>11.81507328281441</v>
      </c>
      <c r="O722" s="173"/>
      <c r="P722" s="228">
        <f t="shared" ref="P722:Q722" si="1272">P716-P718</f>
        <v>94.051346323933103</v>
      </c>
      <c r="Q722" s="254">
        <f t="shared" si="1272"/>
        <v>1.7046719526842935</v>
      </c>
      <c r="R722" s="255"/>
      <c r="S722" s="228">
        <f>S716-S718</f>
        <v>30.183810131558857</v>
      </c>
      <c r="T722" s="173"/>
      <c r="U722" s="228">
        <f t="shared" ref="U722:V722" si="1273">U716-U718</f>
        <v>241.97978069622332</v>
      </c>
      <c r="V722" s="254">
        <f t="shared" si="1273"/>
        <v>3.4465969749144278</v>
      </c>
      <c r="W722" s="255"/>
      <c r="X722" s="228">
        <f>X716-X718</f>
        <v>28.191589618872968</v>
      </c>
      <c r="Y722" s="173"/>
      <c r="Z722" s="228">
        <f t="shared" ref="Z722:AA722" si="1274">Z716-Z718</f>
        <v>141.83302896346868</v>
      </c>
      <c r="AA722" s="254">
        <f t="shared" si="1274"/>
        <v>6.4122773984345258</v>
      </c>
      <c r="AB722" s="266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s="5" customFormat="1">
      <c r="A723" s="1"/>
      <c r="B723" s="1"/>
      <c r="C723" s="1"/>
      <c r="D723" s="227"/>
      <c r="E723" s="227" t="s">
        <v>300</v>
      </c>
      <c r="F723" s="227" t="str">
        <f t="shared" si="1182"/>
        <v>Вега</v>
      </c>
      <c r="G723" s="227" t="s">
        <v>219</v>
      </c>
      <c r="H723" s="347"/>
      <c r="I723" s="348">
        <f>I719-I718</f>
        <v>27.404667705661268</v>
      </c>
      <c r="J723" s="321"/>
      <c r="K723" s="348">
        <f t="shared" ref="K723:L723" si="1275">K719-K718</f>
        <v>21.032737380504841</v>
      </c>
      <c r="L723" s="349">
        <f t="shared" si="1275"/>
        <v>28.271085351749207</v>
      </c>
      <c r="M723" s="281"/>
      <c r="N723" s="228">
        <f>N719-N718</f>
        <v>36.370762937811378</v>
      </c>
      <c r="O723" s="173"/>
      <c r="P723" s="228">
        <f t="shared" ref="P723:Q723" si="1276">P719-P718</f>
        <v>31.532133701344719</v>
      </c>
      <c r="Q723" s="254">
        <f t="shared" si="1276"/>
        <v>36.966819850487809</v>
      </c>
      <c r="R723" s="255"/>
      <c r="S723" s="228">
        <f>S719-S718</f>
        <v>25.620968942414038</v>
      </c>
      <c r="T723" s="173"/>
      <c r="U723" s="228">
        <f t="shared" ref="U723:V723" si="1277">U719-U718</f>
        <v>14.520326178921096</v>
      </c>
      <c r="V723" s="254">
        <f t="shared" si="1277"/>
        <v>27.024640508301673</v>
      </c>
      <c r="W723" s="255"/>
      <c r="X723" s="228">
        <f>X719-X718</f>
        <v>23.443474505285849</v>
      </c>
      <c r="Y723" s="173"/>
      <c r="Z723" s="228">
        <f t="shared" ref="Z723:AA723" si="1278">Z719-Z718</f>
        <v>30</v>
      </c>
      <c r="AA723" s="254">
        <f t="shared" si="1278"/>
        <v>22.187184681628423</v>
      </c>
      <c r="AB723" s="266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s="93" customFormat="1" ht="15">
      <c r="A724" s="92"/>
      <c r="B724" s="92"/>
      <c r="C724" s="92"/>
      <c r="D724" s="221"/>
      <c r="E724" s="221" t="s">
        <v>301</v>
      </c>
      <c r="F724" s="221" t="str">
        <f t="shared" si="1182"/>
        <v>Вега</v>
      </c>
      <c r="G724" s="221" t="s">
        <v>219</v>
      </c>
      <c r="H724" s="357"/>
      <c r="I724" s="358">
        <f>I722-I723</f>
        <v>-1.4494325238629244</v>
      </c>
      <c r="J724" s="352"/>
      <c r="K724" s="358">
        <f t="shared" ref="K724" si="1279">K722-K723</f>
        <v>171.50167354415316</v>
      </c>
      <c r="L724" s="359">
        <f t="shared" ref="L724" si="1280">L722-L723</f>
        <v>-24.967717807674489</v>
      </c>
      <c r="M724" s="284"/>
      <c r="N724" s="222">
        <f>N722-N723</f>
        <v>-24.555689654996968</v>
      </c>
      <c r="O724" s="181"/>
      <c r="P724" s="222">
        <f t="shared" ref="P724" si="1281">P722-P723</f>
        <v>62.519212622588384</v>
      </c>
      <c r="Q724" s="260">
        <f t="shared" ref="Q724" si="1282">Q722-Q723</f>
        <v>-35.262147897803516</v>
      </c>
      <c r="R724" s="261"/>
      <c r="S724" s="222">
        <f>S722-S723</f>
        <v>4.5628411891448195</v>
      </c>
      <c r="T724" s="181"/>
      <c r="U724" s="222">
        <f t="shared" ref="U724" si="1283">U722-U723</f>
        <v>227.45945451730222</v>
      </c>
      <c r="V724" s="260">
        <f t="shared" ref="V724" si="1284">V722-V723</f>
        <v>-23.578043533387245</v>
      </c>
      <c r="W724" s="261"/>
      <c r="X724" s="222">
        <f>X722-X723</f>
        <v>4.7481151135871187</v>
      </c>
      <c r="Y724" s="181"/>
      <c r="Z724" s="222">
        <f t="shared" ref="Z724" si="1285">Z722-Z723</f>
        <v>111.83302896346868</v>
      </c>
      <c r="AA724" s="260">
        <f t="shared" ref="AA724" si="1286">AA722-AA723</f>
        <v>-15.774907283193897</v>
      </c>
      <c r="AB724" s="264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</row>
    <row r="725" spans="1:42" s="5" customFormat="1">
      <c r="A725" s="1"/>
      <c r="B725" s="1"/>
      <c r="C725" s="1"/>
      <c r="D725" s="223"/>
      <c r="E725" s="223" t="s">
        <v>302</v>
      </c>
      <c r="F725" s="223" t="str">
        <f t="shared" si="1182"/>
        <v>Вега</v>
      </c>
      <c r="G725" s="223" t="s">
        <v>261</v>
      </c>
      <c r="H725" s="354"/>
      <c r="I725" s="355">
        <f>SUMIFS(операции!$Z:$Z,операции!$X:$X,"&gt;="&amp;I$8,операции!$X:$X,"&lt;="&amp;I$9,операции!$AB:$AB,"",операции!$O:$O,$F682)</f>
        <v>14449</v>
      </c>
      <c r="J725" s="341">
        <f>I725-K725-L725</f>
        <v>0</v>
      </c>
      <c r="K725" s="355">
        <f>SUMIFS(операции!$Z:$Z,операции!$X:$X,"&gt;="&amp;I$8,операции!$X:$X,"&lt;="&amp;I$9,операции!$AB:$AB,"",операции!$L:$L,K$9,операции!$O:$O,$F682)</f>
        <v>4283</v>
      </c>
      <c r="L725" s="356">
        <f>SUMIFS(операции!$Z:$Z,операции!$X:$X,"&gt;="&amp;I$8,операции!$X:$X,"&lt;="&amp;I$9,операции!$AB:$AB,"",операции!$L:$L,L$9,операции!$O:$O,$F682)</f>
        <v>10166</v>
      </c>
      <c r="M725" s="283"/>
      <c r="N725" s="224">
        <f>SUMIFS(операции!$Z:$Z,операции!$X:$X,"&gt;="&amp;N$8,операции!$X:$X,"&lt;="&amp;N$9,операции!$AB:$AB,"",операции!$O:$O,$F682)</f>
        <v>1434</v>
      </c>
      <c r="O725" s="216">
        <f>N725-P725-Q725</f>
        <v>0</v>
      </c>
      <c r="P725" s="224">
        <f>SUMIFS(операции!$Z:$Z,операции!$X:$X,"&gt;="&amp;N$8,операции!$X:$X,"&lt;="&amp;N$9,операции!$AB:$AB,"",операции!$L:$L,P$9,операции!$O:$O,$F682)</f>
        <v>0</v>
      </c>
      <c r="Q725" s="258">
        <f>SUMIFS(операции!$Z:$Z,операции!$X:$X,"&gt;="&amp;N$8,операции!$X:$X,"&lt;="&amp;N$9,операции!$AB:$AB,"",операции!$L:$L,Q$9,операции!$O:$O,$F682)</f>
        <v>1434</v>
      </c>
      <c r="R725" s="259"/>
      <c r="S725" s="224">
        <f>SUMIFS(операции!$Z:$Z,операции!$X:$X,"&gt;="&amp;S$8,операции!$X:$X,"&lt;="&amp;S$9,операции!$AB:$AB,"",операции!$O:$O,$F682)</f>
        <v>3114</v>
      </c>
      <c r="T725" s="216">
        <f>S725-U725-V725</f>
        <v>0</v>
      </c>
      <c r="U725" s="224">
        <f>SUMIFS(операции!$Z:$Z,операции!$X:$X,"&gt;="&amp;S$8,операции!$X:$X,"&lt;="&amp;S$9,операции!$AB:$AB,"",операции!$L:$L,U$9,операции!$O:$O,$F682)</f>
        <v>2393</v>
      </c>
      <c r="V725" s="258">
        <f>SUMIFS(операции!$Z:$Z,операции!$X:$X,"&gt;="&amp;S$8,операции!$X:$X,"&lt;="&amp;S$9,операции!$AB:$AB,"",операции!$L:$L,V$9,операции!$O:$O,$F682)</f>
        <v>721</v>
      </c>
      <c r="W725" s="259"/>
      <c r="X725" s="224">
        <f>SUMIFS(операции!$Z:$Z,операции!$X:$X,"&gt;="&amp;X$8,операции!$X:$X,"&lt;="&amp;X$9,операции!$AB:$AB,"",операции!$O:$O,$F682)</f>
        <v>9901</v>
      </c>
      <c r="Y725" s="216">
        <f>X725-Z725-AA725</f>
        <v>0</v>
      </c>
      <c r="Z725" s="224">
        <f>SUMIFS(операции!$Z:$Z,операции!$X:$X,"&gt;="&amp;X$8,операции!$X:$X,"&lt;="&amp;X$9,операции!$AB:$AB,"",операции!$L:$L,Z$9,операции!$O:$O,$F682)</f>
        <v>1890</v>
      </c>
      <c r="AA725" s="258">
        <f>SUMIFS(операции!$Z:$Z,операции!$X:$X,"&gt;="&amp;X$8,операции!$X:$X,"&lt;="&amp;X$9,операции!$AB:$AB,"",операции!$L:$L,AA$9,операции!$O:$O,$F682)</f>
        <v>8011</v>
      </c>
      <c r="AB725" s="266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s="192" customFormat="1" ht="11.25">
      <c r="A726" s="37"/>
      <c r="B726" s="37"/>
      <c r="C726" s="37"/>
      <c r="D726" s="191"/>
      <c r="E726" s="191" t="s">
        <v>303</v>
      </c>
      <c r="F726" s="191" t="str">
        <f t="shared" si="1182"/>
        <v>Вега</v>
      </c>
      <c r="G726" s="191" t="s">
        <v>262</v>
      </c>
      <c r="H726" s="315"/>
      <c r="I726" s="316">
        <f>IF(I725=0,0,SUMIFS(операции!$AG:$AG,операции!$X:$X,"&gt;="&amp;I$8,операции!$X:$X,"&lt;="&amp;I$9,операции!$AB:$AB,"",операции!$O:$O,$F682)/I725)</f>
        <v>42332.740120423558</v>
      </c>
      <c r="J726" s="317"/>
      <c r="K726" s="316">
        <f>IF(K725=0,0,SUMIFS(операции!$AG:$AG,операции!$X:$X,"&gt;="&amp;I$8,операции!$X:$X,"&lt;="&amp;I$9,операции!$AB:$AB,"",операции!$L:$L,K$9,операции!$O:$O,$F682)/K725)</f>
        <v>42329.38431006304</v>
      </c>
      <c r="L726" s="318">
        <f>IF(L725=0,0,SUMIFS(операции!$AG:$AG,операции!$X:$X,"&gt;="&amp;I$8,операции!$X:$X,"&lt;="&amp;I$9,операции!$AB:$AB,"",операции!$L:$L,L$9,операции!$O:$O,$F682)/L725)</f>
        <v>42334.153944520949</v>
      </c>
      <c r="M726" s="274"/>
      <c r="N726" s="193">
        <f>IF(N725=0,0,SUMIFS(операции!$AG:$AG,операции!$X:$X,"&gt;="&amp;N$8,операции!$X:$X,"&lt;="&amp;N$9,операции!$AB:$AB,"",операции!$O:$O,$F682)/N725)</f>
        <v>42298</v>
      </c>
      <c r="O726" s="196"/>
      <c r="P726" s="193">
        <f>IF(P725=0,0,SUMIFS(операции!$AG:$AG,операции!$X:$X,"&gt;="&amp;N$8,операции!$X:$X,"&lt;="&amp;N$9,операции!$AB:$AB,"",операции!$L:$L,P$9,операции!$O:$O,$F682)/P725)</f>
        <v>0</v>
      </c>
      <c r="Q726" s="237">
        <f>IF(Q725=0,0,SUMIFS(операции!$AG:$AG,операции!$X:$X,"&gt;="&amp;N$8,операции!$X:$X,"&lt;="&amp;N$9,операции!$AB:$AB,"",операции!$L:$L,Q$9,операции!$O:$O,$F682)/Q725)</f>
        <v>42298</v>
      </c>
      <c r="R726" s="238"/>
      <c r="S726" s="193">
        <f>IF(S725=0,0,SUMIFS(операции!$AG:$AG,операции!$X:$X,"&gt;="&amp;S$8,операции!$X:$X,"&lt;="&amp;S$9,операции!$AB:$AB,"",операции!$O:$O,$F682)/S725)</f>
        <v>42320.768464996792</v>
      </c>
      <c r="T726" s="196"/>
      <c r="U726" s="193">
        <f>IF(U725=0,0,SUMIFS(операции!$AG:$AG,операции!$X:$X,"&gt;="&amp;S$8,операции!$X:$X,"&lt;="&amp;S$9,операции!$AB:$AB,"",операции!$L:$L,U$9,операции!$O:$O,$F682)/U725)</f>
        <v>42321</v>
      </c>
      <c r="V726" s="237">
        <f>IF(V725=0,0,SUMIFS(операции!$AG:$AG,операции!$X:$X,"&gt;="&amp;S$8,операции!$X:$X,"&lt;="&amp;S$9,операции!$AB:$AB,"",операции!$L:$L,V$9,операции!$O:$O,$F682)/V725)</f>
        <v>42320</v>
      </c>
      <c r="W726" s="238"/>
      <c r="X726" s="193">
        <f>IF(X725=0,0,SUMIFS(операции!$AG:$AG,операции!$X:$X,"&gt;="&amp;X$8,операции!$X:$X,"&lt;="&amp;X$9,операции!$AB:$AB,"",операции!$O:$O,$F682)/X725)</f>
        <v>42341.536915463083</v>
      </c>
      <c r="Y726" s="196"/>
      <c r="Z726" s="193">
        <f>IF(Z725=0,0,SUMIFS(операции!$AG:$AG,операции!$X:$X,"&gt;="&amp;X$8,операции!$X:$X,"&lt;="&amp;X$9,операции!$AB:$AB,"",операции!$L:$L,Z$9,операции!$O:$O,$F682)/Z725)</f>
        <v>42340</v>
      </c>
      <c r="AA726" s="237">
        <f>IF(AA725=0,0,SUMIFS(операции!$AG:$AG,операции!$X:$X,"&gt;="&amp;X$8,операции!$X:$X,"&lt;="&amp;X$9,операции!$AB:$AB,"",операции!$L:$L,AA$9,операции!$O:$O,$F682)/AA725)</f>
        <v>42341.899513169396</v>
      </c>
      <c r="AB726" s="265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</row>
    <row r="727" spans="1:42" s="5" customFormat="1">
      <c r="A727" s="1"/>
      <c r="B727" s="1"/>
      <c r="C727" s="1"/>
      <c r="D727" s="168"/>
      <c r="E727" s="168" t="s">
        <v>304</v>
      </c>
      <c r="F727" s="168" t="str">
        <f t="shared" si="1182"/>
        <v>Вега</v>
      </c>
      <c r="G727" s="168" t="s">
        <v>261</v>
      </c>
      <c r="H727" s="326"/>
      <c r="I727" s="327">
        <f>SUMIFS(операции!$V:$V,операции!$X:$X,"&gt;="&amp;I$8,операции!$X:$X,"&lt;="&amp;I$9,операции!$AB:$AB,"",операции!$O:$O,$F682)</f>
        <v>11238.300000000001</v>
      </c>
      <c r="J727" s="313">
        <f>I727-K727-L727</f>
        <v>0</v>
      </c>
      <c r="K727" s="327">
        <f>SUMIFS(операции!$V:$V,операции!$X:$X,"&gt;="&amp;I$8,операции!$X:$X,"&lt;="&amp;I$9,операции!$AB:$AB,"",операции!$L:$L,K$9,операции!$O:$O,$F682)</f>
        <v>3171.95</v>
      </c>
      <c r="L727" s="328">
        <f>SUMIFS(операции!$V:$V,операции!$X:$X,"&gt;="&amp;I$8,операции!$X:$X,"&lt;="&amp;I$9,операции!$AB:$AB,"",операции!$L:$L,L$9,операции!$O:$O,$F682)</f>
        <v>8066.35</v>
      </c>
      <c r="M727" s="277"/>
      <c r="N727" s="169">
        <f>SUMIFS(операции!$V:$V,операции!$X:$X,"&gt;="&amp;N$8,операции!$X:$X,"&lt;="&amp;N$9,операции!$AB:$AB,"",операции!$O:$O,$F682)</f>
        <v>1111.8800000000001</v>
      </c>
      <c r="O727" s="170">
        <f>N727-P727-Q727</f>
        <v>0</v>
      </c>
      <c r="P727" s="169">
        <f>SUMIFS(операции!$V:$V,операции!$X:$X,"&gt;="&amp;N$8,операции!$X:$X,"&lt;="&amp;N$9,операции!$AB:$AB,"",операции!$L:$L,P$9,операции!$O:$O,$F682)</f>
        <v>0</v>
      </c>
      <c r="Q727" s="243">
        <f>SUMIFS(операции!$V:$V,операции!$X:$X,"&gt;="&amp;N$8,операции!$X:$X,"&lt;="&amp;N$9,операции!$AB:$AB,"",операции!$L:$L,Q$9,операции!$O:$O,$F682)</f>
        <v>1111.8800000000001</v>
      </c>
      <c r="R727" s="244"/>
      <c r="S727" s="169">
        <f>SUMIFS(операции!$V:$V,операции!$X:$X,"&gt;="&amp;S$8,операции!$X:$X,"&lt;="&amp;S$9,операции!$AB:$AB,"",операции!$O:$O,$F682)</f>
        <v>2246.4</v>
      </c>
      <c r="T727" s="170">
        <f>S727-U727-V727</f>
        <v>0</v>
      </c>
      <c r="U727" s="169">
        <f>SUMIFS(операции!$V:$V,операции!$X:$X,"&gt;="&amp;S$8,операции!$X:$X,"&lt;="&amp;S$9,операции!$AB:$AB,"",операции!$L:$L,U$9,операции!$O:$O,$F682)</f>
        <v>1716.44</v>
      </c>
      <c r="V727" s="243">
        <f>SUMIFS(операции!$V:$V,операции!$X:$X,"&gt;="&amp;S$8,операции!$X:$X,"&lt;="&amp;S$9,операции!$AB:$AB,"",операции!$L:$L,V$9,операции!$O:$O,$F682)</f>
        <v>529.96</v>
      </c>
      <c r="W727" s="244"/>
      <c r="X727" s="169">
        <f>SUMIFS(операции!$V:$V,операции!$X:$X,"&gt;="&amp;X$8,операции!$X:$X,"&lt;="&amp;X$9,операции!$AB:$AB,"",операции!$O:$O,$F682)</f>
        <v>7880.02</v>
      </c>
      <c r="Y727" s="170">
        <f>X727-Z727-AA727</f>
        <v>0</v>
      </c>
      <c r="Z727" s="169">
        <f>SUMIFS(операции!$V:$V,операции!$X:$X,"&gt;="&amp;X$8,операции!$X:$X,"&lt;="&amp;X$9,операции!$AB:$AB,"",операции!$L:$L,Z$9,операции!$O:$O,$F682)</f>
        <v>1455.51</v>
      </c>
      <c r="AA727" s="243">
        <f>SUMIFS(операции!$V:$V,операции!$X:$X,"&gt;="&amp;X$8,операции!$X:$X,"&lt;="&amp;X$9,операции!$AB:$AB,"",операции!$L:$L,AA$9,операции!$O:$O,$F682)</f>
        <v>6424.51</v>
      </c>
      <c r="AB727" s="266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s="192" customFormat="1" ht="11.25">
      <c r="A728" s="37"/>
      <c r="B728" s="37"/>
      <c r="C728" s="37"/>
      <c r="D728" s="191"/>
      <c r="E728" s="191" t="s">
        <v>305</v>
      </c>
      <c r="F728" s="191" t="str">
        <f t="shared" si="1182"/>
        <v>Вега</v>
      </c>
      <c r="G728" s="191" t="s">
        <v>262</v>
      </c>
      <c r="H728" s="315"/>
      <c r="I728" s="316">
        <f>IF(I727=0,0,SUMIFS(операции!$AF:$AF,операции!$X:$X,"&gt;="&amp;I$8,операции!$X:$X,"&lt;="&amp;I$9,операции!$AB:$AB,"",операции!$O:$O,$F682)/I727)</f>
        <v>42257.476244627738</v>
      </c>
      <c r="J728" s="317"/>
      <c r="K728" s="316">
        <f>IF(K727=0,0,SUMIFS(операции!$AF:$AF,операции!$X:$X,"&gt;="&amp;I$8,операции!$X:$X,"&lt;="&amp;I$9,операции!$AB:$AB,"",операции!$L:$L,K$9,операции!$O:$O,$F682)/K727)</f>
        <v>42076.424168098485</v>
      </c>
      <c r="L728" s="318">
        <f>IF(L727=0,0,SUMIFS(операции!$AF:$AF,операции!$X:$X,"&gt;="&amp;I$8,операции!$X:$X,"&lt;="&amp;I$9,операции!$AB:$AB,"",операции!$L:$L,L$9,операции!$O:$O,$F682)/L727)</f>
        <v>42328.671783396458</v>
      </c>
      <c r="M728" s="274"/>
      <c r="N728" s="193">
        <f>IF(N727=0,0,SUMIFS(операции!$AF:$AF,операции!$X:$X,"&gt;="&amp;N$8,операции!$X:$X,"&lt;="&amp;N$9,операции!$AB:$AB,"",операции!$O:$O,$F682)/N727)</f>
        <v>42294</v>
      </c>
      <c r="O728" s="196"/>
      <c r="P728" s="193">
        <f>IF(P727=0,0,SUMIFS(операции!$AF:$AF,операции!$X:$X,"&gt;="&amp;N$8,операции!$X:$X,"&lt;="&amp;N$9,операции!$AB:$AB,"",операции!$L:$L,P$9,операции!$O:$O,$F682)/P727)</f>
        <v>0</v>
      </c>
      <c r="Q728" s="237">
        <f>IF(Q727=0,0,SUMIFS(операции!$AF:$AF,операции!$X:$X,"&gt;="&amp;N$8,операции!$X:$X,"&lt;="&amp;N$9,операции!$AB:$AB,"",операции!$L:$L,Q$9,операции!$O:$O,$F682)/Q727)</f>
        <v>42294</v>
      </c>
      <c r="R728" s="238"/>
      <c r="S728" s="193">
        <f>IF(S727=0,0,SUMIFS(операции!$AF:$AF,операции!$X:$X,"&gt;="&amp;S$8,операции!$X:$X,"&lt;="&amp;S$9,операции!$AB:$AB,"",операции!$O:$O,$F682)/S727)</f>
        <v>42127.563319088316</v>
      </c>
      <c r="T728" s="196"/>
      <c r="U728" s="193">
        <f>IF(U727=0,0,SUMIFS(операции!$AF:$AF,операции!$X:$X,"&gt;="&amp;S$8,операции!$X:$X,"&lt;="&amp;S$9,операции!$AB:$AB,"",операции!$L:$L,U$9,операции!$O:$O,$F682)/U727)</f>
        <v>42070</v>
      </c>
      <c r="V728" s="237">
        <f>IF(V727=0,0,SUMIFS(операции!$AF:$AF,операции!$X:$X,"&gt;="&amp;S$8,операции!$X:$X,"&lt;="&amp;S$9,операции!$AB:$AB,"",операции!$L:$L,V$9,операции!$O:$O,$F682)/V727)</f>
        <v>42314</v>
      </c>
      <c r="W728" s="238"/>
      <c r="X728" s="193">
        <f>IF(X727=0,0,SUMIFS(операции!$AF:$AF,операции!$X:$X,"&gt;="&amp;X$8,операции!$X:$X,"&lt;="&amp;X$9,операции!$AB:$AB,"",операции!$O:$O,$F682)/X727)</f>
        <v>42289.357681833295</v>
      </c>
      <c r="Y728" s="196"/>
      <c r="Z728" s="193">
        <f>IF(Z727=0,0,SUMIFS(операции!$AF:$AF,операции!$X:$X,"&gt;="&amp;X$8,операции!$X:$X,"&lt;="&amp;X$9,операции!$AB:$AB,"",операции!$L:$L,Z$9,операции!$O:$O,$F682)/Z727)</f>
        <v>42084</v>
      </c>
      <c r="AA728" s="237">
        <f>IF(AA727=0,0,SUMIFS(операции!$AF:$AF,операции!$X:$X,"&gt;="&amp;X$8,операции!$X:$X,"&lt;="&amp;X$9,операции!$AB:$AB,"",операции!$L:$L,AA$9,операции!$O:$O,$F682)/AA727)</f>
        <v>42335.882655642221</v>
      </c>
      <c r="AB728" s="265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</row>
    <row r="729" spans="1:42" s="192" customFormat="1" ht="11.25">
      <c r="A729" s="37"/>
      <c r="B729" s="37"/>
      <c r="C729" s="37"/>
      <c r="D729" s="191"/>
      <c r="E729" s="191" t="s">
        <v>307</v>
      </c>
      <c r="F729" s="191" t="str">
        <f t="shared" si="1182"/>
        <v>Вега</v>
      </c>
      <c r="G729" s="191" t="s">
        <v>262</v>
      </c>
      <c r="H729" s="315"/>
      <c r="I729" s="316">
        <f>I$9</f>
        <v>42369</v>
      </c>
      <c r="J729" s="317"/>
      <c r="K729" s="316">
        <f>I$9</f>
        <v>42369</v>
      </c>
      <c r="L729" s="318">
        <f>I$9</f>
        <v>42369</v>
      </c>
      <c r="M729" s="274"/>
      <c r="N729" s="193">
        <f>N$9</f>
        <v>42308</v>
      </c>
      <c r="O729" s="196"/>
      <c r="P729" s="193">
        <f>N$9</f>
        <v>42308</v>
      </c>
      <c r="Q729" s="237">
        <f>N$9</f>
        <v>42308</v>
      </c>
      <c r="R729" s="238"/>
      <c r="S729" s="193">
        <f>S$9</f>
        <v>42338</v>
      </c>
      <c r="T729" s="196"/>
      <c r="U729" s="193">
        <f>S$9</f>
        <v>42338</v>
      </c>
      <c r="V729" s="237">
        <f>S$9</f>
        <v>42338</v>
      </c>
      <c r="W729" s="238"/>
      <c r="X729" s="193">
        <f>X$9</f>
        <v>42369</v>
      </c>
      <c r="Y729" s="196"/>
      <c r="Z729" s="193">
        <f>X$9</f>
        <v>42369</v>
      </c>
      <c r="AA729" s="237">
        <f>X$9</f>
        <v>42369</v>
      </c>
      <c r="AB729" s="265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</row>
    <row r="730" spans="1:42" s="5" customFormat="1">
      <c r="A730" s="1"/>
      <c r="B730" s="1"/>
      <c r="C730" s="1"/>
      <c r="D730" s="168"/>
      <c r="E730" s="168" t="s">
        <v>380</v>
      </c>
      <c r="F730" s="168" t="str">
        <f t="shared" si="1182"/>
        <v>Вега</v>
      </c>
      <c r="G730" s="168" t="s">
        <v>261</v>
      </c>
      <c r="H730" s="326"/>
      <c r="I730" s="327">
        <f>I725-I727</f>
        <v>3210.6999999999989</v>
      </c>
      <c r="J730" s="313">
        <f>I730-K730-L730</f>
        <v>0</v>
      </c>
      <c r="K730" s="327">
        <f t="shared" ref="K730:L730" si="1287">K725-K727</f>
        <v>1111.0500000000002</v>
      </c>
      <c r="L730" s="328">
        <f t="shared" si="1287"/>
        <v>2099.6499999999996</v>
      </c>
      <c r="M730" s="277"/>
      <c r="N730" s="169">
        <f>N725-N727</f>
        <v>322.11999999999989</v>
      </c>
      <c r="O730" s="170">
        <f>N730-P730-Q730</f>
        <v>0</v>
      </c>
      <c r="P730" s="169">
        <f t="shared" ref="P730:Q730" si="1288">P725-P727</f>
        <v>0</v>
      </c>
      <c r="Q730" s="243">
        <f t="shared" si="1288"/>
        <v>322.11999999999989</v>
      </c>
      <c r="R730" s="244"/>
      <c r="S730" s="169">
        <f>S725-S727</f>
        <v>867.59999999999991</v>
      </c>
      <c r="T730" s="170">
        <f>S730-U730-V730</f>
        <v>0</v>
      </c>
      <c r="U730" s="169">
        <f t="shared" ref="U730:V730" si="1289">U725-U727</f>
        <v>676.56</v>
      </c>
      <c r="V730" s="243">
        <f t="shared" si="1289"/>
        <v>191.03999999999996</v>
      </c>
      <c r="W730" s="244"/>
      <c r="X730" s="169">
        <f>X725-X727</f>
        <v>2020.9799999999996</v>
      </c>
      <c r="Y730" s="170">
        <f>X730-Z730-AA730</f>
        <v>0</v>
      </c>
      <c r="Z730" s="169">
        <f t="shared" ref="Z730:AA730" si="1290">Z725-Z727</f>
        <v>434.49</v>
      </c>
      <c r="AA730" s="243">
        <f t="shared" si="1290"/>
        <v>1586.4899999999998</v>
      </c>
      <c r="AB730" s="266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s="211" customFormat="1">
      <c r="A731" s="210"/>
      <c r="B731" s="210"/>
      <c r="C731" s="210"/>
      <c r="D731" s="218"/>
      <c r="E731" s="218" t="s">
        <v>381</v>
      </c>
      <c r="F731" s="218" t="str">
        <f t="shared" si="1182"/>
        <v>Вега</v>
      </c>
      <c r="G731" s="218" t="s">
        <v>218</v>
      </c>
      <c r="H731" s="343"/>
      <c r="I731" s="344">
        <f>IF(I725=0,0,(I730/I725))</f>
        <v>0.22220914942210526</v>
      </c>
      <c r="J731" s="345"/>
      <c r="K731" s="344">
        <f t="shared" ref="K731" si="1291">IF(K725=0,0,(K730/K725))</f>
        <v>0.25940929255194961</v>
      </c>
      <c r="L731" s="346">
        <f t="shared" ref="L731" si="1292">IF(L725=0,0,(L730/L725))</f>
        <v>0.20653649419634071</v>
      </c>
      <c r="M731" s="280"/>
      <c r="N731" s="219">
        <f>IF(N725=0,0,(N730/N725))</f>
        <v>0.22463040446304036</v>
      </c>
      <c r="O731" s="220"/>
      <c r="P731" s="219">
        <f t="shared" ref="P731" si="1293">IF(P725=0,0,(P730/P725))</f>
        <v>0</v>
      </c>
      <c r="Q731" s="252">
        <f t="shared" ref="Q731" si="1294">IF(Q725=0,0,(Q730/Q725))</f>
        <v>0.22463040446304036</v>
      </c>
      <c r="R731" s="253"/>
      <c r="S731" s="219">
        <f>IF(S725=0,0,(S730/S725))</f>
        <v>0.27861271676300575</v>
      </c>
      <c r="T731" s="220"/>
      <c r="U731" s="219">
        <f t="shared" ref="U731" si="1295">IF(U725=0,0,(U730/U725))</f>
        <v>0.28272461345591304</v>
      </c>
      <c r="V731" s="252">
        <f t="shared" ref="V731" si="1296">IF(V725=0,0,(V730/V725))</f>
        <v>0.26496532593619965</v>
      </c>
      <c r="W731" s="253"/>
      <c r="X731" s="219">
        <f>IF(X725=0,0,(X730/X725))</f>
        <v>0.20411877588122407</v>
      </c>
      <c r="Y731" s="220"/>
      <c r="Z731" s="219">
        <f t="shared" ref="Z731" si="1297">IF(Z725=0,0,(Z730/Z725))</f>
        <v>0.22988888888888889</v>
      </c>
      <c r="AA731" s="252">
        <f t="shared" ref="AA731" si="1298">IF(AA725=0,0,(AA730/AA725))</f>
        <v>0.1980389464486331</v>
      </c>
      <c r="AB731" s="267"/>
      <c r="AC731" s="210"/>
      <c r="AD731" s="210"/>
      <c r="AE731" s="210"/>
      <c r="AF731" s="210"/>
      <c r="AG731" s="210"/>
      <c r="AH731" s="210"/>
      <c r="AI731" s="210"/>
      <c r="AJ731" s="210"/>
      <c r="AK731" s="210"/>
      <c r="AL731" s="210"/>
      <c r="AM731" s="210"/>
      <c r="AN731" s="210"/>
      <c r="AO731" s="210"/>
      <c r="AP731" s="210"/>
    </row>
    <row r="732" spans="1:42" s="5" customFormat="1">
      <c r="A732" s="1"/>
      <c r="B732" s="1"/>
      <c r="C732" s="1"/>
      <c r="D732" s="227"/>
      <c r="E732" s="227" t="s">
        <v>306</v>
      </c>
      <c r="F732" s="227" t="str">
        <f t="shared" si="1182"/>
        <v>Вега</v>
      </c>
      <c r="G732" s="227" t="s">
        <v>219</v>
      </c>
      <c r="H732" s="347"/>
      <c r="I732" s="348">
        <f>I726-I728</f>
        <v>75.263875795819331</v>
      </c>
      <c r="J732" s="321"/>
      <c r="K732" s="348">
        <f t="shared" ref="K732:L732" si="1299">K726-K728</f>
        <v>252.96014196455508</v>
      </c>
      <c r="L732" s="349">
        <f t="shared" si="1299"/>
        <v>5.4821611244915402</v>
      </c>
      <c r="M732" s="281"/>
      <c r="N732" s="228">
        <f>N726-N728</f>
        <v>4</v>
      </c>
      <c r="O732" s="173"/>
      <c r="P732" s="228">
        <f t="shared" ref="P732:Q732" si="1300">P726-P728</f>
        <v>0</v>
      </c>
      <c r="Q732" s="254">
        <f t="shared" si="1300"/>
        <v>4</v>
      </c>
      <c r="R732" s="255"/>
      <c r="S732" s="228">
        <f>S726-S728</f>
        <v>193.20514590847597</v>
      </c>
      <c r="T732" s="173"/>
      <c r="U732" s="228">
        <f t="shared" ref="U732:V732" si="1301">U726-U728</f>
        <v>251</v>
      </c>
      <c r="V732" s="254">
        <f t="shared" si="1301"/>
        <v>6</v>
      </c>
      <c r="W732" s="255"/>
      <c r="X732" s="228">
        <f>X726-X728</f>
        <v>52.179233629787632</v>
      </c>
      <c r="Y732" s="173"/>
      <c r="Z732" s="228">
        <f t="shared" ref="Z732:AA732" si="1302">Z726-Z728</f>
        <v>256</v>
      </c>
      <c r="AA732" s="254">
        <f t="shared" si="1302"/>
        <v>6.0168575271745794</v>
      </c>
      <c r="AB732" s="266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s="5" customFormat="1">
      <c r="A733" s="1"/>
      <c r="B733" s="1"/>
      <c r="C733" s="1"/>
      <c r="D733" s="227"/>
      <c r="E733" s="227" t="s">
        <v>382</v>
      </c>
      <c r="F733" s="227" t="str">
        <f t="shared" si="1182"/>
        <v>Вега</v>
      </c>
      <c r="G733" s="227" t="s">
        <v>219</v>
      </c>
      <c r="H733" s="347"/>
      <c r="I733" s="348">
        <f>I729-I728</f>
        <v>111.5237553722618</v>
      </c>
      <c r="J733" s="321"/>
      <c r="K733" s="348">
        <f t="shared" ref="K733:L733" si="1303">K729-K728</f>
        <v>292.5758319015149</v>
      </c>
      <c r="L733" s="349">
        <f t="shared" si="1303"/>
        <v>40.328216603542387</v>
      </c>
      <c r="M733" s="281"/>
      <c r="N733" s="228">
        <f>N729-N728</f>
        <v>14</v>
      </c>
      <c r="O733" s="173"/>
      <c r="P733" s="228">
        <f t="shared" ref="P733:Q733" si="1304">P729-P728</f>
        <v>42308</v>
      </c>
      <c r="Q733" s="254">
        <f t="shared" si="1304"/>
        <v>14</v>
      </c>
      <c r="R733" s="255"/>
      <c r="S733" s="228">
        <f>S729-S728</f>
        <v>210.43668091168365</v>
      </c>
      <c r="T733" s="173"/>
      <c r="U733" s="228">
        <f t="shared" ref="U733:V733" si="1305">U729-U728</f>
        <v>268</v>
      </c>
      <c r="V733" s="254">
        <f t="shared" si="1305"/>
        <v>24</v>
      </c>
      <c r="W733" s="255"/>
      <c r="X733" s="228">
        <f>X729-X728</f>
        <v>79.642318166705081</v>
      </c>
      <c r="Y733" s="173"/>
      <c r="Z733" s="228">
        <f t="shared" ref="Z733:AA733" si="1306">Z729-Z728</f>
        <v>285</v>
      </c>
      <c r="AA733" s="254">
        <f t="shared" si="1306"/>
        <v>33.117344357779075</v>
      </c>
      <c r="AB733" s="266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s="5" customFormat="1">
      <c r="A734" s="1"/>
      <c r="B734" s="1"/>
      <c r="C734" s="1"/>
      <c r="D734" s="225"/>
      <c r="E734" s="225" t="s">
        <v>383</v>
      </c>
      <c r="F734" s="225" t="str">
        <f t="shared" si="1182"/>
        <v>Вега</v>
      </c>
      <c r="G734" s="225" t="s">
        <v>219</v>
      </c>
      <c r="H734" s="350"/>
      <c r="I734" s="351">
        <f>I732-I733</f>
        <v>-36.259879576442472</v>
      </c>
      <c r="J734" s="352"/>
      <c r="K734" s="351">
        <f t="shared" ref="K734" si="1307">K732-K733</f>
        <v>-39.615689936959825</v>
      </c>
      <c r="L734" s="353">
        <f t="shared" ref="L734" si="1308">L732-L733</f>
        <v>-34.846055479050847</v>
      </c>
      <c r="M734" s="282"/>
      <c r="N734" s="226">
        <f>N732-N733</f>
        <v>-10</v>
      </c>
      <c r="O734" s="181"/>
      <c r="P734" s="226">
        <f t="shared" ref="P734" si="1309">P732-P733</f>
        <v>-42308</v>
      </c>
      <c r="Q734" s="256">
        <f t="shared" ref="Q734" si="1310">Q732-Q733</f>
        <v>-10</v>
      </c>
      <c r="R734" s="257"/>
      <c r="S734" s="226">
        <f>S732-S733</f>
        <v>-17.231535003207682</v>
      </c>
      <c r="T734" s="181"/>
      <c r="U734" s="226">
        <f t="shared" ref="U734" si="1311">U732-U733</f>
        <v>-17</v>
      </c>
      <c r="V734" s="256">
        <f t="shared" ref="V734" si="1312">V732-V733</f>
        <v>-18</v>
      </c>
      <c r="W734" s="257"/>
      <c r="X734" s="226">
        <f>X732-X733</f>
        <v>-27.463084536917449</v>
      </c>
      <c r="Y734" s="181"/>
      <c r="Z734" s="226">
        <f t="shared" ref="Z734" si="1313">Z732-Z733</f>
        <v>-29</v>
      </c>
      <c r="AA734" s="256">
        <f t="shared" ref="AA734" si="1314">AA732-AA733</f>
        <v>-27.100486830604495</v>
      </c>
      <c r="AB734" s="266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s="5" customFormat="1">
      <c r="A735" s="1"/>
      <c r="B735" s="1"/>
      <c r="C735" s="1"/>
      <c r="D735" s="168" t="s">
        <v>312</v>
      </c>
      <c r="E735" s="168"/>
      <c r="F735" s="168" t="str">
        <f t="shared" si="1182"/>
        <v>Вега</v>
      </c>
      <c r="G735" s="168" t="s">
        <v>261</v>
      </c>
      <c r="H735" s="326"/>
      <c r="I735" s="327">
        <f>SUMIFS(операции!$AC:$AC,операции!$AB:$AB,"&gt;="&amp;I$8,операции!$AB:$AB,"&lt;="&amp;I$9,операции!$O:$O,$F682)</f>
        <v>42819.040000000001</v>
      </c>
      <c r="J735" s="313">
        <f>I735-K735-L735</f>
        <v>0</v>
      </c>
      <c r="K735" s="327">
        <f>SUMIFS(операции!$AC:$AC,операции!$AB:$AB,"&gt;="&amp;I$8,операции!$AB:$AB,"&lt;="&amp;I$9,операции!$L:$L,K$9,операции!$O:$O,$F682)</f>
        <v>1782.85</v>
      </c>
      <c r="L735" s="328">
        <f>SUMIFS(операции!$AC:$AC,операции!$AB:$AB,"&gt;="&amp;I$8,операции!$AB:$AB,"&lt;="&amp;I$9,операции!$L:$L,L$9,операции!$O:$O,$F682)</f>
        <v>41036.19</v>
      </c>
      <c r="M735" s="277"/>
      <c r="N735" s="169">
        <f>SUMIFS(операции!$AC:$AC,операции!$AB:$AB,"&gt;="&amp;N$8,операции!$AB:$AB,"&lt;="&amp;N$9,операции!$O:$O,$F682)</f>
        <v>1782.85</v>
      </c>
      <c r="O735" s="170">
        <f>N735-P735-Q735</f>
        <v>0</v>
      </c>
      <c r="P735" s="169">
        <f>SUMIFS(операции!$AC:$AC,операции!$AB:$AB,"&gt;="&amp;N$8,операции!$AB:$AB,"&lt;="&amp;N$9,операции!$L:$L,P$9,операции!$O:$O,$F682)</f>
        <v>1782.85</v>
      </c>
      <c r="Q735" s="243">
        <f>SUMIFS(операции!$AC:$AC,операции!$AB:$AB,"&gt;="&amp;N$8,операции!$AB:$AB,"&lt;="&amp;N$9,операции!$L:$L,Q$9,операции!$O:$O,$F682)</f>
        <v>0</v>
      </c>
      <c r="R735" s="244"/>
      <c r="S735" s="169">
        <f>SUMIFS(операции!$AC:$AC,операции!$AB:$AB,"&gt;="&amp;S$8,операции!$AB:$AB,"&lt;="&amp;S$9,операции!$O:$O,$F682)</f>
        <v>8206.81</v>
      </c>
      <c r="T735" s="170">
        <f>S735-U735-V735</f>
        <v>0</v>
      </c>
      <c r="U735" s="169">
        <f>SUMIFS(операции!$AC:$AC,операции!$AB:$AB,"&gt;="&amp;S$8,операции!$AB:$AB,"&lt;="&amp;S$9,операции!$L:$L,U$9,операции!$O:$O,$F682)</f>
        <v>0</v>
      </c>
      <c r="V735" s="243">
        <f>SUMIFS(операции!$AC:$AC,операции!$AB:$AB,"&gt;="&amp;S$8,операции!$AB:$AB,"&lt;="&amp;S$9,операции!$L:$L,V$9,операции!$O:$O,$F682)</f>
        <v>8206.81</v>
      </c>
      <c r="W735" s="244"/>
      <c r="X735" s="169">
        <f>SUMIFS(операции!$AC:$AC,операции!$AB:$AB,"&gt;="&amp;X$8,операции!$AB:$AB,"&lt;="&amp;X$9,операции!$O:$O,$F682)</f>
        <v>32829.379999999997</v>
      </c>
      <c r="Y735" s="170">
        <f>X735-Z735-AA735</f>
        <v>0</v>
      </c>
      <c r="Z735" s="169">
        <f>SUMIFS(операции!$AC:$AC,операции!$AB:$AB,"&gt;="&amp;X$8,операции!$AB:$AB,"&lt;="&amp;X$9,операции!$L:$L,Z$9,операции!$O:$O,$F682)</f>
        <v>0</v>
      </c>
      <c r="AA735" s="243">
        <f>SUMIFS(операции!$AC:$AC,операции!$AB:$AB,"&gt;="&amp;X$8,операции!$AB:$AB,"&lt;="&amp;X$9,операции!$L:$L,AA$9,операции!$O:$O,$F682)</f>
        <v>32829.379999999997</v>
      </c>
      <c r="AB735" s="266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s="192" customFormat="1" ht="11.25">
      <c r="A736" s="37"/>
      <c r="B736" s="37"/>
      <c r="C736" s="37"/>
      <c r="D736" s="207" t="s">
        <v>255</v>
      </c>
      <c r="E736" s="207"/>
      <c r="F736" s="207" t="str">
        <f t="shared" si="1182"/>
        <v>Вега</v>
      </c>
      <c r="G736" s="207" t="s">
        <v>262</v>
      </c>
      <c r="H736" s="331"/>
      <c r="I736" s="337">
        <f>IF(I735=0,0,SUMIFS(операции!$AH:$AH,операции!$AB:$AB,"&gt;="&amp;I$8,операции!$AB:$AB,"&lt;="&amp;I$9,операции!$O:$O,$F682)/I735)</f>
        <v>42346.870299520975</v>
      </c>
      <c r="J736" s="333"/>
      <c r="K736" s="337">
        <f>IF(K735=0,0,SUMIFS(операции!$AH:$AH,операции!$AB:$AB,"&gt;="&amp;I$8,операции!$AB:$AB,"&lt;="&amp;I$9,операции!$L:$L,K$9,операции!$O:$O,$F682)/K735)</f>
        <v>42297.979033569849</v>
      </c>
      <c r="L736" s="338">
        <f>IF(L735=0,0,SUMIFS(операции!$AH:$AH,операции!$AB:$AB,"&gt;="&amp;I$8,операции!$AB:$AB,"&lt;="&amp;I$9,операции!$L:$L,L$9,операции!$O:$O,$F682)/L735)</f>
        <v>42348.994419559916</v>
      </c>
      <c r="M736" s="278"/>
      <c r="N736" s="217">
        <f>IF(N735=0,0,SUMIFS(операции!$AH:$AH,операции!$AB:$AB,"&gt;="&amp;N$8,операции!$AB:$AB,"&lt;="&amp;N$9,операции!$O:$O,$F682)/N735)</f>
        <v>42297.979033569849</v>
      </c>
      <c r="O736" s="208"/>
      <c r="P736" s="217">
        <f>IF(P735=0,0,SUMIFS(операции!$AH:$AH,операции!$AB:$AB,"&gt;="&amp;N$8,операции!$AB:$AB,"&lt;="&amp;N$9,операции!$L:$L,P$9,операции!$O:$O,$F682)/P735)</f>
        <v>42297.979033569849</v>
      </c>
      <c r="Q736" s="249">
        <f>IF(Q735=0,0,SUMIFS(операции!$AH:$AH,операции!$AB:$AB,"&gt;="&amp;N$8,операции!$AB:$AB,"&lt;="&amp;N$9,операции!$L:$L,Q$9,операции!$O:$O,$F682)/Q735)</f>
        <v>0</v>
      </c>
      <c r="R736" s="247"/>
      <c r="S736" s="217">
        <f>IF(S735=0,0,SUMIFS(операции!$AH:$AH,операции!$AB:$AB,"&gt;="&amp;S$8,операции!$AB:$AB,"&lt;="&amp;S$9,операции!$O:$O,$F682)/S735)</f>
        <v>42331.937514088917</v>
      </c>
      <c r="T736" s="208"/>
      <c r="U736" s="217">
        <f>IF(U735=0,0,SUMIFS(операции!$AH:$AH,операции!$AB:$AB,"&gt;="&amp;S$8,операции!$AB:$AB,"&lt;="&amp;S$9,операции!$L:$L,U$9,операции!$O:$O,$F682)/U735)</f>
        <v>0</v>
      </c>
      <c r="V736" s="249">
        <f>IF(V735=0,0,SUMIFS(операции!$AH:$AH,операции!$AB:$AB,"&gt;="&amp;S$8,операции!$AB:$AB,"&lt;="&amp;S$9,операции!$L:$L,V$9,операции!$O:$O,$F682)/V735)</f>
        <v>42331.937514088917</v>
      </c>
      <c r="W736" s="247"/>
      <c r="X736" s="217">
        <f>IF(X735=0,0,SUMIFS(операции!$AH:$AH,операции!$AB:$AB,"&gt;="&amp;X$8,операции!$AB:$AB,"&lt;="&amp;X$9,операции!$O:$O,$F682)/X735)</f>
        <v>42353.258367961877</v>
      </c>
      <c r="Y736" s="208"/>
      <c r="Z736" s="217">
        <f>IF(Z735=0,0,SUMIFS(операции!$AH:$AH,операции!$AB:$AB,"&gt;="&amp;X$8,операции!$AB:$AB,"&lt;="&amp;X$9,операции!$L:$L,Z$9,операции!$O:$O,$F682)/Z735)</f>
        <v>0</v>
      </c>
      <c r="AA736" s="249">
        <f>IF(AA735=0,0,SUMIFS(операции!$AH:$AH,операции!$AB:$AB,"&gt;="&amp;X$8,операции!$AB:$AB,"&lt;="&amp;X$9,операции!$L:$L,AA$9,операции!$O:$O,$F682)/AA735)</f>
        <v>42353.258367961877</v>
      </c>
      <c r="AB736" s="265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</row>
    <row r="737" spans="1:42" s="111" customFormat="1" ht="11.25">
      <c r="A737" s="108"/>
      <c r="B737" s="108"/>
      <c r="C737" s="209" t="s">
        <v>279</v>
      </c>
      <c r="D737" s="109"/>
      <c r="E737" s="109"/>
      <c r="F737" s="109" t="str">
        <f t="shared" si="1182"/>
        <v>Вега</v>
      </c>
      <c r="G737" s="109"/>
      <c r="H737" s="307"/>
      <c r="I737" s="308">
        <f>I738-K738-L738+K737+L737</f>
        <v>-1.8189894035458565E-12</v>
      </c>
      <c r="J737" s="309">
        <f>I682+I700-I707-I738</f>
        <v>0</v>
      </c>
      <c r="K737" s="308">
        <f>K682+K700-K707-K738</f>
        <v>0</v>
      </c>
      <c r="L737" s="336">
        <f>L682+L700-L707-L738</f>
        <v>0</v>
      </c>
      <c r="M737" s="272"/>
      <c r="N737" s="110">
        <f>N738-P738-Q738</f>
        <v>0</v>
      </c>
      <c r="O737" s="215">
        <f>N682+N700-N707-N738</f>
        <v>0</v>
      </c>
      <c r="P737" s="110">
        <f>P682+P700-P707-P738</f>
        <v>0</v>
      </c>
      <c r="Q737" s="248">
        <f>Q682+Q700-Q707-Q738</f>
        <v>0</v>
      </c>
      <c r="R737" s="234"/>
      <c r="S737" s="110">
        <f>S738-U738-V738</f>
        <v>0</v>
      </c>
      <c r="T737" s="215">
        <f>S682+S700-S707-S738</f>
        <v>0</v>
      </c>
      <c r="U737" s="110">
        <f>U682+U700-U707-U738</f>
        <v>0</v>
      </c>
      <c r="V737" s="248">
        <f>V682+V700-V707-V738</f>
        <v>0</v>
      </c>
      <c r="W737" s="234"/>
      <c r="X737" s="110">
        <f>X738-Z738-AA738</f>
        <v>0</v>
      </c>
      <c r="Y737" s="215">
        <f>X682+X700-X707-X738</f>
        <v>0</v>
      </c>
      <c r="Z737" s="110">
        <f>Z682+Z700-Z707-Z738</f>
        <v>0</v>
      </c>
      <c r="AA737" s="248">
        <f>AA682+AA700-AA707-AA738</f>
        <v>0</v>
      </c>
      <c r="AB737" s="263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</row>
    <row r="738" spans="1:42" s="93" customFormat="1" ht="15">
      <c r="A738" s="92"/>
      <c r="B738" s="92"/>
      <c r="C738" s="214"/>
      <c r="D738" s="151" t="s">
        <v>238</v>
      </c>
      <c r="E738" s="151"/>
      <c r="F738" s="151" t="str">
        <f t="shared" si="1182"/>
        <v>Вега</v>
      </c>
      <c r="G738" s="151" t="s">
        <v>261</v>
      </c>
      <c r="H738" s="311"/>
      <c r="I738" s="312">
        <f>SUMIFS(операции!$V:$V,операции!$T:$T,"&lt;="&amp;I$9,операции!$X:$X,"",операции!$O:$O,$F682)+SUMIFS(операции!$V:$V,операции!$T:$T,"&lt;="&amp;I$9,операции!$X:$X,"&gt;"&amp;I$9,операции!$O:$O,$F682)</f>
        <v>21668.799999999999</v>
      </c>
      <c r="J738" s="313">
        <f>I738-I743-I749</f>
        <v>0</v>
      </c>
      <c r="K738" s="312">
        <f>SUMIFS(операции!$V:$V,операции!$T:$T,"&lt;="&amp;I$9,операции!$X:$X,"",операции!$L:$L,K$9,операции!$O:$O,$F682)+SUMIFS(операции!$V:$V,операции!$T:$T,"&lt;="&amp;I$9,операции!$X:$X,"&gt;"&amp;I$9,операции!$L:$L,K$9,операции!$O:$O,$F682)</f>
        <v>8113.31</v>
      </c>
      <c r="L738" s="314">
        <f>SUMIFS(операции!$V:$V,операции!$T:$T,"&lt;="&amp;I$9,операции!$X:$X,"",операции!$L:$L,L$9,операции!$O:$O,$F682)+SUMIFS(операции!$V:$V,операции!$T:$T,"&lt;="&amp;I$9,операции!$X:$X,"&gt;"&amp;I$9,операции!$L:$L,L$9,операции!$O:$O,$F682)</f>
        <v>13555.49</v>
      </c>
      <c r="M738" s="273"/>
      <c r="N738" s="152">
        <f>SUMIFS(операции!$V:$V,операции!$T:$T,"&lt;="&amp;N$9,операции!$X:$X,"",операции!$O:$O,$F682)+SUMIFS(операции!$V:$V,операции!$T:$T,"&lt;="&amp;N$9,операции!$X:$X,"&gt;"&amp;N$9,операции!$O:$O,$F682)</f>
        <v>19116.79</v>
      </c>
      <c r="O738" s="170">
        <f>N738-N743-N749</f>
        <v>0</v>
      </c>
      <c r="P738" s="152">
        <f>SUMIFS(операции!$V:$V,операции!$T:$T,"&lt;="&amp;N$9,операции!$X:$X,"",операции!$L:$L,P$9,операции!$O:$O,$F682)+SUMIFS(операции!$V:$V,операции!$T:$T,"&lt;="&amp;N$9,операции!$X:$X,"&gt;"&amp;N$9,операции!$L:$L,P$9,операции!$O:$O,$F682)</f>
        <v>15847.03</v>
      </c>
      <c r="Q738" s="235">
        <f>SUMIFS(операции!$V:$V,операции!$T:$T,"&lt;="&amp;N$9,операции!$X:$X,"",операции!$L:$L,Q$9,операции!$O:$O,$F682)+SUMIFS(операции!$V:$V,операции!$T:$T,"&lt;="&amp;N$9,операции!$X:$X,"&gt;"&amp;N$9,операции!$L:$L,Q$9,операции!$O:$O,$F682)</f>
        <v>3269.7599999999998</v>
      </c>
      <c r="R738" s="236"/>
      <c r="S738" s="152">
        <f>SUMIFS(операции!$V:$V,операции!$T:$T,"&lt;="&amp;S$9,операции!$X:$X,"",операции!$O:$O,$F682)+SUMIFS(операции!$V:$V,операции!$T:$T,"&lt;="&amp;S$9,операции!$X:$X,"&gt;"&amp;S$9,операции!$O:$O,$F682)</f>
        <v>23634.13</v>
      </c>
      <c r="T738" s="170">
        <f>S738-S743-S749</f>
        <v>0</v>
      </c>
      <c r="U738" s="152">
        <f>SUMIFS(операции!$V:$V,операции!$T:$T,"&lt;="&amp;S$9,операции!$X:$X,"",операции!$L:$L,U$9,операции!$O:$O,$F682)+SUMIFS(операции!$V:$V,операции!$T:$T,"&lt;="&amp;S$9,операции!$X:$X,"&gt;"&amp;S$9,операции!$L:$L,U$9,операции!$O:$O,$F682)</f>
        <v>10797.45</v>
      </c>
      <c r="V738" s="235">
        <f>SUMIFS(операции!$V:$V,операции!$T:$T,"&lt;="&amp;S$9,операции!$X:$X,"",операции!$L:$L,V$9,операции!$O:$O,$F682)+SUMIFS(операции!$V:$V,операции!$T:$T,"&lt;="&amp;S$9,операции!$X:$X,"&gt;"&amp;S$9,операции!$L:$L,V$9,операции!$O:$O,$F682)</f>
        <v>12836.68</v>
      </c>
      <c r="W738" s="236"/>
      <c r="X738" s="152">
        <f>SUMIFS(операции!$V:$V,операции!$T:$T,"&lt;="&amp;X$9,операции!$X:$X,"",операции!$O:$O,$F682)+SUMIFS(операции!$V:$V,операции!$T:$T,"&lt;="&amp;X$9,операции!$X:$X,"&gt;"&amp;X$9,операции!$O:$O,$F682)</f>
        <v>21668.799999999999</v>
      </c>
      <c r="Y738" s="170">
        <f>X738-X743-X749</f>
        <v>0</v>
      </c>
      <c r="Z738" s="152">
        <f>SUMIFS(операции!$V:$V,операции!$T:$T,"&lt;="&amp;X$9,операции!$X:$X,"",операции!$L:$L,Z$9,операции!$O:$O,$F682)+SUMIFS(операции!$V:$V,операции!$T:$T,"&lt;="&amp;X$9,операции!$X:$X,"&gt;"&amp;X$9,операции!$L:$L,Z$9,операции!$O:$O,$F682)</f>
        <v>8113.31</v>
      </c>
      <c r="AA738" s="235">
        <f>SUMIFS(операции!$V:$V,операции!$T:$T,"&lt;="&amp;X$9,операции!$X:$X,"",операции!$L:$L,AA$9,операции!$O:$O,$F682)+SUMIFS(операции!$V:$V,операции!$T:$T,"&lt;="&amp;X$9,операции!$X:$X,"&gt;"&amp;X$9,операции!$L:$L,AA$9,операции!$O:$O,$F682)</f>
        <v>13555.49</v>
      </c>
      <c r="AB738" s="264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</row>
    <row r="739" spans="1:42" s="192" customFormat="1" ht="11.25">
      <c r="A739" s="37"/>
      <c r="B739" s="37"/>
      <c r="C739" s="37"/>
      <c r="D739" s="191" t="s">
        <v>255</v>
      </c>
      <c r="E739" s="191"/>
      <c r="F739" s="191" t="str">
        <f t="shared" si="1182"/>
        <v>Вега</v>
      </c>
      <c r="G739" s="191" t="s">
        <v>262</v>
      </c>
      <c r="H739" s="315"/>
      <c r="I739" s="316">
        <f>IF(I738=0,0,(SUMIFS(операции!$AF:$AF,операции!$T:$T,"&lt;="&amp;I$9,операции!$X:$X,"",операции!$O:$O,$F682)+SUMIFS(операции!$AF:$AF,операции!$T:$T,"&lt;="&amp;I$9,операции!$X:$X,"&gt;"&amp;I$9,операции!$O:$O,$F682))/I738)</f>
        <v>42265.063512515691</v>
      </c>
      <c r="J739" s="317"/>
      <c r="K739" s="316">
        <f>IF(K738=0,0,(SUMIFS(операции!$AF:$AF,операции!$T:$T,"&lt;="&amp;I$9,операции!$X:$X,"",операции!$L:$L,K$9,операции!$O:$O,$F682)+SUMIFS(операции!$AF:$AF,операции!$T:$T,"&lt;="&amp;I$9,операции!$X:$X,"&gt;"&amp;I$9,операции!$L:$L,K$9,операции!$O:$O,$F682))/K738)</f>
        <v>42109.023037453269</v>
      </c>
      <c r="L739" s="318">
        <f>IF(L738=0,0,(SUMIFS(операции!$AF:$AF,операции!$T:$T,"&lt;="&amp;I$9,операции!$X:$X,"",операции!$L:$L,L$9,операции!$O:$O,$F682)+SUMIFS(операции!$AF:$AF,операции!$T:$T,"&lt;="&amp;I$9,операции!$X:$X,"&gt;"&amp;I$9,операции!$L:$L,L$9,операции!$O:$O,$F682))/L738)</f>
        <v>42358.457756967837</v>
      </c>
      <c r="M739" s="274"/>
      <c r="N739" s="193">
        <f>IF(N738=0,0,(SUMIFS(операции!$AF:$AF,операции!$T:$T,"&lt;="&amp;N$9,операции!$X:$X,"",операции!$O:$O,$F682)+SUMIFS(операции!$AF:$AF,операции!$T:$T,"&lt;="&amp;N$9,операции!$X:$X,"&gt;"&amp;N$9,операции!$O:$O,$F682))/N738)</f>
        <v>42138.568016910787</v>
      </c>
      <c r="O739" s="196"/>
      <c r="P739" s="193">
        <f>IF(P738=0,0,(SUMIFS(операции!$AF:$AF,операции!$T:$T,"&lt;="&amp;N$9,операции!$X:$X,"",операции!$L:$L,P$9,операции!$O:$O,$F682)+SUMIFS(операции!$AF:$AF,операции!$T:$T,"&lt;="&amp;N$9,операции!$X:$X,"&gt;"&amp;N$9,операции!$L:$L,P$9,операции!$O:$O,$F682))/P738)</f>
        <v>42103.866112451353</v>
      </c>
      <c r="Q739" s="237">
        <f>IF(Q738=0,0,(SUMIFS(операции!$AF:$AF,операции!$T:$T,"&lt;="&amp;N$9,операции!$X:$X,"",операции!$L:$L,Q$9,операции!$O:$O,$F682)+SUMIFS(операции!$AF:$AF,операции!$T:$T,"&lt;="&amp;N$9,операции!$X:$X,"&gt;"&amp;N$9,операции!$L:$L,Q$9,операции!$O:$O,$F682))/Q738)</f>
        <v>42306.752263163049</v>
      </c>
      <c r="R739" s="238"/>
      <c r="S739" s="193">
        <f>IF(S738=0,0,(SUMIFS(операции!$AF:$AF,операции!$T:$T,"&lt;="&amp;S$9,операции!$X:$X,"",операции!$O:$O,$F682)+SUMIFS(операции!$AF:$AF,операции!$T:$T,"&lt;="&amp;S$9,операции!$X:$X,"&gt;"&amp;S$9,операции!$O:$O,$F682))/S738)</f>
        <v>42235.450318670497</v>
      </c>
      <c r="T739" s="196"/>
      <c r="U739" s="193">
        <f>IF(U738=0,0,(SUMIFS(операции!$AF:$AF,операции!$T:$T,"&lt;="&amp;S$9,операции!$X:$X,"",операции!$L:$L,U$9,операции!$O:$O,$F682)+SUMIFS(операции!$AF:$AF,операции!$T:$T,"&lt;="&amp;S$9,операции!$X:$X,"&gt;"&amp;S$9,операции!$L:$L,U$9,операции!$O:$O,$F682))/U738)</f>
        <v>42116.079129794532</v>
      </c>
      <c r="V739" s="237">
        <f>IF(V738=0,0,(SUMIFS(операции!$AF:$AF,операции!$T:$T,"&lt;="&amp;S$9,операции!$X:$X,"",операции!$L:$L,V$9,операции!$O:$O,$F682)+SUMIFS(операции!$AF:$AF,операции!$T:$T,"&lt;="&amp;S$9,операции!$X:$X,"&gt;"&amp;S$9,операции!$L:$L,V$9,операции!$O:$O,$F682))/V738)</f>
        <v>42335.858246836411</v>
      </c>
      <c r="W739" s="238"/>
      <c r="X739" s="193">
        <f>IF(X738=0,0,(SUMIFS(операции!$AF:$AF,операции!$T:$T,"&lt;="&amp;X$9,операции!$X:$X,"",операции!$O:$O,$F682)+SUMIFS(операции!$AF:$AF,операции!$T:$T,"&lt;="&amp;X$9,операции!$X:$X,"&gt;"&amp;X$9,операции!$O:$O,$F682))/X738)</f>
        <v>42265.063512515691</v>
      </c>
      <c r="Y739" s="196"/>
      <c r="Z739" s="193">
        <f>IF(Z738=0,0,(SUMIFS(операции!$AF:$AF,операции!$T:$T,"&lt;="&amp;X$9,операции!$X:$X,"",операции!$L:$L,Z$9,операции!$O:$O,$F682)+SUMIFS(операции!$AF:$AF,операции!$T:$T,"&lt;="&amp;X$9,операции!$X:$X,"&gt;"&amp;X$9,операции!$L:$L,Z$9,операции!$O:$O,$F682))/Z738)</f>
        <v>42109.023037453269</v>
      </c>
      <c r="AA739" s="237">
        <f>IF(AA738=0,0,(SUMIFS(операции!$AF:$AF,операции!$T:$T,"&lt;="&amp;X$9,операции!$X:$X,"",операции!$L:$L,AA$9,операции!$O:$O,$F682)+SUMIFS(операции!$AF:$AF,операции!$T:$T,"&lt;="&amp;X$9,операции!$X:$X,"&gt;"&amp;X$9,операции!$L:$L,AA$9,операции!$O:$O,$F682))/AA738)</f>
        <v>42358.457756967837</v>
      </c>
      <c r="AB739" s="265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</row>
    <row r="740" spans="1:42" s="50" customFormat="1" ht="11.25">
      <c r="A740" s="48"/>
      <c r="B740" s="48"/>
      <c r="C740" s="48"/>
      <c r="D740" s="154" t="s">
        <v>239</v>
      </c>
      <c r="E740" s="154"/>
      <c r="F740" s="154" t="str">
        <f t="shared" si="1182"/>
        <v>Вега</v>
      </c>
      <c r="G740" s="154" t="s">
        <v>219</v>
      </c>
      <c r="H740" s="319"/>
      <c r="I740" s="320">
        <f>IF(I738=0,0,I$9-I739)</f>
        <v>103.9364874843086</v>
      </c>
      <c r="J740" s="321">
        <f>I740-SUMIFS(ПОбТЗ!$I:$I,ПОбТЗ!$E:$E,$D740,ПОбТЗ!$F:$F,$F740)</f>
        <v>0</v>
      </c>
      <c r="K740" s="320">
        <f>IF(K738=0,0,I$9-K739)</f>
        <v>259.97696254673065</v>
      </c>
      <c r="L740" s="322">
        <f>IF(L738=0,0,I$9-L739)</f>
        <v>10.542243032163242</v>
      </c>
      <c r="M740" s="275"/>
      <c r="N740" s="155">
        <f>IF(N738=0,0,N$9-N739)</f>
        <v>169.43198308921274</v>
      </c>
      <c r="O740" s="173">
        <f>N740-SUMIFS(ПОбТЗ_3!$J:$J,ПОбТЗ_3!$D:$D,$D740,ПОбТЗ_3!$E:$E,$F740)</f>
        <v>0</v>
      </c>
      <c r="P740" s="155">
        <f>IF(P738=0,0,N$9-P739)</f>
        <v>204.13388754864718</v>
      </c>
      <c r="Q740" s="239">
        <f>IF(Q738=0,0,N$9-Q739)</f>
        <v>1.247736836950935</v>
      </c>
      <c r="R740" s="240"/>
      <c r="S740" s="155">
        <f>IF(S738=0,0,S$9-S739)</f>
        <v>102.54968132950307</v>
      </c>
      <c r="T740" s="173">
        <f>S740-SUMIFS(ПОбТЗ_3!$K:$K,ПОбТЗ_3!$D:$D,$D740,ПОбТЗ_3!$E:$E,$F740)</f>
        <v>0</v>
      </c>
      <c r="U740" s="155">
        <f>IF(U738=0,0,S$9-U739)</f>
        <v>221.92087020546751</v>
      </c>
      <c r="V740" s="239">
        <f>IF(V738=0,0,S$9-V739)</f>
        <v>2.1417531635888736</v>
      </c>
      <c r="W740" s="240"/>
      <c r="X740" s="155">
        <f>IF(X738=0,0,X$9-X739)</f>
        <v>103.9364874843086</v>
      </c>
      <c r="Y740" s="173">
        <f>X740-SUMIFS(ПОбТЗ_3!$L:$L,ПОбТЗ_3!$D:$D,$D740,ПОбТЗ_3!$E:$E,$F740)</f>
        <v>0</v>
      </c>
      <c r="Z740" s="155">
        <f>IF(Z738=0,0,X$9-Z739)</f>
        <v>259.97696254673065</v>
      </c>
      <c r="AA740" s="239">
        <f>IF(AA738=0,0,X$9-AA739)</f>
        <v>10.542243032163242</v>
      </c>
      <c r="AB740" s="230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</row>
    <row r="741" spans="1:42" s="93" customFormat="1" ht="15">
      <c r="A741" s="92"/>
      <c r="B741" s="92"/>
      <c r="C741" s="92"/>
      <c r="D741" s="198" t="s">
        <v>280</v>
      </c>
      <c r="E741" s="198"/>
      <c r="F741" s="198" t="str">
        <f t="shared" si="1182"/>
        <v>Вега</v>
      </c>
      <c r="G741" s="198" t="s">
        <v>219</v>
      </c>
      <c r="H741" s="323"/>
      <c r="I741" s="324">
        <f>IF(I738=0,0,(I743*I747+I749*I753)/I738)</f>
        <v>21.114391659897901</v>
      </c>
      <c r="J741" s="321"/>
      <c r="K741" s="324">
        <f>IF(K738=0,0,(K743*K747+K749*K753)/K738)</f>
        <v>38.778040035447162</v>
      </c>
      <c r="L741" s="325">
        <f>IF(L738=0,0,(L743*L747+L749*L753)/L738)</f>
        <v>10.54224303216324</v>
      </c>
      <c r="M741" s="276"/>
      <c r="N741" s="199">
        <f>IF(N738=0,0,(N743*N747+N749*N753)/N738)</f>
        <v>57.632280837946581</v>
      </c>
      <c r="O741" s="173"/>
      <c r="P741" s="199">
        <f>IF(P738=0,0,(P743*P747+P749*P753)/P738)</f>
        <v>69.266254307593613</v>
      </c>
      <c r="Q741" s="241">
        <f>IF(Q738=0,0,(Q743*Q747+Q749*Q753)/Q738)</f>
        <v>1.247736836950935</v>
      </c>
      <c r="R741" s="242"/>
      <c r="S741" s="199">
        <f>IF(S738=0,0,(S743*S747+S749*S753)/S738)</f>
        <v>30.887086175794234</v>
      </c>
      <c r="T741" s="173"/>
      <c r="U741" s="199">
        <f>IF(U738=0,0,(U743*U747+U749*U753)/U738)</f>
        <v>65.061325590763445</v>
      </c>
      <c r="V741" s="241">
        <f>IF(V738=0,0,(V743*V747+V749*V753)/V738)</f>
        <v>2.1417531635888736</v>
      </c>
      <c r="W741" s="242"/>
      <c r="X741" s="199">
        <f>IF(X738=0,0,(X743*X747+X749*X753)/X738)</f>
        <v>21.114391659897901</v>
      </c>
      <c r="Y741" s="173"/>
      <c r="Z741" s="199">
        <f>IF(Z738=0,0,(Z743*Z747+Z749*Z753)/Z738)</f>
        <v>38.778040035447162</v>
      </c>
      <c r="AA741" s="241">
        <f>IF(AA738=0,0,(AA743*AA747+AA749*AA753)/AA738)</f>
        <v>10.54224303216324</v>
      </c>
      <c r="AB741" s="264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</row>
    <row r="742" spans="1:42" s="50" customFormat="1" ht="11.25">
      <c r="A742" s="48"/>
      <c r="B742" s="48"/>
      <c r="C742" s="48"/>
      <c r="D742" s="154" t="s">
        <v>281</v>
      </c>
      <c r="E742" s="154"/>
      <c r="F742" s="154" t="str">
        <f t="shared" si="1182"/>
        <v>Вега</v>
      </c>
      <c r="G742" s="154" t="s">
        <v>219</v>
      </c>
      <c r="H742" s="319"/>
      <c r="I742" s="320">
        <f>I740-I741</f>
        <v>82.822095824410695</v>
      </c>
      <c r="J742" s="321"/>
      <c r="K742" s="320">
        <f>K740-K741</f>
        <v>221.19892251128348</v>
      </c>
      <c r="L742" s="322">
        <f>L740-L741</f>
        <v>0</v>
      </c>
      <c r="M742" s="275"/>
      <c r="N742" s="155">
        <f>N740-N741</f>
        <v>111.79970225126615</v>
      </c>
      <c r="O742" s="173"/>
      <c r="P742" s="155">
        <f>P740-P741</f>
        <v>134.86763324105357</v>
      </c>
      <c r="Q742" s="239">
        <f>Q740-Q741</f>
        <v>0</v>
      </c>
      <c r="R742" s="240"/>
      <c r="S742" s="155">
        <f>S740-S741</f>
        <v>71.662595153708835</v>
      </c>
      <c r="T742" s="173"/>
      <c r="U742" s="155">
        <f>U740-U741</f>
        <v>156.85954461470408</v>
      </c>
      <c r="V742" s="239">
        <f>V740-V741</f>
        <v>0</v>
      </c>
      <c r="W742" s="240"/>
      <c r="X742" s="155">
        <f>X740-X741</f>
        <v>82.822095824410695</v>
      </c>
      <c r="Y742" s="173"/>
      <c r="Z742" s="155">
        <f>Z740-Z741</f>
        <v>221.19892251128348</v>
      </c>
      <c r="AA742" s="239">
        <f>AA740-AA741</f>
        <v>0</v>
      </c>
      <c r="AB742" s="230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</row>
    <row r="743" spans="1:42" s="5" customFormat="1">
      <c r="A743" s="1"/>
      <c r="B743" s="1"/>
      <c r="C743" s="1"/>
      <c r="D743" s="168"/>
      <c r="E743" s="168" t="s">
        <v>282</v>
      </c>
      <c r="F743" s="168" t="str">
        <f t="shared" si="1182"/>
        <v>Вега</v>
      </c>
      <c r="G743" s="168" t="s">
        <v>261</v>
      </c>
      <c r="H743" s="326"/>
      <c r="I743" s="327">
        <f>SUMIFS(операции!$V:$V,операции!$T:$T,"&lt;="&amp;I$9,операции!$X:$X,"",операции!$AB:$AB,"&lt;&gt;"&amp;"",операции!$AB:$AB,"&lt;="&amp;I$9,операции!$O:$O,$F682)+SUMIFS(операции!$V:$V,операции!$T:$T,"&lt;="&amp;I$9,операции!$X:$X,"&gt;"&amp;I$9,операции!$AB:$AB,"&lt;&gt;"&amp;"",операции!$AB:$AB,"&lt;="&amp;I$9,операции!$O:$O,$F682)</f>
        <v>7510.72</v>
      </c>
      <c r="J743" s="313">
        <f>I743-K743-L743</f>
        <v>0</v>
      </c>
      <c r="K743" s="327">
        <f>SUMIFS(операции!$V:$V,операции!$T:$T,"&lt;="&amp;I$9,операции!$X:$X,"",операции!$AB:$AB,"&lt;&gt;"&amp;"",операции!$AB:$AB,"&lt;="&amp;I$9,операции!$L:$L,K$9,операции!$O:$O,$F682)+SUMIFS(операции!$V:$V,операции!$T:$T,"&lt;="&amp;I$9,операции!$X:$X,"&gt;"&amp;I$9,операции!$AB:$AB,"&lt;&gt;"&amp;"",операции!$AB:$AB,"&lt;="&amp;I$9,операции!$L:$L,K$9,операции!$O:$O,$F682)</f>
        <v>7510.72</v>
      </c>
      <c r="L743" s="328">
        <f>SUMIFS(операции!$V:$V,операции!$T:$T,"&lt;="&amp;I$9,операции!$X:$X,"",операции!$AB:$AB,"&lt;&gt;"&amp;"",операции!$AB:$AB,"&lt;="&amp;I$9,операции!$L:$L,L$9,операции!$O:$O,$F682)+SUMIFS(операции!$V:$V,операции!$T:$T,"&lt;="&amp;I$9,операции!$X:$X,"&gt;"&amp;I$9,операции!$AB:$AB,"&lt;&gt;"&amp;"",операции!$AB:$AB,"&lt;="&amp;I$9,операции!$L:$L,L$9,операции!$O:$O,$F682)</f>
        <v>0</v>
      </c>
      <c r="M743" s="277"/>
      <c r="N743" s="169">
        <f>SUMIFS(операции!$V:$V,операции!$T:$T,"&lt;="&amp;N$9,операции!$X:$X,"",операции!$AB:$AB,"&lt;&gt;"&amp;"",операции!$AB:$AB,"&lt;="&amp;N$9,операции!$O:$O,$F682)+SUMIFS(операции!$V:$V,операции!$T:$T,"&lt;="&amp;N$9,операции!$X:$X,"&gt;"&amp;N$9,операции!$AB:$AB,"&lt;&gt;"&amp;"",операции!$AB:$AB,"&lt;="&amp;N$9,операции!$O:$O,$F682)</f>
        <v>12072.490000000002</v>
      </c>
      <c r="O743" s="170">
        <f>N743-P743-Q743</f>
        <v>0</v>
      </c>
      <c r="P743" s="169">
        <f>SUMIFS(операции!$V:$V,операции!$T:$T,"&lt;="&amp;N$9,операции!$X:$X,"",операции!$AB:$AB,"&lt;&gt;"&amp;"",операции!$AB:$AB,"&lt;="&amp;N$9,операции!$L:$L,P$9,операции!$O:$O,$F682)+SUMIFS(операции!$V:$V,операции!$T:$T,"&lt;="&amp;N$9,операции!$X:$X,"&gt;"&amp;N$9,операции!$AB:$AB,"&lt;&gt;"&amp;"",операции!$AB:$AB,"&lt;="&amp;N$9,операции!$L:$L,P$9,операции!$O:$O,$F682)</f>
        <v>12072.490000000002</v>
      </c>
      <c r="Q743" s="243">
        <f>SUMIFS(операции!$V:$V,операции!$T:$T,"&lt;="&amp;N$9,операции!$X:$X,"",операции!$AB:$AB,"&lt;&gt;"&amp;"",операции!$AB:$AB,"&lt;="&amp;N$9,операции!$L:$L,Q$9,операции!$O:$O,$F682)+SUMIFS(операции!$V:$V,операции!$T:$T,"&lt;="&amp;N$9,операции!$X:$X,"&gt;"&amp;N$9,операции!$AB:$AB,"&lt;&gt;"&amp;"",операции!$AB:$AB,"&lt;="&amp;N$9,операции!$L:$L,Q$9,операции!$O:$O,$F682)</f>
        <v>0</v>
      </c>
      <c r="R743" s="244"/>
      <c r="S743" s="169">
        <f>SUMIFS(операции!$V:$V,операции!$T:$T,"&lt;="&amp;S$9,операции!$X:$X,"",операции!$AB:$AB,"&lt;&gt;"&amp;"",операции!$AB:$AB,"&lt;="&amp;S$9,операции!$O:$O,$F682)+SUMIFS(операции!$V:$V,операции!$T:$T,"&lt;="&amp;S$9,операции!$X:$X,"&gt;"&amp;S$9,операции!$AB:$AB,"&lt;&gt;"&amp;"",операции!$AB:$AB,"&lt;="&amp;S$9,операции!$O:$O,$F682)</f>
        <v>8739.35</v>
      </c>
      <c r="T743" s="170">
        <f>S743-U743-V743</f>
        <v>0</v>
      </c>
      <c r="U743" s="169">
        <f>SUMIFS(операции!$V:$V,операции!$T:$T,"&lt;="&amp;S$9,операции!$X:$X,"",операции!$AB:$AB,"&lt;&gt;"&amp;"",операции!$AB:$AB,"&lt;="&amp;S$9,операции!$L:$L,U$9,операции!$O:$O,$F682)+SUMIFS(операции!$V:$V,операции!$T:$T,"&lt;="&amp;S$9,операции!$X:$X,"&gt;"&amp;S$9,операции!$AB:$AB,"&lt;&gt;"&amp;"",операции!$AB:$AB,"&lt;="&amp;S$9,операции!$L:$L,U$9,операции!$O:$O,$F682)</f>
        <v>8739.35</v>
      </c>
      <c r="V743" s="243">
        <f>SUMIFS(операции!$V:$V,операции!$T:$T,"&lt;="&amp;S$9,операции!$X:$X,"",операции!$AB:$AB,"&lt;&gt;"&amp;"",операции!$AB:$AB,"&lt;="&amp;S$9,операции!$L:$L,V$9,операции!$O:$O,$F682)+SUMIFS(операции!$V:$V,операции!$T:$T,"&lt;="&amp;S$9,операции!$X:$X,"&gt;"&amp;S$9,операции!$AB:$AB,"&lt;&gt;"&amp;"",операции!$AB:$AB,"&lt;="&amp;S$9,операции!$L:$L,V$9,операции!$O:$O,$F682)</f>
        <v>0</v>
      </c>
      <c r="W743" s="244"/>
      <c r="X743" s="169">
        <f>SUMIFS(операции!$V:$V,операции!$T:$T,"&lt;="&amp;X$9,операции!$X:$X,"",операции!$AB:$AB,"&lt;&gt;"&amp;"",операции!$AB:$AB,"&lt;="&amp;X$9,операции!$O:$O,$F682)+SUMIFS(операции!$V:$V,операции!$T:$T,"&lt;="&amp;X$9,операции!$X:$X,"&gt;"&amp;X$9,операции!$AB:$AB,"&lt;&gt;"&amp;"",операции!$AB:$AB,"&lt;="&amp;X$9,операции!$O:$O,$F682)</f>
        <v>7510.72</v>
      </c>
      <c r="Y743" s="170">
        <f>X743-Z743-AA743</f>
        <v>0</v>
      </c>
      <c r="Z743" s="169">
        <f>SUMIFS(операции!$V:$V,операции!$T:$T,"&lt;="&amp;X$9,операции!$X:$X,"",операции!$AB:$AB,"&lt;&gt;"&amp;"",операции!$AB:$AB,"&lt;="&amp;X$9,операции!$L:$L,Z$9,операции!$O:$O,$F682)+SUMIFS(операции!$V:$V,операции!$T:$T,"&lt;="&amp;X$9,операции!$X:$X,"&gt;"&amp;X$9,операции!$AB:$AB,"&lt;&gt;"&amp;"",операции!$AB:$AB,"&lt;="&amp;X$9,операции!$L:$L,Z$9,операции!$O:$O,$F682)</f>
        <v>7510.72</v>
      </c>
      <c r="AA743" s="243">
        <f>SUMIFS(операции!$V:$V,операции!$T:$T,"&lt;="&amp;X$9,операции!$X:$X,"",операции!$AB:$AB,"&lt;&gt;"&amp;"",операции!$AB:$AB,"&lt;="&amp;X$9,операции!$L:$L,AA$9,операции!$O:$O,$F682)+SUMIFS(операции!$V:$V,операции!$T:$T,"&lt;="&amp;X$9,операции!$X:$X,"&gt;"&amp;X$9,операции!$AB:$AB,"&lt;&gt;"&amp;"",операции!$AB:$AB,"&lt;="&amp;X$9,операции!$L:$L,AA$9,операции!$O:$O,$F682)</f>
        <v>0</v>
      </c>
      <c r="AB743" s="266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s="192" customFormat="1" ht="11.25">
      <c r="A744" s="37"/>
      <c r="B744" s="37"/>
      <c r="C744" s="37"/>
      <c r="D744" s="191"/>
      <c r="E744" s="191" t="s">
        <v>255</v>
      </c>
      <c r="F744" s="191" t="str">
        <f t="shared" si="1182"/>
        <v>Вега</v>
      </c>
      <c r="G744" s="191" t="s">
        <v>262</v>
      </c>
      <c r="H744" s="315"/>
      <c r="I744" s="316">
        <f>IF(I743=0,0,(SUMIFS(операции!$AF:$AF,операции!$T:$T,"&lt;="&amp;I$9,операции!$X:$X,"",операции!$AB:$AB,"&lt;&gt;"&amp;"",операции!$AB:$AB,"&lt;="&amp;I$9,операции!$O:$O,$F682)+SUMIFS(операции!$AF:$AF,операции!$T:$T,"&lt;="&amp;I$9,операции!$X:$X,"&gt;"&amp;I$9,операции!$AB:$AB,"&lt;&gt;"&amp;"",операции!$AB:$AB,"&lt;="&amp;I$9,операции!$O:$O,$F682))/I743)</f>
        <v>42097.712363128965</v>
      </c>
      <c r="J744" s="317"/>
      <c r="K744" s="316">
        <f>IF(K743=0,0,(SUMIFS(операции!$AF:$AF,операции!$T:$T,"&lt;="&amp;I$9,операции!$X:$X,"",операции!$AB:$AB,"&lt;&gt;"&amp;"",операции!$AB:$AB,"&lt;="&amp;I$9,операции!$L:$L,K$9,операции!$O:$O,$F682)+SUMIFS(операции!$AF:$AF,операции!$T:$T,"&lt;="&amp;I$9,операции!$X:$X,"&gt;"&amp;I$9,операции!$AB:$AB,"&lt;&gt;"&amp;"",операции!$AB:$AB,"&lt;="&amp;I$9,операции!$L:$L,K$9,операции!$O:$O,$F682))/K743)</f>
        <v>42097.712363128965</v>
      </c>
      <c r="L744" s="318">
        <f>IF(L743=0,0,(SUMIFS(операции!$AF:$AF,операции!$T:$T,"&lt;="&amp;I$9,операции!$X:$X,"",операции!$AB:$AB,"&lt;&gt;"&amp;"",операции!$AB:$AB,"&lt;="&amp;I$9,операции!$L:$L,L$9,операции!$O:$O,$F682)+SUMIFS(операции!$AF:$AF,операции!$T:$T,"&lt;="&amp;I$9,операции!$X:$X,"&gt;"&amp;I$9,операции!$AB:$AB,"&lt;&gt;"&amp;"",операции!$AB:$AB,"&lt;="&amp;I$9,операции!$L:$L,L$9,операции!$O:$O,$F682))/L743)</f>
        <v>0</v>
      </c>
      <c r="M744" s="274"/>
      <c r="N744" s="193">
        <f>IF(N743=0,0,(SUMIFS(операции!$AF:$AF,операции!$T:$T,"&lt;="&amp;N$9,операции!$X:$X,"",операции!$AB:$AB,"&lt;&gt;"&amp;"",операции!$AB:$AB,"&lt;="&amp;N$9,операции!$O:$O,$F682)+SUMIFS(операции!$AF:$AF,операции!$T:$T,"&lt;="&amp;N$9,операции!$X:$X,"&gt;"&amp;N$9,операции!$AB:$AB,"&lt;&gt;"&amp;"",операции!$AB:$AB,"&lt;="&amp;N$9,операции!$O:$O,$F682))/N743)</f>
        <v>42103.782091349829</v>
      </c>
      <c r="O744" s="196"/>
      <c r="P744" s="193">
        <f>IF(P743=0,0,(SUMIFS(операции!$AF:$AF,операции!$T:$T,"&lt;="&amp;N$9,операции!$X:$X,"",операции!$AB:$AB,"&lt;&gt;"&amp;"",операции!$AB:$AB,"&lt;="&amp;N$9,операции!$L:$L,P$9,операции!$O:$O,$F682)+SUMIFS(операции!$AF:$AF,операции!$T:$T,"&lt;="&amp;N$9,операции!$X:$X,"&gt;"&amp;N$9,операции!$AB:$AB,"&lt;&gt;"&amp;"",операции!$AB:$AB,"&lt;="&amp;N$9,операции!$L:$L,P$9,операции!$O:$O,$F682))/P743)</f>
        <v>42103.782091349829</v>
      </c>
      <c r="Q744" s="237">
        <f>IF(Q743=0,0,(SUMIFS(операции!$AF:$AF,операции!$T:$T,"&lt;="&amp;N$9,операции!$X:$X,"",операции!$AB:$AB,"&lt;&gt;"&amp;"",операции!$AB:$AB,"&lt;="&amp;N$9,операции!$L:$L,Q$9,операции!$O:$O,$F682)+SUMIFS(операции!$AF:$AF,операции!$T:$T,"&lt;="&amp;N$9,операции!$X:$X,"&gt;"&amp;N$9,операции!$AB:$AB,"&lt;&gt;"&amp;"",операции!$AB:$AB,"&lt;="&amp;N$9,операции!$L:$L,Q$9,операции!$O:$O,$F682))/Q743)</f>
        <v>0</v>
      </c>
      <c r="R744" s="238"/>
      <c r="S744" s="193">
        <f>IF(S743=0,0,(SUMIFS(операции!$AF:$AF,операции!$T:$T,"&lt;="&amp;S$9,операции!$X:$X,"",операции!$AB:$AB,"&lt;&gt;"&amp;"",операции!$AB:$AB,"&lt;="&amp;S$9,операции!$O:$O,$F682)+SUMIFS(операции!$AF:$AF,операции!$T:$T,"&lt;="&amp;S$9,операции!$X:$X,"&gt;"&amp;S$9,операции!$AB:$AB,"&lt;&gt;"&amp;"",операции!$AB:$AB,"&lt;="&amp;S$9,операции!$O:$O,$F682))/S743)</f>
        <v>42112.18777826726</v>
      </c>
      <c r="T744" s="196"/>
      <c r="U744" s="193">
        <f>IF(U743=0,0,(SUMIFS(операции!$AF:$AF,операции!$T:$T,"&lt;="&amp;S$9,операции!$X:$X,"",операции!$AB:$AB,"&lt;&gt;"&amp;"",операции!$AB:$AB,"&lt;="&amp;S$9,операции!$L:$L,U$9,операции!$O:$O,$F682)+SUMIFS(операции!$AF:$AF,операции!$T:$T,"&lt;="&amp;S$9,операции!$X:$X,"&gt;"&amp;S$9,операции!$AB:$AB,"&lt;&gt;"&amp;"",операции!$AB:$AB,"&lt;="&amp;S$9,операции!$L:$L,U$9,операции!$O:$O,$F682))/U743)</f>
        <v>42112.18777826726</v>
      </c>
      <c r="V744" s="237">
        <f>IF(V743=0,0,(SUMIFS(операции!$AF:$AF,операции!$T:$T,"&lt;="&amp;S$9,операции!$X:$X,"",операции!$AB:$AB,"&lt;&gt;"&amp;"",операции!$AB:$AB,"&lt;="&amp;S$9,операции!$L:$L,V$9,операции!$O:$O,$F682)+SUMIFS(операции!$AF:$AF,операции!$T:$T,"&lt;="&amp;S$9,операции!$X:$X,"&gt;"&amp;S$9,операции!$AB:$AB,"&lt;&gt;"&amp;"",операции!$AB:$AB,"&lt;="&amp;S$9,операции!$L:$L,V$9,операции!$O:$O,$F682))/V743)</f>
        <v>0</v>
      </c>
      <c r="W744" s="238"/>
      <c r="X744" s="193">
        <f>IF(X743=0,0,(SUMIFS(операции!$AF:$AF,операции!$T:$T,"&lt;="&amp;X$9,операции!$X:$X,"",операции!$AB:$AB,"&lt;&gt;"&amp;"",операции!$AB:$AB,"&lt;="&amp;X$9,операции!$O:$O,$F682)+SUMIFS(операции!$AF:$AF,операции!$T:$T,"&lt;="&amp;X$9,операции!$X:$X,"&gt;"&amp;X$9,операции!$AB:$AB,"&lt;&gt;"&amp;"",операции!$AB:$AB,"&lt;="&amp;X$9,операции!$O:$O,$F682))/X743)</f>
        <v>42097.712363128965</v>
      </c>
      <c r="Y744" s="196"/>
      <c r="Z744" s="193">
        <f>IF(Z743=0,0,(SUMIFS(операции!$AF:$AF,операции!$T:$T,"&lt;="&amp;X$9,операции!$X:$X,"",операции!$AB:$AB,"&lt;&gt;"&amp;"",операции!$AB:$AB,"&lt;="&amp;X$9,операции!$L:$L,Z$9,операции!$O:$O,$F682)+SUMIFS(операции!$AF:$AF,операции!$T:$T,"&lt;="&amp;X$9,операции!$X:$X,"&gt;"&amp;X$9,операции!$AB:$AB,"&lt;&gt;"&amp;"",операции!$AB:$AB,"&lt;="&amp;X$9,операции!$L:$L,Z$9,операции!$O:$O,$F682))/Z743)</f>
        <v>42097.712363128965</v>
      </c>
      <c r="AA744" s="237">
        <f>IF(AA743=0,0,(SUMIFS(операции!$AF:$AF,операции!$T:$T,"&lt;="&amp;X$9,операции!$X:$X,"",операции!$AB:$AB,"&lt;&gt;"&amp;"",операции!$AB:$AB,"&lt;="&amp;X$9,операции!$L:$L,AA$9,операции!$O:$O,$F682)+SUMIFS(операции!$AF:$AF,операции!$T:$T,"&lt;="&amp;X$9,операции!$X:$X,"&gt;"&amp;X$9,операции!$AB:$AB,"&lt;&gt;"&amp;"",операции!$AB:$AB,"&lt;="&amp;X$9,операции!$L:$L,AA$9,операции!$O:$O,$F682))/AA743)</f>
        <v>0</v>
      </c>
      <c r="AB744" s="265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</row>
    <row r="745" spans="1:42" s="192" customFormat="1" ht="11.25">
      <c r="A745" s="37"/>
      <c r="B745" s="37"/>
      <c r="C745" s="37"/>
      <c r="D745" s="191"/>
      <c r="E745" s="191" t="s">
        <v>283</v>
      </c>
      <c r="F745" s="191" t="str">
        <f t="shared" si="1182"/>
        <v>Вега</v>
      </c>
      <c r="G745" s="191" t="s">
        <v>219</v>
      </c>
      <c r="H745" s="315"/>
      <c r="I745" s="329">
        <f>IF(I743=0,0,I$9-I744)</f>
        <v>271.28763687103492</v>
      </c>
      <c r="J745" s="317"/>
      <c r="K745" s="329">
        <f>IF(K743=0,0,I$9-K744)</f>
        <v>271.28763687103492</v>
      </c>
      <c r="L745" s="330">
        <f>IF(L743=0,0,I$9-L744)</f>
        <v>0</v>
      </c>
      <c r="M745" s="274"/>
      <c r="N745" s="156">
        <f>IF(N743=0,0,N$9-N744)</f>
        <v>204.21790865017101</v>
      </c>
      <c r="O745" s="196"/>
      <c r="P745" s="156">
        <f>IF(P743=0,0,N$9-P744)</f>
        <v>204.21790865017101</v>
      </c>
      <c r="Q745" s="245">
        <f>IF(Q743=0,0,N$9-Q744)</f>
        <v>0</v>
      </c>
      <c r="R745" s="238"/>
      <c r="S745" s="156">
        <f>IF(S743=0,0,S$9-S744)</f>
        <v>225.81222173274</v>
      </c>
      <c r="T745" s="196"/>
      <c r="U745" s="156">
        <f>IF(U743=0,0,S$9-U744)</f>
        <v>225.81222173274</v>
      </c>
      <c r="V745" s="245">
        <f>IF(V743=0,0,S$9-V744)</f>
        <v>0</v>
      </c>
      <c r="W745" s="238"/>
      <c r="X745" s="156">
        <f>IF(X743=0,0,X$9-X744)</f>
        <v>271.28763687103492</v>
      </c>
      <c r="Y745" s="196"/>
      <c r="Z745" s="156">
        <f>IF(Z743=0,0,X$9-Z744)</f>
        <v>271.28763687103492</v>
      </c>
      <c r="AA745" s="245">
        <f>IF(AA743=0,0,X$9-AA744)</f>
        <v>0</v>
      </c>
      <c r="AB745" s="265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</row>
    <row r="746" spans="1:42" s="192" customFormat="1" ht="11.25">
      <c r="A746" s="37"/>
      <c r="B746" s="37"/>
      <c r="C746" s="37"/>
      <c r="D746" s="191"/>
      <c r="E746" s="191" t="s">
        <v>259</v>
      </c>
      <c r="F746" s="191" t="str">
        <f t="shared" si="1182"/>
        <v>Вега</v>
      </c>
      <c r="G746" s="191" t="s">
        <v>262</v>
      </c>
      <c r="H746" s="315"/>
      <c r="I746" s="316">
        <f>IF(I743=0,0,(SUMIFS(операции!$AH:$AH,операции!$T:$T,"&lt;="&amp;I$9,операции!$X:$X,"",операции!$AB:$AB,"&lt;&gt;"&amp;"",операции!$AB:$AB,"&lt;="&amp;I$9,операции!$O:$O,$F682)+SUMIFS(операции!$AH:$AH,операции!$T:$T,"&lt;="&amp;I$9,операции!$X:$X,"&gt;"&amp;I$9,операции!$AB:$AB,"&lt;&gt;"&amp;"",операции!$AB:$AB,"&lt;="&amp;I$9,операции!$O:$O,$F682))/I743)</f>
        <v>42130.054142612156</v>
      </c>
      <c r="J746" s="317"/>
      <c r="K746" s="316">
        <f>IF(K743=0,0,(SUMIFS(операции!$AH:$AH,операции!$T:$T,"&lt;="&amp;I$9,операции!$X:$X,"",операции!$AB:$AB,"&lt;&gt;"&amp;"",операции!$AB:$AB,"&lt;="&amp;I$9,операции!$L:$L,K$9,операции!$O:$O,$F682)+SUMIFS(операции!$AH:$AH,операции!$T:$T,"&lt;="&amp;I$9,операции!$X:$X,"&gt;"&amp;I$9,операции!$AB:$AB,"&lt;&gt;"&amp;"",операции!$AB:$AB,"&lt;="&amp;I$9,операции!$L:$L,K$9,операции!$O:$O,$F682))/K743)</f>
        <v>42130.054142612156</v>
      </c>
      <c r="L746" s="318">
        <f>IF(L743=0,0,(SUMIFS(операции!$AH:$AH,операции!$T:$T,"&lt;="&amp;I$9,операции!$X:$X,"",операции!$AB:$AB,"&lt;&gt;"&amp;"",операции!$AB:$AB,"&lt;="&amp;I$9,операции!$L:$L,L$9,операции!$O:$O,$F682)+SUMIFS(операции!$AH:$AH,операции!$T:$T,"&lt;="&amp;I$9,операции!$X:$X,"&gt;"&amp;I$9,операции!$AB:$AB,"&lt;&gt;"&amp;"",операции!$AB:$AB,"&lt;="&amp;I$9,операции!$L:$L,L$9,операции!$O:$O,$F682))/L743)</f>
        <v>0</v>
      </c>
      <c r="M746" s="274"/>
      <c r="N746" s="193">
        <f>IF(N743=0,0,(SUMIFS(операции!$AH:$AH,операции!$T:$T,"&lt;="&amp;N$9,операции!$X:$X,"",операции!$AB:$AB,"&lt;&gt;"&amp;"",операции!$AB:$AB,"&lt;="&amp;N$9,операции!$O:$O,$F682)+SUMIFS(операции!$AH:$AH,операции!$T:$T,"&lt;="&amp;N$9,операции!$X:$X,"&gt;"&amp;N$9,операции!$AB:$AB,"&lt;&gt;"&amp;"",операции!$AB:$AB,"&lt;="&amp;N$9,операции!$O:$O,$F682))/N743)</f>
        <v>42130.965152176555</v>
      </c>
      <c r="O746" s="196"/>
      <c r="P746" s="193">
        <f>IF(P743=0,0,(SUMIFS(операции!$AH:$AH,операции!$T:$T,"&lt;="&amp;N$9,операции!$X:$X,"",операции!$AB:$AB,"&lt;&gt;"&amp;"",операции!$AB:$AB,"&lt;="&amp;N$9,операции!$L:$L,P$9,операции!$O:$O,$F682)+SUMIFS(операции!$AH:$AH,операции!$T:$T,"&lt;="&amp;N$9,операции!$X:$X,"&gt;"&amp;N$9,операции!$AB:$AB,"&lt;&gt;"&amp;"",операции!$AB:$AB,"&lt;="&amp;N$9,операции!$L:$L,P$9,операции!$O:$O,$F682))/P743)</f>
        <v>42130.965152176555</v>
      </c>
      <c r="Q746" s="237">
        <f>IF(Q743=0,0,(SUMIFS(операции!$AH:$AH,операции!$T:$T,"&lt;="&amp;N$9,операции!$X:$X,"",операции!$AB:$AB,"&lt;&gt;"&amp;"",операции!$AB:$AB,"&lt;="&amp;N$9,операции!$L:$L,Q$9,операции!$O:$O,$F682)+SUMIFS(операции!$AH:$AH,операции!$T:$T,"&lt;="&amp;N$9,операции!$X:$X,"&gt;"&amp;N$9,операции!$AB:$AB,"&lt;&gt;"&amp;"",операции!$AB:$AB,"&lt;="&amp;N$9,операции!$L:$L,Q$9,операции!$O:$O,$F682))/Q743)</f>
        <v>0</v>
      </c>
      <c r="R746" s="238"/>
      <c r="S746" s="193">
        <f>IF(S743=0,0,(SUMIFS(операции!$AH:$AH,операции!$T:$T,"&lt;="&amp;S$9,операции!$X:$X,"",операции!$AB:$AB,"&lt;&gt;"&amp;"",операции!$AB:$AB,"&lt;="&amp;S$9,операции!$O:$O,$F682)+SUMIFS(операции!$AH:$AH,операции!$T:$T,"&lt;="&amp;S$9,операции!$X:$X,"&gt;"&amp;S$9,операции!$AB:$AB,"&lt;&gt;"&amp;"",операции!$AB:$AB,"&lt;="&amp;S$9,операции!$O:$O,$F682))/S743)</f>
        <v>42144.200336409456</v>
      </c>
      <c r="T746" s="196"/>
      <c r="U746" s="193">
        <f>IF(U743=0,0,(SUMIFS(операции!$AH:$AH,операции!$T:$T,"&lt;="&amp;S$9,операции!$X:$X,"",операции!$AB:$AB,"&lt;&gt;"&amp;"",операции!$AB:$AB,"&lt;="&amp;S$9,операции!$L:$L,U$9,операции!$O:$O,$F682)+SUMIFS(операции!$AH:$AH,операции!$T:$T,"&lt;="&amp;S$9,операции!$X:$X,"&gt;"&amp;S$9,операции!$AB:$AB,"&lt;&gt;"&amp;"",операции!$AB:$AB,"&lt;="&amp;S$9,операции!$L:$L,U$9,операции!$O:$O,$F682))/U743)</f>
        <v>42144.200336409456</v>
      </c>
      <c r="V746" s="237">
        <f>IF(V743=0,0,(SUMIFS(операции!$AH:$AH,операции!$T:$T,"&lt;="&amp;S$9,операции!$X:$X,"",операции!$AB:$AB,"&lt;&gt;"&amp;"",операции!$AB:$AB,"&lt;="&amp;S$9,операции!$L:$L,V$9,операции!$O:$O,$F682)+SUMIFS(операции!$AH:$AH,операции!$T:$T,"&lt;="&amp;S$9,операции!$X:$X,"&gt;"&amp;S$9,операции!$AB:$AB,"&lt;&gt;"&amp;"",операции!$AB:$AB,"&lt;="&amp;S$9,операции!$L:$L,V$9,операции!$O:$O,$F682))/V743)</f>
        <v>0</v>
      </c>
      <c r="W746" s="238"/>
      <c r="X746" s="193">
        <f>IF(X743=0,0,(SUMIFS(операции!$AH:$AH,операции!$T:$T,"&lt;="&amp;X$9,операции!$X:$X,"",операции!$AB:$AB,"&lt;&gt;"&amp;"",операции!$AB:$AB,"&lt;="&amp;X$9,операции!$O:$O,$F682)+SUMIFS(операции!$AH:$AH,операции!$T:$T,"&lt;="&amp;X$9,операции!$X:$X,"&gt;"&amp;X$9,операции!$AB:$AB,"&lt;&gt;"&amp;"",операции!$AB:$AB,"&lt;="&amp;X$9,операции!$O:$O,$F682))/X743)</f>
        <v>42130.054142612156</v>
      </c>
      <c r="Y746" s="196"/>
      <c r="Z746" s="193">
        <f>IF(Z743=0,0,(SUMIFS(операции!$AH:$AH,операции!$T:$T,"&lt;="&amp;X$9,операции!$X:$X,"",операции!$AB:$AB,"&lt;&gt;"&amp;"",операции!$AB:$AB,"&lt;="&amp;X$9,операции!$L:$L,Z$9,операции!$O:$O,$F682)+SUMIFS(операции!$AH:$AH,операции!$T:$T,"&lt;="&amp;X$9,операции!$X:$X,"&gt;"&amp;X$9,операции!$AB:$AB,"&lt;&gt;"&amp;"",операции!$AB:$AB,"&lt;="&amp;X$9,операции!$L:$L,Z$9,операции!$O:$O,$F682))/Z743)</f>
        <v>42130.054142612156</v>
      </c>
      <c r="AA746" s="237">
        <f>IF(AA743=0,0,(SUMIFS(операции!$AH:$AH,операции!$T:$T,"&lt;="&amp;X$9,операции!$X:$X,"",операции!$AB:$AB,"&lt;&gt;"&amp;"",операции!$AB:$AB,"&lt;="&amp;X$9,операции!$L:$L,AA$9,операции!$O:$O,$F682)+SUMIFS(операции!$AH:$AH,операции!$T:$T,"&lt;="&amp;X$9,операции!$X:$X,"&gt;"&amp;X$9,операции!$AB:$AB,"&lt;&gt;"&amp;"",операции!$AB:$AB,"&lt;="&amp;X$9,операции!$L:$L,AA$9,операции!$O:$O,$F682))/AA743)</f>
        <v>0</v>
      </c>
      <c r="AB746" s="265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</row>
    <row r="747" spans="1:42" s="192" customFormat="1" ht="11.25">
      <c r="A747" s="37"/>
      <c r="B747" s="37"/>
      <c r="C747" s="37"/>
      <c r="D747" s="191"/>
      <c r="E747" s="191" t="s">
        <v>284</v>
      </c>
      <c r="F747" s="191" t="str">
        <f t="shared" si="1182"/>
        <v>Вега</v>
      </c>
      <c r="G747" s="191" t="s">
        <v>219</v>
      </c>
      <c r="H747" s="315"/>
      <c r="I747" s="329">
        <f>I746-I744</f>
        <v>32.341779483191203</v>
      </c>
      <c r="J747" s="317"/>
      <c r="K747" s="329">
        <f>K746-K744</f>
        <v>32.341779483191203</v>
      </c>
      <c r="L747" s="330">
        <f>L746-L744</f>
        <v>0</v>
      </c>
      <c r="M747" s="274"/>
      <c r="N747" s="156">
        <f>N746-N744</f>
        <v>27.183060826726432</v>
      </c>
      <c r="O747" s="196"/>
      <c r="P747" s="156">
        <f>P746-P744</f>
        <v>27.183060826726432</v>
      </c>
      <c r="Q747" s="245">
        <f>Q746-Q744</f>
        <v>0</v>
      </c>
      <c r="R747" s="238"/>
      <c r="S747" s="156">
        <f>S746-S744</f>
        <v>32.012558142196212</v>
      </c>
      <c r="T747" s="196"/>
      <c r="U747" s="156">
        <f>U746-U744</f>
        <v>32.012558142196212</v>
      </c>
      <c r="V747" s="245">
        <f>V746-V744</f>
        <v>0</v>
      </c>
      <c r="W747" s="238"/>
      <c r="X747" s="156">
        <f>X746-X744</f>
        <v>32.341779483191203</v>
      </c>
      <c r="Y747" s="196"/>
      <c r="Z747" s="156">
        <f>Z746-Z744</f>
        <v>32.341779483191203</v>
      </c>
      <c r="AA747" s="245">
        <f>AA746-AA744</f>
        <v>0</v>
      </c>
      <c r="AB747" s="265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</row>
    <row r="748" spans="1:42" s="192" customFormat="1" ht="11.25">
      <c r="A748" s="37"/>
      <c r="B748" s="37"/>
      <c r="C748" s="37"/>
      <c r="D748" s="191"/>
      <c r="E748" s="191" t="s">
        <v>285</v>
      </c>
      <c r="F748" s="191" t="str">
        <f t="shared" si="1182"/>
        <v>Вега</v>
      </c>
      <c r="G748" s="191" t="s">
        <v>219</v>
      </c>
      <c r="H748" s="315"/>
      <c r="I748" s="329">
        <f>I745-I747</f>
        <v>238.94585738784372</v>
      </c>
      <c r="J748" s="317"/>
      <c r="K748" s="329">
        <f>K745-K747</f>
        <v>238.94585738784372</v>
      </c>
      <c r="L748" s="330">
        <f>L745-L747</f>
        <v>0</v>
      </c>
      <c r="M748" s="274"/>
      <c r="N748" s="156">
        <f>N745-N747</f>
        <v>177.03484782344458</v>
      </c>
      <c r="O748" s="196"/>
      <c r="P748" s="156">
        <f>P745-P747</f>
        <v>177.03484782344458</v>
      </c>
      <c r="Q748" s="245">
        <f>Q745-Q747</f>
        <v>0</v>
      </c>
      <c r="R748" s="238"/>
      <c r="S748" s="156">
        <f>S745-S747</f>
        <v>193.79966359054379</v>
      </c>
      <c r="T748" s="196"/>
      <c r="U748" s="156">
        <f>U745-U747</f>
        <v>193.79966359054379</v>
      </c>
      <c r="V748" s="245">
        <f>V745-V747</f>
        <v>0</v>
      </c>
      <c r="W748" s="238"/>
      <c r="X748" s="156">
        <f>X745-X747</f>
        <v>238.94585738784372</v>
      </c>
      <c r="Y748" s="196"/>
      <c r="Z748" s="156">
        <f>Z745-Z747</f>
        <v>238.94585738784372</v>
      </c>
      <c r="AA748" s="245">
        <f>AA745-AA747</f>
        <v>0</v>
      </c>
      <c r="AB748" s="265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</row>
    <row r="749" spans="1:42" s="5" customFormat="1">
      <c r="A749" s="1"/>
      <c r="B749" s="1"/>
      <c r="C749" s="1"/>
      <c r="D749" s="168"/>
      <c r="E749" s="168" t="s">
        <v>286</v>
      </c>
      <c r="F749" s="168" t="str">
        <f t="shared" si="1182"/>
        <v>Вега</v>
      </c>
      <c r="G749" s="168" t="s">
        <v>261</v>
      </c>
      <c r="H749" s="326"/>
      <c r="I749" s="327">
        <f>SUMIFS(операции!$V:$V,операции!$T:$T,"&lt;="&amp;I$9,операции!$X:$X,"",операции!$AB:$AB,"",операции!$O:$O,$F682)+SUMIFS(операции!$V:$V,операции!$T:$T,"&lt;="&amp;I$9,операции!$X:$X,"&gt;"&amp;I$9,операции!$AB:$AB,"",операции!$O:$O,$F682)+SUMIFS(операции!$V:$V,операции!$T:$T,"&lt;="&amp;I$9,операции!$X:$X,"",операции!$AB:$AB,"&gt;"&amp;I$9,операции!$O:$O,$F682)+SUMIFS(операции!$V:$V,операции!$T:$T,"&lt;="&amp;I$9,операции!$X:$X,"&gt;"&amp;I$9,операции!$AB:$AB,"&gt;"&amp;I$9,операции!$O:$O,$F682)</f>
        <v>14158.079999999998</v>
      </c>
      <c r="J749" s="313">
        <f>I749-K749-L749</f>
        <v>0</v>
      </c>
      <c r="K749" s="327">
        <f>SUMIFS(операции!$V:$V,операции!$T:$T,"&lt;="&amp;I$9,операции!$X:$X,"",операции!$AB:$AB,"",операции!$L:$L,K$9,операции!$O:$O,$F682)+SUMIFS(операции!$V:$V,операции!$T:$T,"&lt;="&amp;I$9,операции!$X:$X,"&gt;"&amp;I$9,операции!$AB:$AB,"",операции!$L:$L,K$9,операции!$O:$O,$F682)+SUMIFS(операции!$V:$V,операции!$T:$T,"&lt;="&amp;I$9,операции!$X:$X,"",операции!$AB:$AB,"&gt;"&amp;I$9,операции!$L:$L,K$9,операции!$O:$O,$F682)+SUMIFS(операции!$V:$V,операции!$T:$T,"&lt;="&amp;I$9,операции!$X:$X,"&gt;"&amp;I$9,операции!$AB:$AB,"&gt;"&amp;I$9,операции!$L:$L,K$9,операции!$O:$O,$F682)</f>
        <v>602.59</v>
      </c>
      <c r="L749" s="328">
        <f>SUMIFS(операции!$V:$V,операции!$T:$T,"&lt;="&amp;I$9,операции!$X:$X,"",операции!$AB:$AB,"",операции!$L:$L,L$9,операции!$O:$O,$F682)+SUMIFS(операции!$V:$V,операции!$T:$T,"&lt;="&amp;I$9,операции!$X:$X,"&gt;"&amp;I$9,операции!$AB:$AB,"",операции!$L:$L,L$9,операции!$O:$O,$F682)+SUMIFS(операции!$V:$V,операции!$T:$T,"&lt;="&amp;I$9,операции!$X:$X,"",операции!$AB:$AB,"&gt;"&amp;I$9,операции!$L:$L,L$9,операции!$O:$O,$F682)+SUMIFS(операции!$V:$V,операции!$T:$T,"&lt;="&amp;I$9,операции!$X:$X,"&gt;"&amp;I$9,операции!$AB:$AB,"&gt;"&amp;I$9,операции!$L:$L,L$9,операции!$O:$O,$F682)</f>
        <v>13555.49</v>
      </c>
      <c r="M749" s="277"/>
      <c r="N749" s="169">
        <f>SUMIFS(операции!$V:$V,операции!$T:$T,"&lt;="&amp;N$9,операции!$X:$X,"",операции!$AB:$AB,"",операции!$O:$O,$F682)+SUMIFS(операции!$V:$V,операции!$T:$T,"&lt;="&amp;N$9,операции!$X:$X,"&gt;"&amp;N$9,операции!$AB:$AB,"",операции!$O:$O,$F682)+SUMIFS(операции!$V:$V,операции!$T:$T,"&lt;="&amp;N$9,операции!$X:$X,"",операции!$AB:$AB,"&gt;"&amp;N$9,операции!$O:$O,$F682)+SUMIFS(операции!$V:$V,операции!$T:$T,"&lt;="&amp;N$9,операции!$X:$X,"&gt;"&amp;N$9,операции!$AB:$AB,"&gt;"&amp;N$9,операции!$O:$O,$F682)</f>
        <v>7044.2999999999993</v>
      </c>
      <c r="O749" s="170">
        <f>N749-P749-Q749</f>
        <v>0</v>
      </c>
      <c r="P749" s="169">
        <f>SUMIFS(операции!$V:$V,операции!$T:$T,"&lt;="&amp;N$9,операции!$X:$X,"",операции!$AB:$AB,"",операции!$L:$L,P$9,операции!$O:$O,$F682)+SUMIFS(операции!$V:$V,операции!$T:$T,"&lt;="&amp;N$9,операции!$X:$X,"&gt;"&amp;N$9,операции!$AB:$AB,"",операции!$L:$L,P$9,операции!$O:$O,$F682)+SUMIFS(операции!$V:$V,операции!$T:$T,"&lt;="&amp;N$9,операции!$X:$X,"",операции!$AB:$AB,"&gt;"&amp;N$9,операции!$L:$L,P$9,операции!$O:$O,$F682)+SUMIFS(операции!$V:$V,операции!$T:$T,"&lt;="&amp;N$9,операции!$X:$X,"&gt;"&amp;N$9,операции!$AB:$AB,"&gt;"&amp;N$9,операции!$L:$L,P$9,операции!$O:$O,$F682)</f>
        <v>3774.54</v>
      </c>
      <c r="Q749" s="243">
        <f>SUMIFS(операции!$V:$V,операции!$T:$T,"&lt;="&amp;N$9,операции!$X:$X,"",операции!$AB:$AB,"",операции!$L:$L,Q$9,операции!$O:$O,$F682)+SUMIFS(операции!$V:$V,операции!$T:$T,"&lt;="&amp;N$9,операции!$X:$X,"&gt;"&amp;N$9,операции!$AB:$AB,"",операции!$L:$L,Q$9,операции!$O:$O,$F682)+SUMIFS(операции!$V:$V,операции!$T:$T,"&lt;="&amp;N$9,операции!$X:$X,"",операции!$AB:$AB,"&gt;"&amp;N$9,операции!$L:$L,Q$9,операции!$O:$O,$F682)+SUMIFS(операции!$V:$V,операции!$T:$T,"&lt;="&amp;N$9,операции!$X:$X,"&gt;"&amp;N$9,операции!$AB:$AB,"&gt;"&amp;N$9,операции!$L:$L,Q$9,операции!$O:$O,$F682)</f>
        <v>3269.7599999999998</v>
      </c>
      <c r="R749" s="244"/>
      <c r="S749" s="169">
        <f>SUMIFS(операции!$V:$V,операции!$T:$T,"&lt;="&amp;S$9,операции!$X:$X,"",операции!$AB:$AB,"",операции!$O:$O,$F682)+SUMIFS(операции!$V:$V,операции!$T:$T,"&lt;="&amp;S$9,операции!$X:$X,"&gt;"&amp;S$9,операции!$AB:$AB,"",операции!$O:$O,$F682)+SUMIFS(операции!$V:$V,операции!$T:$T,"&lt;="&amp;S$9,операции!$X:$X,"",операции!$AB:$AB,"&gt;"&amp;S$9,операции!$O:$O,$F682)+SUMIFS(операции!$V:$V,операции!$T:$T,"&lt;="&amp;S$9,операции!$X:$X,"&gt;"&amp;S$9,операции!$AB:$AB,"&gt;"&amp;S$9,операции!$O:$O,$F682)</f>
        <v>14894.78</v>
      </c>
      <c r="T749" s="170">
        <f>S749-U749-V749</f>
        <v>0</v>
      </c>
      <c r="U749" s="169">
        <f>SUMIFS(операции!$V:$V,операции!$T:$T,"&lt;="&amp;S$9,операции!$X:$X,"",операции!$AB:$AB,"",операции!$L:$L,U$9,операции!$O:$O,$F682)+SUMIFS(операции!$V:$V,операции!$T:$T,"&lt;="&amp;S$9,операции!$X:$X,"&gt;"&amp;S$9,операции!$AB:$AB,"",операции!$L:$L,U$9,операции!$O:$O,$F682)+SUMIFS(операции!$V:$V,операции!$T:$T,"&lt;="&amp;S$9,операции!$X:$X,"",операции!$AB:$AB,"&gt;"&amp;S$9,операции!$L:$L,U$9,операции!$O:$O,$F682)+SUMIFS(операции!$V:$V,операции!$T:$T,"&lt;="&amp;S$9,операции!$X:$X,"&gt;"&amp;S$9,операции!$AB:$AB,"&gt;"&amp;S$9,операции!$L:$L,U$9,операции!$O:$O,$F682)</f>
        <v>2058.1</v>
      </c>
      <c r="V749" s="243">
        <f>SUMIFS(операции!$V:$V,операции!$T:$T,"&lt;="&amp;S$9,операции!$X:$X,"",операции!$AB:$AB,"",операции!$L:$L,V$9,операции!$O:$O,$F682)+SUMIFS(операции!$V:$V,операции!$T:$T,"&lt;="&amp;S$9,операции!$X:$X,"&gt;"&amp;S$9,операции!$AB:$AB,"",операции!$L:$L,V$9,операции!$O:$O,$F682)+SUMIFS(операции!$V:$V,операции!$T:$T,"&lt;="&amp;S$9,операции!$X:$X,"",операции!$AB:$AB,"&gt;"&amp;S$9,операции!$L:$L,V$9,операции!$O:$O,$F682)+SUMIFS(операции!$V:$V,операции!$T:$T,"&lt;="&amp;S$9,операции!$X:$X,"&gt;"&amp;S$9,операции!$AB:$AB,"&gt;"&amp;S$9,операции!$L:$L,V$9,операции!$O:$O,$F682)</f>
        <v>12836.68</v>
      </c>
      <c r="W749" s="244"/>
      <c r="X749" s="169">
        <f>SUMIFS(операции!$V:$V,операции!$T:$T,"&lt;="&amp;X$9,операции!$X:$X,"",операции!$AB:$AB,"",операции!$O:$O,$F682)+SUMIFS(операции!$V:$V,операции!$T:$T,"&lt;="&amp;X$9,операции!$X:$X,"&gt;"&amp;X$9,операции!$AB:$AB,"",операции!$O:$O,$F682)+SUMIFS(операции!$V:$V,операции!$T:$T,"&lt;="&amp;X$9,операции!$X:$X,"",операции!$AB:$AB,"&gt;"&amp;X$9,операции!$O:$O,$F682)+SUMIFS(операции!$V:$V,операции!$T:$T,"&lt;="&amp;X$9,операции!$X:$X,"&gt;"&amp;X$9,операции!$AB:$AB,"&gt;"&amp;X$9,операции!$O:$O,$F682)</f>
        <v>14158.079999999998</v>
      </c>
      <c r="Y749" s="170">
        <f>X749-Z749-AA749</f>
        <v>0</v>
      </c>
      <c r="Z749" s="169">
        <f>SUMIFS(операции!$V:$V,операции!$T:$T,"&lt;="&amp;X$9,операции!$X:$X,"",операции!$AB:$AB,"",операции!$L:$L,Z$9,операции!$O:$O,$F682)+SUMIFS(операции!$V:$V,операции!$T:$T,"&lt;="&amp;X$9,операции!$X:$X,"&gt;"&amp;X$9,операции!$AB:$AB,"",операции!$L:$L,Z$9,операции!$O:$O,$F682)+SUMIFS(операции!$V:$V,операции!$T:$T,"&lt;="&amp;X$9,операции!$X:$X,"",операции!$AB:$AB,"&gt;"&amp;X$9,операции!$L:$L,Z$9,операции!$O:$O,$F682)+SUMIFS(операции!$V:$V,операции!$T:$T,"&lt;="&amp;X$9,операции!$X:$X,"&gt;"&amp;X$9,операции!$AB:$AB,"&gt;"&amp;X$9,операции!$L:$L,Z$9,операции!$O:$O,$F682)</f>
        <v>602.59</v>
      </c>
      <c r="AA749" s="243">
        <f>SUMIFS(операции!$V:$V,операции!$T:$T,"&lt;="&amp;X$9,операции!$X:$X,"",операции!$AB:$AB,"",операции!$L:$L,AA$9,операции!$O:$O,$F682)+SUMIFS(операции!$V:$V,операции!$T:$T,"&lt;="&amp;X$9,операции!$X:$X,"&gt;"&amp;X$9,операции!$AB:$AB,"",операции!$L:$L,AA$9,операции!$O:$O,$F682)+SUMIFS(операции!$V:$V,операции!$T:$T,"&lt;="&amp;X$9,операции!$X:$X,"",операции!$AB:$AB,"&gt;"&amp;X$9,операции!$L:$L,AA$9,операции!$O:$O,$F682)+SUMIFS(операции!$V:$V,операции!$T:$T,"&lt;="&amp;X$9,операции!$X:$X,"&gt;"&amp;X$9,операции!$AB:$AB,"&gt;"&amp;X$9,операции!$L:$L,AA$9,операции!$O:$O,$F682)</f>
        <v>13555.49</v>
      </c>
      <c r="AB749" s="266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s="192" customFormat="1" ht="11.25">
      <c r="A750" s="37"/>
      <c r="B750" s="37"/>
      <c r="C750" s="37"/>
      <c r="D750" s="191"/>
      <c r="E750" s="191" t="s">
        <v>255</v>
      </c>
      <c r="F750" s="191" t="str">
        <f t="shared" si="1182"/>
        <v>Вега</v>
      </c>
      <c r="G750" s="191" t="s">
        <v>262</v>
      </c>
      <c r="H750" s="315"/>
      <c r="I750" s="316">
        <f>IF(I749=0,0,(SUMIFS(операции!$AF:$AF,операции!$T:$T,"&lt;="&amp;I$9,операции!$X:$X,"",операции!$AB:$AB,"",операции!$O:$O,$F682)+SUMIFS(операции!$AF:$AF,операции!$T:$T,"&lt;="&amp;I$9,операции!$X:$X,"&gt;"&amp;I$9,операции!$AB:$AB,"",операции!$O:$O,$F682)+SUMIFS(операции!$AF:$AF,операции!$T:$T,"&lt;="&amp;I$9,операции!$X:$X,"",операции!$AB:$AB,"&gt;"&amp;I$9,операции!$O:$O,$F682)+SUMIFS(операции!$AF:$AF,операции!$T:$T,"&lt;="&amp;I$9,операции!$X:$X,"&gt;"&amp;I$9,операции!$AB:$AB,"&gt;"&amp;I$9,операции!$O:$O,$F682))/I749)</f>
        <v>42353.841625418136</v>
      </c>
      <c r="J750" s="317"/>
      <c r="K750" s="316">
        <f>IF(K749=0,0,(SUMIFS(операции!$AF:$AF,операции!$T:$T,"&lt;="&amp;I$9,операции!$X:$X,"",операции!$AB:$AB,"",операции!$L:$L,K$9,операции!$O:$O,$F682)+SUMIFS(операции!$AF:$AF,операции!$T:$T,"&lt;="&amp;I$9,операции!$X:$X,"&gt;"&amp;I$9,операции!$AB:$AB,"",операции!$L:$L,K$9,операции!$O:$O,$F682)+SUMIFS(операции!$AF:$AF,операции!$T:$T,"&lt;="&amp;I$9,операции!$X:$X,"",операции!$AB:$AB,"&gt;"&amp;I$9,операции!$L:$L,K$9,операции!$O:$O,$F682)+SUMIFS(операции!$AF:$AF,операции!$T:$T,"&lt;="&amp;I$9,операции!$X:$X,"&gt;"&amp;I$9,операции!$AB:$AB,"&gt;"&amp;I$9,операции!$L:$L,K$9,операции!$O:$O,$F682))/K749)</f>
        <v>42250</v>
      </c>
      <c r="L750" s="318">
        <f>IF(L749=0,0,(SUMIFS(операции!$AF:$AF,операции!$T:$T,"&lt;="&amp;I$9,операции!$X:$X,"",операции!$AB:$AB,"",операции!$L:$L,L$9,операции!$O:$O,$F682)+SUMIFS(операции!$AF:$AF,операции!$T:$T,"&lt;="&amp;I$9,операции!$X:$X,"&gt;"&amp;I$9,операции!$AB:$AB,"",операции!$L:$L,L$9,операции!$O:$O,$F682)+SUMIFS(операции!$AF:$AF,операции!$T:$T,"&lt;="&amp;I$9,операции!$X:$X,"",операции!$AB:$AB,"&gt;"&amp;I$9,операции!$L:$L,L$9,операции!$O:$O,$F682)+SUMIFS(операции!$AF:$AF,операции!$T:$T,"&lt;="&amp;I$9,операции!$X:$X,"&gt;"&amp;I$9,операции!$AB:$AB,"&gt;"&amp;I$9,операции!$L:$L,L$9,операции!$O:$O,$F682))/L749)</f>
        <v>42358.457756967837</v>
      </c>
      <c r="M750" s="274"/>
      <c r="N750" s="193">
        <f>IF(N749=0,0,(SUMIFS(операции!$AF:$AF,операции!$T:$T,"&lt;="&amp;N$9,операции!$X:$X,"",операции!$AB:$AB,"",операции!$O:$O,$F682)+SUMIFS(операции!$AF:$AF,операции!$T:$T,"&lt;="&amp;N$9,операции!$X:$X,"&gt;"&amp;N$9,операции!$AB:$AB,"",операции!$O:$O,$F682)+SUMIFS(операции!$AF:$AF,операции!$T:$T,"&lt;="&amp;N$9,операции!$X:$X,"",операции!$AB:$AB,"&gt;"&amp;N$9,операции!$O:$O,$F682)+SUMIFS(операции!$AF:$AF,операции!$T:$T,"&lt;="&amp;N$9,операции!$X:$X,"&gt;"&amp;N$9,операции!$AB:$AB,"&gt;"&amp;N$9,операции!$O:$O,$F682))/N749)</f>
        <v>42198.183981375012</v>
      </c>
      <c r="O750" s="196"/>
      <c r="P750" s="193">
        <f>IF(P749=0,0,(SUMIFS(операции!$AF:$AF,операции!$T:$T,"&lt;="&amp;N$9,операции!$X:$X,"",операции!$AB:$AB,"",операции!$L:$L,P$9,операции!$O:$O,$F682)+SUMIFS(операции!$AF:$AF,операции!$T:$T,"&lt;="&amp;N$9,операции!$X:$X,"&gt;"&amp;N$9,операции!$AB:$AB,"",операции!$L:$L,P$9,операции!$O:$O,$F682)+SUMIFS(операции!$AF:$AF,операции!$T:$T,"&lt;="&amp;N$9,операции!$X:$X,"",операции!$AB:$AB,"&gt;"&amp;N$9,операции!$L:$L,P$9,операции!$O:$O,$F682)+SUMIFS(операции!$AF:$AF,операции!$T:$T,"&lt;="&amp;N$9,операции!$X:$X,"&gt;"&amp;N$9,операции!$AB:$AB,"&gt;"&amp;N$9,операции!$L:$L,P$9,операции!$O:$O,$F682))/P749)</f>
        <v>42104.134845570581</v>
      </c>
      <c r="Q750" s="237">
        <f>IF(Q749=0,0,(SUMIFS(операции!$AF:$AF,операции!$T:$T,"&lt;="&amp;N$9,операции!$X:$X,"",операции!$AB:$AB,"",операции!$L:$L,Q$9,операции!$O:$O,$F682)+SUMIFS(операции!$AF:$AF,операции!$T:$T,"&lt;="&amp;N$9,операции!$X:$X,"&gt;"&amp;N$9,операции!$AB:$AB,"",операции!$L:$L,Q$9,операции!$O:$O,$F682)+SUMIFS(операции!$AF:$AF,операции!$T:$T,"&lt;="&amp;N$9,операции!$X:$X,"",операции!$AB:$AB,"&gt;"&amp;N$9,операции!$L:$L,Q$9,операции!$O:$O,$F682)+SUMIFS(операции!$AF:$AF,операции!$T:$T,"&lt;="&amp;N$9,операции!$X:$X,"&gt;"&amp;N$9,операции!$AB:$AB,"&gt;"&amp;N$9,операции!$L:$L,Q$9,операции!$O:$O,$F682))/Q749)</f>
        <v>42306.752263163049</v>
      </c>
      <c r="R750" s="238"/>
      <c r="S750" s="193">
        <f>IF(S749=0,0,(SUMIFS(операции!$AF:$AF,операции!$T:$T,"&lt;="&amp;S$9,операции!$X:$X,"",операции!$AB:$AB,"",операции!$O:$O,$F682)+SUMIFS(операции!$AF:$AF,операции!$T:$T,"&lt;="&amp;S$9,операции!$X:$X,"&gt;"&amp;S$9,операции!$AB:$AB,"",операции!$O:$O,$F682)+SUMIFS(операции!$AF:$AF,операции!$T:$T,"&lt;="&amp;S$9,операции!$X:$X,"",операции!$AB:$AB,"&gt;"&amp;S$9,операции!$O:$O,$F682)+SUMIFS(операции!$AF:$AF,операции!$T:$T,"&lt;="&amp;S$9,операции!$X:$X,"&gt;"&amp;S$9,операции!$AB:$AB,"&gt;"&amp;S$9,операции!$O:$O,$F682))/S749)</f>
        <v>42307.773272247061</v>
      </c>
      <c r="T750" s="196"/>
      <c r="U750" s="193">
        <f>IF(U749=0,0,(SUMIFS(операции!$AF:$AF,операции!$T:$T,"&lt;="&amp;S$9,операции!$X:$X,"",операции!$AB:$AB,"",операции!$L:$L,U$9,операции!$O:$O,$F682)+SUMIFS(операции!$AF:$AF,операции!$T:$T,"&lt;="&amp;S$9,операции!$X:$X,"&gt;"&amp;S$9,операции!$AB:$AB,"",операции!$L:$L,U$9,операции!$O:$O,$F682)+SUMIFS(операции!$AF:$AF,операции!$T:$T,"&lt;="&amp;S$9,операции!$X:$X,"",операции!$AB:$AB,"&gt;"&amp;S$9,операции!$L:$L,U$9,операции!$O:$O,$F682)+SUMIFS(операции!$AF:$AF,операции!$T:$T,"&lt;="&amp;S$9,операции!$X:$X,"&gt;"&amp;S$9,операции!$AB:$AB,"&gt;"&amp;S$9,операции!$L:$L,U$9,операции!$O:$O,$F682))/U749)</f>
        <v>42132.603051358055</v>
      </c>
      <c r="V750" s="237">
        <f>IF(V749=0,0,(SUMIFS(операции!$AF:$AF,операции!$T:$T,"&lt;="&amp;S$9,операции!$X:$X,"",операции!$AB:$AB,"",операции!$L:$L,V$9,операции!$O:$O,$F682)+SUMIFS(операции!$AF:$AF,операции!$T:$T,"&lt;="&amp;S$9,операции!$X:$X,"&gt;"&amp;S$9,операции!$AB:$AB,"",операции!$L:$L,V$9,операции!$O:$O,$F682)+SUMIFS(операции!$AF:$AF,операции!$T:$T,"&lt;="&amp;S$9,операции!$X:$X,"",операции!$AB:$AB,"&gt;"&amp;S$9,операции!$L:$L,V$9,операции!$O:$O,$F682)+SUMIFS(операции!$AF:$AF,операции!$T:$T,"&lt;="&amp;S$9,операции!$X:$X,"&gt;"&amp;S$9,операции!$AB:$AB,"&gt;"&amp;S$9,операции!$L:$L,V$9,операции!$O:$O,$F682))/V749)</f>
        <v>42335.858246836411</v>
      </c>
      <c r="W750" s="238"/>
      <c r="X750" s="193">
        <f>IF(X749=0,0,(SUMIFS(операции!$AF:$AF,операции!$T:$T,"&lt;="&amp;X$9,операции!$X:$X,"",операции!$AB:$AB,"",операции!$O:$O,$F682)+SUMIFS(операции!$AF:$AF,операции!$T:$T,"&lt;="&amp;X$9,операции!$X:$X,"&gt;"&amp;X$9,операции!$AB:$AB,"",операции!$O:$O,$F682)+SUMIFS(операции!$AF:$AF,операции!$T:$T,"&lt;="&amp;X$9,операции!$X:$X,"",операции!$AB:$AB,"&gt;"&amp;X$9,операции!$O:$O,$F682)+SUMIFS(операции!$AF:$AF,операции!$T:$T,"&lt;="&amp;X$9,операции!$X:$X,"&gt;"&amp;X$9,операции!$AB:$AB,"&gt;"&amp;X$9,операции!$O:$O,$F682))/X749)</f>
        <v>42353.841625418136</v>
      </c>
      <c r="Y750" s="196"/>
      <c r="Z750" s="193">
        <f>IF(Z749=0,0,(SUMIFS(операции!$AF:$AF,операции!$T:$T,"&lt;="&amp;X$9,операции!$X:$X,"",операции!$AB:$AB,"",операции!$L:$L,Z$9,операции!$O:$O,$F682)+SUMIFS(операции!$AF:$AF,операции!$T:$T,"&lt;="&amp;X$9,операции!$X:$X,"&gt;"&amp;X$9,операции!$AB:$AB,"",операции!$L:$L,Z$9,операции!$O:$O,$F682)+SUMIFS(операции!$AF:$AF,операции!$T:$T,"&lt;="&amp;X$9,операции!$X:$X,"",операции!$AB:$AB,"&gt;"&amp;X$9,операции!$L:$L,Z$9,операции!$O:$O,$F682)+SUMIFS(операции!$AF:$AF,операции!$T:$T,"&lt;="&amp;X$9,операции!$X:$X,"&gt;"&amp;X$9,операции!$AB:$AB,"&gt;"&amp;X$9,операции!$L:$L,Z$9,операции!$O:$O,$F682))/Z749)</f>
        <v>42250</v>
      </c>
      <c r="AA750" s="237">
        <f>IF(AA749=0,0,(SUMIFS(операции!$AF:$AF,операции!$T:$T,"&lt;="&amp;X$9,операции!$X:$X,"",операции!$AB:$AB,"",операции!$L:$L,AA$9,операции!$O:$O,$F682)+SUMIFS(операции!$AF:$AF,операции!$T:$T,"&lt;="&amp;X$9,операции!$X:$X,"&gt;"&amp;X$9,операции!$AB:$AB,"",операции!$L:$L,AA$9,операции!$O:$O,$F682)+SUMIFS(операции!$AF:$AF,операции!$T:$T,"&lt;="&amp;X$9,операции!$X:$X,"",операции!$AB:$AB,"&gt;"&amp;X$9,операции!$L:$L,AA$9,операции!$O:$O,$F682)+SUMIFS(операции!$AF:$AF,операции!$T:$T,"&lt;="&amp;X$9,операции!$X:$X,"&gt;"&amp;X$9,операции!$AB:$AB,"&gt;"&amp;X$9,операции!$L:$L,AA$9,операции!$O:$O,$F682))/AA749)</f>
        <v>42358.457756967837</v>
      </c>
      <c r="AB750" s="265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</row>
    <row r="751" spans="1:42" s="192" customFormat="1" ht="11.25">
      <c r="A751" s="37"/>
      <c r="B751" s="37"/>
      <c r="C751" s="37"/>
      <c r="D751" s="191"/>
      <c r="E751" s="191" t="s">
        <v>287</v>
      </c>
      <c r="F751" s="191" t="str">
        <f t="shared" ref="F751:F754" si="1315">F750</f>
        <v>Вега</v>
      </c>
      <c r="G751" s="191" t="s">
        <v>219</v>
      </c>
      <c r="H751" s="315"/>
      <c r="I751" s="329">
        <f>IF(I749=0,0,I$9-I750)</f>
        <v>15.158374581864337</v>
      </c>
      <c r="J751" s="317"/>
      <c r="K751" s="329">
        <f>IF(K749=0,0,I$9-K750)</f>
        <v>119</v>
      </c>
      <c r="L751" s="330">
        <f>IF(L749=0,0,I$9-L750)</f>
        <v>10.542243032163242</v>
      </c>
      <c r="M751" s="274"/>
      <c r="N751" s="156">
        <f>IF(N749=0,0,N$9-N750)</f>
        <v>109.81601862498792</v>
      </c>
      <c r="O751" s="196"/>
      <c r="P751" s="156">
        <f>IF(P749=0,0,N$9-P750)</f>
        <v>203.86515442941891</v>
      </c>
      <c r="Q751" s="245">
        <f>IF(Q749=0,0,N$9-Q750)</f>
        <v>1.247736836950935</v>
      </c>
      <c r="R751" s="238"/>
      <c r="S751" s="156">
        <f>IF(S749=0,0,S$9-S750)</f>
        <v>30.226727752939041</v>
      </c>
      <c r="T751" s="196"/>
      <c r="U751" s="156">
        <f>IF(U749=0,0,S$9-U750)</f>
        <v>205.39694864194462</v>
      </c>
      <c r="V751" s="245">
        <f>IF(V749=0,0,S$9-V750)</f>
        <v>2.1417531635888736</v>
      </c>
      <c r="W751" s="238"/>
      <c r="X751" s="156">
        <f>IF(X749=0,0,X$9-X750)</f>
        <v>15.158374581864337</v>
      </c>
      <c r="Y751" s="196"/>
      <c r="Z751" s="156">
        <f>IF(Z749=0,0,X$9-Z750)</f>
        <v>119</v>
      </c>
      <c r="AA751" s="245">
        <f>IF(AA749=0,0,X$9-AA750)</f>
        <v>10.542243032163242</v>
      </c>
      <c r="AB751" s="265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</row>
    <row r="752" spans="1:42" s="192" customFormat="1" ht="11.25">
      <c r="A752" s="37"/>
      <c r="B752" s="37"/>
      <c r="C752" s="37"/>
      <c r="D752" s="191"/>
      <c r="E752" s="191" t="s">
        <v>311</v>
      </c>
      <c r="F752" s="191" t="str">
        <f t="shared" si="1315"/>
        <v>Вега</v>
      </c>
      <c r="G752" s="191" t="s">
        <v>262</v>
      </c>
      <c r="H752" s="315"/>
      <c r="I752" s="316">
        <f>I$9</f>
        <v>42369</v>
      </c>
      <c r="J752" s="317"/>
      <c r="K752" s="316">
        <f>I$9</f>
        <v>42369</v>
      </c>
      <c r="L752" s="318">
        <f>I$9</f>
        <v>42369</v>
      </c>
      <c r="M752" s="274"/>
      <c r="N752" s="193">
        <f>N$9</f>
        <v>42308</v>
      </c>
      <c r="O752" s="196"/>
      <c r="P752" s="193">
        <f>N$9</f>
        <v>42308</v>
      </c>
      <c r="Q752" s="237">
        <f>N$9</f>
        <v>42308</v>
      </c>
      <c r="R752" s="238"/>
      <c r="S752" s="193">
        <f>S$9</f>
        <v>42338</v>
      </c>
      <c r="T752" s="196"/>
      <c r="U752" s="193">
        <f>S$9</f>
        <v>42338</v>
      </c>
      <c r="V752" s="237">
        <f>S$9</f>
        <v>42338</v>
      </c>
      <c r="W752" s="238"/>
      <c r="X752" s="193">
        <f>X$9</f>
        <v>42369</v>
      </c>
      <c r="Y752" s="196"/>
      <c r="Z752" s="193">
        <f>X$9</f>
        <v>42369</v>
      </c>
      <c r="AA752" s="237">
        <f>X$9</f>
        <v>42369</v>
      </c>
      <c r="AB752" s="265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</row>
    <row r="753" spans="1:42" s="192" customFormat="1" ht="11.25">
      <c r="A753" s="37"/>
      <c r="B753" s="37"/>
      <c r="C753" s="37"/>
      <c r="D753" s="191"/>
      <c r="E753" s="191" t="s">
        <v>288</v>
      </c>
      <c r="F753" s="191" t="str">
        <f t="shared" si="1315"/>
        <v>Вега</v>
      </c>
      <c r="G753" s="191" t="s">
        <v>219</v>
      </c>
      <c r="H753" s="315"/>
      <c r="I753" s="329">
        <f>IF(I749=0,0,I752-I750)</f>
        <v>15.158374581864337</v>
      </c>
      <c r="J753" s="317"/>
      <c r="K753" s="329">
        <f>IF(K749=0,0,K752-K750)</f>
        <v>119</v>
      </c>
      <c r="L753" s="330">
        <f>IF(L749=0,0,L752-L750)</f>
        <v>10.542243032163242</v>
      </c>
      <c r="M753" s="274"/>
      <c r="N753" s="156">
        <f>IF(N749=0,0,N752-N750)</f>
        <v>109.81601862498792</v>
      </c>
      <c r="O753" s="196"/>
      <c r="P753" s="156">
        <f>IF(P749=0,0,P752-P750)</f>
        <v>203.86515442941891</v>
      </c>
      <c r="Q753" s="245">
        <f>IF(Q749=0,0,Q752-Q750)</f>
        <v>1.247736836950935</v>
      </c>
      <c r="R753" s="238"/>
      <c r="S753" s="156">
        <f>IF(S749=0,0,S752-S750)</f>
        <v>30.226727752939041</v>
      </c>
      <c r="T753" s="196"/>
      <c r="U753" s="156">
        <f>IF(U749=0,0,U752-U750)</f>
        <v>205.39694864194462</v>
      </c>
      <c r="V753" s="245">
        <f>IF(V749=0,0,V752-V750)</f>
        <v>2.1417531635888736</v>
      </c>
      <c r="W753" s="238"/>
      <c r="X753" s="156">
        <f>IF(X749=0,0,X752-X750)</f>
        <v>15.158374581864337</v>
      </c>
      <c r="Y753" s="196"/>
      <c r="Z753" s="156">
        <f>IF(Z749=0,0,Z752-Z750)</f>
        <v>119</v>
      </c>
      <c r="AA753" s="245">
        <f>IF(AA749=0,0,AA752-AA750)</f>
        <v>10.542243032163242</v>
      </c>
      <c r="AB753" s="265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</row>
    <row r="754" spans="1:42" s="192" customFormat="1" ht="12" thickBot="1">
      <c r="A754" s="37"/>
      <c r="B754" s="37"/>
      <c r="C754" s="37"/>
      <c r="D754" s="297"/>
      <c r="E754" s="297" t="s">
        <v>289</v>
      </c>
      <c r="F754" s="297" t="str">
        <f t="shared" si="1315"/>
        <v>Вега</v>
      </c>
      <c r="G754" s="297" t="s">
        <v>219</v>
      </c>
      <c r="H754" s="377"/>
      <c r="I754" s="378">
        <f>I751-I753</f>
        <v>0</v>
      </c>
      <c r="J754" s="379"/>
      <c r="K754" s="378">
        <f>K751-K753</f>
        <v>0</v>
      </c>
      <c r="L754" s="380">
        <f>L751-L753</f>
        <v>0</v>
      </c>
      <c r="M754" s="300"/>
      <c r="N754" s="298">
        <f>N751-N753</f>
        <v>0</v>
      </c>
      <c r="O754" s="299"/>
      <c r="P754" s="298">
        <f>P751-P753</f>
        <v>0</v>
      </c>
      <c r="Q754" s="301">
        <f>Q751-Q753</f>
        <v>0</v>
      </c>
      <c r="R754" s="302"/>
      <c r="S754" s="298">
        <f>S751-S753</f>
        <v>0</v>
      </c>
      <c r="T754" s="299"/>
      <c r="U754" s="298">
        <f>U751-U753</f>
        <v>0</v>
      </c>
      <c r="V754" s="301">
        <f>V751-V753</f>
        <v>0</v>
      </c>
      <c r="W754" s="302"/>
      <c r="X754" s="298">
        <f>X751-X753</f>
        <v>0</v>
      </c>
      <c r="Y754" s="299"/>
      <c r="Z754" s="298">
        <f>Z751-Z753</f>
        <v>0</v>
      </c>
      <c r="AA754" s="301">
        <f>AA751-AA753</f>
        <v>0</v>
      </c>
      <c r="AB754" s="265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</row>
    <row r="755" spans="1:42" s="111" customFormat="1" ht="11.25">
      <c r="A755" s="108"/>
      <c r="B755" s="108"/>
      <c r="C755" s="108" t="s">
        <v>271</v>
      </c>
      <c r="D755" s="291"/>
      <c r="E755" s="291"/>
      <c r="F755" s="291" t="str">
        <f>F756</f>
        <v>Гранта</v>
      </c>
      <c r="G755" s="291"/>
      <c r="H755" s="373"/>
      <c r="I755" s="374">
        <f>I756-K756-L756</f>
        <v>0</v>
      </c>
      <c r="J755" s="375">
        <f>N755+N773+N811+SUM(O:O)+S755+S773+S811+SUM(T:T)+X755+X773+X811+SUM(Y:Y)</f>
        <v>3.7104683769939584E-9</v>
      </c>
      <c r="K755" s="373"/>
      <c r="L755" s="376"/>
      <c r="M755" s="293"/>
      <c r="N755" s="292">
        <f>N756-P756-Q756</f>
        <v>0</v>
      </c>
      <c r="O755" s="294"/>
      <c r="P755" s="291"/>
      <c r="Q755" s="295"/>
      <c r="R755" s="296"/>
      <c r="S755" s="292">
        <f>S756-U756-V756</f>
        <v>0</v>
      </c>
      <c r="T755" s="294"/>
      <c r="U755" s="291"/>
      <c r="V755" s="295"/>
      <c r="W755" s="296"/>
      <c r="X755" s="292">
        <f>X756-Z756-AA756</f>
        <v>0</v>
      </c>
      <c r="Y755" s="294"/>
      <c r="Z755" s="291"/>
      <c r="AA755" s="295"/>
      <c r="AB755" s="263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</row>
    <row r="756" spans="1:42" s="93" customFormat="1" ht="15">
      <c r="A756" s="92"/>
      <c r="B756" s="92"/>
      <c r="C756" s="92"/>
      <c r="D756" s="151" t="s">
        <v>256</v>
      </c>
      <c r="E756" s="151"/>
      <c r="F756" s="286" t="str">
        <f>микс!$H$27</f>
        <v>Гранта</v>
      </c>
      <c r="G756" s="151" t="s">
        <v>261</v>
      </c>
      <c r="H756" s="311"/>
      <c r="I756" s="312">
        <f>SUMIFS(операции!$V:$V,операции!$T:$T,"&lt;"&amp;I$8,операции!$X:$X,"",операции!$O:$O,$F756)+SUMIFS(операции!$V:$V,операции!$T:$T,"&lt;"&amp;I$8,операции!$X:$X,"&gt;="&amp;I$8,операции!$O:$O,$F756)</f>
        <v>80748.37</v>
      </c>
      <c r="J756" s="313">
        <f>I756-I761-I767</f>
        <v>0</v>
      </c>
      <c r="K756" s="312">
        <f>SUMIFS(операции!$V:$V,операции!$T:$T,"&lt;"&amp;I$8,операции!$X:$X,"",операции!$L:$L,K$9,операции!$O:$O,$F756)+SUMIFS(операции!$V:$V,операции!$T:$T,"&lt;"&amp;I$8,операции!$X:$X,"&gt;="&amp;I$8,операции!$L:$L,K$9,операции!$O:$O,$F756)</f>
        <v>80748.37</v>
      </c>
      <c r="L756" s="314">
        <f>SUMIFS(операции!$V:$V,операции!$T:$T,"&lt;"&amp;I$8,операции!$X:$X,"",операции!$L:$L,L$9,операции!$O:$O,$F756)+SUMIFS(операции!$V:$V,операции!$T:$T,"&lt;"&amp;I$8,операции!$X:$X,"&gt;="&amp;I$8,операции!$L:$L,L$9,операции!$O:$O,$F756)</f>
        <v>0</v>
      </c>
      <c r="M756" s="273"/>
      <c r="N756" s="152">
        <f>SUMIFS(операции!$V:$V,операции!$T:$T,"&lt;"&amp;N$8,операции!$X:$X,"",операции!$O:$O,$F756)+SUMIFS(операции!$V:$V,операции!$T:$T,"&lt;"&amp;N$8,операции!$X:$X,"&gt;="&amp;N$8,операции!$O:$O,$F756)</f>
        <v>80748.37</v>
      </c>
      <c r="O756" s="170">
        <f>N756-N761-N767</f>
        <v>0</v>
      </c>
      <c r="P756" s="152">
        <f>SUMIFS(операции!$V:$V,операции!$T:$T,"&lt;"&amp;N$8,операции!$X:$X,"",операции!$L:$L,P$9,операции!$O:$O,$F756)+SUMIFS(операции!$V:$V,операции!$T:$T,"&lt;"&amp;N$8,операции!$X:$X,"&gt;="&amp;N$8,операции!$L:$L,P$9,операции!$O:$O,$F756)</f>
        <v>80748.37</v>
      </c>
      <c r="Q756" s="235">
        <f>SUMIFS(операции!$V:$V,операции!$T:$T,"&lt;"&amp;N$8,операции!$X:$X,"",операции!$L:$L,Q$9,операции!$O:$O,$F756)+SUMIFS(операции!$V:$V,операции!$T:$T,"&lt;"&amp;N$8,операции!$X:$X,"&gt;="&amp;N$8,операции!$L:$L,Q$9,операции!$O:$O,$F756)</f>
        <v>0</v>
      </c>
      <c r="R756" s="236"/>
      <c r="S756" s="152">
        <f>SUMIFS(операции!$V:$V,операции!$T:$T,"&lt;"&amp;S$8,операции!$X:$X,"",операции!$O:$O,$F756)+SUMIFS(операции!$V:$V,операции!$T:$T,"&lt;"&amp;S$8,операции!$X:$X,"&gt;="&amp;S$8,операции!$O:$O,$F756)</f>
        <v>70773.01999999999</v>
      </c>
      <c r="T756" s="170">
        <f>S756-S761-S767</f>
        <v>0</v>
      </c>
      <c r="U756" s="152">
        <f>SUMIFS(операции!$V:$V,операции!$T:$T,"&lt;"&amp;S$8,операции!$X:$X,"",операции!$L:$L,U$9,операции!$O:$O,$F756)+SUMIFS(операции!$V:$V,операции!$T:$T,"&lt;"&amp;S$8,операции!$X:$X,"&gt;="&amp;S$8,операции!$L:$L,U$9,операции!$O:$O,$F756)</f>
        <v>70773.01999999999</v>
      </c>
      <c r="V756" s="235">
        <f>SUMIFS(операции!$V:$V,операции!$T:$T,"&lt;"&amp;S$8,операции!$X:$X,"",операции!$L:$L,V$9,операции!$O:$O,$F756)+SUMIFS(операции!$V:$V,операции!$T:$T,"&lt;"&amp;S$8,операции!$X:$X,"&gt;="&amp;S$8,операции!$L:$L,V$9,операции!$O:$O,$F756)</f>
        <v>0</v>
      </c>
      <c r="W756" s="236"/>
      <c r="X756" s="152">
        <f>SUMIFS(операции!$V:$V,операции!$T:$T,"&lt;"&amp;X$8,операции!$X:$X,"",операции!$O:$O,$F756)+SUMIFS(операции!$V:$V,операции!$T:$T,"&lt;"&amp;X$8,операции!$X:$X,"&gt;="&amp;X$8,операции!$O:$O,$F756)</f>
        <v>68156.160000000003</v>
      </c>
      <c r="Y756" s="170">
        <f>X756-X761-X767</f>
        <v>0</v>
      </c>
      <c r="Z756" s="152">
        <f>SUMIFS(операции!$V:$V,операции!$T:$T,"&lt;"&amp;X$8,операции!$X:$X,"",операции!$L:$L,Z$9,операции!$O:$O,$F756)+SUMIFS(операции!$V:$V,операции!$T:$T,"&lt;"&amp;X$8,операции!$X:$X,"&gt;="&amp;X$8,операции!$L:$L,Z$9,операции!$O:$O,$F756)</f>
        <v>38916.979999999996</v>
      </c>
      <c r="AA756" s="235">
        <f>SUMIFS(операции!$V:$V,операции!$T:$T,"&lt;"&amp;X$8,операции!$X:$X,"",операции!$L:$L,AA$9,операции!$O:$O,$F756)+SUMIFS(операции!$V:$V,операции!$T:$T,"&lt;"&amp;X$8,операции!$X:$X,"&gt;="&amp;X$8,операции!$L:$L,AA$9,операции!$O:$O,$F756)</f>
        <v>29239.18</v>
      </c>
      <c r="AB756" s="264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</row>
    <row r="757" spans="1:42" s="192" customFormat="1" ht="11.25">
      <c r="A757" s="37"/>
      <c r="B757" s="37"/>
      <c r="C757" s="37"/>
      <c r="D757" s="191" t="s">
        <v>255</v>
      </c>
      <c r="E757" s="191"/>
      <c r="F757" s="191" t="str">
        <f>F756</f>
        <v>Гранта</v>
      </c>
      <c r="G757" s="191" t="s">
        <v>262</v>
      </c>
      <c r="H757" s="315"/>
      <c r="I757" s="316">
        <f>IF(I756=0,0,(SUMIFS(операции!$AF:$AF,операции!$T:$T,"&lt;"&amp;I$8,операции!$X:$X,"",операции!$O:$O,$F756)+SUMIFS(операции!$AF:$AF,операции!$T:$T,"&lt;"&amp;I$8,операции!$X:$X,"&gt;="&amp;I$8,операции!$O:$O,$F756))/I756)</f>
        <v>42202.968560356079</v>
      </c>
      <c r="J757" s="317"/>
      <c r="K757" s="316">
        <f>IF(K756=0,0,(SUMIFS(операции!$AF:$AF,операции!$T:$T,"&lt;"&amp;I$8,операции!$X:$X,"",операции!$L:$L,K$9,операции!$O:$O,$F756)+SUMIFS(операции!$AF:$AF,операции!$T:$T,"&lt;"&amp;I$8,операции!$X:$X,"&gt;="&amp;I$8,операции!$L:$L,K$9,операции!$O:$O,$F756))/K756)</f>
        <v>42202.968560356079</v>
      </c>
      <c r="L757" s="318">
        <f>IF(L756=0,0,(SUMIFS(операции!$AF:$AF,операции!$T:$T,"&lt;"&amp;I$8,операции!$X:$X,"",операции!$L:$L,L$9,операции!$O:$O,$F756)+SUMIFS(операции!$AF:$AF,операции!$T:$T,"&lt;"&amp;I$8,операции!$X:$X,"&gt;="&amp;I$8,операции!$L:$L,L$9,операции!$O:$O,$F756))/L756)</f>
        <v>0</v>
      </c>
      <c r="M757" s="274"/>
      <c r="N757" s="193">
        <f>IF(N756=0,0,(SUMIFS(операции!$AF:$AF,операции!$T:$T,"&lt;"&amp;N$8,операции!$X:$X,"",операции!$O:$O,$F756)+SUMIFS(операции!$AF:$AF,операции!$T:$T,"&lt;"&amp;N$8,операции!$X:$X,"&gt;="&amp;N$8,операции!$O:$O,$F756))/N756)</f>
        <v>42202.968560356079</v>
      </c>
      <c r="O757" s="196"/>
      <c r="P757" s="193">
        <f>IF(P756=0,0,(SUMIFS(операции!$AF:$AF,операции!$T:$T,"&lt;"&amp;N$8,операции!$X:$X,"",операции!$L:$L,P$9,операции!$O:$O,$F756)+SUMIFS(операции!$AF:$AF,операции!$T:$T,"&lt;"&amp;N$8,операции!$X:$X,"&gt;="&amp;N$8,операции!$L:$L,P$9,операции!$O:$O,$F756))/P756)</f>
        <v>42202.968560356079</v>
      </c>
      <c r="Q757" s="237">
        <f>IF(Q756=0,0,(SUMIFS(операции!$AF:$AF,операции!$T:$T,"&lt;"&amp;N$8,операции!$X:$X,"",операции!$L:$L,Q$9,операции!$O:$O,$F756)+SUMIFS(операции!$AF:$AF,операции!$T:$T,"&lt;"&amp;N$8,операции!$X:$X,"&gt;="&amp;N$8,операции!$L:$L,Q$9,операции!$O:$O,$F756))/Q756)</f>
        <v>0</v>
      </c>
      <c r="R757" s="238"/>
      <c r="S757" s="193">
        <f>IF(S756=0,0,(SUMIFS(операции!$AF:$AF,операции!$T:$T,"&lt;"&amp;S$8,операции!$X:$X,"",операции!$O:$O,$F756)+SUMIFS(операции!$AF:$AF,операции!$T:$T,"&lt;"&amp;S$8,операции!$X:$X,"&gt;="&amp;S$8,операции!$O:$O,$F756))/S756)</f>
        <v>42204.079601379177</v>
      </c>
      <c r="T757" s="196"/>
      <c r="U757" s="193">
        <f>IF(U756=0,0,(SUMIFS(операции!$AF:$AF,операции!$T:$T,"&lt;"&amp;S$8,операции!$X:$X,"",операции!$L:$L,U$9,операции!$O:$O,$F756)+SUMIFS(операции!$AF:$AF,операции!$T:$T,"&lt;"&amp;S$8,операции!$X:$X,"&gt;="&amp;S$8,операции!$L:$L,U$9,операции!$O:$O,$F756))/U756)</f>
        <v>42204.079601379177</v>
      </c>
      <c r="V757" s="237">
        <f>IF(V756=0,0,(SUMIFS(операции!$AF:$AF,операции!$T:$T,"&lt;"&amp;S$8,операции!$X:$X,"",операции!$L:$L,V$9,операции!$O:$O,$F756)+SUMIFS(операции!$AF:$AF,операции!$T:$T,"&lt;"&amp;S$8,операции!$X:$X,"&gt;="&amp;S$8,операции!$L:$L,V$9,операции!$O:$O,$F756))/V756)</f>
        <v>0</v>
      </c>
      <c r="W757" s="238"/>
      <c r="X757" s="193">
        <f>IF(X756=0,0,(SUMIFS(операции!$AF:$AF,операции!$T:$T,"&lt;"&amp;X$8,операции!$X:$X,"",операции!$O:$O,$F756)+SUMIFS(операции!$AF:$AF,операции!$T:$T,"&lt;"&amp;X$8,операции!$X:$X,"&gt;="&amp;X$8,операции!$O:$O,$F756))/X756)</f>
        <v>42259.753663645373</v>
      </c>
      <c r="Y757" s="196"/>
      <c r="Z757" s="193">
        <f>IF(Z756=0,0,(SUMIFS(операции!$AF:$AF,операции!$T:$T,"&lt;"&amp;X$8,операции!$X:$X,"",операции!$L:$L,Z$9,операции!$O:$O,$F756)+SUMIFS(операции!$AF:$AF,операции!$T:$T,"&lt;"&amp;X$8,операции!$X:$X,"&gt;="&amp;X$8,операции!$L:$L,Z$9,операции!$O:$O,$F756))/Z756)</f>
        <v>42201.394737721173</v>
      </c>
      <c r="AA757" s="237">
        <f>IF(AA756=0,0,(SUMIFS(операции!$AF:$AF,операции!$T:$T,"&lt;"&amp;X$8,операции!$X:$X,"",операции!$L:$L,AA$9,операции!$O:$O,$F756)+SUMIFS(операции!$AF:$AF,операции!$T:$T,"&lt;"&amp;X$8,операции!$X:$X,"&gt;="&amp;X$8,операции!$L:$L,AA$9,операции!$O:$O,$F756))/AA756)</f>
        <v>42337.428658396027</v>
      </c>
      <c r="AB757" s="265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</row>
    <row r="758" spans="1:42" s="50" customFormat="1" ht="11.25">
      <c r="A758" s="48"/>
      <c r="B758" s="48"/>
      <c r="C758" s="48"/>
      <c r="D758" s="154" t="s">
        <v>257</v>
      </c>
      <c r="E758" s="154"/>
      <c r="F758" s="154" t="str">
        <f t="shared" ref="F758:F824" si="1316">F757</f>
        <v>Гранта</v>
      </c>
      <c r="G758" s="154" t="s">
        <v>219</v>
      </c>
      <c r="H758" s="319"/>
      <c r="I758" s="320">
        <f>IF(I756=0,0,I$8-I757)</f>
        <v>75.031439643920748</v>
      </c>
      <c r="J758" s="321">
        <f>I758-IF(I756=0,0,(I761*I763+I767*I769)/I756)</f>
        <v>5.3148596634855494E-12</v>
      </c>
      <c r="K758" s="320">
        <f>IF(K756=0,0,I$8-K757)</f>
        <v>75.031439643920748</v>
      </c>
      <c r="L758" s="322">
        <f>IF(L756=0,0,I$8-L757)</f>
        <v>0</v>
      </c>
      <c r="M758" s="275"/>
      <c r="N758" s="155">
        <f>IF(N756=0,0,N$8-N757)</f>
        <v>75.031439643920748</v>
      </c>
      <c r="O758" s="173">
        <f>N758-IF(N756=0,0,(N761*N763+N767*N769)/N756)</f>
        <v>5.3148596634855494E-12</v>
      </c>
      <c r="P758" s="155">
        <f>IF(P756=0,0,N$8-P757)</f>
        <v>75.031439643920748</v>
      </c>
      <c r="Q758" s="239">
        <f>IF(Q756=0,0,N$8-Q757)</f>
        <v>0</v>
      </c>
      <c r="R758" s="240"/>
      <c r="S758" s="155">
        <f>IF(S756=0,0,S$8-S757)</f>
        <v>104.92039862082311</v>
      </c>
      <c r="T758" s="173">
        <f>S758-IF(S756=0,0,(S761*S763+S767*S769)/S756)</f>
        <v>-8.7965190687100403E-12</v>
      </c>
      <c r="U758" s="155">
        <f>IF(U756=0,0,S$8-U757)</f>
        <v>104.92039862082311</v>
      </c>
      <c r="V758" s="239">
        <f>IF(V756=0,0,S$8-V757)</f>
        <v>0</v>
      </c>
      <c r="W758" s="240"/>
      <c r="X758" s="155">
        <f>IF(X756=0,0,X$8-X757)</f>
        <v>79.246336354626692</v>
      </c>
      <c r="Y758" s="173">
        <f>X758-IF(X756=0,0,(X761*X763+X767*X769)/X756)</f>
        <v>-1.9895196601282805E-12</v>
      </c>
      <c r="Z758" s="155">
        <f>IF(Z756=0,0,X$8-Z757)</f>
        <v>137.60526227882656</v>
      </c>
      <c r="AA758" s="239">
        <f>IF(AA756=0,0,X$8-AA757)</f>
        <v>1.5713416039725416</v>
      </c>
      <c r="AB758" s="230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</row>
    <row r="759" spans="1:42" s="93" customFormat="1" ht="15">
      <c r="A759" s="92"/>
      <c r="B759" s="92"/>
      <c r="C759" s="92"/>
      <c r="D759" s="198" t="s">
        <v>267</v>
      </c>
      <c r="E759" s="198"/>
      <c r="F759" s="198" t="str">
        <f t="shared" si="1316"/>
        <v>Гранта</v>
      </c>
      <c r="G759" s="198" t="s">
        <v>219</v>
      </c>
      <c r="H759" s="323"/>
      <c r="I759" s="324">
        <f>IF(I756=0,0,(I761*I765+I767*I771)/I756)</f>
        <v>45.192153228601086</v>
      </c>
      <c r="J759" s="321"/>
      <c r="K759" s="324">
        <f t="shared" ref="K759" si="1317">IF(K756=0,0,(K761*K765+K767*K771)/K756)</f>
        <v>45.192153228601086</v>
      </c>
      <c r="L759" s="325">
        <f>IF(L756=0,0,(L761*L765+L767*L771)/L756)</f>
        <v>0</v>
      </c>
      <c r="M759" s="276"/>
      <c r="N759" s="199">
        <f>IF(N756=0,0,(N761*N765+N767*N771)/N756)</f>
        <v>45.192153228601086</v>
      </c>
      <c r="O759" s="173"/>
      <c r="P759" s="199">
        <f t="shared" ref="P759" si="1318">IF(P756=0,0,(P761*P765+P767*P771)/P756)</f>
        <v>45.192153228601086</v>
      </c>
      <c r="Q759" s="241">
        <f>IF(Q756=0,0,(Q761*Q765+Q767*Q771)/Q756)</f>
        <v>0</v>
      </c>
      <c r="R759" s="242"/>
      <c r="S759" s="199">
        <f>IF(S756=0,0,(S761*S765+S767*S771)/S756)</f>
        <v>50.885562888234915</v>
      </c>
      <c r="T759" s="173"/>
      <c r="U759" s="199">
        <f t="shared" ref="U759" si="1319">IF(U756=0,0,(U761*U765+U767*U771)/U756)</f>
        <v>50.885562888234915</v>
      </c>
      <c r="V759" s="241">
        <f>IF(V756=0,0,(V761*V765+V767*V771)/V756)</f>
        <v>0</v>
      </c>
      <c r="W759" s="242"/>
      <c r="X759" s="199">
        <f>IF(X756=0,0,(X761*X765+X767*X771)/X756)</f>
        <v>16.523631319606075</v>
      </c>
      <c r="Y759" s="173"/>
      <c r="Z759" s="199">
        <f t="shared" ref="Z759" si="1320">IF(Z756=0,0,(Z761*Z765+Z767*Z771)/Z756)</f>
        <v>27.757614285590535</v>
      </c>
      <c r="AA759" s="241">
        <f>IF(AA756=0,0,(AA761*AA765+AA767*AA771)/AA756)</f>
        <v>1.5713416039725419</v>
      </c>
      <c r="AB759" s="264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</row>
    <row r="760" spans="1:42" s="50" customFormat="1" ht="11.25">
      <c r="A760" s="48"/>
      <c r="B760" s="48"/>
      <c r="C760" s="48"/>
      <c r="D760" s="154" t="s">
        <v>270</v>
      </c>
      <c r="E760" s="154"/>
      <c r="F760" s="154" t="str">
        <f t="shared" si="1316"/>
        <v>Гранта</v>
      </c>
      <c r="G760" s="154" t="s">
        <v>219</v>
      </c>
      <c r="H760" s="319"/>
      <c r="I760" s="320">
        <f>I758-I759</f>
        <v>29.839286415319663</v>
      </c>
      <c r="J760" s="321"/>
      <c r="K760" s="320">
        <f t="shared" ref="K760" si="1321">K758-K759</f>
        <v>29.839286415319663</v>
      </c>
      <c r="L760" s="322">
        <f t="shared" ref="L760" si="1322">L758-L759</f>
        <v>0</v>
      </c>
      <c r="M760" s="275"/>
      <c r="N760" s="155">
        <f>N758-N759</f>
        <v>29.839286415319663</v>
      </c>
      <c r="O760" s="173"/>
      <c r="P760" s="155">
        <f t="shared" ref="P760" si="1323">P758-P759</f>
        <v>29.839286415319663</v>
      </c>
      <c r="Q760" s="239">
        <f t="shared" ref="Q760" si="1324">Q758-Q759</f>
        <v>0</v>
      </c>
      <c r="R760" s="240"/>
      <c r="S760" s="155">
        <f>S758-S759</f>
        <v>54.034835732588192</v>
      </c>
      <c r="T760" s="173"/>
      <c r="U760" s="155">
        <f t="shared" ref="U760" si="1325">U758-U759</f>
        <v>54.034835732588192</v>
      </c>
      <c r="V760" s="239">
        <f t="shared" ref="V760" si="1326">V758-V759</f>
        <v>0</v>
      </c>
      <c r="W760" s="240"/>
      <c r="X760" s="155">
        <f>X758-X759</f>
        <v>62.722705035020617</v>
      </c>
      <c r="Y760" s="173"/>
      <c r="Z760" s="155">
        <f t="shared" ref="Z760" si="1327">Z758-Z759</f>
        <v>109.84764799323602</v>
      </c>
      <c r="AA760" s="239">
        <f t="shared" ref="AA760" si="1328">AA758-AA759</f>
        <v>0</v>
      </c>
      <c r="AB760" s="230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</row>
    <row r="761" spans="1:42" s="5" customFormat="1">
      <c r="A761" s="1"/>
      <c r="B761" s="1"/>
      <c r="C761" s="1"/>
      <c r="D761" s="168"/>
      <c r="E761" s="168" t="s">
        <v>258</v>
      </c>
      <c r="F761" s="168" t="str">
        <f t="shared" si="1316"/>
        <v>Гранта</v>
      </c>
      <c r="G761" s="168" t="s">
        <v>261</v>
      </c>
      <c r="H761" s="326"/>
      <c r="I761" s="327">
        <f>SUMIFS(операции!$V:$V,операции!$T:$T,"&lt;"&amp;I$8,операции!$X:$X,"",операции!$AB:$AB,"&lt;&gt;"&amp;"",операции!$AB:$AB,"&lt;"&amp;I$8,операции!$O:$O,$F756)+SUMIFS(операции!$V:$V,операции!$T:$T,"&lt;"&amp;I$8,операции!$X:$X,"&gt;="&amp;I$8,операции!$AB:$AB,"&lt;&gt;"&amp;"",операции!$AB:$AB,"&lt;"&amp;I$8,операции!$O:$O,$F756)</f>
        <v>58062.49</v>
      </c>
      <c r="J761" s="313">
        <f>I761-K761-L761</f>
        <v>0</v>
      </c>
      <c r="K761" s="327">
        <f>SUMIFS(операции!$V:$V,операции!$T:$T,"&lt;"&amp;I$8,операции!$X:$X,"",операции!$AB:$AB,"&lt;&gt;"&amp;"",операции!$AB:$AB,"&lt;"&amp;I$8,операции!$L:$L,K$9,операции!$O:$O,$F756)+SUMIFS(операции!$V:$V,операции!$T:$T,"&lt;"&amp;I$8,операции!$X:$X,"&gt;="&amp;I$8,операции!$AB:$AB,"&lt;&gt;"&amp;"",операции!$AB:$AB,"&lt;"&amp;I$8,операции!$L:$L,K$9,операции!$O:$O,$F756)</f>
        <v>58062.49</v>
      </c>
      <c r="L761" s="328">
        <f>SUMIFS(операции!$V:$V,операции!$T:$T,"&lt;"&amp;I$8,операции!$X:$X,"",операции!$AB:$AB,"&lt;&gt;"&amp;"",операции!$AB:$AB,"&lt;"&amp;I$8,операции!$L:$L,L$9,операции!$O:$O,$F756)+SUMIFS(операции!$V:$V,операции!$T:$T,"&lt;"&amp;I$8,операции!$X:$X,"&gt;="&amp;I$8,операции!$AB:$AB,"&lt;&gt;"&amp;"",операции!$AB:$AB,"&lt;"&amp;I$8,операции!$L:$L,L$9,операции!$O:$O,$F756)</f>
        <v>0</v>
      </c>
      <c r="M761" s="277"/>
      <c r="N761" s="169">
        <f>SUMIFS(операции!$V:$V,операции!$T:$T,"&lt;"&amp;N$8,операции!$X:$X,"",операции!$AB:$AB,"&lt;&gt;"&amp;"",операции!$AB:$AB,"&lt;"&amp;N$8,операции!$O:$O,$F756)+SUMIFS(операции!$V:$V,операции!$T:$T,"&lt;"&amp;N$8,операции!$X:$X,"&gt;="&amp;N$8,операции!$AB:$AB,"&lt;&gt;"&amp;"",операции!$AB:$AB,"&lt;"&amp;N$8,операции!$O:$O,$F756)</f>
        <v>58062.49</v>
      </c>
      <c r="O761" s="170">
        <f>N761-P761-Q761</f>
        <v>0</v>
      </c>
      <c r="P761" s="169">
        <f>SUMIFS(операции!$V:$V,операции!$T:$T,"&lt;"&amp;N$8,операции!$X:$X,"",операции!$AB:$AB,"&lt;&gt;"&amp;"",операции!$AB:$AB,"&lt;"&amp;N$8,операции!$L:$L,P$9,операции!$O:$O,$F756)+SUMIFS(операции!$V:$V,операции!$T:$T,"&lt;"&amp;N$8,операции!$X:$X,"&gt;="&amp;N$8,операции!$AB:$AB,"&lt;&gt;"&amp;"",операции!$AB:$AB,"&lt;"&amp;N$8,операции!$L:$L,P$9,операции!$O:$O,$F756)</f>
        <v>58062.49</v>
      </c>
      <c r="Q761" s="243">
        <f>SUMIFS(операции!$V:$V,операции!$T:$T,"&lt;"&amp;N$8,операции!$X:$X,"",операции!$AB:$AB,"&lt;&gt;"&amp;"",операции!$AB:$AB,"&lt;"&amp;N$8,операции!$L:$L,Q$9,операции!$O:$O,$F756)+SUMIFS(операции!$V:$V,операции!$T:$T,"&lt;"&amp;N$8,операции!$X:$X,"&gt;="&amp;N$8,операции!$AB:$AB,"&lt;&gt;"&amp;"",операции!$AB:$AB,"&lt;"&amp;N$8,операции!$L:$L,Q$9,операции!$O:$O,$F756)</f>
        <v>0</v>
      </c>
      <c r="R761" s="244"/>
      <c r="S761" s="169">
        <f>SUMIFS(операции!$V:$V,операции!$T:$T,"&lt;"&amp;S$8,операции!$X:$X,"",операции!$AB:$AB,"&lt;&gt;"&amp;"",операции!$AB:$AB,"&lt;"&amp;S$8,операции!$O:$O,$F756)+SUMIFS(операции!$V:$V,операции!$T:$T,"&lt;"&amp;S$8,операции!$X:$X,"&gt;="&amp;S$8,операции!$AB:$AB,"&lt;&gt;"&amp;"",операции!$AB:$AB,"&lt;"&amp;S$8,операции!$O:$O,$F756)</f>
        <v>62785.509999999995</v>
      </c>
      <c r="T761" s="170">
        <f>S761-U761-V761</f>
        <v>0</v>
      </c>
      <c r="U761" s="169">
        <f>SUMIFS(операции!$V:$V,операции!$T:$T,"&lt;"&amp;S$8,операции!$X:$X,"",операции!$AB:$AB,"&lt;&gt;"&amp;"",операции!$AB:$AB,"&lt;"&amp;S$8,операции!$L:$L,U$9,операции!$O:$O,$F756)+SUMIFS(операции!$V:$V,операции!$T:$T,"&lt;"&amp;S$8,операции!$X:$X,"&gt;="&amp;S$8,операции!$AB:$AB,"&lt;&gt;"&amp;"",операции!$AB:$AB,"&lt;"&amp;S$8,операции!$L:$L,U$9,операции!$O:$O,$F756)</f>
        <v>62785.509999999995</v>
      </c>
      <c r="V761" s="243">
        <f>SUMIFS(операции!$V:$V,операции!$T:$T,"&lt;"&amp;S$8,операции!$X:$X,"",операции!$AB:$AB,"&lt;&gt;"&amp;"",операции!$AB:$AB,"&lt;"&amp;S$8,операции!$L:$L,V$9,операции!$O:$O,$F756)+SUMIFS(операции!$V:$V,операции!$T:$T,"&lt;"&amp;S$8,операции!$X:$X,"&gt;="&amp;S$8,операции!$AB:$AB,"&lt;&gt;"&amp;"",операции!$AB:$AB,"&lt;"&amp;S$8,операции!$L:$L,V$9,операции!$O:$O,$F756)</f>
        <v>0</v>
      </c>
      <c r="W761" s="244"/>
      <c r="X761" s="169">
        <f>SUMIFS(операции!$V:$V,операции!$T:$T,"&lt;"&amp;X$8,операции!$X:$X,"",операции!$AB:$AB,"&lt;&gt;"&amp;"",операции!$AB:$AB,"&lt;"&amp;X$8,операции!$O:$O,$F756)+SUMIFS(операции!$V:$V,операции!$T:$T,"&lt;"&amp;X$8,операции!$X:$X,"&gt;="&amp;X$8,операции!$AB:$AB,"&lt;&gt;"&amp;"",операции!$AB:$AB,"&lt;"&amp;X$8,операции!$O:$O,$F756)</f>
        <v>38916.979999999996</v>
      </c>
      <c r="Y761" s="170">
        <f>X761-Z761-AA761</f>
        <v>0</v>
      </c>
      <c r="Z761" s="169">
        <f>SUMIFS(операции!$V:$V,операции!$T:$T,"&lt;"&amp;X$8,операции!$X:$X,"",операции!$AB:$AB,"&lt;&gt;"&amp;"",операции!$AB:$AB,"&lt;"&amp;X$8,операции!$L:$L,Z$9,операции!$O:$O,$F756)+SUMIFS(операции!$V:$V,операции!$T:$T,"&lt;"&amp;X$8,операции!$X:$X,"&gt;="&amp;X$8,операции!$AB:$AB,"&lt;&gt;"&amp;"",операции!$AB:$AB,"&lt;"&amp;X$8,операции!$L:$L,Z$9,операции!$O:$O,$F756)</f>
        <v>38916.979999999996</v>
      </c>
      <c r="AA761" s="243">
        <f>SUMIFS(операции!$V:$V,операции!$T:$T,"&lt;"&amp;X$8,операции!$X:$X,"",операции!$AB:$AB,"&lt;&gt;"&amp;"",операции!$AB:$AB,"&lt;"&amp;X$8,операции!$L:$L,AA$9,операции!$O:$O,$F756)+SUMIFS(операции!$V:$V,операции!$T:$T,"&lt;"&amp;X$8,операции!$X:$X,"&gt;="&amp;X$8,операции!$AB:$AB,"&lt;&gt;"&amp;"",операции!$AB:$AB,"&lt;"&amp;X$8,операции!$L:$L,AA$9,операции!$O:$O,$F756)</f>
        <v>0</v>
      </c>
      <c r="AB761" s="266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s="192" customFormat="1" ht="11.25">
      <c r="A762" s="37"/>
      <c r="B762" s="37"/>
      <c r="C762" s="37"/>
      <c r="D762" s="191"/>
      <c r="E762" s="191" t="s">
        <v>255</v>
      </c>
      <c r="F762" s="191" t="str">
        <f t="shared" si="1316"/>
        <v>Гранта</v>
      </c>
      <c r="G762" s="191" t="s">
        <v>262</v>
      </c>
      <c r="H762" s="315"/>
      <c r="I762" s="316">
        <f>IF(I761=0,0,(SUMIFS(операции!$AF:$AF,операции!$T:$T,"&lt;"&amp;I$8,операции!$X:$X,"",операции!$AB:$AB,"&lt;&gt;"&amp;"",операции!$AB:$AB,"&lt;"&amp;I$8,операции!$O:$O,$F756)+SUMIFS(операции!$AF:$AF,операции!$T:$T,"&lt;"&amp;I$8,операции!$X:$X,"&gt;="&amp;I$8,операции!$AB:$AB,"&lt;&gt;"&amp;"",операции!$AB:$AB,"&lt;"&amp;I$8,операции!$O:$O,$F756))/I761)</f>
        <v>42207.929841451863</v>
      </c>
      <c r="J762" s="317"/>
      <c r="K762" s="316">
        <f>IF(K761=0,0,(SUMIFS(операции!$AF:$AF,операции!$T:$T,"&lt;"&amp;I$8,операции!$X:$X,"",операции!$AB:$AB,"&lt;&gt;"&amp;"",операции!$AB:$AB,"&lt;"&amp;I$8,операции!$L:$L,K$9,операции!$O:$O,$F756)+SUMIFS(операции!$AF:$AF,операции!$T:$T,"&lt;"&amp;I$8,операции!$X:$X,"&gt;="&amp;I$8,операции!$AB:$AB,"&lt;&gt;"&amp;"",операции!$AB:$AB,"&lt;"&amp;I$8,операции!$L:$L,K$9,операции!$O:$O,$F756))/K761)</f>
        <v>42207.929841451863</v>
      </c>
      <c r="L762" s="318">
        <f>IF(L761=0,0,(SUMIFS(операции!$AF:$AF,операции!$T:$T,"&lt;"&amp;I$8,операции!$X:$X,"",операции!$AB:$AB,"&lt;&gt;"&amp;"",операции!$AB:$AB,"&lt;"&amp;I$8,операции!$L:$L,L$9,операции!$O:$O,$F756)+SUMIFS(операции!$AF:$AF,операции!$T:$T,"&lt;"&amp;I$8,операции!$X:$X,"&gt;="&amp;I$8,операции!$AB:$AB,"&lt;&gt;"&amp;"",операции!$AB:$AB,"&lt;"&amp;I$8,операции!$L:$L,L$9,операции!$O:$O,$F756))/L761)</f>
        <v>0</v>
      </c>
      <c r="M762" s="274"/>
      <c r="N762" s="193">
        <f>IF(N761=0,0,(SUMIFS(операции!$AF:$AF,операции!$T:$T,"&lt;"&amp;N$8,операции!$X:$X,"",операции!$AB:$AB,"&lt;&gt;"&amp;"",операции!$AB:$AB,"&lt;"&amp;N$8,операции!$O:$O,$F756)+SUMIFS(операции!$AF:$AF,операции!$T:$T,"&lt;"&amp;N$8,операции!$X:$X,"&gt;="&amp;N$8,операции!$AB:$AB,"&lt;&gt;"&amp;"",операции!$AB:$AB,"&lt;"&amp;N$8,операции!$O:$O,$F756))/N761)</f>
        <v>42207.929841451863</v>
      </c>
      <c r="O762" s="196"/>
      <c r="P762" s="193">
        <f>IF(P761=0,0,(SUMIFS(операции!$AF:$AF,операции!$T:$T,"&lt;"&amp;N$8,операции!$X:$X,"",операции!$AB:$AB,"&lt;&gt;"&amp;"",операции!$AB:$AB,"&lt;"&amp;N$8,операции!$L:$L,P$9,операции!$O:$O,$F756)+SUMIFS(операции!$AF:$AF,операции!$T:$T,"&lt;"&amp;N$8,операции!$X:$X,"&gt;="&amp;N$8,операции!$AB:$AB,"&lt;&gt;"&amp;"",операции!$AB:$AB,"&lt;"&amp;N$8,операции!$L:$L,P$9,операции!$O:$O,$F756))/P761)</f>
        <v>42207.929841451863</v>
      </c>
      <c r="Q762" s="237">
        <f>IF(Q761=0,0,(SUMIFS(операции!$AF:$AF,операции!$T:$T,"&lt;"&amp;N$8,операции!$X:$X,"",операции!$AB:$AB,"&lt;&gt;"&amp;"",операции!$AB:$AB,"&lt;"&amp;N$8,операции!$L:$L,Q$9,операции!$O:$O,$F756)+SUMIFS(операции!$AF:$AF,операции!$T:$T,"&lt;"&amp;N$8,операции!$X:$X,"&gt;="&amp;N$8,операции!$AB:$AB,"&lt;&gt;"&amp;"",операции!$AB:$AB,"&lt;"&amp;N$8,операции!$L:$L,Q$9,операции!$O:$O,$F756))/Q761)</f>
        <v>0</v>
      </c>
      <c r="R762" s="238"/>
      <c r="S762" s="193">
        <f>IF(S761=0,0,(SUMIFS(операции!$AF:$AF,операции!$T:$T,"&lt;"&amp;S$8,операции!$X:$X,"",операции!$AB:$AB,"&lt;&gt;"&amp;"",операции!$AB:$AB,"&lt;"&amp;S$8,операции!$O:$O,$F756)+SUMIFS(операции!$AF:$AF,операции!$T:$T,"&lt;"&amp;S$8,операции!$X:$X,"&gt;="&amp;S$8,операции!$AB:$AB,"&lt;&gt;"&amp;"",операции!$AB:$AB,"&lt;"&amp;S$8,операции!$O:$O,$F756))/S761)</f>
        <v>42214.521686452812</v>
      </c>
      <c r="T762" s="196"/>
      <c r="U762" s="193">
        <f>IF(U761=0,0,(SUMIFS(операции!$AF:$AF,операции!$T:$T,"&lt;"&amp;S$8,операции!$X:$X,"",операции!$AB:$AB,"&lt;&gt;"&amp;"",операции!$AB:$AB,"&lt;"&amp;S$8,операции!$L:$L,U$9,операции!$O:$O,$F756)+SUMIFS(операции!$AF:$AF,операции!$T:$T,"&lt;"&amp;S$8,операции!$X:$X,"&gt;="&amp;S$8,операции!$AB:$AB,"&lt;&gt;"&amp;"",операции!$AB:$AB,"&lt;"&amp;S$8,операции!$L:$L,U$9,операции!$O:$O,$F756))/U761)</f>
        <v>42214.521686452812</v>
      </c>
      <c r="V762" s="237">
        <f>IF(V761=0,0,(SUMIFS(операции!$AF:$AF,операции!$T:$T,"&lt;"&amp;S$8,операции!$X:$X,"",операции!$AB:$AB,"&lt;&gt;"&amp;"",операции!$AB:$AB,"&lt;"&amp;S$8,операции!$L:$L,V$9,операции!$O:$O,$F756)+SUMIFS(операции!$AF:$AF,операции!$T:$T,"&lt;"&amp;S$8,операции!$X:$X,"&gt;="&amp;S$8,операции!$AB:$AB,"&lt;&gt;"&amp;"",операции!$AB:$AB,"&lt;"&amp;S$8,операции!$L:$L,V$9,операции!$O:$O,$F756))/V761)</f>
        <v>0</v>
      </c>
      <c r="W762" s="238"/>
      <c r="X762" s="193">
        <f>IF(X761=0,0,(SUMIFS(операции!$AF:$AF,операции!$T:$T,"&lt;"&amp;X$8,операции!$X:$X,"",операции!$AB:$AB,"&lt;&gt;"&amp;"",операции!$AB:$AB,"&lt;"&amp;X$8,операции!$O:$O,$F756)+SUMIFS(операции!$AF:$AF,операции!$T:$T,"&lt;"&amp;X$8,операции!$X:$X,"&gt;="&amp;X$8,операции!$AB:$AB,"&lt;&gt;"&amp;"",операции!$AB:$AB,"&lt;"&amp;X$8,операции!$O:$O,$F756))/X761)</f>
        <v>42201.394737721173</v>
      </c>
      <c r="Y762" s="196"/>
      <c r="Z762" s="193">
        <f>IF(Z761=0,0,(SUMIFS(операции!$AF:$AF,операции!$T:$T,"&lt;"&amp;X$8,операции!$X:$X,"",операции!$AB:$AB,"&lt;&gt;"&amp;"",операции!$AB:$AB,"&lt;"&amp;X$8,операции!$L:$L,Z$9,операции!$O:$O,$F756)+SUMIFS(операции!$AF:$AF,операции!$T:$T,"&lt;"&amp;X$8,операции!$X:$X,"&gt;="&amp;X$8,операции!$AB:$AB,"&lt;&gt;"&amp;"",операции!$AB:$AB,"&lt;"&amp;X$8,операции!$L:$L,Z$9,операции!$O:$O,$F756))/Z761)</f>
        <v>42201.394737721173</v>
      </c>
      <c r="AA762" s="237">
        <f>IF(AA761=0,0,(SUMIFS(операции!$AF:$AF,операции!$T:$T,"&lt;"&amp;X$8,операции!$X:$X,"",операции!$AB:$AB,"&lt;&gt;"&amp;"",операции!$AB:$AB,"&lt;"&amp;X$8,операции!$L:$L,AA$9,операции!$O:$O,$F756)+SUMIFS(операции!$AF:$AF,операции!$T:$T,"&lt;"&amp;X$8,операции!$X:$X,"&gt;="&amp;X$8,операции!$AB:$AB,"&lt;&gt;"&amp;"",операции!$AB:$AB,"&lt;"&amp;X$8,операции!$L:$L,AA$9,операции!$O:$O,$F756))/AA761)</f>
        <v>0</v>
      </c>
      <c r="AB762" s="265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</row>
    <row r="763" spans="1:42" s="192" customFormat="1" ht="11.25">
      <c r="A763" s="37"/>
      <c r="B763" s="37"/>
      <c r="C763" s="37"/>
      <c r="D763" s="191"/>
      <c r="E763" s="191" t="s">
        <v>260</v>
      </c>
      <c r="F763" s="191" t="str">
        <f t="shared" si="1316"/>
        <v>Гранта</v>
      </c>
      <c r="G763" s="191" t="s">
        <v>219</v>
      </c>
      <c r="H763" s="315"/>
      <c r="I763" s="329">
        <f>IF(I761=0,0,I$8-I762)</f>
        <v>70.070158548136533</v>
      </c>
      <c r="J763" s="317"/>
      <c r="K763" s="329">
        <f>IF(K761=0,0,I$8-K762)</f>
        <v>70.070158548136533</v>
      </c>
      <c r="L763" s="330">
        <f>IF(L761=0,0,I$8-L762)</f>
        <v>0</v>
      </c>
      <c r="M763" s="274"/>
      <c r="N763" s="156">
        <f>IF(N761=0,0,N$8-N762)</f>
        <v>70.070158548136533</v>
      </c>
      <c r="O763" s="196"/>
      <c r="P763" s="156">
        <f>IF(P761=0,0,N$8-P762)</f>
        <v>70.070158548136533</v>
      </c>
      <c r="Q763" s="245">
        <f>IF(Q761=0,0,N$8-Q762)</f>
        <v>0</v>
      </c>
      <c r="R763" s="238"/>
      <c r="S763" s="156">
        <f>IF(S761=0,0,S$8-S762)</f>
        <v>94.478313547188009</v>
      </c>
      <c r="T763" s="196"/>
      <c r="U763" s="156">
        <f>IF(U761=0,0,S$8-U762)</f>
        <v>94.478313547188009</v>
      </c>
      <c r="V763" s="245">
        <f>IF(V761=0,0,S$8-V762)</f>
        <v>0</v>
      </c>
      <c r="W763" s="238"/>
      <c r="X763" s="156">
        <f>IF(X761=0,0,X$8-X762)</f>
        <v>137.60526227882656</v>
      </c>
      <c r="Y763" s="196"/>
      <c r="Z763" s="156">
        <f>IF(Z761=0,0,X$8-Z762)</f>
        <v>137.60526227882656</v>
      </c>
      <c r="AA763" s="245">
        <f>IF(AA761=0,0,X$8-AA762)</f>
        <v>0</v>
      </c>
      <c r="AB763" s="265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</row>
    <row r="764" spans="1:42" s="192" customFormat="1" ht="11.25">
      <c r="A764" s="37"/>
      <c r="B764" s="37"/>
      <c r="C764" s="37"/>
      <c r="D764" s="191"/>
      <c r="E764" s="191" t="s">
        <v>259</v>
      </c>
      <c r="F764" s="191" t="str">
        <f t="shared" si="1316"/>
        <v>Гранта</v>
      </c>
      <c r="G764" s="191" t="s">
        <v>262</v>
      </c>
      <c r="H764" s="315"/>
      <c r="I764" s="316">
        <f>IF(I761=0,0,(SUMIFS(операции!$AH:$AH,операции!$T:$T,"&lt;"&amp;I$8,операции!$X:$X,"",операции!$AB:$AB,"&lt;&gt;"&amp;"",операции!$AB:$AB,"&lt;"&amp;I$8,операции!$O:$O,$F756)+SUMIFS(операции!$AH:$AH,операции!$T:$T,"&lt;"&amp;I$8,операции!$X:$X,"&gt;="&amp;I$8,операции!$AB:$AB,"&lt;&gt;"&amp;"",операции!$AB:$AB,"&lt;"&amp;I$8,операции!$O:$O,$F756))/I761)</f>
        <v>42236.502059763545</v>
      </c>
      <c r="J764" s="317"/>
      <c r="K764" s="316">
        <f>IF(K761=0,0,(SUMIFS(операции!$AH:$AH,операции!$T:$T,"&lt;"&amp;I$8,операции!$X:$X,"",операции!$AB:$AB,"&lt;&gt;"&amp;"",операции!$AB:$AB,"&lt;"&amp;I$8,операции!$L:$L,K$9,операции!$O:$O,$F756)+SUMIFS(операции!$AH:$AH,операции!$T:$T,"&lt;"&amp;I$8,операции!$X:$X,"&gt;="&amp;I$8,операции!$AB:$AB,"&lt;&gt;"&amp;"",операции!$AB:$AB,"&lt;"&amp;I$8,операции!$L:$L,K$9,операции!$O:$O,$F756))/K761)</f>
        <v>42236.502059763545</v>
      </c>
      <c r="L764" s="318">
        <f>IF(L761=0,0,(SUMIFS(операции!$AH:$AH,операции!$T:$T,"&lt;"&amp;I$8,операции!$X:$X,"",операции!$AB:$AB,"&lt;&gt;"&amp;"",операции!$AB:$AB,"&lt;"&amp;I$8,операции!$L:$L,L$9,операции!$O:$O,$F756)+SUMIFS(операции!$AH:$AH,операции!$T:$T,"&lt;"&amp;I$8,операции!$X:$X,"&gt;="&amp;I$8,операции!$AB:$AB,"&lt;&gt;"&amp;"",операции!$AB:$AB,"&lt;"&amp;I$8,операции!$L:$L,L$9,операции!$O:$O,$F756))/L761)</f>
        <v>0</v>
      </c>
      <c r="M764" s="274"/>
      <c r="N764" s="193">
        <f>IF(N761=0,0,(SUMIFS(операции!$AH:$AH,операции!$T:$T,"&lt;"&amp;N$8,операции!$X:$X,"",операции!$AB:$AB,"&lt;&gt;"&amp;"",операции!$AB:$AB,"&lt;"&amp;N$8,операции!$O:$O,$F756)+SUMIFS(операции!$AH:$AH,операции!$T:$T,"&lt;"&amp;N$8,операции!$X:$X,"&gt;="&amp;N$8,операции!$AB:$AB,"&lt;&gt;"&amp;"",операции!$AB:$AB,"&lt;"&amp;N$8,операции!$O:$O,$F756))/N761)</f>
        <v>42236.502059763545</v>
      </c>
      <c r="O764" s="196"/>
      <c r="P764" s="193">
        <f>IF(P761=0,0,(SUMIFS(операции!$AH:$AH,операции!$T:$T,"&lt;"&amp;N$8,операции!$X:$X,"",операции!$AB:$AB,"&lt;&gt;"&amp;"",операции!$AB:$AB,"&lt;"&amp;N$8,операции!$L:$L,P$9,операции!$O:$O,$F756)+SUMIFS(операции!$AH:$AH,операции!$T:$T,"&lt;"&amp;N$8,операции!$X:$X,"&gt;="&amp;N$8,операции!$AB:$AB,"&lt;&gt;"&amp;"",операции!$AB:$AB,"&lt;"&amp;N$8,операции!$L:$L,P$9,операции!$O:$O,$F756))/P761)</f>
        <v>42236.502059763545</v>
      </c>
      <c r="Q764" s="237">
        <f>IF(Q761=0,0,(SUMIFS(операции!$AH:$AH,операции!$T:$T,"&lt;"&amp;N$8,операции!$X:$X,"",операции!$AB:$AB,"&lt;&gt;"&amp;"",операции!$AB:$AB,"&lt;"&amp;N$8,операции!$L:$L,Q$9,операции!$O:$O,$F756)+SUMIFS(операции!$AH:$AH,операции!$T:$T,"&lt;"&amp;N$8,операции!$X:$X,"&gt;="&amp;N$8,операции!$AB:$AB,"&lt;&gt;"&amp;"",операции!$AB:$AB,"&lt;"&amp;N$8,операции!$L:$L,Q$9,операции!$O:$O,$F756))/Q761)</f>
        <v>0</v>
      </c>
      <c r="R764" s="238"/>
      <c r="S764" s="193">
        <f>IF(S761=0,0,(SUMIFS(операции!$AH:$AH,операции!$T:$T,"&lt;"&amp;S$8,операции!$X:$X,"",операции!$AB:$AB,"&lt;&gt;"&amp;"",операции!$AB:$AB,"&lt;"&amp;S$8,операции!$O:$O,$F756)+SUMIFS(операции!$AH:$AH,операции!$T:$T,"&lt;"&amp;S$8,операции!$X:$X,"&gt;="&amp;S$8,операции!$AB:$AB,"&lt;&gt;"&amp;"",операции!$AB:$AB,"&lt;"&amp;S$8,операции!$O:$O,$F756))/S761)</f>
        <v>42248.090906325364</v>
      </c>
      <c r="T764" s="196"/>
      <c r="U764" s="193">
        <f>IF(U761=0,0,(SUMIFS(операции!$AH:$AH,операции!$T:$T,"&lt;"&amp;S$8,операции!$X:$X,"",операции!$AB:$AB,"&lt;&gt;"&amp;"",операции!$AB:$AB,"&lt;"&amp;S$8,операции!$L:$L,U$9,операции!$O:$O,$F756)+SUMIFS(операции!$AH:$AH,операции!$T:$T,"&lt;"&amp;S$8,операции!$X:$X,"&gt;="&amp;S$8,операции!$AB:$AB,"&lt;&gt;"&amp;"",операции!$AB:$AB,"&lt;"&amp;S$8,операции!$L:$L,U$9,операции!$O:$O,$F756))/U761)</f>
        <v>42248.090906325364</v>
      </c>
      <c r="V764" s="237">
        <f>IF(V761=0,0,(SUMIFS(операции!$AH:$AH,операции!$T:$T,"&lt;"&amp;S$8,операции!$X:$X,"",операции!$AB:$AB,"&lt;&gt;"&amp;"",операции!$AB:$AB,"&lt;"&amp;S$8,операции!$L:$L,V$9,операции!$O:$O,$F756)+SUMIFS(операции!$AH:$AH,операции!$T:$T,"&lt;"&amp;S$8,операции!$X:$X,"&gt;="&amp;S$8,операции!$AB:$AB,"&lt;&gt;"&amp;"",операции!$AB:$AB,"&lt;"&amp;S$8,операции!$L:$L,V$9,операции!$O:$O,$F756))/V761)</f>
        <v>0</v>
      </c>
      <c r="W764" s="238"/>
      <c r="X764" s="193">
        <f>IF(X761=0,0,(SUMIFS(операции!$AH:$AH,операции!$T:$T,"&lt;"&amp;X$8,операции!$X:$X,"",операции!$AB:$AB,"&lt;&gt;"&amp;"",операции!$AB:$AB,"&lt;"&amp;X$8,операции!$O:$O,$F756)+SUMIFS(операции!$AH:$AH,операции!$T:$T,"&lt;"&amp;X$8,операции!$X:$X,"&gt;="&amp;X$8,операции!$AB:$AB,"&lt;&gt;"&amp;"",операции!$AB:$AB,"&lt;"&amp;X$8,операции!$O:$O,$F756))/X761)</f>
        <v>42229.152352006764</v>
      </c>
      <c r="Y764" s="196"/>
      <c r="Z764" s="193">
        <f>IF(Z761=0,0,(SUMIFS(операции!$AH:$AH,операции!$T:$T,"&lt;"&amp;X$8,операции!$X:$X,"",операции!$AB:$AB,"&lt;&gt;"&amp;"",операции!$AB:$AB,"&lt;"&amp;X$8,операции!$L:$L,Z$9,операции!$O:$O,$F756)+SUMIFS(операции!$AH:$AH,операции!$T:$T,"&lt;"&amp;X$8,операции!$X:$X,"&gt;="&amp;X$8,операции!$AB:$AB,"&lt;&gt;"&amp;"",операции!$AB:$AB,"&lt;"&amp;X$8,операции!$L:$L,Z$9,операции!$O:$O,$F756))/Z761)</f>
        <v>42229.152352006764</v>
      </c>
      <c r="AA764" s="237">
        <f>IF(AA761=0,0,(SUMIFS(операции!$AH:$AH,операции!$T:$T,"&lt;"&amp;X$8,операции!$X:$X,"",операции!$AB:$AB,"&lt;&gt;"&amp;"",операции!$AB:$AB,"&lt;"&amp;X$8,операции!$L:$L,AA$9,операции!$O:$O,$F756)+SUMIFS(операции!$AH:$AH,операции!$T:$T,"&lt;"&amp;X$8,операции!$X:$X,"&gt;="&amp;X$8,операции!$AB:$AB,"&lt;&gt;"&amp;"",операции!$AB:$AB,"&lt;"&amp;X$8,операции!$L:$L,AA$9,операции!$O:$O,$F756))/AA761)</f>
        <v>0</v>
      </c>
      <c r="AB764" s="265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</row>
    <row r="765" spans="1:42" s="192" customFormat="1" ht="11.25">
      <c r="A765" s="37"/>
      <c r="B765" s="37"/>
      <c r="C765" s="37"/>
      <c r="D765" s="191"/>
      <c r="E765" s="191" t="s">
        <v>265</v>
      </c>
      <c r="F765" s="191" t="str">
        <f t="shared" si="1316"/>
        <v>Гранта</v>
      </c>
      <c r="G765" s="191" t="s">
        <v>219</v>
      </c>
      <c r="H765" s="315"/>
      <c r="I765" s="329">
        <f>I764-I762</f>
        <v>28.572218311681354</v>
      </c>
      <c r="J765" s="317"/>
      <c r="K765" s="329">
        <f t="shared" ref="K765" si="1329">K764-K762</f>
        <v>28.572218311681354</v>
      </c>
      <c r="L765" s="330">
        <f>L764-L762</f>
        <v>0</v>
      </c>
      <c r="M765" s="274"/>
      <c r="N765" s="156">
        <f>N764-N762</f>
        <v>28.572218311681354</v>
      </c>
      <c r="O765" s="196"/>
      <c r="P765" s="156">
        <f t="shared" ref="P765" si="1330">P764-P762</f>
        <v>28.572218311681354</v>
      </c>
      <c r="Q765" s="245">
        <f>Q764-Q762</f>
        <v>0</v>
      </c>
      <c r="R765" s="238"/>
      <c r="S765" s="156">
        <f>S764-S762</f>
        <v>33.569219872551912</v>
      </c>
      <c r="T765" s="196"/>
      <c r="U765" s="156">
        <f t="shared" ref="U765" si="1331">U764-U762</f>
        <v>33.569219872551912</v>
      </c>
      <c r="V765" s="245">
        <f>V764-V762</f>
        <v>0</v>
      </c>
      <c r="W765" s="238"/>
      <c r="X765" s="156">
        <f>X764-X762</f>
        <v>27.757614285590535</v>
      </c>
      <c r="Y765" s="196"/>
      <c r="Z765" s="156">
        <f t="shared" ref="Z765" si="1332">Z764-Z762</f>
        <v>27.757614285590535</v>
      </c>
      <c r="AA765" s="245">
        <f>AA764-AA762</f>
        <v>0</v>
      </c>
      <c r="AB765" s="265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</row>
    <row r="766" spans="1:42" s="192" customFormat="1" ht="11.25">
      <c r="A766" s="37"/>
      <c r="B766" s="37"/>
      <c r="C766" s="37"/>
      <c r="D766" s="191"/>
      <c r="E766" s="191" t="s">
        <v>268</v>
      </c>
      <c r="F766" s="191" t="str">
        <f t="shared" si="1316"/>
        <v>Гранта</v>
      </c>
      <c r="G766" s="191" t="s">
        <v>219</v>
      </c>
      <c r="H766" s="315"/>
      <c r="I766" s="329">
        <f>I763-I765</f>
        <v>41.497940236455179</v>
      </c>
      <c r="J766" s="317"/>
      <c r="K766" s="329">
        <f t="shared" ref="K766" si="1333">K763-K765</f>
        <v>41.497940236455179</v>
      </c>
      <c r="L766" s="330">
        <f t="shared" ref="L766" si="1334">L763-L765</f>
        <v>0</v>
      </c>
      <c r="M766" s="274"/>
      <c r="N766" s="156">
        <f>N763-N765</f>
        <v>41.497940236455179</v>
      </c>
      <c r="O766" s="196"/>
      <c r="P766" s="156">
        <f t="shared" ref="P766" si="1335">P763-P765</f>
        <v>41.497940236455179</v>
      </c>
      <c r="Q766" s="245">
        <f t="shared" ref="Q766" si="1336">Q763-Q765</f>
        <v>0</v>
      </c>
      <c r="R766" s="238"/>
      <c r="S766" s="156">
        <f>S763-S765</f>
        <v>60.909093674636097</v>
      </c>
      <c r="T766" s="196"/>
      <c r="U766" s="156">
        <f t="shared" ref="U766" si="1337">U763-U765</f>
        <v>60.909093674636097</v>
      </c>
      <c r="V766" s="245">
        <f t="shared" ref="V766" si="1338">V763-V765</f>
        <v>0</v>
      </c>
      <c r="W766" s="238"/>
      <c r="X766" s="156">
        <f>X763-X765</f>
        <v>109.84764799323602</v>
      </c>
      <c r="Y766" s="196"/>
      <c r="Z766" s="156">
        <f t="shared" ref="Z766" si="1339">Z763-Z765</f>
        <v>109.84764799323602</v>
      </c>
      <c r="AA766" s="245">
        <f t="shared" ref="AA766" si="1340">AA763-AA765</f>
        <v>0</v>
      </c>
      <c r="AB766" s="265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</row>
    <row r="767" spans="1:42" s="5" customFormat="1">
      <c r="A767" s="1"/>
      <c r="B767" s="1"/>
      <c r="C767" s="1"/>
      <c r="D767" s="168"/>
      <c r="E767" s="168" t="s">
        <v>276</v>
      </c>
      <c r="F767" s="168" t="str">
        <f t="shared" si="1316"/>
        <v>Гранта</v>
      </c>
      <c r="G767" s="168" t="s">
        <v>261</v>
      </c>
      <c r="H767" s="326"/>
      <c r="I767" s="327">
        <f>SUMIFS(операции!$V:$V,операции!$T:$T,"&lt;"&amp;I$8,операции!$X:$X,"",операции!$AB:$AB,"",операции!$O:$O,$F756)+SUMIFS(операции!$V:$V,операции!$T:$T,"&lt;"&amp;I$8,операции!$X:$X,"&gt;="&amp;I$8,операции!$AB:$AB,"",операции!$O:$O,$F756)+SUMIFS(операции!$V:$V,операции!$T:$T,"&lt;"&amp;I$8,операции!$X:$X,"",операции!$AB:$AB,"&gt;="&amp;I$8,операции!$O:$O,$F756)+SUMIFS(операции!$V:$V,операции!$T:$T,"&lt;"&amp;I$8,операции!$X:$X,"&gt;="&amp;I$8,операции!$AB:$AB,"&gt;="&amp;I$8,операции!$O:$O,$F756)</f>
        <v>22685.879999999997</v>
      </c>
      <c r="J767" s="313">
        <f>I767-K767-L767</f>
        <v>0</v>
      </c>
      <c r="K767" s="327">
        <f>SUMIFS(операции!$V:$V,операции!$T:$T,"&lt;"&amp;I$8,операции!$X:$X,"",операции!$AB:$AB,"",операции!$L:$L,K$9,операции!$O:$O,$F756)+SUMIFS(операции!$V:$V,операции!$T:$T,"&lt;"&amp;I$8,операции!$X:$X,"&gt;="&amp;I$8,операции!$AB:$AB,"",операции!$L:$L,K$9,операции!$O:$O,$F756)+SUMIFS(операции!$V:$V,операции!$T:$T,"&lt;"&amp;I$8,операции!$X:$X,"",операции!$AB:$AB,"&gt;="&amp;I$8,операции!$L:$L,K$9,операции!$O:$O,$F756)+SUMIFS(операции!$V:$V,операции!$T:$T,"&lt;"&amp;I$8,операции!$X:$X,"&gt;="&amp;I$8,операции!$AB:$AB,"&gt;="&amp;I$8,операции!$L:$L,K$9,операции!$O:$O,$F756)</f>
        <v>22685.879999999997</v>
      </c>
      <c r="L767" s="328">
        <f>SUMIFS(операции!$V:$V,операции!$T:$T,"&lt;"&amp;I$8,операции!$X:$X,"",операции!$AB:$AB,"",операции!$L:$L,L$9,операции!$O:$O,$F756)+SUMIFS(операции!$V:$V,операции!$T:$T,"&lt;"&amp;I$8,операции!$X:$X,"&gt;="&amp;I$8,операции!$AB:$AB,"",операции!$L:$L,L$9,операции!$O:$O,$F756)+SUMIFS(операции!$V:$V,операции!$T:$T,"&lt;"&amp;I$8,операции!$X:$X,"",операции!$AB:$AB,"&gt;="&amp;I$8,операции!$L:$L,L$9,операции!$O:$O,$F756)+SUMIFS(операции!$V:$V,операции!$T:$T,"&lt;"&amp;I$8,операции!$X:$X,"&gt;="&amp;I$8,операции!$AB:$AB,"&gt;="&amp;I$8,операции!$L:$L,L$9,операции!$O:$O,$F756)</f>
        <v>0</v>
      </c>
      <c r="M767" s="277"/>
      <c r="N767" s="169">
        <f>SUMIFS(операции!$V:$V,операции!$T:$T,"&lt;"&amp;N$8,операции!$X:$X,"",операции!$AB:$AB,"",операции!$O:$O,$F756)+SUMIFS(операции!$V:$V,операции!$T:$T,"&lt;"&amp;N$8,операции!$X:$X,"&gt;="&amp;N$8,операции!$AB:$AB,"",операции!$O:$O,$F756)+SUMIFS(операции!$V:$V,операции!$T:$T,"&lt;"&amp;N$8,операции!$X:$X,"",операции!$AB:$AB,"&gt;="&amp;N$8,операции!$O:$O,$F756)+SUMIFS(операции!$V:$V,операции!$T:$T,"&lt;"&amp;N$8,операции!$X:$X,"&gt;="&amp;N$8,операции!$AB:$AB,"&gt;="&amp;N$8,операции!$O:$O,$F756)</f>
        <v>22685.879999999997</v>
      </c>
      <c r="O767" s="170">
        <f>N767-P767-Q767</f>
        <v>0</v>
      </c>
      <c r="P767" s="169">
        <f>SUMIFS(операции!$V:$V,операции!$T:$T,"&lt;"&amp;N$8,операции!$X:$X,"",операции!$AB:$AB,"",операции!$L:$L,P$9,операции!$O:$O,$F756)+SUMIFS(операции!$V:$V,операции!$T:$T,"&lt;"&amp;N$8,операции!$X:$X,"&gt;="&amp;N$8,операции!$AB:$AB,"",операции!$L:$L,P$9,операции!$O:$O,$F756)+SUMIFS(операции!$V:$V,операции!$T:$T,"&lt;"&amp;N$8,операции!$X:$X,"",операции!$AB:$AB,"&gt;="&amp;N$8,операции!$L:$L,P$9,операции!$O:$O,$F756)+SUMIFS(операции!$V:$V,операции!$T:$T,"&lt;"&amp;N$8,операции!$X:$X,"&gt;="&amp;N$8,операции!$AB:$AB,"&gt;="&amp;N$8,операции!$L:$L,P$9,операции!$O:$O,$F756)</f>
        <v>22685.879999999997</v>
      </c>
      <c r="Q767" s="243">
        <f>SUMIFS(операции!$V:$V,операции!$T:$T,"&lt;"&amp;N$8,операции!$X:$X,"",операции!$AB:$AB,"",операции!$L:$L,Q$9,операции!$O:$O,$F756)+SUMIFS(операции!$V:$V,операции!$T:$T,"&lt;"&amp;N$8,операции!$X:$X,"&gt;="&amp;N$8,операции!$AB:$AB,"",операции!$L:$L,Q$9,операции!$O:$O,$F756)+SUMIFS(операции!$V:$V,операции!$T:$T,"&lt;"&amp;N$8,операции!$X:$X,"",операции!$AB:$AB,"&gt;="&amp;N$8,операции!$L:$L,Q$9,операции!$O:$O,$F756)+SUMIFS(операции!$V:$V,операции!$T:$T,"&lt;"&amp;N$8,операции!$X:$X,"&gt;="&amp;N$8,операции!$AB:$AB,"&gt;="&amp;N$8,операции!$L:$L,Q$9,операции!$O:$O,$F756)</f>
        <v>0</v>
      </c>
      <c r="R767" s="244"/>
      <c r="S767" s="169">
        <f>SUMIFS(операции!$V:$V,операции!$T:$T,"&lt;"&amp;S$8,операции!$X:$X,"",операции!$AB:$AB,"",операции!$O:$O,$F756)+SUMIFS(операции!$V:$V,операции!$T:$T,"&lt;"&amp;S$8,операции!$X:$X,"&gt;="&amp;S$8,операции!$AB:$AB,"",операции!$O:$O,$F756)+SUMIFS(операции!$V:$V,операции!$T:$T,"&lt;"&amp;S$8,операции!$X:$X,"",операции!$AB:$AB,"&gt;="&amp;S$8,операции!$O:$O,$F756)+SUMIFS(операции!$V:$V,операции!$T:$T,"&lt;"&amp;S$8,операции!$X:$X,"&gt;="&amp;S$8,операции!$AB:$AB,"&gt;="&amp;S$8,операции!$O:$O,$F756)</f>
        <v>7987.51</v>
      </c>
      <c r="T767" s="170">
        <f>S767-U767-V767</f>
        <v>0</v>
      </c>
      <c r="U767" s="169">
        <f>SUMIFS(операции!$V:$V,операции!$T:$T,"&lt;"&amp;S$8,операции!$X:$X,"",операции!$AB:$AB,"",операции!$L:$L,U$9,операции!$O:$O,$F756)+SUMIFS(операции!$V:$V,операции!$T:$T,"&lt;"&amp;S$8,операции!$X:$X,"&gt;="&amp;S$8,операции!$AB:$AB,"",операции!$L:$L,U$9,операции!$O:$O,$F756)+SUMIFS(операции!$V:$V,операции!$T:$T,"&lt;"&amp;S$8,операции!$X:$X,"",операции!$AB:$AB,"&gt;="&amp;S$8,операции!$L:$L,U$9,операции!$O:$O,$F756)+SUMIFS(операции!$V:$V,операции!$T:$T,"&lt;"&amp;S$8,операции!$X:$X,"&gt;="&amp;S$8,операции!$AB:$AB,"&gt;="&amp;S$8,операции!$L:$L,U$9,операции!$O:$O,$F756)</f>
        <v>7987.51</v>
      </c>
      <c r="V767" s="243">
        <f>SUMIFS(операции!$V:$V,операции!$T:$T,"&lt;"&amp;S$8,операции!$X:$X,"",операции!$AB:$AB,"",операции!$L:$L,V$9,операции!$O:$O,$F756)+SUMIFS(операции!$V:$V,операции!$T:$T,"&lt;"&amp;S$8,операции!$X:$X,"&gt;="&amp;S$8,операции!$AB:$AB,"",операции!$L:$L,V$9,операции!$O:$O,$F756)+SUMIFS(операции!$V:$V,операции!$T:$T,"&lt;"&amp;S$8,операции!$X:$X,"",операции!$AB:$AB,"&gt;="&amp;S$8,операции!$L:$L,V$9,операции!$O:$O,$F756)+SUMIFS(операции!$V:$V,операции!$T:$T,"&lt;"&amp;S$8,операции!$X:$X,"&gt;="&amp;S$8,операции!$AB:$AB,"&gt;="&amp;S$8,операции!$L:$L,V$9,операции!$O:$O,$F756)</f>
        <v>0</v>
      </c>
      <c r="W767" s="244"/>
      <c r="X767" s="169">
        <f>SUMIFS(операции!$V:$V,операции!$T:$T,"&lt;"&amp;X$8,операции!$X:$X,"",операции!$AB:$AB,"",операции!$O:$O,$F756)+SUMIFS(операции!$V:$V,операции!$T:$T,"&lt;"&amp;X$8,операции!$X:$X,"&gt;="&amp;X$8,операции!$AB:$AB,"",операции!$O:$O,$F756)+SUMIFS(операции!$V:$V,операции!$T:$T,"&lt;"&amp;X$8,операции!$X:$X,"",операции!$AB:$AB,"&gt;="&amp;X$8,операции!$O:$O,$F756)+SUMIFS(операции!$V:$V,операции!$T:$T,"&lt;"&amp;X$8,операции!$X:$X,"&gt;="&amp;X$8,операции!$AB:$AB,"&gt;="&amp;X$8,операции!$O:$O,$F756)</f>
        <v>29239.18</v>
      </c>
      <c r="Y767" s="170">
        <f>X767-Z767-AA767</f>
        <v>0</v>
      </c>
      <c r="Z767" s="169">
        <f>SUMIFS(операции!$V:$V,операции!$T:$T,"&lt;"&amp;X$8,операции!$X:$X,"",операции!$AB:$AB,"",операции!$L:$L,Z$9,операции!$O:$O,$F756)+SUMIFS(операции!$V:$V,операции!$T:$T,"&lt;"&amp;X$8,операции!$X:$X,"&gt;="&amp;X$8,операции!$AB:$AB,"",операции!$L:$L,Z$9,операции!$O:$O,$F756)+SUMIFS(операции!$V:$V,операции!$T:$T,"&lt;"&amp;X$8,операции!$X:$X,"",операции!$AB:$AB,"&gt;="&amp;X$8,операции!$L:$L,Z$9,операции!$O:$O,$F756)+SUMIFS(операции!$V:$V,операции!$T:$T,"&lt;"&amp;X$8,операции!$X:$X,"&gt;="&amp;X$8,операции!$AB:$AB,"&gt;="&amp;X$8,операции!$L:$L,Z$9,операции!$O:$O,$F756)</f>
        <v>0</v>
      </c>
      <c r="AA767" s="243">
        <f>SUMIFS(операции!$V:$V,операции!$T:$T,"&lt;"&amp;X$8,операции!$X:$X,"",операции!$AB:$AB,"",операции!$L:$L,AA$9,операции!$O:$O,$F756)+SUMIFS(операции!$V:$V,операции!$T:$T,"&lt;"&amp;X$8,операции!$X:$X,"&gt;="&amp;X$8,операции!$AB:$AB,"",операции!$L:$L,AA$9,операции!$O:$O,$F756)+SUMIFS(операции!$V:$V,операции!$T:$T,"&lt;"&amp;X$8,операции!$X:$X,"",операции!$AB:$AB,"&gt;="&amp;X$8,операции!$L:$L,AA$9,операции!$O:$O,$F756)+SUMIFS(операции!$V:$V,операции!$T:$T,"&lt;"&amp;X$8,операции!$X:$X,"&gt;="&amp;X$8,операции!$AB:$AB,"&gt;="&amp;X$8,операции!$L:$L,AA$9,операции!$O:$O,$F756)</f>
        <v>29239.18</v>
      </c>
      <c r="AB767" s="266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s="192" customFormat="1" ht="11.25">
      <c r="A768" s="37"/>
      <c r="B768" s="37"/>
      <c r="C768" s="37"/>
      <c r="D768" s="191"/>
      <c r="E768" s="191" t="s">
        <v>255</v>
      </c>
      <c r="F768" s="191" t="str">
        <f t="shared" si="1316"/>
        <v>Гранта</v>
      </c>
      <c r="G768" s="191" t="s">
        <v>262</v>
      </c>
      <c r="H768" s="315"/>
      <c r="I768" s="316">
        <f>IF(I767=0,0,(SUMIFS(операции!$AF:$AF,операции!$T:$T,"&lt;"&amp;I$8,операции!$X:$X,"",операции!$AB:$AB,"",операции!$O:$O,$F756)+SUMIFS(операции!$AF:$AF,операции!$T:$T,"&lt;"&amp;I$8,операции!$X:$X,"&gt;="&amp;I$8,операции!$AB:$AB,"",операции!$O:$O,$F756)+SUMIFS(операции!$AF:$AF,операции!$T:$T,"&lt;"&amp;I$8,операции!$X:$X,"",операции!$AB:$AB,"&gt;="&amp;I$8,операции!$O:$O,$F756)+SUMIFS(операции!$AF:$AF,операции!$T:$T,"&lt;"&amp;I$8,операции!$X:$X,"&gt;="&amp;I$8,операции!$AB:$AB,"&gt;="&amp;I$8,операции!$O:$O,$F756))/I767)</f>
        <v>42190.27060312406</v>
      </c>
      <c r="J768" s="317"/>
      <c r="K768" s="316">
        <f>IF(K767=0,0,(SUMIFS(операции!$AF:$AF,операции!$T:$T,"&lt;"&amp;I$8,операции!$X:$X,"",операции!$AB:$AB,"",операции!$L:$L,K$9,операции!$O:$O,$F756)+SUMIFS(операции!$AF:$AF,операции!$T:$T,"&lt;"&amp;I$8,операции!$X:$X,"&gt;="&amp;I$8,операции!$AB:$AB,"",операции!$L:$L,K$9,операции!$O:$O,$F756)+SUMIFS(операции!$AF:$AF,операции!$T:$T,"&lt;"&amp;I$8,операции!$X:$X,"",операции!$AB:$AB,"&gt;="&amp;I$8,операции!$L:$L,K$9,операции!$O:$O,$F756)+SUMIFS(операции!$AF:$AF,операции!$T:$T,"&lt;"&amp;I$8,операции!$X:$X,"&gt;="&amp;I$8,операции!$AB:$AB,"&gt;="&amp;I$8,операции!$L:$L,K$9,операции!$O:$O,$F756))/K767)</f>
        <v>42190.27060312406</v>
      </c>
      <c r="L768" s="318">
        <f>IF(L767=0,0,(SUMIFS(операции!$AF:$AF,операции!$T:$T,"&lt;"&amp;I$8,операции!$X:$X,"",операции!$AB:$AB,"",операции!$L:$L,L$9,операции!$O:$O,$F756)+SUMIFS(операции!$AF:$AF,операции!$T:$T,"&lt;"&amp;I$8,операции!$X:$X,"&gt;="&amp;I$8,операции!$AB:$AB,"",операции!$L:$L,L$9,операции!$O:$O,$F756)+SUMIFS(операции!$AF:$AF,операции!$T:$T,"&lt;"&amp;I$8,операции!$X:$X,"",операции!$AB:$AB,"&gt;="&amp;I$8,операции!$L:$L,L$9,операции!$O:$O,$F756)+SUMIFS(операции!$AF:$AF,операции!$T:$T,"&lt;"&amp;I$8,операции!$X:$X,"&gt;="&amp;I$8,операции!$AB:$AB,"&gt;="&amp;I$8,операции!$L:$L,L$9,операции!$O:$O,$F756))/L767)</f>
        <v>0</v>
      </c>
      <c r="M768" s="274"/>
      <c r="N768" s="193">
        <f>IF(N767=0,0,(SUMIFS(операции!$AF:$AF,операции!$T:$T,"&lt;"&amp;N$8,операции!$X:$X,"",операции!$AB:$AB,"",операции!$O:$O,$F756)+SUMIFS(операции!$AF:$AF,операции!$T:$T,"&lt;"&amp;N$8,операции!$X:$X,"&gt;="&amp;N$8,операции!$AB:$AB,"",операции!$O:$O,$F756)+SUMIFS(операции!$AF:$AF,операции!$T:$T,"&lt;"&amp;N$8,операции!$X:$X,"",операции!$AB:$AB,"&gt;="&amp;N$8,операции!$O:$O,$F756)+SUMIFS(операции!$AF:$AF,операции!$T:$T,"&lt;"&amp;N$8,операции!$X:$X,"&gt;="&amp;N$8,операции!$AB:$AB,"&gt;="&amp;N$8,операции!$O:$O,$F756))/N767)</f>
        <v>42190.27060312406</v>
      </c>
      <c r="O768" s="196"/>
      <c r="P768" s="193">
        <f>IF(P767=0,0,(SUMIFS(операции!$AF:$AF,операции!$T:$T,"&lt;"&amp;N$8,операции!$X:$X,"",операции!$AB:$AB,"",операции!$L:$L,P$9,операции!$O:$O,$F756)+SUMIFS(операции!$AF:$AF,операции!$T:$T,"&lt;"&amp;N$8,операции!$X:$X,"&gt;="&amp;N$8,операции!$AB:$AB,"",операции!$L:$L,P$9,операции!$O:$O,$F756)+SUMIFS(операции!$AF:$AF,операции!$T:$T,"&lt;"&amp;N$8,операции!$X:$X,"",операции!$AB:$AB,"&gt;="&amp;N$8,операции!$L:$L,P$9,операции!$O:$O,$F756)+SUMIFS(операции!$AF:$AF,операции!$T:$T,"&lt;"&amp;N$8,операции!$X:$X,"&gt;="&amp;N$8,операции!$AB:$AB,"&gt;="&amp;N$8,операции!$L:$L,P$9,операции!$O:$O,$F756))/P767)</f>
        <v>42190.27060312406</v>
      </c>
      <c r="Q768" s="237">
        <f>IF(Q767=0,0,(SUMIFS(операции!$AF:$AF,операции!$T:$T,"&lt;"&amp;N$8,операции!$X:$X,"",операции!$AB:$AB,"",операции!$L:$L,Q$9,операции!$O:$O,$F756)+SUMIFS(операции!$AF:$AF,операции!$T:$T,"&lt;"&amp;N$8,операции!$X:$X,"&gt;="&amp;N$8,операции!$AB:$AB,"",операции!$L:$L,Q$9,операции!$O:$O,$F756)+SUMIFS(операции!$AF:$AF,операции!$T:$T,"&lt;"&amp;N$8,операции!$X:$X,"",операции!$AB:$AB,"&gt;="&amp;N$8,операции!$L:$L,Q$9,операции!$O:$O,$F756)+SUMIFS(операции!$AF:$AF,операции!$T:$T,"&lt;"&amp;N$8,операции!$X:$X,"&gt;="&amp;N$8,операции!$AB:$AB,"&gt;="&amp;N$8,операции!$L:$L,Q$9,операции!$O:$O,$F756))/Q767)</f>
        <v>0</v>
      </c>
      <c r="R768" s="238"/>
      <c r="S768" s="193">
        <f>IF(S767=0,0,(SUMIFS(операции!$AF:$AF,операции!$T:$T,"&lt;"&amp;S$8,операции!$X:$X,"",операции!$AB:$AB,"",операции!$O:$O,$F756)+SUMIFS(операции!$AF:$AF,операции!$T:$T,"&lt;"&amp;S$8,операции!$X:$X,"&gt;="&amp;S$8,операции!$AB:$AB,"",операции!$O:$O,$F756)+SUMIFS(операции!$AF:$AF,операции!$T:$T,"&lt;"&amp;S$8,операции!$X:$X,"",операции!$AB:$AB,"&gt;="&amp;S$8,операции!$O:$O,$F756)+SUMIFS(операции!$AF:$AF,операции!$T:$T,"&lt;"&amp;S$8,операции!$X:$X,"&gt;="&amp;S$8,операции!$AB:$AB,"&gt;="&amp;S$8,операции!$O:$O,$F756))/S767)</f>
        <v>42122</v>
      </c>
      <c r="T768" s="196"/>
      <c r="U768" s="193">
        <f>IF(U767=0,0,(SUMIFS(операции!$AF:$AF,операции!$T:$T,"&lt;"&amp;S$8,операции!$X:$X,"",операции!$AB:$AB,"",операции!$L:$L,U$9,операции!$O:$O,$F756)+SUMIFS(операции!$AF:$AF,операции!$T:$T,"&lt;"&amp;S$8,операции!$X:$X,"&gt;="&amp;S$8,операции!$AB:$AB,"",операции!$L:$L,U$9,операции!$O:$O,$F756)+SUMIFS(операции!$AF:$AF,операции!$T:$T,"&lt;"&amp;S$8,операции!$X:$X,"",операции!$AB:$AB,"&gt;="&amp;S$8,операции!$L:$L,U$9,операции!$O:$O,$F756)+SUMIFS(операции!$AF:$AF,операции!$T:$T,"&lt;"&amp;S$8,операции!$X:$X,"&gt;="&amp;S$8,операции!$AB:$AB,"&gt;="&amp;S$8,операции!$L:$L,U$9,операции!$O:$O,$F756))/U767)</f>
        <v>42122</v>
      </c>
      <c r="V768" s="237">
        <f>IF(V767=0,0,(SUMIFS(операции!$AF:$AF,операции!$T:$T,"&lt;"&amp;S$8,операции!$X:$X,"",операции!$AB:$AB,"",операции!$L:$L,V$9,операции!$O:$O,$F756)+SUMIFS(операции!$AF:$AF,операции!$T:$T,"&lt;"&amp;S$8,операции!$X:$X,"&gt;="&amp;S$8,операции!$AB:$AB,"",операции!$L:$L,V$9,операции!$O:$O,$F756)+SUMIFS(операции!$AF:$AF,операции!$T:$T,"&lt;"&amp;S$8,операции!$X:$X,"",операции!$AB:$AB,"&gt;="&amp;S$8,операции!$L:$L,V$9,операции!$O:$O,$F756)+SUMIFS(операции!$AF:$AF,операции!$T:$T,"&lt;"&amp;S$8,операции!$X:$X,"&gt;="&amp;S$8,операции!$AB:$AB,"&gt;="&amp;S$8,операции!$L:$L,V$9,операции!$O:$O,$F756))/V767)</f>
        <v>0</v>
      </c>
      <c r="W768" s="238"/>
      <c r="X768" s="193">
        <f>IF(X767=0,0,(SUMIFS(операции!$AF:$AF,операции!$T:$T,"&lt;"&amp;X$8,операции!$X:$X,"",операции!$AB:$AB,"",операции!$O:$O,$F756)+SUMIFS(операции!$AF:$AF,операции!$T:$T,"&lt;"&amp;X$8,операции!$X:$X,"&gt;="&amp;X$8,операции!$AB:$AB,"",операции!$O:$O,$F756)+SUMIFS(операции!$AF:$AF,операции!$T:$T,"&lt;"&amp;X$8,операции!$X:$X,"",операции!$AB:$AB,"&gt;="&amp;X$8,операции!$O:$O,$F756)+SUMIFS(операции!$AF:$AF,операции!$T:$T,"&lt;"&amp;X$8,операции!$X:$X,"&gt;="&amp;X$8,операции!$AB:$AB,"&gt;="&amp;X$8,операции!$O:$O,$F756))/X767)</f>
        <v>42337.428658396027</v>
      </c>
      <c r="Y768" s="196"/>
      <c r="Z768" s="193">
        <f>IF(Z767=0,0,(SUMIFS(операции!$AF:$AF,операции!$T:$T,"&lt;"&amp;X$8,операции!$X:$X,"",операции!$AB:$AB,"",операции!$L:$L,Z$9,операции!$O:$O,$F756)+SUMIFS(операции!$AF:$AF,операции!$T:$T,"&lt;"&amp;X$8,операции!$X:$X,"&gt;="&amp;X$8,операции!$AB:$AB,"",операции!$L:$L,Z$9,операции!$O:$O,$F756)+SUMIFS(операции!$AF:$AF,операции!$T:$T,"&lt;"&amp;X$8,операции!$X:$X,"",операции!$AB:$AB,"&gt;="&amp;X$8,операции!$L:$L,Z$9,операции!$O:$O,$F756)+SUMIFS(операции!$AF:$AF,операции!$T:$T,"&lt;"&amp;X$8,операции!$X:$X,"&gt;="&amp;X$8,операции!$AB:$AB,"&gt;="&amp;X$8,операции!$L:$L,Z$9,операции!$O:$O,$F756))/Z767)</f>
        <v>0</v>
      </c>
      <c r="AA768" s="237">
        <f>IF(AA767=0,0,(SUMIFS(операции!$AF:$AF,операции!$T:$T,"&lt;"&amp;X$8,операции!$X:$X,"",операции!$AB:$AB,"",операции!$L:$L,AA$9,операции!$O:$O,$F756)+SUMIFS(операции!$AF:$AF,операции!$T:$T,"&lt;"&amp;X$8,операции!$X:$X,"&gt;="&amp;X$8,операции!$AB:$AB,"",операции!$L:$L,AA$9,операции!$O:$O,$F756)+SUMIFS(операции!$AF:$AF,операции!$T:$T,"&lt;"&amp;X$8,операции!$X:$X,"",операции!$AB:$AB,"&gt;="&amp;X$8,операции!$L:$L,AA$9,операции!$O:$O,$F756)+SUMIFS(операции!$AF:$AF,операции!$T:$T,"&lt;"&amp;X$8,операции!$X:$X,"&gt;="&amp;X$8,операции!$AB:$AB,"&gt;="&amp;X$8,операции!$L:$L,AA$9,операции!$O:$O,$F756))/AA767)</f>
        <v>42337.428658396027</v>
      </c>
      <c r="AB768" s="265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</row>
    <row r="769" spans="1:42" s="192" customFormat="1" ht="11.25">
      <c r="A769" s="37"/>
      <c r="B769" s="37"/>
      <c r="C769" s="37"/>
      <c r="D769" s="191"/>
      <c r="E769" s="191" t="s">
        <v>263</v>
      </c>
      <c r="F769" s="191" t="str">
        <f t="shared" si="1316"/>
        <v>Гранта</v>
      </c>
      <c r="G769" s="191" t="s">
        <v>219</v>
      </c>
      <c r="H769" s="315"/>
      <c r="I769" s="329">
        <f>IF(I767=0,0,I$8-I768)</f>
        <v>87.729396875940438</v>
      </c>
      <c r="J769" s="317"/>
      <c r="K769" s="329">
        <f>IF(K767=0,0,I$8-K768)</f>
        <v>87.729396875940438</v>
      </c>
      <c r="L769" s="330">
        <f>IF(L767=0,0,I$8-L768)</f>
        <v>0</v>
      </c>
      <c r="M769" s="274"/>
      <c r="N769" s="156">
        <f>IF(N767=0,0,N$8-N768)</f>
        <v>87.729396875940438</v>
      </c>
      <c r="O769" s="196"/>
      <c r="P769" s="156">
        <f>IF(P767=0,0,N$8-P768)</f>
        <v>87.729396875940438</v>
      </c>
      <c r="Q769" s="245">
        <f>IF(Q767=0,0,N$8-Q768)</f>
        <v>0</v>
      </c>
      <c r="R769" s="238"/>
      <c r="S769" s="156">
        <f>IF(S767=0,0,S$8-S768)</f>
        <v>187</v>
      </c>
      <c r="T769" s="196"/>
      <c r="U769" s="156">
        <f>IF(U767=0,0,S$8-U768)</f>
        <v>187</v>
      </c>
      <c r="V769" s="245">
        <f>IF(V767=0,0,S$8-V768)</f>
        <v>0</v>
      </c>
      <c r="W769" s="238"/>
      <c r="X769" s="156">
        <f>IF(X767=0,0,X$8-X768)</f>
        <v>1.5713416039725416</v>
      </c>
      <c r="Y769" s="196"/>
      <c r="Z769" s="156">
        <f>IF(Z767=0,0,X$8-Z768)</f>
        <v>0</v>
      </c>
      <c r="AA769" s="245">
        <f>IF(AA767=0,0,X$8-AA768)</f>
        <v>1.5713416039725416</v>
      </c>
      <c r="AB769" s="265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</row>
    <row r="770" spans="1:42" s="192" customFormat="1" ht="11.25">
      <c r="A770" s="37"/>
      <c r="B770" s="37"/>
      <c r="C770" s="37"/>
      <c r="D770" s="191"/>
      <c r="E770" s="191" t="s">
        <v>311</v>
      </c>
      <c r="F770" s="191" t="str">
        <f t="shared" si="1316"/>
        <v>Гранта</v>
      </c>
      <c r="G770" s="191" t="s">
        <v>262</v>
      </c>
      <c r="H770" s="315"/>
      <c r="I770" s="316">
        <f>I$8</f>
        <v>42278</v>
      </c>
      <c r="J770" s="317"/>
      <c r="K770" s="316">
        <f>I$8</f>
        <v>42278</v>
      </c>
      <c r="L770" s="318">
        <f>I$8</f>
        <v>42278</v>
      </c>
      <c r="M770" s="274"/>
      <c r="N770" s="193">
        <f>N$8</f>
        <v>42278</v>
      </c>
      <c r="O770" s="196"/>
      <c r="P770" s="193">
        <f>N$8</f>
        <v>42278</v>
      </c>
      <c r="Q770" s="237">
        <f>N$8</f>
        <v>42278</v>
      </c>
      <c r="R770" s="238"/>
      <c r="S770" s="193">
        <f>S$8</f>
        <v>42309</v>
      </c>
      <c r="T770" s="196"/>
      <c r="U770" s="193">
        <f>S$8</f>
        <v>42309</v>
      </c>
      <c r="V770" s="237">
        <f>S$8</f>
        <v>42309</v>
      </c>
      <c r="W770" s="238"/>
      <c r="X770" s="193">
        <f>X$8</f>
        <v>42339</v>
      </c>
      <c r="Y770" s="196"/>
      <c r="Z770" s="193">
        <f>X$8</f>
        <v>42339</v>
      </c>
      <c r="AA770" s="237">
        <f>X$8</f>
        <v>42339</v>
      </c>
      <c r="AB770" s="265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</row>
    <row r="771" spans="1:42" s="192" customFormat="1" ht="11.25">
      <c r="A771" s="37"/>
      <c r="B771" s="37"/>
      <c r="C771" s="37"/>
      <c r="D771" s="191"/>
      <c r="E771" s="191" t="s">
        <v>264</v>
      </c>
      <c r="F771" s="191" t="str">
        <f t="shared" si="1316"/>
        <v>Гранта</v>
      </c>
      <c r="G771" s="191" t="s">
        <v>219</v>
      </c>
      <c r="H771" s="315"/>
      <c r="I771" s="329">
        <f>IF(I767=0,0,I770-I768)</f>
        <v>87.729396875940438</v>
      </c>
      <c r="J771" s="317"/>
      <c r="K771" s="329">
        <f>IF(K767=0,0,K770-K768)</f>
        <v>87.729396875940438</v>
      </c>
      <c r="L771" s="330">
        <f>IF(L767=0,0,L770-L768)</f>
        <v>0</v>
      </c>
      <c r="M771" s="274"/>
      <c r="N771" s="156">
        <f>IF(N767=0,0,N770-N768)</f>
        <v>87.729396875940438</v>
      </c>
      <c r="O771" s="196"/>
      <c r="P771" s="156">
        <f>IF(P767=0,0,P770-P768)</f>
        <v>87.729396875940438</v>
      </c>
      <c r="Q771" s="245">
        <f>IF(Q767=0,0,Q770-Q768)</f>
        <v>0</v>
      </c>
      <c r="R771" s="238"/>
      <c r="S771" s="156">
        <f>IF(S767=0,0,S770-S768)</f>
        <v>187</v>
      </c>
      <c r="T771" s="196"/>
      <c r="U771" s="156">
        <f>IF(U767=0,0,U770-U768)</f>
        <v>187</v>
      </c>
      <c r="V771" s="245">
        <f>IF(V767=0,0,V770-V768)</f>
        <v>0</v>
      </c>
      <c r="W771" s="238"/>
      <c r="X771" s="156">
        <f>IF(X767=0,0,X770-X768)</f>
        <v>1.5713416039725416</v>
      </c>
      <c r="Y771" s="196"/>
      <c r="Z771" s="156">
        <f>IF(Z767=0,0,Z770-Z768)</f>
        <v>0</v>
      </c>
      <c r="AA771" s="245">
        <f>IF(AA767=0,0,AA770-AA768)</f>
        <v>1.5713416039725416</v>
      </c>
      <c r="AB771" s="265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</row>
    <row r="772" spans="1:42" s="192" customFormat="1" ht="11.25">
      <c r="A772" s="37"/>
      <c r="B772" s="37"/>
      <c r="C772" s="37"/>
      <c r="D772" s="207"/>
      <c r="E772" s="207" t="s">
        <v>269</v>
      </c>
      <c r="F772" s="207" t="str">
        <f t="shared" si="1316"/>
        <v>Гранта</v>
      </c>
      <c r="G772" s="207" t="s">
        <v>219</v>
      </c>
      <c r="H772" s="331"/>
      <c r="I772" s="332">
        <f>I769-I771</f>
        <v>0</v>
      </c>
      <c r="J772" s="333"/>
      <c r="K772" s="332">
        <f t="shared" ref="K772" si="1341">K769-K771</f>
        <v>0</v>
      </c>
      <c r="L772" s="334">
        <f>L769-L771</f>
        <v>0</v>
      </c>
      <c r="M772" s="278"/>
      <c r="N772" s="162">
        <f>N769-N771</f>
        <v>0</v>
      </c>
      <c r="O772" s="208"/>
      <c r="P772" s="162">
        <f t="shared" ref="P772" si="1342">P769-P771</f>
        <v>0</v>
      </c>
      <c r="Q772" s="246">
        <f>Q769-Q771</f>
        <v>0</v>
      </c>
      <c r="R772" s="247"/>
      <c r="S772" s="162">
        <f>S769-S771</f>
        <v>0</v>
      </c>
      <c r="T772" s="208"/>
      <c r="U772" s="162">
        <f t="shared" ref="U772" si="1343">U769-U771</f>
        <v>0</v>
      </c>
      <c r="V772" s="246">
        <f>V769-V771</f>
        <v>0</v>
      </c>
      <c r="W772" s="247"/>
      <c r="X772" s="162">
        <f>X769-X771</f>
        <v>0</v>
      </c>
      <c r="Y772" s="208"/>
      <c r="Z772" s="162">
        <f t="shared" ref="Z772" si="1344">Z769-Z771</f>
        <v>0</v>
      </c>
      <c r="AA772" s="246">
        <f>AA769-AA771</f>
        <v>0</v>
      </c>
      <c r="AB772" s="265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</row>
    <row r="773" spans="1:42" s="111" customFormat="1" ht="11.25">
      <c r="A773" s="108"/>
      <c r="B773" s="108"/>
      <c r="C773" s="108" t="s">
        <v>272</v>
      </c>
      <c r="D773" s="109"/>
      <c r="E773" s="109"/>
      <c r="F773" s="109" t="str">
        <f t="shared" si="1316"/>
        <v>Гранта</v>
      </c>
      <c r="G773" s="109"/>
      <c r="H773" s="307"/>
      <c r="I773" s="308">
        <f>I774-K774-L774</f>
        <v>0</v>
      </c>
      <c r="J773" s="335"/>
      <c r="K773" s="308"/>
      <c r="L773" s="336"/>
      <c r="M773" s="272"/>
      <c r="N773" s="110">
        <f>N774-P774-Q774</f>
        <v>0</v>
      </c>
      <c r="O773" s="105"/>
      <c r="P773" s="110"/>
      <c r="Q773" s="248"/>
      <c r="R773" s="234"/>
      <c r="S773" s="110">
        <f>S774-U774-V774</f>
        <v>0</v>
      </c>
      <c r="T773" s="105"/>
      <c r="U773" s="110"/>
      <c r="V773" s="248"/>
      <c r="W773" s="234"/>
      <c r="X773" s="110">
        <f>X774-Z774-AA774</f>
        <v>0</v>
      </c>
      <c r="Y773" s="105"/>
      <c r="Z773" s="110"/>
      <c r="AA773" s="248"/>
      <c r="AB773" s="263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</row>
    <row r="774" spans="1:42" s="5" customFormat="1">
      <c r="A774" s="1"/>
      <c r="B774" s="1"/>
      <c r="C774" s="1"/>
      <c r="D774" s="168" t="s">
        <v>273</v>
      </c>
      <c r="E774" s="168"/>
      <c r="F774" s="168" t="str">
        <f t="shared" si="1316"/>
        <v>Гранта</v>
      </c>
      <c r="G774" s="168" t="s">
        <v>261</v>
      </c>
      <c r="H774" s="326"/>
      <c r="I774" s="327">
        <f>SUMIFS(операции!$V:$V,операции!$T:$T,"&gt;="&amp;I$8,операции!$T:$T,"&lt;="&amp;I$9,операции!$O:$O,$F756)</f>
        <v>43229.020000000004</v>
      </c>
      <c r="J774" s="313"/>
      <c r="K774" s="327">
        <f>SUMIFS(операции!$V:$V,операции!$T:$T,"&gt;="&amp;I$8,операции!$T:$T,"&lt;="&amp;I$9,операции!$L:$L,K$9,операции!$O:$O,$F756)</f>
        <v>0</v>
      </c>
      <c r="L774" s="328">
        <f>SUMIFS(операции!$V:$V,операции!$T:$T,"&gt;="&amp;I$8,операции!$T:$T,"&lt;="&amp;I$9,операции!$L:$L,L$9,операции!$O:$O,$F756)</f>
        <v>43229.020000000004</v>
      </c>
      <c r="M774" s="277"/>
      <c r="N774" s="169">
        <f>SUMIFS(операции!$V:$V,операции!$T:$T,"&gt;="&amp;N$8,операции!$T:$T,"&lt;="&amp;N$9,операции!$O:$O,$F756)</f>
        <v>0</v>
      </c>
      <c r="O774" s="170"/>
      <c r="P774" s="169">
        <f>SUMIFS(операции!$V:$V,операции!$T:$T,"&gt;="&amp;N$8,операции!$T:$T,"&lt;="&amp;N$9,операции!$L:$L,P$9,операции!$O:$O,$F756)</f>
        <v>0</v>
      </c>
      <c r="Q774" s="243">
        <f>SUMIFS(операции!$V:$V,операции!$T:$T,"&gt;="&amp;N$8,операции!$T:$T,"&lt;="&amp;N$9,операции!$L:$L,Q$9,операции!$O:$O,$F756)</f>
        <v>0</v>
      </c>
      <c r="R774" s="244"/>
      <c r="S774" s="169">
        <f>SUMIFS(операции!$V:$V,операции!$T:$T,"&gt;="&amp;S$8,операции!$T:$T,"&lt;="&amp;S$9,операции!$O:$O,$F756)</f>
        <v>35844.22</v>
      </c>
      <c r="T774" s="170"/>
      <c r="U774" s="169">
        <f>SUMIFS(операции!$V:$V,операции!$T:$T,"&gt;="&amp;S$8,операции!$T:$T,"&lt;="&amp;S$9,операции!$L:$L,U$9,операции!$O:$O,$F756)</f>
        <v>0</v>
      </c>
      <c r="V774" s="243">
        <f>SUMIFS(операции!$V:$V,операции!$T:$T,"&gt;="&amp;S$8,операции!$T:$T,"&lt;="&amp;S$9,операции!$L:$L,V$9,операции!$O:$O,$F756)</f>
        <v>35844.22</v>
      </c>
      <c r="W774" s="244"/>
      <c r="X774" s="169">
        <f>SUMIFS(операции!$V:$V,операции!$T:$T,"&gt;="&amp;X$8,операции!$T:$T,"&lt;="&amp;X$9,операции!$O:$O,$F756)</f>
        <v>7384.8</v>
      </c>
      <c r="Y774" s="170"/>
      <c r="Z774" s="169">
        <f>SUMIFS(операции!$V:$V,операции!$T:$T,"&gt;="&amp;X$8,операции!$T:$T,"&lt;="&amp;X$9,операции!$L:$L,Z$9,операции!$O:$O,$F756)</f>
        <v>0</v>
      </c>
      <c r="AA774" s="243">
        <f>SUMIFS(операции!$V:$V,операции!$T:$T,"&gt;="&amp;X$8,операции!$T:$T,"&lt;="&amp;X$9,операции!$L:$L,AA$9,операции!$O:$O,$F756)</f>
        <v>7384.8</v>
      </c>
      <c r="AB774" s="266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s="192" customFormat="1" ht="11.25">
      <c r="A775" s="37"/>
      <c r="B775" s="37"/>
      <c r="C775" s="37"/>
      <c r="D775" s="207" t="s">
        <v>255</v>
      </c>
      <c r="E775" s="207"/>
      <c r="F775" s="207" t="str">
        <f t="shared" si="1316"/>
        <v>Гранта</v>
      </c>
      <c r="G775" s="207" t="s">
        <v>262</v>
      </c>
      <c r="H775" s="331"/>
      <c r="I775" s="337">
        <f>IF(I774=0,0,SUMIFS(операции!$AF:$AF,операции!$T:$T,"&gt;="&amp;I$8,операции!$T:$T,"&lt;="&amp;I$9,операции!$O:$O,$F756)/I774)</f>
        <v>42341.650866940763</v>
      </c>
      <c r="J775" s="333"/>
      <c r="K775" s="337">
        <f>IF(K774=0,0,SUMIFS(операции!$AF:$AF,операции!$T:$T,"&gt;="&amp;I$8,операции!$T:$T,"&lt;="&amp;I$9,операции!$L:$L,K$9,операции!$O:$O,$F756)/K774)</f>
        <v>0</v>
      </c>
      <c r="L775" s="338">
        <f>IF(L774=0,0,SUMIFS(операции!$AF:$AF,операции!$T:$T,"&gt;="&amp;I$8,операции!$T:$T,"&lt;="&amp;I$9,операции!$L:$L,L$9,операции!$O:$O,$F756)/L774)</f>
        <v>42341.650866940763</v>
      </c>
      <c r="M775" s="278"/>
      <c r="N775" s="217">
        <f>IF(N774=0,0,SUMIFS(операции!$AF:$AF,операции!$T:$T,"&gt;="&amp;N$8,операции!$T:$T,"&lt;="&amp;N$9,операции!$O:$O,$F756)/N774)</f>
        <v>0</v>
      </c>
      <c r="O775" s="208"/>
      <c r="P775" s="217">
        <f>IF(P774=0,0,SUMIFS(операции!$AF:$AF,операции!$T:$T,"&gt;="&amp;N$8,операции!$T:$T,"&lt;="&amp;N$9,операции!$L:$L,P$9,операции!$O:$O,$F756)/P774)</f>
        <v>0</v>
      </c>
      <c r="Q775" s="249">
        <f>IF(Q774=0,0,SUMIFS(операции!$AF:$AF,операции!$T:$T,"&gt;="&amp;N$8,операции!$T:$T,"&lt;="&amp;N$9,операции!$L:$L,Q$9,операции!$O:$O,$F756)/Q774)</f>
        <v>0</v>
      </c>
      <c r="R775" s="247"/>
      <c r="S775" s="217">
        <f>IF(S774=0,0,SUMIFS(операции!$AF:$AF,операции!$T:$T,"&gt;="&amp;S$8,операции!$T:$T,"&lt;="&amp;S$9,операции!$O:$O,$F756)/S774)</f>
        <v>42336.428315639168</v>
      </c>
      <c r="T775" s="208"/>
      <c r="U775" s="217">
        <f>IF(U774=0,0,SUMIFS(операции!$AF:$AF,операции!$T:$T,"&gt;="&amp;S$8,операции!$T:$T,"&lt;="&amp;S$9,операции!$L:$L,U$9,операции!$O:$O,$F756)/U774)</f>
        <v>0</v>
      </c>
      <c r="V775" s="249">
        <f>IF(V774=0,0,SUMIFS(операции!$AF:$AF,операции!$T:$T,"&gt;="&amp;S$8,операции!$T:$T,"&lt;="&amp;S$9,операции!$L:$L,V$9,операции!$O:$O,$F756)/V774)</f>
        <v>42336.428315639168</v>
      </c>
      <c r="W775" s="247"/>
      <c r="X775" s="217">
        <f>IF(X774=0,0,SUMIFS(операции!$AF:$AF,операции!$T:$T,"&gt;="&amp;X$8,операции!$T:$T,"&lt;="&amp;X$9,операции!$O:$O,$F756)/X774)</f>
        <v>42367</v>
      </c>
      <c r="Y775" s="208"/>
      <c r="Z775" s="217">
        <f>IF(Z774=0,0,SUMIFS(операции!$AF:$AF,операции!$T:$T,"&gt;="&amp;X$8,операции!$T:$T,"&lt;="&amp;X$9,операции!$L:$L,Z$9,операции!$O:$O,$F756)/Z774)</f>
        <v>0</v>
      </c>
      <c r="AA775" s="249">
        <f>IF(AA774=0,0,SUMIFS(операции!$AF:$AF,операции!$T:$T,"&gt;="&amp;X$8,операции!$T:$T,"&lt;="&amp;X$9,операции!$L:$L,AA$9,операции!$O:$O,$F756)/AA774)</f>
        <v>42367</v>
      </c>
      <c r="AB775" s="265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</row>
    <row r="776" spans="1:42" s="93" customFormat="1" ht="15">
      <c r="A776" s="92"/>
      <c r="B776" s="92"/>
      <c r="C776" s="92"/>
      <c r="D776" s="212" t="s">
        <v>274</v>
      </c>
      <c r="E776" s="212"/>
      <c r="F776" s="212" t="str">
        <f t="shared" si="1316"/>
        <v>Гранта</v>
      </c>
      <c r="G776" s="212" t="s">
        <v>261</v>
      </c>
      <c r="H776" s="339"/>
      <c r="I776" s="340">
        <f>SUMIFS(операции!$Z:$Z,операции!$X:$X,"&gt;="&amp;I$8,операции!$X:$X,"&lt;="&amp;I$9,операции!$O:$O,$F756)</f>
        <v>81665</v>
      </c>
      <c r="J776" s="341">
        <f>I776-I789-I799</f>
        <v>0</v>
      </c>
      <c r="K776" s="340">
        <f>SUMIFS(операции!$Z:$Z,операции!$X:$X,"&gt;="&amp;I$8,операции!$X:$X,"&lt;="&amp;I$9,операции!$L:$L,K$9,операции!$O:$O,$F756)</f>
        <v>42976</v>
      </c>
      <c r="L776" s="342">
        <f>SUMIFS(операции!$Z:$Z,операции!$X:$X,"&gt;="&amp;I$8,операции!$X:$X,"&lt;="&amp;I$9,операции!$L:$L,L$9,операции!$O:$O,$F756)</f>
        <v>38689</v>
      </c>
      <c r="M776" s="279"/>
      <c r="N776" s="213">
        <f>SUMIFS(операции!$Z:$Z,операции!$X:$X,"&gt;="&amp;N$8,операции!$X:$X,"&lt;="&amp;N$9,операции!$O:$O,$F756)</f>
        <v>10300</v>
      </c>
      <c r="O776" s="216">
        <f>N776-N789-N799</f>
        <v>0</v>
      </c>
      <c r="P776" s="213">
        <f>SUMIFS(операции!$Z:$Z,операции!$X:$X,"&gt;="&amp;N$8,операции!$X:$X,"&lt;="&amp;N$9,операции!$L:$L,P$9,операции!$O:$O,$F756)</f>
        <v>10300</v>
      </c>
      <c r="Q776" s="250">
        <f>SUMIFS(операции!$Z:$Z,операции!$X:$X,"&gt;="&amp;N$8,операции!$X:$X,"&lt;="&amp;N$9,операции!$L:$L,Q$9,операции!$O:$O,$F756)</f>
        <v>0</v>
      </c>
      <c r="R776" s="251"/>
      <c r="S776" s="213">
        <f>SUMIFS(операции!$Z:$Z,операции!$X:$X,"&gt;="&amp;S$8,операции!$X:$X,"&lt;="&amp;S$9,операции!$O:$O,$F756)</f>
        <v>39666</v>
      </c>
      <c r="T776" s="216">
        <f>S776-S789-S799</f>
        <v>0</v>
      </c>
      <c r="U776" s="213">
        <f>SUMIFS(операции!$Z:$Z,операции!$X:$X,"&gt;="&amp;S$8,операции!$X:$X,"&lt;="&amp;S$9,операции!$L:$L,U$9,операции!$O:$O,$F756)</f>
        <v>32676</v>
      </c>
      <c r="V776" s="250">
        <f>SUMIFS(операции!$Z:$Z,операции!$X:$X,"&gt;="&amp;S$8,операции!$X:$X,"&lt;="&amp;S$9,операции!$L:$L,V$9,операции!$O:$O,$F756)</f>
        <v>6990</v>
      </c>
      <c r="W776" s="251"/>
      <c r="X776" s="213">
        <f>SUMIFS(операции!$Z:$Z,операции!$X:$X,"&gt;="&amp;X$8,операции!$X:$X,"&lt;="&amp;X$9,операции!$O:$O,$F756)</f>
        <v>31699</v>
      </c>
      <c r="Y776" s="216">
        <f>X776-X789-X799</f>
        <v>0</v>
      </c>
      <c r="Z776" s="213">
        <f>SUMIFS(операции!$Z:$Z,операции!$X:$X,"&gt;="&amp;X$8,операции!$X:$X,"&lt;="&amp;X$9,операции!$L:$L,Z$9,операции!$O:$O,$F756)</f>
        <v>0</v>
      </c>
      <c r="AA776" s="250">
        <f>SUMIFS(операции!$Z:$Z,операции!$X:$X,"&gt;="&amp;X$8,операции!$X:$X,"&lt;="&amp;X$9,операции!$L:$L,AA$9,операции!$O:$O,$F756)</f>
        <v>31699</v>
      </c>
      <c r="AB776" s="264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</row>
    <row r="777" spans="1:42" s="407" customFormat="1" ht="11.25">
      <c r="A777" s="404"/>
      <c r="B777" s="404"/>
      <c r="C777" s="404"/>
      <c r="D777" s="405" t="s">
        <v>332</v>
      </c>
      <c r="E777" s="405"/>
      <c r="F777" s="405" t="str">
        <f>F775</f>
        <v>Гранта</v>
      </c>
      <c r="G777" s="405" t="s">
        <v>218</v>
      </c>
      <c r="H777" s="408"/>
      <c r="I777" s="408">
        <f>IF(I$31=0,0,I776/I$31)</f>
        <v>2.2013458494529049E-2</v>
      </c>
      <c r="J777" s="409"/>
      <c r="K777" s="408">
        <f t="shared" ref="K777" si="1345">IF(K$31=0,0,K776/K$31)</f>
        <v>3.3010875092366852E-2</v>
      </c>
      <c r="L777" s="410">
        <f t="shared" ref="L777" si="1346">IF(L$31=0,0,L776/L$31)</f>
        <v>1.6067514375585054E-2</v>
      </c>
      <c r="M777" s="411"/>
      <c r="N777" s="412">
        <f t="shared" ref="N777" si="1347">IF(N$31=0,0,N776/N$31)</f>
        <v>1.3290271134434319E-2</v>
      </c>
      <c r="O777" s="413"/>
      <c r="P777" s="412">
        <f t="shared" ref="P777" si="1348">IF(P$31=0,0,P776/P$31)</f>
        <v>2.0580407452105594E-2</v>
      </c>
      <c r="Q777" s="414">
        <f t="shared" ref="Q777" si="1349">IF(Q$31=0,0,Q776/Q$31)</f>
        <v>0</v>
      </c>
      <c r="R777" s="415"/>
      <c r="S777" s="412">
        <f t="shared" ref="S777" si="1350">IF(S$31=0,0,S776/S$31)</f>
        <v>2.23508828277535E-2</v>
      </c>
      <c r="T777" s="413"/>
      <c r="U777" s="412">
        <f t="shared" ref="U777" si="1351">IF(U$31=0,0,U776/U$31)</f>
        <v>5.1886844884121604E-2</v>
      </c>
      <c r="V777" s="414">
        <f t="shared" ref="V777" si="1352">IF(V$31=0,0,V776/V$31)</f>
        <v>6.1051234125805718E-3</v>
      </c>
      <c r="W777" s="415"/>
      <c r="X777" s="412">
        <f t="shared" ref="X777" si="1353">IF(X$31=0,0,X776/X$31)</f>
        <v>2.7324886774854795E-2</v>
      </c>
      <c r="Y777" s="413"/>
      <c r="Z777" s="412">
        <f t="shared" ref="Z777" si="1354">IF(Z$31=0,0,Z776/Z$31)</f>
        <v>0</v>
      </c>
      <c r="AA777" s="414">
        <f t="shared" ref="AA777" si="1355">IF(AA$31=0,0,AA776/AA$31)</f>
        <v>3.2069888257700303E-2</v>
      </c>
      <c r="AB777" s="406"/>
      <c r="AC777" s="404"/>
      <c r="AD777" s="404"/>
      <c r="AE777" s="404"/>
      <c r="AF777" s="404"/>
      <c r="AG777" s="404"/>
      <c r="AH777" s="404"/>
      <c r="AI777" s="404"/>
      <c r="AJ777" s="404"/>
      <c r="AK777" s="404"/>
      <c r="AL777" s="404"/>
      <c r="AM777" s="404"/>
      <c r="AN777" s="404"/>
      <c r="AO777" s="404"/>
      <c r="AP777" s="404"/>
    </row>
    <row r="778" spans="1:42" s="192" customFormat="1" ht="11.25">
      <c r="A778" s="37"/>
      <c r="B778" s="37"/>
      <c r="C778" s="37"/>
      <c r="D778" s="191" t="s">
        <v>331</v>
      </c>
      <c r="E778" s="191"/>
      <c r="F778" s="191" t="str">
        <f>F776</f>
        <v>Гранта</v>
      </c>
      <c r="G778" s="191" t="s">
        <v>334</v>
      </c>
      <c r="H778" s="315"/>
      <c r="I778" s="329">
        <f>SUMIFS(операции!$R:$R,операции!$X:$X,"&gt;="&amp;I$8,операции!$X:$X,"&lt;="&amp;I$9,операции!$O:$O,$F756)</f>
        <v>12</v>
      </c>
      <c r="J778" s="317">
        <f>I778-K778-L778</f>
        <v>0</v>
      </c>
      <c r="K778" s="329">
        <f>SUMIFS(операции!$R:$R,операции!$X:$X,"&gt;="&amp;I$8,операции!$X:$X,"&lt;="&amp;I$9,операции!$L:$L,K$9,операции!$O:$O,$F756)</f>
        <v>8</v>
      </c>
      <c r="L778" s="330">
        <f>SUMIFS(операции!$R:$R,операции!$X:$X,"&gt;="&amp;I$8,операции!$X:$X,"&lt;="&amp;I$9,операции!$L:$L,L$9,операции!$O:$O,$F756)</f>
        <v>4</v>
      </c>
      <c r="M778" s="402"/>
      <c r="N778" s="156">
        <f>SUMIFS(операции!$R:$R,операции!$X:$X,"&gt;="&amp;N$8,операции!$X:$X,"&lt;="&amp;N$9,операции!$O:$O,$F756)</f>
        <v>2</v>
      </c>
      <c r="O778" s="196">
        <f t="shared" ref="O778" si="1356">N778-P778-Q778</f>
        <v>0</v>
      </c>
      <c r="P778" s="156">
        <f>SUMIFS(операции!$R:$R,операции!$X:$X,"&gt;="&amp;N$8,операции!$X:$X,"&lt;="&amp;N$9,операции!$L:$L,P$9,операции!$O:$O,$F756)</f>
        <v>2</v>
      </c>
      <c r="Q778" s="245">
        <f>SUMIFS(операции!$R:$R,операции!$X:$X,"&gt;="&amp;N$8,операции!$X:$X,"&lt;="&amp;N$9,операции!$L:$L,Q$9,операции!$O:$O,$F756)</f>
        <v>0</v>
      </c>
      <c r="R778" s="403"/>
      <c r="S778" s="156">
        <f>SUMIFS(операции!$R:$R,операции!$X:$X,"&gt;="&amp;S$8,операции!$X:$X,"&lt;="&amp;S$9,операции!$O:$O,$F756)</f>
        <v>7</v>
      </c>
      <c r="T778" s="196">
        <f t="shared" ref="T778" si="1357">S778-U778-V778</f>
        <v>0</v>
      </c>
      <c r="U778" s="156">
        <f>SUMIFS(операции!$R:$R,операции!$X:$X,"&gt;="&amp;S$8,операции!$X:$X,"&lt;="&amp;S$9,операции!$L:$L,U$9,операции!$O:$O,$F756)</f>
        <v>6</v>
      </c>
      <c r="V778" s="245">
        <f>SUMIFS(операции!$R:$R,операции!$X:$X,"&gt;="&amp;S$8,операции!$X:$X,"&lt;="&amp;S$9,операции!$L:$L,V$9,операции!$O:$O,$F756)</f>
        <v>1</v>
      </c>
      <c r="W778" s="403"/>
      <c r="X778" s="156">
        <f>SUMIFS(операции!$R:$R,операции!$X:$X,"&gt;="&amp;X$8,операции!$X:$X,"&lt;="&amp;X$9,операции!$O:$O,$F756)</f>
        <v>3</v>
      </c>
      <c r="Y778" s="196">
        <f t="shared" ref="Y778" si="1358">X778-Z778-AA778</f>
        <v>0</v>
      </c>
      <c r="Z778" s="156">
        <f>SUMIFS(операции!$R:$R,операции!$X:$X,"&gt;="&amp;X$8,операции!$X:$X,"&lt;="&amp;X$9,операции!$L:$L,Z$9,операции!$O:$O,$F756)</f>
        <v>0</v>
      </c>
      <c r="AA778" s="245">
        <f>SUMIFS(операции!$R:$R,операции!$X:$X,"&gt;="&amp;X$8,операции!$X:$X,"&lt;="&amp;X$9,операции!$L:$L,AA$9,операции!$O:$O,$F756)</f>
        <v>3</v>
      </c>
      <c r="AB778" s="265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</row>
    <row r="779" spans="1:42" s="192" customFormat="1" ht="11.25">
      <c r="A779" s="37"/>
      <c r="B779" s="37"/>
      <c r="C779" s="37"/>
      <c r="D779" s="191" t="s">
        <v>333</v>
      </c>
      <c r="E779" s="191"/>
      <c r="F779" s="191" t="str">
        <f t="shared" si="1316"/>
        <v>Гранта</v>
      </c>
      <c r="G779" s="191" t="s">
        <v>261</v>
      </c>
      <c r="H779" s="315"/>
      <c r="I779" s="329">
        <f>IF(I778=0,0,I776/I778)</f>
        <v>6805.416666666667</v>
      </c>
      <c r="J779" s="317"/>
      <c r="K779" s="329">
        <f t="shared" ref="K779" si="1359">IF(K778=0,0,K776/K778)</f>
        <v>5372</v>
      </c>
      <c r="L779" s="330">
        <f t="shared" ref="L779" si="1360">IF(L778=0,0,L776/L778)</f>
        <v>9672.25</v>
      </c>
      <c r="M779" s="402"/>
      <c r="N779" s="156">
        <f>IF(N778=0,0,N776/N778)</f>
        <v>5150</v>
      </c>
      <c r="O779" s="196"/>
      <c r="P779" s="156">
        <f>IF(P778=0,0,P776/P778)</f>
        <v>5150</v>
      </c>
      <c r="Q779" s="245">
        <f>IF(Q778=0,0,Q776/Q778)</f>
        <v>0</v>
      </c>
      <c r="R779" s="403"/>
      <c r="S779" s="156">
        <f>IF(S778=0,0,S776/S778)</f>
        <v>5666.5714285714284</v>
      </c>
      <c r="T779" s="196"/>
      <c r="U779" s="156">
        <f>IF(U778=0,0,U776/U778)</f>
        <v>5446</v>
      </c>
      <c r="V779" s="245">
        <f>IF(V778=0,0,V776/V778)</f>
        <v>6990</v>
      </c>
      <c r="W779" s="403"/>
      <c r="X779" s="156">
        <f>IF(X778=0,0,X776/X778)</f>
        <v>10566.333333333334</v>
      </c>
      <c r="Y779" s="196"/>
      <c r="Z779" s="156">
        <f>IF(Z778=0,0,Z776/Z778)</f>
        <v>0</v>
      </c>
      <c r="AA779" s="245">
        <f>IF(AA778=0,0,AA776/AA778)</f>
        <v>10566.333333333334</v>
      </c>
      <c r="AB779" s="265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</row>
    <row r="780" spans="1:42" s="192" customFormat="1" ht="11.25">
      <c r="A780" s="37"/>
      <c r="B780" s="37"/>
      <c r="C780" s="37"/>
      <c r="D780" s="191" t="s">
        <v>290</v>
      </c>
      <c r="E780" s="191"/>
      <c r="F780" s="191" t="str">
        <f>F776</f>
        <v>Гранта</v>
      </c>
      <c r="G780" s="191" t="s">
        <v>262</v>
      </c>
      <c r="H780" s="315"/>
      <c r="I780" s="316">
        <f>IF(I776=0,0,SUMIFS(операции!$AG:$AG,операции!$X:$X,"&gt;="&amp;I$8,операции!$X:$X,"&lt;="&amp;I$9,операции!$O:$O,$F756)/I776)</f>
        <v>42330.770268780994</v>
      </c>
      <c r="J780" s="317"/>
      <c r="K780" s="316">
        <f>IF(K776=0,0,SUMIFS(операции!$AG:$AG,операции!$X:$X,"&gt;="&amp;I$8,операции!$X:$X,"&lt;="&amp;I$9,операции!$L:$L,K$9,операции!$O:$O,$F756)/K776)</f>
        <v>42319.876582278484</v>
      </c>
      <c r="L780" s="318">
        <f>IF(L776=0,0,SUMIFS(операции!$AG:$AG,операции!$X:$X,"&gt;="&amp;I$8,операции!$X:$X,"&lt;="&amp;I$9,операции!$L:$L,L$9,операции!$O:$O,$F756)/L776)</f>
        <v>42342.871048618472</v>
      </c>
      <c r="M780" s="274"/>
      <c r="N780" s="193">
        <f>IF(N776=0,0,SUMIFS(операции!$AG:$AG,операции!$X:$X,"&gt;="&amp;N$8,операции!$X:$X,"&lt;="&amp;N$9,операции!$O:$O,$F756)/N776)</f>
        <v>42297.729320388353</v>
      </c>
      <c r="O780" s="196"/>
      <c r="P780" s="193">
        <f>IF(P776=0,0,SUMIFS(операции!$AG:$AG,операции!$X:$X,"&gt;="&amp;N$8,операции!$X:$X,"&lt;="&amp;N$9,операции!$L:$L,P$9,операции!$O:$O,$F756)/P776)</f>
        <v>42297.729320388353</v>
      </c>
      <c r="Q780" s="237">
        <f>IF(Q776=0,0,SUMIFS(операции!$AG:$AG,операции!$X:$X,"&gt;="&amp;N$8,операции!$X:$X,"&lt;="&amp;N$9,операции!$L:$L,Q$9,операции!$O:$O,$F756)/Q776)</f>
        <v>0</v>
      </c>
      <c r="R780" s="238"/>
      <c r="S780" s="193">
        <f>IF(S776=0,0,SUMIFS(операции!$AG:$AG,операции!$X:$X,"&gt;="&amp;S$8,операции!$X:$X,"&lt;="&amp;S$9,операции!$O:$O,$F756)/S776)</f>
        <v>42328.468814601925</v>
      </c>
      <c r="T780" s="196"/>
      <c r="U780" s="193">
        <f>IF(U776=0,0,SUMIFS(операции!$AG:$AG,операции!$X:$X,"&gt;="&amp;S$8,операции!$X:$X,"&lt;="&amp;S$9,операции!$L:$L,U$9,операции!$O:$O,$F756)/U776)</f>
        <v>42326.857754927165</v>
      </c>
      <c r="V780" s="237">
        <f>IF(V776=0,0,SUMIFS(операции!$AG:$AG,операции!$X:$X,"&gt;="&amp;S$8,операции!$X:$X,"&lt;="&amp;S$9,операции!$L:$L,V$9,операции!$O:$O,$F756)/V776)</f>
        <v>42336</v>
      </c>
      <c r="W780" s="238"/>
      <c r="X780" s="193">
        <f>IF(X776=0,0,SUMIFS(операции!$AG:$AG,операции!$X:$X,"&gt;="&amp;X$8,операции!$X:$X,"&lt;="&amp;X$9,операции!$O:$O,$F756)/X776)</f>
        <v>42344.386195148109</v>
      </c>
      <c r="Y780" s="196"/>
      <c r="Z780" s="193">
        <f>IF(Z776=0,0,SUMIFS(операции!$AG:$AG,операции!$X:$X,"&gt;="&amp;X$8,операции!$X:$X,"&lt;="&amp;X$9,операции!$L:$L,Z$9,операции!$O:$O,$F756)/Z776)</f>
        <v>0</v>
      </c>
      <c r="AA780" s="237">
        <f>IF(AA776=0,0,SUMIFS(операции!$AG:$AG,операции!$X:$X,"&gt;="&amp;X$8,операции!$X:$X,"&lt;="&amp;X$9,операции!$L:$L,AA$9,операции!$O:$O,$F756)/AA776)</f>
        <v>42344.386195148109</v>
      </c>
      <c r="AB780" s="265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</row>
    <row r="781" spans="1:42" s="93" customFormat="1" ht="15">
      <c r="A781" s="92"/>
      <c r="B781" s="92"/>
      <c r="C781" s="92"/>
      <c r="D781" s="151" t="s">
        <v>275</v>
      </c>
      <c r="E781" s="151"/>
      <c r="F781" s="151" t="str">
        <f t="shared" si="1316"/>
        <v>Гранта</v>
      </c>
      <c r="G781" s="151" t="s">
        <v>261</v>
      </c>
      <c r="H781" s="311"/>
      <c r="I781" s="312">
        <f>SUMIFS(операции!$V:$V,операции!$X:$X,"&gt;="&amp;I$8,операции!$X:$X,"&lt;="&amp;I$9,операции!$O:$O,$F756)</f>
        <v>77675.61</v>
      </c>
      <c r="J781" s="313">
        <f>I781-I791-I801</f>
        <v>0</v>
      </c>
      <c r="K781" s="312">
        <f>SUMIFS(операции!$V:$V,операции!$X:$X,"&gt;="&amp;I$8,операции!$X:$X,"&lt;="&amp;I$9,операции!$L:$L,K$9,операции!$O:$O,$F756)</f>
        <v>41831.39</v>
      </c>
      <c r="L781" s="314">
        <f>SUMIFS(операции!$V:$V,операции!$X:$X,"&gt;="&amp;I$8,операции!$X:$X,"&lt;="&amp;I$9,операции!$L:$L,L$9,операции!$O:$O,$F756)</f>
        <v>35844.22</v>
      </c>
      <c r="M781" s="273"/>
      <c r="N781" s="152">
        <f>SUMIFS(операции!$V:$V,операции!$X:$X,"&gt;="&amp;N$8,операции!$X:$X,"&lt;="&amp;N$9,операции!$O:$O,$F756)</f>
        <v>9975.35</v>
      </c>
      <c r="O781" s="170">
        <f>N781-N791-N801</f>
        <v>0</v>
      </c>
      <c r="P781" s="152">
        <f>SUMIFS(операции!$V:$V,операции!$X:$X,"&gt;="&amp;N$8,операции!$X:$X,"&lt;="&amp;N$9,операции!$L:$L,P$9,операции!$O:$O,$F756)</f>
        <v>9975.35</v>
      </c>
      <c r="Q781" s="235">
        <f>SUMIFS(операции!$V:$V,операции!$X:$X,"&gt;="&amp;N$8,операции!$X:$X,"&lt;="&amp;N$9,операции!$L:$L,Q$9,операции!$O:$O,$F756)</f>
        <v>0</v>
      </c>
      <c r="R781" s="236"/>
      <c r="S781" s="152">
        <f>SUMIFS(операции!$V:$V,операции!$X:$X,"&gt;="&amp;S$8,операции!$X:$X,"&lt;="&amp;S$9,операции!$O:$O,$F756)</f>
        <v>38461.08</v>
      </c>
      <c r="T781" s="170">
        <f>S781-S791-S801</f>
        <v>0</v>
      </c>
      <c r="U781" s="152">
        <f>SUMIFS(операции!$V:$V,операции!$X:$X,"&gt;="&amp;S$8,операции!$X:$X,"&lt;="&amp;S$9,операции!$L:$L,U$9,операции!$O:$O,$F756)</f>
        <v>31856.04</v>
      </c>
      <c r="V781" s="235">
        <f>SUMIFS(операции!$V:$V,операции!$X:$X,"&gt;="&amp;S$8,операции!$X:$X,"&lt;="&amp;S$9,операции!$L:$L,V$9,операции!$O:$O,$F756)</f>
        <v>6605.04</v>
      </c>
      <c r="W781" s="236"/>
      <c r="X781" s="152">
        <f>SUMIFS(операции!$V:$V,операции!$X:$X,"&gt;="&amp;X$8,операции!$X:$X,"&lt;="&amp;X$9,операции!$O:$O,$F756)</f>
        <v>29239.18</v>
      </c>
      <c r="Y781" s="170">
        <f>X781-X791-X801</f>
        <v>0</v>
      </c>
      <c r="Z781" s="152">
        <f>SUMIFS(операции!$V:$V,операции!$X:$X,"&gt;="&amp;X$8,операции!$X:$X,"&lt;="&amp;X$9,операции!$L:$L,Z$9,операции!$O:$O,$F756)</f>
        <v>0</v>
      </c>
      <c r="AA781" s="235">
        <f>SUMIFS(операции!$V:$V,операции!$X:$X,"&gt;="&amp;X$8,операции!$X:$X,"&lt;="&amp;X$9,операции!$L:$L,AA$9,операции!$O:$O,$F756)</f>
        <v>29239.18</v>
      </c>
      <c r="AB781" s="264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</row>
    <row r="782" spans="1:42" s="192" customFormat="1" ht="11.25">
      <c r="A782" s="37"/>
      <c r="B782" s="37"/>
      <c r="C782" s="37"/>
      <c r="D782" s="191" t="s">
        <v>291</v>
      </c>
      <c r="E782" s="191"/>
      <c r="F782" s="191" t="str">
        <f t="shared" si="1316"/>
        <v>Гранта</v>
      </c>
      <c r="G782" s="191" t="s">
        <v>262</v>
      </c>
      <c r="H782" s="315"/>
      <c r="I782" s="316">
        <f>IF(I781=0,0,SUMIFS(операции!$AF:$AF,операции!$X:$X,"&gt;="&amp;I$8,операции!$X:$X,"&lt;="&amp;I$9,операции!$O:$O,$F756)/I781)</f>
        <v>42265.343471264656</v>
      </c>
      <c r="J782" s="317"/>
      <c r="K782" s="316">
        <f>IF(K781=0,0,SUMIFS(операции!$AF:$AF,операции!$X:$X,"&gt;="&amp;I$8,операции!$X:$X,"&lt;="&amp;I$9,операции!$L:$L,K$9,операции!$O:$O,$F756)/K781)</f>
        <v>42204.432734126218</v>
      </c>
      <c r="L782" s="318">
        <f>IF(L781=0,0,SUMIFS(операции!$AF:$AF,операции!$X:$X,"&gt;="&amp;I$8,операции!$X:$X,"&lt;="&amp;I$9,операции!$L:$L,L$9,операции!$O:$O,$F756)/L781)</f>
        <v>42336.428315639168</v>
      </c>
      <c r="M782" s="274"/>
      <c r="N782" s="193">
        <f>IF(N781=0,0,SUMIFS(операции!$AF:$AF,операции!$X:$X,"&gt;="&amp;N$8,операции!$X:$X,"&lt;="&amp;N$9,операции!$O:$O,$F756)/N781)</f>
        <v>42195.085956883719</v>
      </c>
      <c r="O782" s="196"/>
      <c r="P782" s="193">
        <f>IF(P781=0,0,SUMIFS(операции!$AF:$AF,операции!$X:$X,"&gt;="&amp;N$8,операции!$X:$X,"&lt;="&amp;N$9,операции!$L:$L,P$9,операции!$O:$O,$F756)/P781)</f>
        <v>42195.085956883719</v>
      </c>
      <c r="Q782" s="237">
        <f>IF(Q781=0,0,SUMIFS(операции!$AF:$AF,операции!$X:$X,"&gt;="&amp;N$8,операции!$X:$X,"&lt;="&amp;N$9,операции!$L:$L,Q$9,операции!$O:$O,$F756)/Q781)</f>
        <v>0</v>
      </c>
      <c r="R782" s="238"/>
      <c r="S782" s="193">
        <f>IF(S781=0,0,SUMIFS(операции!$AF:$AF,операции!$X:$X,"&gt;="&amp;S$8,операции!$X:$X,"&lt;="&amp;S$9,операции!$O:$O,$F756)/S781)</f>
        <v>42228.764455132303</v>
      </c>
      <c r="T782" s="196"/>
      <c r="U782" s="193">
        <f>IF(U781=0,0,SUMIFS(операции!$AF:$AF,операции!$X:$X,"&gt;="&amp;S$8,операции!$X:$X,"&lt;="&amp;S$9,операции!$L:$L,U$9,операции!$O:$O,$F756)/U781)</f>
        <v>42207.359569174325</v>
      </c>
      <c r="V782" s="237">
        <f>IF(V781=0,0,SUMIFS(операции!$AF:$AF,операции!$X:$X,"&gt;="&amp;S$8,операции!$X:$X,"&lt;="&amp;S$9,операции!$L:$L,V$9,операции!$O:$O,$F756)/V781)</f>
        <v>42331.999999999993</v>
      </c>
      <c r="W782" s="238"/>
      <c r="X782" s="193">
        <f>IF(X781=0,0,SUMIFS(операции!$AF:$AF,операции!$X:$X,"&gt;="&amp;X$8,операции!$X:$X,"&lt;="&amp;X$9,операции!$O:$O,$F756)/X781)</f>
        <v>42337.428658396027</v>
      </c>
      <c r="Y782" s="196"/>
      <c r="Z782" s="193">
        <f>IF(Z781=0,0,SUMIFS(операции!$AF:$AF,операции!$X:$X,"&gt;="&amp;X$8,операции!$X:$X,"&lt;="&amp;X$9,операции!$L:$L,Z$9,операции!$O:$O,$F756)/Z781)</f>
        <v>0</v>
      </c>
      <c r="AA782" s="237">
        <f>IF(AA781=0,0,SUMIFS(операции!$AF:$AF,операции!$X:$X,"&gt;="&amp;X$8,операции!$X:$X,"&lt;="&amp;X$9,операции!$L:$L,AA$9,операции!$O:$O,$F756)/AA781)</f>
        <v>42337.428658396027</v>
      </c>
      <c r="AB782" s="265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</row>
    <row r="783" spans="1:42" s="192" customFormat="1" ht="11.25">
      <c r="A783" s="37"/>
      <c r="B783" s="37"/>
      <c r="C783" s="37"/>
      <c r="D783" s="191" t="s">
        <v>308</v>
      </c>
      <c r="E783" s="191"/>
      <c r="F783" s="191" t="str">
        <f t="shared" si="1316"/>
        <v>Гранта</v>
      </c>
      <c r="G783" s="191" t="s">
        <v>262</v>
      </c>
      <c r="H783" s="315"/>
      <c r="I783" s="316">
        <f>IF(I781=0,0,(I791*I793+I801*I803)/I781)</f>
        <v>42324.39771325903</v>
      </c>
      <c r="J783" s="317"/>
      <c r="K783" s="316">
        <f t="shared" ref="K783:L783" si="1361">IF(K781=0,0,(K791*K793+K801*K803)/K781)</f>
        <v>42286.513410622982</v>
      </c>
      <c r="L783" s="318">
        <f t="shared" si="1361"/>
        <v>42368.609947154655</v>
      </c>
      <c r="M783" s="274"/>
      <c r="N783" s="193">
        <f>IF(N781=0,0,(N791*N793+N801*N803)/N781)</f>
        <v>42238.514583448195</v>
      </c>
      <c r="O783" s="196"/>
      <c r="P783" s="193">
        <f t="shared" ref="P783:Q783" si="1362">IF(P781=0,0,(P791*P793+P801*P803)/P781)</f>
        <v>42238.514583448195</v>
      </c>
      <c r="Q783" s="237">
        <f t="shared" si="1362"/>
        <v>0</v>
      </c>
      <c r="R783" s="238"/>
      <c r="S783" s="193">
        <f>IF(S781=0,0,(S791*S793+S801*S803)/S781)</f>
        <v>42301.366432767878</v>
      </c>
      <c r="T783" s="196"/>
      <c r="U783" s="193">
        <f t="shared" ref="U783:V783" si="1363">IF(U781=0,0,(U791*U793+U801*U803)/U781)</f>
        <v>42293.770818971847</v>
      </c>
      <c r="V783" s="237">
        <f t="shared" si="1363"/>
        <v>42338</v>
      </c>
      <c r="W783" s="238"/>
      <c r="X783" s="193">
        <f>IF(X781=0,0,(X791*X793+X801*X803)/X781)</f>
        <v>42368.521835427666</v>
      </c>
      <c r="Y783" s="196"/>
      <c r="Z783" s="193">
        <f t="shared" ref="Z783:AA783" si="1364">IF(Z781=0,0,(Z791*Z793+Z801*Z803)/Z781)</f>
        <v>0</v>
      </c>
      <c r="AA783" s="237">
        <f t="shared" si="1364"/>
        <v>42368.521835427666</v>
      </c>
      <c r="AB783" s="265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</row>
    <row r="784" spans="1:42" s="93" customFormat="1" ht="15">
      <c r="A784" s="92"/>
      <c r="B784" s="92"/>
      <c r="C784" s="92"/>
      <c r="D784" s="151" t="s">
        <v>278</v>
      </c>
      <c r="E784" s="151"/>
      <c r="F784" s="151" t="str">
        <f t="shared" si="1316"/>
        <v>Гранта</v>
      </c>
      <c r="G784" s="151" t="s">
        <v>261</v>
      </c>
      <c r="H784" s="311"/>
      <c r="I784" s="312">
        <f>I776-I781</f>
        <v>3989.3899999999994</v>
      </c>
      <c r="J784" s="313">
        <f>I784-K784-L784</f>
        <v>0</v>
      </c>
      <c r="K784" s="312">
        <f t="shared" ref="K784:L784" si="1365">K776-K781</f>
        <v>1144.6100000000006</v>
      </c>
      <c r="L784" s="314">
        <f t="shared" si="1365"/>
        <v>2844.7799999999988</v>
      </c>
      <c r="M784" s="273"/>
      <c r="N784" s="152">
        <f>N776-N781</f>
        <v>324.64999999999964</v>
      </c>
      <c r="O784" s="170">
        <f>N784-P784-Q784</f>
        <v>0</v>
      </c>
      <c r="P784" s="152">
        <f t="shared" ref="P784:Q784" si="1366">P776-P781</f>
        <v>324.64999999999964</v>
      </c>
      <c r="Q784" s="235">
        <f t="shared" si="1366"/>
        <v>0</v>
      </c>
      <c r="R784" s="236"/>
      <c r="S784" s="152">
        <f>S776-S781</f>
        <v>1204.9199999999983</v>
      </c>
      <c r="T784" s="170">
        <f>S784-U784-V784</f>
        <v>-9.0949470177292824E-13</v>
      </c>
      <c r="U784" s="152">
        <f t="shared" ref="U784:V784" si="1367">U776-U781</f>
        <v>819.95999999999913</v>
      </c>
      <c r="V784" s="235">
        <f t="shared" si="1367"/>
        <v>384.96000000000004</v>
      </c>
      <c r="W784" s="236"/>
      <c r="X784" s="152">
        <f>X776-X781</f>
        <v>2459.8199999999997</v>
      </c>
      <c r="Y784" s="170">
        <f>X784-Z784-AA784</f>
        <v>0</v>
      </c>
      <c r="Z784" s="152">
        <f t="shared" ref="Z784:AA784" si="1368">Z776-Z781</f>
        <v>0</v>
      </c>
      <c r="AA784" s="235">
        <f t="shared" si="1368"/>
        <v>2459.8199999999997</v>
      </c>
      <c r="AB784" s="264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</row>
    <row r="785" spans="1:42" s="211" customFormat="1">
      <c r="A785" s="210"/>
      <c r="B785" s="210"/>
      <c r="C785" s="210"/>
      <c r="D785" s="218" t="s">
        <v>277</v>
      </c>
      <c r="E785" s="218"/>
      <c r="F785" s="218" t="str">
        <f t="shared" si="1316"/>
        <v>Гранта</v>
      </c>
      <c r="G785" s="218" t="s">
        <v>218</v>
      </c>
      <c r="H785" s="343"/>
      <c r="I785" s="344">
        <f>IF(I776=0,0,(I784/I776))</f>
        <v>4.8850670421845335E-2</v>
      </c>
      <c r="J785" s="345"/>
      <c r="K785" s="344">
        <f t="shared" ref="K785" si="1369">IF(K776=0,0,(K784/K776))</f>
        <v>2.6633702531645584E-2</v>
      </c>
      <c r="L785" s="346">
        <f t="shared" ref="L785" si="1370">IF(L776=0,0,(L784/L776))</f>
        <v>7.3529426968905867E-2</v>
      </c>
      <c r="M785" s="280"/>
      <c r="N785" s="219">
        <f>IF(N776=0,0,(N784/N776))</f>
        <v>3.1519417475728118E-2</v>
      </c>
      <c r="O785" s="220"/>
      <c r="P785" s="219">
        <f t="shared" ref="P785" si="1371">IF(P776=0,0,(P784/P776))</f>
        <v>3.1519417475728118E-2</v>
      </c>
      <c r="Q785" s="252">
        <f t="shared" ref="Q785" si="1372">IF(Q776=0,0,(Q784/Q776))</f>
        <v>0</v>
      </c>
      <c r="R785" s="253"/>
      <c r="S785" s="219">
        <f>IF(S776=0,0,(S784/S776))</f>
        <v>3.0376644985629968E-2</v>
      </c>
      <c r="T785" s="220"/>
      <c r="U785" s="219">
        <f t="shared" ref="U785" si="1373">IF(U776=0,0,(U784/U776))</f>
        <v>2.5093646713183961E-2</v>
      </c>
      <c r="V785" s="252">
        <f t="shared" ref="V785" si="1374">IF(V776=0,0,(V784/V776))</f>
        <v>5.5072961373390565E-2</v>
      </c>
      <c r="W785" s="253"/>
      <c r="X785" s="219">
        <f>IF(X776=0,0,(X784/X776))</f>
        <v>7.7599293353102616E-2</v>
      </c>
      <c r="Y785" s="220"/>
      <c r="Z785" s="219">
        <f t="shared" ref="Z785" si="1375">IF(Z776=0,0,(Z784/Z776))</f>
        <v>0</v>
      </c>
      <c r="AA785" s="252">
        <f t="shared" ref="AA785" si="1376">IF(AA776=0,0,(AA784/AA776))</f>
        <v>7.7599293353102616E-2</v>
      </c>
      <c r="AB785" s="267"/>
      <c r="AC785" s="210"/>
      <c r="AD785" s="210"/>
      <c r="AE785" s="210"/>
      <c r="AF785" s="210"/>
      <c r="AG785" s="210"/>
      <c r="AH785" s="210"/>
      <c r="AI785" s="210"/>
      <c r="AJ785" s="210"/>
      <c r="AK785" s="210"/>
      <c r="AL785" s="210"/>
      <c r="AM785" s="210"/>
      <c r="AN785" s="210"/>
      <c r="AO785" s="210"/>
      <c r="AP785" s="210"/>
    </row>
    <row r="786" spans="1:42" s="93" customFormat="1" ht="15">
      <c r="A786" s="92"/>
      <c r="B786" s="92"/>
      <c r="C786" s="92"/>
      <c r="D786" s="198" t="s">
        <v>220</v>
      </c>
      <c r="E786" s="198"/>
      <c r="F786" s="198" t="str">
        <f t="shared" si="1316"/>
        <v>Гранта</v>
      </c>
      <c r="G786" s="198" t="s">
        <v>219</v>
      </c>
      <c r="H786" s="323"/>
      <c r="I786" s="324">
        <f>I780-I782</f>
        <v>65.426797516338411</v>
      </c>
      <c r="J786" s="321">
        <f>I786-SUMIFS(ПОбТЗ!$I:$I,ПОбТЗ!$E:$E,$D786,ПОбТЗ!$F:$F,$F786)</f>
        <v>0</v>
      </c>
      <c r="K786" s="324">
        <f t="shared" ref="K786:L786" si="1377">K780-K782</f>
        <v>115.44384815226658</v>
      </c>
      <c r="L786" s="325">
        <f t="shared" si="1377"/>
        <v>6.4427329793034005</v>
      </c>
      <c r="M786" s="276"/>
      <c r="N786" s="199">
        <f>N780-N782</f>
        <v>102.64336350463418</v>
      </c>
      <c r="O786" s="173">
        <f>N786-SUMIFS(ПОбТЗ_3!$J:$J,ПОбТЗ_3!$D:$D,$D786,ПОбТЗ_3!$E:$E,$F786)</f>
        <v>0</v>
      </c>
      <c r="P786" s="199">
        <f t="shared" ref="P786:Q786" si="1378">P780-P782</f>
        <v>102.64336350463418</v>
      </c>
      <c r="Q786" s="241">
        <f t="shared" si="1378"/>
        <v>0</v>
      </c>
      <c r="R786" s="242"/>
      <c r="S786" s="199">
        <f>S780-S782</f>
        <v>99.704359469622432</v>
      </c>
      <c r="T786" s="173">
        <f>S786-SUMIFS(ПОбТЗ_3!$K:$K,ПОбТЗ_3!$D:$D,$D786,ПОбТЗ_3!$E:$E,$F786)</f>
        <v>0</v>
      </c>
      <c r="U786" s="199">
        <f t="shared" ref="U786:V786" si="1379">U780-U782</f>
        <v>119.49818575284007</v>
      </c>
      <c r="V786" s="241">
        <f t="shared" si="1379"/>
        <v>4.000000000007276</v>
      </c>
      <c r="W786" s="242"/>
      <c r="X786" s="199">
        <f>X780-X782</f>
        <v>6.9575367520810687</v>
      </c>
      <c r="Y786" s="173">
        <f>X786-SUMIFS(ПОбТЗ_3!$L:$L,ПОбТЗ_3!$D:$D,$D786,ПОбТЗ_3!$E:$E,$F786)</f>
        <v>0</v>
      </c>
      <c r="Z786" s="199">
        <f t="shared" ref="Z786:AA786" si="1380">Z780-Z782</f>
        <v>0</v>
      </c>
      <c r="AA786" s="241">
        <f t="shared" si="1380"/>
        <v>6.9575367520810687</v>
      </c>
      <c r="AB786" s="264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</row>
    <row r="787" spans="1:42" s="5" customFormat="1">
      <c r="A787" s="1"/>
      <c r="B787" s="1"/>
      <c r="C787" s="1"/>
      <c r="D787" s="227" t="s">
        <v>309</v>
      </c>
      <c r="E787" s="227"/>
      <c r="F787" s="227" t="str">
        <f t="shared" si="1316"/>
        <v>Гранта</v>
      </c>
      <c r="G787" s="227" t="s">
        <v>219</v>
      </c>
      <c r="H787" s="347"/>
      <c r="I787" s="348">
        <f>I783-I782</f>
        <v>59.054241994374024</v>
      </c>
      <c r="J787" s="321"/>
      <c r="K787" s="348">
        <f t="shared" ref="K787:L787" si="1381">K783-K782</f>
        <v>82.080676496763772</v>
      </c>
      <c r="L787" s="349">
        <f t="shared" si="1381"/>
        <v>32.181631515486515</v>
      </c>
      <c r="M787" s="281"/>
      <c r="N787" s="228">
        <f>N783-N782</f>
        <v>43.428626564476872</v>
      </c>
      <c r="O787" s="173"/>
      <c r="P787" s="228">
        <f t="shared" ref="P787:Q787" si="1382">P783-P782</f>
        <v>43.428626564476872</v>
      </c>
      <c r="Q787" s="254">
        <f t="shared" si="1382"/>
        <v>0</v>
      </c>
      <c r="R787" s="255"/>
      <c r="S787" s="228">
        <f>S783-S782</f>
        <v>72.601977635575167</v>
      </c>
      <c r="T787" s="173"/>
      <c r="U787" s="228">
        <f t="shared" ref="U787:V787" si="1383">U783-U782</f>
        <v>86.411249797522032</v>
      </c>
      <c r="V787" s="254">
        <f t="shared" si="1383"/>
        <v>6.000000000007276</v>
      </c>
      <c r="W787" s="255"/>
      <c r="X787" s="228">
        <f>X783-X782</f>
        <v>31.093177031638334</v>
      </c>
      <c r="Y787" s="173"/>
      <c r="Z787" s="228">
        <f t="shared" ref="Z787:AA787" si="1384">Z783-Z782</f>
        <v>0</v>
      </c>
      <c r="AA787" s="254">
        <f t="shared" si="1384"/>
        <v>31.093177031638334</v>
      </c>
      <c r="AB787" s="266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s="5" customFormat="1">
      <c r="A788" s="1"/>
      <c r="B788" s="1"/>
      <c r="C788" s="1"/>
      <c r="D788" s="225" t="s">
        <v>310</v>
      </c>
      <c r="E788" s="225"/>
      <c r="F788" s="225" t="str">
        <f t="shared" si="1316"/>
        <v>Гранта</v>
      </c>
      <c r="G788" s="225" t="s">
        <v>219</v>
      </c>
      <c r="H788" s="350"/>
      <c r="I788" s="351">
        <f>I786-I787</f>
        <v>6.3725555219643866</v>
      </c>
      <c r="J788" s="352"/>
      <c r="K788" s="351">
        <f t="shared" ref="K788" si="1385">K786-K787</f>
        <v>33.363171655502811</v>
      </c>
      <c r="L788" s="353">
        <f t="shared" ref="L788" si="1386">L786-L787</f>
        <v>-25.738898536183115</v>
      </c>
      <c r="M788" s="282"/>
      <c r="N788" s="226">
        <f>N786-N787</f>
        <v>59.214736940157309</v>
      </c>
      <c r="O788" s="181"/>
      <c r="P788" s="226">
        <f t="shared" ref="P788" si="1387">P786-P787</f>
        <v>59.214736940157309</v>
      </c>
      <c r="Q788" s="256">
        <f t="shared" ref="Q788" si="1388">Q786-Q787</f>
        <v>0</v>
      </c>
      <c r="R788" s="257"/>
      <c r="S788" s="226">
        <f>S786-S787</f>
        <v>27.102381834047264</v>
      </c>
      <c r="T788" s="181"/>
      <c r="U788" s="226">
        <f t="shared" ref="U788" si="1389">U786-U787</f>
        <v>33.08693595531804</v>
      </c>
      <c r="V788" s="256">
        <f t="shared" ref="V788" si="1390">V786-V787</f>
        <v>-2</v>
      </c>
      <c r="W788" s="257"/>
      <c r="X788" s="226">
        <f>X786-X787</f>
        <v>-24.135640279557265</v>
      </c>
      <c r="Y788" s="181"/>
      <c r="Z788" s="226">
        <f t="shared" ref="Z788" si="1391">Z786-Z787</f>
        <v>0</v>
      </c>
      <c r="AA788" s="256">
        <f t="shared" ref="AA788" si="1392">AA786-AA787</f>
        <v>-24.135640279557265</v>
      </c>
      <c r="AB788" s="266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s="5" customFormat="1">
      <c r="A789" s="1"/>
      <c r="B789" s="1"/>
      <c r="C789" s="1"/>
      <c r="D789" s="223"/>
      <c r="E789" s="223" t="s">
        <v>293</v>
      </c>
      <c r="F789" s="223" t="str">
        <f t="shared" si="1316"/>
        <v>Гранта</v>
      </c>
      <c r="G789" s="223" t="s">
        <v>261</v>
      </c>
      <c r="H789" s="354"/>
      <c r="I789" s="355">
        <f>SUMIFS(операции!$Z:$Z,операции!$X:$X,"&gt;="&amp;I$8,операции!$X:$X,"&lt;="&amp;I$9,операции!$AB:$AB,"&lt;&gt;"&amp;"",операции!$O:$O,$F756)</f>
        <v>39667</v>
      </c>
      <c r="J789" s="341">
        <f>I789-K789-L789</f>
        <v>0</v>
      </c>
      <c r="K789" s="355">
        <f>SUMIFS(операции!$Z:$Z,операции!$X:$X,"&gt;="&amp;I$8,операции!$X:$X,"&lt;="&amp;I$9,операции!$AB:$AB,"&lt;&gt;"&amp;"",операции!$L:$L,K$9,операции!$O:$O,$F756)</f>
        <v>34677</v>
      </c>
      <c r="L789" s="356">
        <f>SUMIFS(операции!$Z:$Z,операции!$X:$X,"&gt;="&amp;I$8,операции!$X:$X,"&lt;="&amp;I$9,операции!$AB:$AB,"&lt;&gt;"&amp;"",операции!$L:$L,L$9,операции!$O:$O,$F756)</f>
        <v>4990</v>
      </c>
      <c r="M789" s="283"/>
      <c r="N789" s="224">
        <f>SUMIFS(операции!$Z:$Z,операции!$X:$X,"&gt;="&amp;N$8,операции!$X:$X,"&lt;="&amp;N$9,операции!$AB:$AB,"&lt;&gt;"&amp;"",операции!$O:$O,$F756)</f>
        <v>10300</v>
      </c>
      <c r="O789" s="216">
        <f>N789-P789-Q789</f>
        <v>0</v>
      </c>
      <c r="P789" s="224">
        <f>SUMIFS(операции!$Z:$Z,операции!$X:$X,"&gt;="&amp;N$8,операции!$X:$X,"&lt;="&amp;N$9,операции!$AB:$AB,"&lt;&gt;"&amp;"",операции!$L:$L,P$9,операции!$O:$O,$F756)</f>
        <v>10300</v>
      </c>
      <c r="Q789" s="258">
        <f>SUMIFS(операции!$Z:$Z,операции!$X:$X,"&gt;="&amp;N$8,операции!$X:$X,"&lt;="&amp;N$9,операции!$AB:$AB,"&lt;&gt;"&amp;"",операции!$L:$L,Q$9,операции!$O:$O,$F756)</f>
        <v>0</v>
      </c>
      <c r="R789" s="259"/>
      <c r="S789" s="224">
        <f>SUMIFS(операции!$Z:$Z,операции!$X:$X,"&gt;="&amp;S$8,операции!$X:$X,"&lt;="&amp;S$9,операции!$AB:$AB,"&lt;&gt;"&amp;"",операции!$O:$O,$F756)</f>
        <v>24377</v>
      </c>
      <c r="T789" s="216">
        <f>S789-U789-V789</f>
        <v>0</v>
      </c>
      <c r="U789" s="224">
        <f>SUMIFS(операции!$Z:$Z,операции!$X:$X,"&gt;="&amp;S$8,операции!$X:$X,"&lt;="&amp;S$9,операции!$AB:$AB,"&lt;&gt;"&amp;"",операции!$L:$L,U$9,операции!$O:$O,$F756)</f>
        <v>24377</v>
      </c>
      <c r="V789" s="258">
        <f>SUMIFS(операции!$Z:$Z,операции!$X:$X,"&gt;="&amp;S$8,операции!$X:$X,"&lt;="&amp;S$9,операции!$AB:$AB,"&lt;&gt;"&amp;"",операции!$L:$L,V$9,операции!$O:$O,$F756)</f>
        <v>0</v>
      </c>
      <c r="W789" s="259"/>
      <c r="X789" s="224">
        <f>SUMIFS(операции!$Z:$Z,операции!$X:$X,"&gt;="&amp;X$8,операции!$X:$X,"&lt;="&amp;X$9,операции!$AB:$AB,"&lt;&gt;"&amp;"",операции!$O:$O,$F756)</f>
        <v>4990</v>
      </c>
      <c r="Y789" s="216">
        <f>X789-Z789-AA789</f>
        <v>0</v>
      </c>
      <c r="Z789" s="224">
        <f>SUMIFS(операции!$Z:$Z,операции!$X:$X,"&gt;="&amp;X$8,операции!$X:$X,"&lt;="&amp;X$9,операции!$AB:$AB,"&lt;&gt;"&amp;"",операции!$L:$L,Z$9,операции!$O:$O,$F756)</f>
        <v>0</v>
      </c>
      <c r="AA789" s="258">
        <f>SUMIFS(операции!$Z:$Z,операции!$X:$X,"&gt;="&amp;X$8,операции!$X:$X,"&lt;="&amp;X$9,операции!$AB:$AB,"&lt;&gt;"&amp;"",операции!$L:$L,AA$9,операции!$O:$O,$F756)</f>
        <v>4990</v>
      </c>
      <c r="AB789" s="266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s="192" customFormat="1" ht="11.25">
      <c r="A790" s="37"/>
      <c r="B790" s="37"/>
      <c r="C790" s="37"/>
      <c r="D790" s="191"/>
      <c r="E790" s="191" t="s">
        <v>295</v>
      </c>
      <c r="F790" s="191" t="str">
        <f t="shared" si="1316"/>
        <v>Гранта</v>
      </c>
      <c r="G790" s="191" t="s">
        <v>262</v>
      </c>
      <c r="H790" s="315"/>
      <c r="I790" s="316">
        <f>IF(I789=0,0,SUMIFS(операции!$AG:$AG,операции!$X:$X,"&gt;="&amp;I$8,операции!$X:$X,"&lt;="&amp;I$9,операции!$AB:$AB,"&lt;&gt;"&amp;"",операции!$O:$O,$F756)/I789)</f>
        <v>42321.587742960146</v>
      </c>
      <c r="J790" s="317"/>
      <c r="K790" s="316">
        <f>IF(K789=0,0,SUMIFS(операции!$AG:$AG,операции!$X:$X,"&gt;="&amp;I$8,операции!$X:$X,"&lt;="&amp;I$9,операции!$AB:$AB,"&lt;&gt;"&amp;"",операции!$L:$L,K$9,операции!$O:$O,$F756)/K789)</f>
        <v>42318.650431121496</v>
      </c>
      <c r="L790" s="318">
        <f>IF(L789=0,0,SUMIFS(операции!$AG:$AG,операции!$X:$X,"&gt;="&amp;I$8,операции!$X:$X,"&lt;="&amp;I$9,операции!$AB:$AB,"&lt;&gt;"&amp;"",операции!$L:$L,L$9,операции!$O:$O,$F756)/L789)</f>
        <v>42342</v>
      </c>
      <c r="M790" s="274"/>
      <c r="N790" s="193">
        <f>IF(N789=0,0,SUMIFS(операции!$AG:$AG,операции!$X:$X,"&gt;="&amp;N$8,операции!$X:$X,"&lt;="&amp;N$9,операции!$AB:$AB,"&lt;&gt;"&amp;"",операции!$O:$O,$F756)/N789)</f>
        <v>42297.729320388353</v>
      </c>
      <c r="O790" s="196"/>
      <c r="P790" s="193">
        <f>IF(P789=0,0,SUMIFS(операции!$AG:$AG,операции!$X:$X,"&gt;="&amp;N$8,операции!$X:$X,"&lt;="&amp;N$9,операции!$AB:$AB,"&lt;&gt;"&amp;"",операции!$L:$L,P$9,операции!$O:$O,$F756)/P789)</f>
        <v>42297.729320388353</v>
      </c>
      <c r="Q790" s="237">
        <f>IF(Q789=0,0,SUMIFS(операции!$AG:$AG,операции!$X:$X,"&gt;="&amp;N$8,операции!$X:$X,"&lt;="&amp;N$9,операции!$AB:$AB,"&lt;&gt;"&amp;"",операции!$L:$L,Q$9,операции!$O:$O,$F756)/Q789)</f>
        <v>0</v>
      </c>
      <c r="R790" s="238"/>
      <c r="S790" s="193">
        <f>IF(S789=0,0,SUMIFS(операции!$AG:$AG,операции!$X:$X,"&gt;="&amp;S$8,операции!$X:$X,"&lt;="&amp;S$9,операции!$AB:$AB,"&lt;&gt;"&amp;"",операции!$O:$O,$F756)/S789)</f>
        <v>42327.490216187391</v>
      </c>
      <c r="T790" s="196"/>
      <c r="U790" s="193">
        <f>IF(U789=0,0,SUMIFS(операции!$AG:$AG,операции!$X:$X,"&gt;="&amp;S$8,операции!$X:$X,"&lt;="&amp;S$9,операции!$AB:$AB,"&lt;&gt;"&amp;"",операции!$L:$L,U$9,операции!$O:$O,$F756)/U789)</f>
        <v>42327.490216187391</v>
      </c>
      <c r="V790" s="237">
        <f>IF(V789=0,0,SUMIFS(операции!$AG:$AG,операции!$X:$X,"&gt;="&amp;S$8,операции!$X:$X,"&lt;="&amp;S$9,операции!$AB:$AB,"&lt;&gt;"&amp;"",операции!$L:$L,V$9,операции!$O:$O,$F756)/V789)</f>
        <v>0</v>
      </c>
      <c r="W790" s="238"/>
      <c r="X790" s="193">
        <f>IF(X789=0,0,SUMIFS(операции!$AG:$AG,операции!$X:$X,"&gt;="&amp;X$8,операции!$X:$X,"&lt;="&amp;X$9,операции!$AB:$AB,"&lt;&gt;"&amp;"",операции!$O:$O,$F756)/X789)</f>
        <v>42342</v>
      </c>
      <c r="Y790" s="196"/>
      <c r="Z790" s="193">
        <f>IF(Z789=0,0,SUMIFS(операции!$AG:$AG,операции!$X:$X,"&gt;="&amp;X$8,операции!$X:$X,"&lt;="&amp;X$9,операции!$AB:$AB,"&lt;&gt;"&amp;"",операции!$L:$L,Z$9,операции!$O:$O,$F756)/Z789)</f>
        <v>0</v>
      </c>
      <c r="AA790" s="237">
        <f>IF(AA789=0,0,SUMIFS(операции!$AG:$AG,операции!$X:$X,"&gt;="&amp;X$8,операции!$X:$X,"&lt;="&amp;X$9,операции!$AB:$AB,"&lt;&gt;"&amp;"",операции!$L:$L,AA$9,операции!$O:$O,$F756)/AA789)</f>
        <v>42342</v>
      </c>
      <c r="AB790" s="265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</row>
    <row r="791" spans="1:42" s="93" customFormat="1" ht="15">
      <c r="A791" s="92"/>
      <c r="B791" s="92"/>
      <c r="C791" s="92"/>
      <c r="D791" s="151"/>
      <c r="E791" s="151" t="s">
        <v>292</v>
      </c>
      <c r="F791" s="151" t="str">
        <f t="shared" si="1316"/>
        <v>Гранта</v>
      </c>
      <c r="G791" s="151" t="s">
        <v>261</v>
      </c>
      <c r="H791" s="311"/>
      <c r="I791" s="312">
        <f>SUMIFS(операции!$V:$V,операции!$X:$X,"&gt;="&amp;I$8,операции!$X:$X,"&lt;="&amp;I$9,операции!$AB:$AB,"&lt;&gt;"&amp;"",операции!$O:$O,$F756)</f>
        <v>38504.259999999995</v>
      </c>
      <c r="J791" s="313">
        <f>I791-K791-L791</f>
        <v>0</v>
      </c>
      <c r="K791" s="312">
        <f>SUMIFS(операции!$V:$V,операции!$X:$X,"&gt;="&amp;I$8,операции!$X:$X,"&lt;="&amp;I$9,операции!$AB:$AB,"&lt;&gt;"&amp;"",операции!$L:$L,K$9,операции!$O:$O,$F756)</f>
        <v>33843.879999999997</v>
      </c>
      <c r="L791" s="314">
        <f>SUMIFS(операции!$V:$V,операции!$X:$X,"&gt;="&amp;I$8,операции!$X:$X,"&lt;="&amp;I$9,операции!$AB:$AB,"&lt;&gt;"&amp;"",операции!$L:$L,L$9,операции!$O:$O,$F756)</f>
        <v>4660.38</v>
      </c>
      <c r="M791" s="273"/>
      <c r="N791" s="152">
        <f>SUMIFS(операции!$V:$V,операции!$X:$X,"&gt;="&amp;N$8,операции!$X:$X,"&lt;="&amp;N$9,операции!$AB:$AB,"&lt;&gt;"&amp;"",операции!$O:$O,$F756)</f>
        <v>9975.35</v>
      </c>
      <c r="O791" s="170">
        <f>N791-P791-Q791</f>
        <v>0</v>
      </c>
      <c r="P791" s="152">
        <f>SUMIFS(операции!$V:$V,операции!$X:$X,"&gt;="&amp;N$8,операции!$X:$X,"&lt;="&amp;N$9,операции!$AB:$AB,"&lt;&gt;"&amp;"",операции!$L:$L,P$9,операции!$O:$O,$F756)</f>
        <v>9975.35</v>
      </c>
      <c r="Q791" s="235">
        <f>SUMIFS(операции!$V:$V,операции!$X:$X,"&gt;="&amp;N$8,операции!$X:$X,"&lt;="&amp;N$9,операции!$AB:$AB,"&lt;&gt;"&amp;"",операции!$L:$L,Q$9,операции!$O:$O,$F756)</f>
        <v>0</v>
      </c>
      <c r="R791" s="236"/>
      <c r="S791" s="152">
        <f>SUMIFS(операции!$V:$V,операции!$X:$X,"&gt;="&amp;S$8,операции!$X:$X,"&lt;="&amp;S$9,операции!$AB:$AB,"&lt;&gt;"&amp;"",операции!$O:$O,$F756)</f>
        <v>23868.53</v>
      </c>
      <c r="T791" s="170">
        <f>S791-U791-V791</f>
        <v>0</v>
      </c>
      <c r="U791" s="152">
        <f>SUMIFS(операции!$V:$V,операции!$X:$X,"&gt;="&amp;S$8,операции!$X:$X,"&lt;="&amp;S$9,операции!$AB:$AB,"&lt;&gt;"&amp;"",операции!$L:$L,U$9,операции!$O:$O,$F756)</f>
        <v>23868.53</v>
      </c>
      <c r="V791" s="235">
        <f>SUMIFS(операции!$V:$V,операции!$X:$X,"&gt;="&amp;S$8,операции!$X:$X,"&lt;="&amp;S$9,операции!$AB:$AB,"&lt;&gt;"&amp;"",операции!$L:$L,V$9,операции!$O:$O,$F756)</f>
        <v>0</v>
      </c>
      <c r="W791" s="236"/>
      <c r="X791" s="152">
        <f>SUMIFS(операции!$V:$V,операции!$X:$X,"&gt;="&amp;X$8,операции!$X:$X,"&lt;="&amp;X$9,операции!$AB:$AB,"&lt;&gt;"&amp;"",операции!$O:$O,$F756)</f>
        <v>4660.38</v>
      </c>
      <c r="Y791" s="170">
        <f>X791-Z791-AA791</f>
        <v>0</v>
      </c>
      <c r="Z791" s="152">
        <f>SUMIFS(операции!$V:$V,операции!$X:$X,"&gt;="&amp;X$8,операции!$X:$X,"&lt;="&amp;X$9,операции!$AB:$AB,"&lt;&gt;"&amp;"",операции!$L:$L,Z$9,операции!$O:$O,$F756)</f>
        <v>0</v>
      </c>
      <c r="AA791" s="235">
        <f>SUMIFS(операции!$V:$V,операции!$X:$X,"&gt;="&amp;X$8,операции!$X:$X,"&lt;="&amp;X$9,операции!$AB:$AB,"&lt;&gt;"&amp;"",операции!$L:$L,AA$9,операции!$O:$O,$F756)</f>
        <v>4660.38</v>
      </c>
      <c r="AB791" s="264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</row>
    <row r="792" spans="1:42" s="192" customFormat="1" ht="11.25">
      <c r="A792" s="37"/>
      <c r="B792" s="37"/>
      <c r="C792" s="37"/>
      <c r="D792" s="191"/>
      <c r="E792" s="191" t="s">
        <v>294</v>
      </c>
      <c r="F792" s="191" t="str">
        <f t="shared" si="1316"/>
        <v>Гранта</v>
      </c>
      <c r="G792" s="191" t="s">
        <v>262</v>
      </c>
      <c r="H792" s="315"/>
      <c r="I792" s="316">
        <f>IF(I791=0,0,SUMIFS(операции!$AF:$AF,операции!$X:$X,"&gt;="&amp;I$8,операции!$X:$X,"&lt;="&amp;I$9,операции!$AB:$AB,"&lt;&gt;"&amp;"",операции!$O:$O,$F756)/I791)</f>
        <v>42237.457281090465</v>
      </c>
      <c r="J792" s="317"/>
      <c r="K792" s="316">
        <f>IF(K791=0,0,SUMIFS(операции!$AF:$AF,операции!$X:$X,"&gt;="&amp;I$8,операции!$X:$X,"&lt;="&amp;I$9,операции!$AB:$AB,"&lt;&gt;"&amp;"",операции!$L:$L,K$9,операции!$O:$O,$F756)/K791)</f>
        <v>42223.887722388812</v>
      </c>
      <c r="L792" s="318">
        <f>IF(L791=0,0,SUMIFS(операции!$AF:$AF,операции!$X:$X,"&gt;="&amp;I$8,операции!$X:$X,"&lt;="&amp;I$9,операции!$AB:$AB,"&lt;&gt;"&amp;"",операции!$L:$L,L$9,операции!$O:$O,$F756)/L791)</f>
        <v>42336</v>
      </c>
      <c r="M792" s="274"/>
      <c r="N792" s="193">
        <f>IF(N791=0,0,SUMIFS(операции!$AF:$AF,операции!$X:$X,"&gt;="&amp;N$8,операции!$X:$X,"&lt;="&amp;N$9,операции!$AB:$AB,"&lt;&gt;"&amp;"",операции!$O:$O,$F756)/N791)</f>
        <v>42195.085956883719</v>
      </c>
      <c r="O792" s="196"/>
      <c r="P792" s="193">
        <f>IF(P791=0,0,SUMIFS(операции!$AF:$AF,операции!$X:$X,"&gt;="&amp;N$8,операции!$X:$X,"&lt;="&amp;N$9,операции!$AB:$AB,"&lt;&gt;"&amp;"",операции!$L:$L,P$9,операции!$O:$O,$F756)/P791)</f>
        <v>42195.085956883719</v>
      </c>
      <c r="Q792" s="237">
        <f>IF(Q791=0,0,SUMIFS(операции!$AF:$AF,операции!$X:$X,"&gt;="&amp;N$8,операции!$X:$X,"&lt;="&amp;N$9,операции!$AB:$AB,"&lt;&gt;"&amp;"",операции!$L:$L,Q$9,операции!$O:$O,$F756)/Q791)</f>
        <v>0</v>
      </c>
      <c r="R792" s="238"/>
      <c r="S792" s="193">
        <f>IF(S791=0,0,SUMIFS(операции!$AF:$AF,операции!$X:$X,"&gt;="&amp;S$8,операции!$X:$X,"&lt;="&amp;S$9,операции!$AB:$AB,"&lt;&gt;"&amp;"",операции!$O:$O,$F756)/S791)</f>
        <v>42235.924814389487</v>
      </c>
      <c r="T792" s="196"/>
      <c r="U792" s="193">
        <f>IF(U791=0,0,SUMIFS(операции!$AF:$AF,операции!$X:$X,"&gt;="&amp;S$8,операции!$X:$X,"&lt;="&amp;S$9,операции!$AB:$AB,"&lt;&gt;"&amp;"",операции!$L:$L,U$9,операции!$O:$O,$F756)/U791)</f>
        <v>42235.924814389487</v>
      </c>
      <c r="V792" s="237">
        <f>IF(V791=0,0,SUMIFS(операции!$AF:$AF,операции!$X:$X,"&gt;="&amp;S$8,операции!$X:$X,"&lt;="&amp;S$9,операции!$AB:$AB,"&lt;&gt;"&amp;"",операции!$L:$L,V$9,операции!$O:$O,$F756)/V791)</f>
        <v>0</v>
      </c>
      <c r="W792" s="238"/>
      <c r="X792" s="193">
        <f>IF(X791=0,0,SUMIFS(операции!$AF:$AF,операции!$X:$X,"&gt;="&amp;X$8,операции!$X:$X,"&lt;="&amp;X$9,операции!$AB:$AB,"&lt;&gt;"&amp;"",операции!$O:$O,$F756)/X791)</f>
        <v>42336</v>
      </c>
      <c r="Y792" s="196"/>
      <c r="Z792" s="193">
        <f>IF(Z791=0,0,SUMIFS(операции!$AF:$AF,операции!$X:$X,"&gt;="&amp;X$8,операции!$X:$X,"&lt;="&amp;X$9,операции!$AB:$AB,"&lt;&gt;"&amp;"",операции!$L:$L,Z$9,операции!$O:$O,$F756)/Z791)</f>
        <v>0</v>
      </c>
      <c r="AA792" s="237">
        <f>IF(AA791=0,0,SUMIFS(операции!$AF:$AF,операции!$X:$X,"&gt;="&amp;X$8,операции!$X:$X,"&lt;="&amp;X$9,операции!$AB:$AB,"&lt;&gt;"&amp;"",операции!$L:$L,AA$9,операции!$O:$O,$F756)/AA791)</f>
        <v>42336</v>
      </c>
      <c r="AB792" s="265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</row>
    <row r="793" spans="1:42" s="192" customFormat="1" ht="11.25">
      <c r="A793" s="37"/>
      <c r="B793" s="37"/>
      <c r="C793" s="37"/>
      <c r="D793" s="191"/>
      <c r="E793" s="191" t="s">
        <v>299</v>
      </c>
      <c r="F793" s="191" t="str">
        <f t="shared" si="1316"/>
        <v>Гранта</v>
      </c>
      <c r="G793" s="191" t="s">
        <v>262</v>
      </c>
      <c r="H793" s="315"/>
      <c r="I793" s="316">
        <f>IF(I791=0,0,SUMIFS(операции!$AH:$AH,операции!$X:$X,"&gt;="&amp;I$8,операции!$X:$X,"&lt;="&amp;I$9,операции!$AB:$AB,"&lt;&gt;"&amp;"",операции!$O:$O,$F756)/I791)</f>
        <v>42279.022687619508</v>
      </c>
      <c r="J793" s="317"/>
      <c r="K793" s="316">
        <f>IF(K791=0,0,SUMIFS(операции!$AH:$AH,операции!$X:$X,"&gt;="&amp;I$8,операции!$X:$X,"&lt;="&amp;I$9,операции!$AB:$AB,"&lt;&gt;"&amp;"",операции!$L:$L,K$9,операции!$O:$O,$F756)/K791)</f>
        <v>42267.045711957377</v>
      </c>
      <c r="L793" s="318">
        <f>IF(L791=0,0,SUMIFS(операции!$AH:$AH,операции!$X:$X,"&gt;="&amp;I$8,операции!$X:$X,"&lt;="&amp;I$9,операции!$AB:$AB,"&lt;&gt;"&amp;"",операции!$L:$L,L$9,операции!$O:$O,$F756)/L791)</f>
        <v>42366</v>
      </c>
      <c r="M793" s="274"/>
      <c r="N793" s="193">
        <f>IF(N791=0,0,SUMIFS(операции!$AH:$AH,операции!$X:$X,"&gt;="&amp;N$8,операции!$X:$X,"&lt;="&amp;N$9,операции!$AB:$AB,"&lt;&gt;"&amp;"",операции!$O:$O,$F756)/N791)</f>
        <v>42238.514583448195</v>
      </c>
      <c r="O793" s="196"/>
      <c r="P793" s="193">
        <f>IF(P791=0,0,SUMIFS(операции!$AH:$AH,операции!$X:$X,"&gt;="&amp;N$8,операции!$X:$X,"&lt;="&amp;N$9,операции!$AB:$AB,"&lt;&gt;"&amp;"",операции!$L:$L,P$9,операции!$O:$O,$F756)/P791)</f>
        <v>42238.514583448195</v>
      </c>
      <c r="Q793" s="237">
        <f>IF(Q791=0,0,SUMIFS(операции!$AH:$AH,операции!$X:$X,"&gt;="&amp;N$8,операции!$X:$X,"&lt;="&amp;N$9,операции!$AB:$AB,"&lt;&gt;"&amp;"",операции!$L:$L,Q$9,операции!$O:$O,$F756)/Q791)</f>
        <v>0</v>
      </c>
      <c r="R793" s="238"/>
      <c r="S793" s="193">
        <f>IF(S791=0,0,SUMIFS(операции!$AH:$AH,операции!$X:$X,"&gt;="&amp;S$8,операции!$X:$X,"&lt;="&amp;S$9,операции!$AB:$AB,"&lt;&gt;"&amp;"",операции!$O:$O,$F756)/S791)</f>
        <v>42278.969696918917</v>
      </c>
      <c r="T793" s="196"/>
      <c r="U793" s="193">
        <f>IF(U791=0,0,SUMIFS(операции!$AH:$AH,операции!$X:$X,"&gt;="&amp;S$8,операции!$X:$X,"&lt;="&amp;S$9,операции!$AB:$AB,"&lt;&gt;"&amp;"",операции!$L:$L,U$9,операции!$O:$O,$F756)/U791)</f>
        <v>42278.969696918917</v>
      </c>
      <c r="V793" s="237">
        <f>IF(V791=0,0,SUMIFS(операции!$AH:$AH,операции!$X:$X,"&gt;="&amp;S$8,операции!$X:$X,"&lt;="&amp;S$9,операции!$AB:$AB,"&lt;&gt;"&amp;"",операции!$L:$L,V$9,операции!$O:$O,$F756)/V791)</f>
        <v>0</v>
      </c>
      <c r="W793" s="238"/>
      <c r="X793" s="193">
        <f>IF(X791=0,0,SUMIFS(операции!$AH:$AH,операции!$X:$X,"&gt;="&amp;X$8,операции!$X:$X,"&lt;="&amp;X$9,операции!$AB:$AB,"&lt;&gt;"&amp;"",операции!$O:$O,$F756)/X791)</f>
        <v>42366</v>
      </c>
      <c r="Y793" s="196"/>
      <c r="Z793" s="193">
        <f>IF(Z791=0,0,SUMIFS(операции!$AH:$AH,операции!$X:$X,"&gt;="&amp;X$8,операции!$X:$X,"&lt;="&amp;X$9,операции!$AB:$AB,"&lt;&gt;"&amp;"",операции!$L:$L,Z$9,операции!$O:$O,$F756)/Z791)</f>
        <v>0</v>
      </c>
      <c r="AA793" s="237">
        <f>IF(AA791=0,0,SUMIFS(операции!$AH:$AH,операции!$X:$X,"&gt;="&amp;X$8,операции!$X:$X,"&lt;="&amp;X$9,операции!$AB:$AB,"&lt;&gt;"&amp;"",операции!$L:$L,AA$9,операции!$O:$O,$F756)/AA791)</f>
        <v>42366</v>
      </c>
      <c r="AB793" s="265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</row>
    <row r="794" spans="1:42" s="5" customFormat="1">
      <c r="A794" s="1"/>
      <c r="B794" s="1"/>
      <c r="C794" s="1"/>
      <c r="D794" s="168"/>
      <c r="E794" s="168" t="s">
        <v>296</v>
      </c>
      <c r="F794" s="168" t="str">
        <f t="shared" si="1316"/>
        <v>Гранта</v>
      </c>
      <c r="G794" s="168" t="s">
        <v>261</v>
      </c>
      <c r="H794" s="326"/>
      <c r="I794" s="327">
        <f>I789-I791</f>
        <v>1162.7400000000052</v>
      </c>
      <c r="J794" s="313">
        <f>I794-K794-L794</f>
        <v>2.7284841053187847E-12</v>
      </c>
      <c r="K794" s="327">
        <f t="shared" ref="K794:L794" si="1393">K789-K791</f>
        <v>833.12000000000262</v>
      </c>
      <c r="L794" s="328">
        <f t="shared" si="1393"/>
        <v>329.61999999999989</v>
      </c>
      <c r="M794" s="277"/>
      <c r="N794" s="169">
        <f>N789-N791</f>
        <v>324.64999999999964</v>
      </c>
      <c r="O794" s="170">
        <f>N794-P794-Q794</f>
        <v>0</v>
      </c>
      <c r="P794" s="169">
        <f t="shared" ref="P794:Q794" si="1394">P789-P791</f>
        <v>324.64999999999964</v>
      </c>
      <c r="Q794" s="243">
        <f t="shared" si="1394"/>
        <v>0</v>
      </c>
      <c r="R794" s="244"/>
      <c r="S794" s="169">
        <f>S789-S791</f>
        <v>508.47000000000116</v>
      </c>
      <c r="T794" s="170">
        <f>S794-U794-V794</f>
        <v>0</v>
      </c>
      <c r="U794" s="169">
        <f t="shared" ref="U794:V794" si="1395">U789-U791</f>
        <v>508.47000000000116</v>
      </c>
      <c r="V794" s="243">
        <f t="shared" si="1395"/>
        <v>0</v>
      </c>
      <c r="W794" s="244"/>
      <c r="X794" s="169">
        <f>X789-X791</f>
        <v>329.61999999999989</v>
      </c>
      <c r="Y794" s="170">
        <f>X794-Z794-AA794</f>
        <v>0</v>
      </c>
      <c r="Z794" s="169">
        <f t="shared" ref="Z794:AA794" si="1396">Z789-Z791</f>
        <v>0</v>
      </c>
      <c r="AA794" s="243">
        <f t="shared" si="1396"/>
        <v>329.61999999999989</v>
      </c>
      <c r="AB794" s="266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s="211" customFormat="1">
      <c r="A795" s="210"/>
      <c r="B795" s="210"/>
      <c r="C795" s="210"/>
      <c r="D795" s="218"/>
      <c r="E795" s="218" t="s">
        <v>297</v>
      </c>
      <c r="F795" s="218" t="str">
        <f t="shared" si="1316"/>
        <v>Гранта</v>
      </c>
      <c r="G795" s="218" t="s">
        <v>218</v>
      </c>
      <c r="H795" s="343"/>
      <c r="I795" s="344">
        <f>IF(I789=0,0,(I794/I789))</f>
        <v>2.9312526785489328E-2</v>
      </c>
      <c r="J795" s="345"/>
      <c r="K795" s="344">
        <f t="shared" ref="K795" si="1397">IF(K789=0,0,(K794/K789))</f>
        <v>2.4025146350607107E-2</v>
      </c>
      <c r="L795" s="346">
        <f t="shared" ref="L795" si="1398">IF(L789=0,0,(L794/L789))</f>
        <v>6.6056112224448876E-2</v>
      </c>
      <c r="M795" s="280"/>
      <c r="N795" s="219">
        <f>IF(N789=0,0,(N794/N789))</f>
        <v>3.1519417475728118E-2</v>
      </c>
      <c r="O795" s="220"/>
      <c r="P795" s="219">
        <f t="shared" ref="P795" si="1399">IF(P789=0,0,(P794/P789))</f>
        <v>3.1519417475728118E-2</v>
      </c>
      <c r="Q795" s="252">
        <f t="shared" ref="Q795" si="1400">IF(Q789=0,0,(Q794/Q789))</f>
        <v>0</v>
      </c>
      <c r="R795" s="253"/>
      <c r="S795" s="219">
        <f>IF(S789=0,0,(S794/S789))</f>
        <v>2.0858596217746283E-2</v>
      </c>
      <c r="T795" s="220"/>
      <c r="U795" s="219">
        <f t="shared" ref="U795" si="1401">IF(U789=0,0,(U794/U789))</f>
        <v>2.0858596217746283E-2</v>
      </c>
      <c r="V795" s="252">
        <f t="shared" ref="V795" si="1402">IF(V789=0,0,(V794/V789))</f>
        <v>0</v>
      </c>
      <c r="W795" s="253"/>
      <c r="X795" s="219">
        <f>IF(X789=0,0,(X794/X789))</f>
        <v>6.6056112224448876E-2</v>
      </c>
      <c r="Y795" s="220"/>
      <c r="Z795" s="219">
        <f t="shared" ref="Z795" si="1403">IF(Z789=0,0,(Z794/Z789))</f>
        <v>0</v>
      </c>
      <c r="AA795" s="252">
        <f t="shared" ref="AA795" si="1404">IF(AA789=0,0,(AA794/AA789))</f>
        <v>6.6056112224448876E-2</v>
      </c>
      <c r="AB795" s="267"/>
      <c r="AC795" s="210"/>
      <c r="AD795" s="210"/>
      <c r="AE795" s="210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</row>
    <row r="796" spans="1:42" s="5" customFormat="1">
      <c r="A796" s="1"/>
      <c r="B796" s="1"/>
      <c r="C796" s="1"/>
      <c r="D796" s="227"/>
      <c r="E796" s="227" t="s">
        <v>298</v>
      </c>
      <c r="F796" s="227" t="str">
        <f t="shared" si="1316"/>
        <v>Гранта</v>
      </c>
      <c r="G796" s="227" t="s">
        <v>219</v>
      </c>
      <c r="H796" s="347"/>
      <c r="I796" s="348">
        <f>I790-I792</f>
        <v>84.130461869681312</v>
      </c>
      <c r="J796" s="321"/>
      <c r="K796" s="348">
        <f t="shared" ref="K796:L796" si="1405">K790-K792</f>
        <v>94.762708732683677</v>
      </c>
      <c r="L796" s="349">
        <f t="shared" si="1405"/>
        <v>6</v>
      </c>
      <c r="M796" s="281"/>
      <c r="N796" s="228">
        <f>N790-N792</f>
        <v>102.64336350463418</v>
      </c>
      <c r="O796" s="173"/>
      <c r="P796" s="228">
        <f t="shared" ref="P796:Q796" si="1406">P790-P792</f>
        <v>102.64336350463418</v>
      </c>
      <c r="Q796" s="254">
        <f t="shared" si="1406"/>
        <v>0</v>
      </c>
      <c r="R796" s="255"/>
      <c r="S796" s="228">
        <f>S790-S792</f>
        <v>91.565401797903178</v>
      </c>
      <c r="T796" s="173"/>
      <c r="U796" s="228">
        <f t="shared" ref="U796:V796" si="1407">U790-U792</f>
        <v>91.565401797903178</v>
      </c>
      <c r="V796" s="254">
        <f t="shared" si="1407"/>
        <v>0</v>
      </c>
      <c r="W796" s="255"/>
      <c r="X796" s="228">
        <f>X790-X792</f>
        <v>6</v>
      </c>
      <c r="Y796" s="173"/>
      <c r="Z796" s="228">
        <f t="shared" ref="Z796:AA796" si="1408">Z790-Z792</f>
        <v>0</v>
      </c>
      <c r="AA796" s="254">
        <f t="shared" si="1408"/>
        <v>6</v>
      </c>
      <c r="AB796" s="266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s="5" customFormat="1">
      <c r="A797" s="1"/>
      <c r="B797" s="1"/>
      <c r="C797" s="1"/>
      <c r="D797" s="227"/>
      <c r="E797" s="227" t="s">
        <v>300</v>
      </c>
      <c r="F797" s="227" t="str">
        <f t="shared" si="1316"/>
        <v>Гранта</v>
      </c>
      <c r="G797" s="227" t="s">
        <v>219</v>
      </c>
      <c r="H797" s="347"/>
      <c r="I797" s="348">
        <f>I793-I792</f>
        <v>41.565406529043685</v>
      </c>
      <c r="J797" s="321"/>
      <c r="K797" s="348">
        <f t="shared" ref="K797:L797" si="1409">K793-K792</f>
        <v>43.157989568564517</v>
      </c>
      <c r="L797" s="349">
        <f t="shared" si="1409"/>
        <v>30</v>
      </c>
      <c r="M797" s="281"/>
      <c r="N797" s="228">
        <f>N793-N792</f>
        <v>43.428626564476872</v>
      </c>
      <c r="O797" s="173"/>
      <c r="P797" s="228">
        <f t="shared" ref="P797:Q797" si="1410">P793-P792</f>
        <v>43.428626564476872</v>
      </c>
      <c r="Q797" s="254">
        <f t="shared" si="1410"/>
        <v>0</v>
      </c>
      <c r="R797" s="255"/>
      <c r="S797" s="228">
        <f>S793-S792</f>
        <v>43.044882529429742</v>
      </c>
      <c r="T797" s="173"/>
      <c r="U797" s="228">
        <f t="shared" ref="U797:V797" si="1411">U793-U792</f>
        <v>43.044882529429742</v>
      </c>
      <c r="V797" s="254">
        <f t="shared" si="1411"/>
        <v>0</v>
      </c>
      <c r="W797" s="255"/>
      <c r="X797" s="228">
        <f>X793-X792</f>
        <v>30</v>
      </c>
      <c r="Y797" s="173"/>
      <c r="Z797" s="228">
        <f t="shared" ref="Z797:AA797" si="1412">Z793-Z792</f>
        <v>0</v>
      </c>
      <c r="AA797" s="254">
        <f t="shared" si="1412"/>
        <v>30</v>
      </c>
      <c r="AB797" s="266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s="93" customFormat="1" ht="15">
      <c r="A798" s="92"/>
      <c r="B798" s="92"/>
      <c r="C798" s="92"/>
      <c r="D798" s="221"/>
      <c r="E798" s="221" t="s">
        <v>301</v>
      </c>
      <c r="F798" s="221" t="str">
        <f t="shared" si="1316"/>
        <v>Гранта</v>
      </c>
      <c r="G798" s="221" t="s">
        <v>219</v>
      </c>
      <c r="H798" s="357"/>
      <c r="I798" s="358">
        <f>I796-I797</f>
        <v>42.565055340637628</v>
      </c>
      <c r="J798" s="352"/>
      <c r="K798" s="358">
        <f t="shared" ref="K798" si="1413">K796-K797</f>
        <v>51.60471916411916</v>
      </c>
      <c r="L798" s="359">
        <f t="shared" ref="L798" si="1414">L796-L797</f>
        <v>-24</v>
      </c>
      <c r="M798" s="284"/>
      <c r="N798" s="222">
        <f>N796-N797</f>
        <v>59.214736940157309</v>
      </c>
      <c r="O798" s="181"/>
      <c r="P798" s="222">
        <f t="shared" ref="P798" si="1415">P796-P797</f>
        <v>59.214736940157309</v>
      </c>
      <c r="Q798" s="260">
        <f t="shared" ref="Q798" si="1416">Q796-Q797</f>
        <v>0</v>
      </c>
      <c r="R798" s="261"/>
      <c r="S798" s="222">
        <f>S796-S797</f>
        <v>48.520519268473436</v>
      </c>
      <c r="T798" s="181"/>
      <c r="U798" s="222">
        <f t="shared" ref="U798" si="1417">U796-U797</f>
        <v>48.520519268473436</v>
      </c>
      <c r="V798" s="260">
        <f t="shared" ref="V798" si="1418">V796-V797</f>
        <v>0</v>
      </c>
      <c r="W798" s="261"/>
      <c r="X798" s="222">
        <f>X796-X797</f>
        <v>-24</v>
      </c>
      <c r="Y798" s="181"/>
      <c r="Z798" s="222">
        <f t="shared" ref="Z798" si="1419">Z796-Z797</f>
        <v>0</v>
      </c>
      <c r="AA798" s="260">
        <f t="shared" ref="AA798" si="1420">AA796-AA797</f>
        <v>-24</v>
      </c>
      <c r="AB798" s="264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</row>
    <row r="799" spans="1:42" s="5" customFormat="1">
      <c r="A799" s="1"/>
      <c r="B799" s="1"/>
      <c r="C799" s="1"/>
      <c r="D799" s="223"/>
      <c r="E799" s="223" t="s">
        <v>302</v>
      </c>
      <c r="F799" s="223" t="str">
        <f t="shared" si="1316"/>
        <v>Гранта</v>
      </c>
      <c r="G799" s="223" t="s">
        <v>261</v>
      </c>
      <c r="H799" s="354"/>
      <c r="I799" s="355">
        <f>SUMIFS(операции!$Z:$Z,операции!$X:$X,"&gt;="&amp;I$8,операции!$X:$X,"&lt;="&amp;I$9,операции!$AB:$AB,"",операции!$O:$O,$F756)</f>
        <v>41998</v>
      </c>
      <c r="J799" s="341">
        <f>I799-K799-L799</f>
        <v>0</v>
      </c>
      <c r="K799" s="355">
        <f>SUMIFS(операции!$Z:$Z,операции!$X:$X,"&gt;="&amp;I$8,операции!$X:$X,"&lt;="&amp;I$9,операции!$AB:$AB,"",операции!$L:$L,K$9,операции!$O:$O,$F756)</f>
        <v>8299</v>
      </c>
      <c r="L799" s="356">
        <f>SUMIFS(операции!$Z:$Z,операции!$X:$X,"&gt;="&amp;I$8,операции!$X:$X,"&lt;="&amp;I$9,операции!$AB:$AB,"",операции!$L:$L,L$9,операции!$O:$O,$F756)</f>
        <v>33699</v>
      </c>
      <c r="M799" s="283"/>
      <c r="N799" s="224">
        <f>SUMIFS(операции!$Z:$Z,операции!$X:$X,"&gt;="&amp;N$8,операции!$X:$X,"&lt;="&amp;N$9,операции!$AB:$AB,"",операции!$O:$O,$F756)</f>
        <v>0</v>
      </c>
      <c r="O799" s="216">
        <f>N799-P799-Q799</f>
        <v>0</v>
      </c>
      <c r="P799" s="224">
        <f>SUMIFS(операции!$Z:$Z,операции!$X:$X,"&gt;="&amp;N$8,операции!$X:$X,"&lt;="&amp;N$9,операции!$AB:$AB,"",операции!$L:$L,P$9,операции!$O:$O,$F756)</f>
        <v>0</v>
      </c>
      <c r="Q799" s="258">
        <f>SUMIFS(операции!$Z:$Z,операции!$X:$X,"&gt;="&amp;N$8,операции!$X:$X,"&lt;="&amp;N$9,операции!$AB:$AB,"",операции!$L:$L,Q$9,операции!$O:$O,$F756)</f>
        <v>0</v>
      </c>
      <c r="R799" s="259"/>
      <c r="S799" s="224">
        <f>SUMIFS(операции!$Z:$Z,операции!$X:$X,"&gt;="&amp;S$8,операции!$X:$X,"&lt;="&amp;S$9,операции!$AB:$AB,"",операции!$O:$O,$F756)</f>
        <v>15289</v>
      </c>
      <c r="T799" s="216">
        <f>S799-U799-V799</f>
        <v>0</v>
      </c>
      <c r="U799" s="224">
        <f>SUMIFS(операции!$Z:$Z,операции!$X:$X,"&gt;="&amp;S$8,операции!$X:$X,"&lt;="&amp;S$9,операции!$AB:$AB,"",операции!$L:$L,U$9,операции!$O:$O,$F756)</f>
        <v>8299</v>
      </c>
      <c r="V799" s="258">
        <f>SUMIFS(операции!$Z:$Z,операции!$X:$X,"&gt;="&amp;S$8,операции!$X:$X,"&lt;="&amp;S$9,операции!$AB:$AB,"",операции!$L:$L,V$9,операции!$O:$O,$F756)</f>
        <v>6990</v>
      </c>
      <c r="W799" s="259"/>
      <c r="X799" s="224">
        <f>SUMIFS(операции!$Z:$Z,операции!$X:$X,"&gt;="&amp;X$8,операции!$X:$X,"&lt;="&amp;X$9,операции!$AB:$AB,"",операции!$O:$O,$F756)</f>
        <v>26709</v>
      </c>
      <c r="Y799" s="216">
        <f>X799-Z799-AA799</f>
        <v>0</v>
      </c>
      <c r="Z799" s="224">
        <f>SUMIFS(операции!$Z:$Z,операции!$X:$X,"&gt;="&amp;X$8,операции!$X:$X,"&lt;="&amp;X$9,операции!$AB:$AB,"",операции!$L:$L,Z$9,операции!$O:$O,$F756)</f>
        <v>0</v>
      </c>
      <c r="AA799" s="258">
        <f>SUMIFS(операции!$Z:$Z,операции!$X:$X,"&gt;="&amp;X$8,операции!$X:$X,"&lt;="&amp;X$9,операции!$AB:$AB,"",операции!$L:$L,AA$9,операции!$O:$O,$F756)</f>
        <v>26709</v>
      </c>
      <c r="AB799" s="266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s="192" customFormat="1" ht="11.25">
      <c r="A800" s="37"/>
      <c r="B800" s="37"/>
      <c r="C800" s="37"/>
      <c r="D800" s="191"/>
      <c r="E800" s="191" t="s">
        <v>303</v>
      </c>
      <c r="F800" s="191" t="str">
        <f t="shared" si="1316"/>
        <v>Гранта</v>
      </c>
      <c r="G800" s="191" t="s">
        <v>262</v>
      </c>
      <c r="H800" s="315"/>
      <c r="I800" s="316">
        <f>IF(I799=0,0,SUMIFS(операции!$AG:$AG,операции!$X:$X,"&gt;="&amp;I$8,операции!$X:$X,"&lt;="&amp;I$9,операции!$AB:$AB,"",операции!$O:$O,$F756)/I799)</f>
        <v>42339.443140149531</v>
      </c>
      <c r="J800" s="317"/>
      <c r="K800" s="316">
        <f>IF(K799=0,0,SUMIFS(операции!$AG:$AG,операции!$X:$X,"&gt;="&amp;I$8,операции!$X:$X,"&lt;="&amp;I$9,операции!$AB:$AB,"",операции!$L:$L,K$9,операции!$O:$O,$F756)/K799)</f>
        <v>42325</v>
      </c>
      <c r="L800" s="318">
        <f>IF(L799=0,0,SUMIFS(операции!$AG:$AG,операции!$X:$X,"&gt;="&amp;I$8,операции!$X:$X,"&lt;="&amp;I$9,операции!$AB:$AB,"",операции!$L:$L,L$9,операции!$O:$O,$F756)/L799)</f>
        <v>42343.000029674469</v>
      </c>
      <c r="M800" s="274"/>
      <c r="N800" s="193">
        <f>IF(N799=0,0,SUMIFS(операции!$AG:$AG,операции!$X:$X,"&gt;="&amp;N$8,операции!$X:$X,"&lt;="&amp;N$9,операции!$AB:$AB,"",операции!$O:$O,$F756)/N799)</f>
        <v>0</v>
      </c>
      <c r="O800" s="196"/>
      <c r="P800" s="193">
        <f>IF(P799=0,0,SUMIFS(операции!$AG:$AG,операции!$X:$X,"&gt;="&amp;N$8,операции!$X:$X,"&lt;="&amp;N$9,операции!$AB:$AB,"",операции!$L:$L,P$9,операции!$O:$O,$F756)/P799)</f>
        <v>0</v>
      </c>
      <c r="Q800" s="237">
        <f>IF(Q799=0,0,SUMIFS(операции!$AG:$AG,операции!$X:$X,"&gt;="&amp;N$8,операции!$X:$X,"&lt;="&amp;N$9,операции!$AB:$AB,"",операции!$L:$L,Q$9,операции!$O:$O,$F756)/Q799)</f>
        <v>0</v>
      </c>
      <c r="R800" s="238"/>
      <c r="S800" s="193">
        <f>IF(S799=0,0,SUMIFS(операции!$AG:$AG,операции!$X:$X,"&gt;="&amp;S$8,операции!$X:$X,"&lt;="&amp;S$9,операции!$AB:$AB,"",операции!$O:$O,$F756)/S799)</f>
        <v>42330.029105893125</v>
      </c>
      <c r="T800" s="196"/>
      <c r="U800" s="193">
        <f>IF(U799=0,0,SUMIFS(операции!$AG:$AG,операции!$X:$X,"&gt;="&amp;S$8,операции!$X:$X,"&lt;="&amp;S$9,операции!$AB:$AB,"",операции!$L:$L,U$9,операции!$O:$O,$F756)/U799)</f>
        <v>42325</v>
      </c>
      <c r="V800" s="237">
        <f>IF(V799=0,0,SUMIFS(операции!$AG:$AG,операции!$X:$X,"&gt;="&amp;S$8,операции!$X:$X,"&lt;="&amp;S$9,операции!$AB:$AB,"",операции!$L:$L,V$9,операции!$O:$O,$F756)/V799)</f>
        <v>42336</v>
      </c>
      <c r="W800" s="238"/>
      <c r="X800" s="193">
        <f>IF(X799=0,0,SUMIFS(операции!$AG:$AG,операции!$X:$X,"&gt;="&amp;X$8,операции!$X:$X,"&lt;="&amp;X$9,операции!$AB:$AB,"",операции!$O:$O,$F756)/X799)</f>
        <v>42344.83200419334</v>
      </c>
      <c r="Y800" s="196"/>
      <c r="Z800" s="193">
        <f>IF(Z799=0,0,SUMIFS(операции!$AG:$AG,операции!$X:$X,"&gt;="&amp;X$8,операции!$X:$X,"&lt;="&amp;X$9,операции!$AB:$AB,"",операции!$L:$L,Z$9,операции!$O:$O,$F756)/Z799)</f>
        <v>0</v>
      </c>
      <c r="AA800" s="237">
        <f>IF(AA799=0,0,SUMIFS(операции!$AG:$AG,операции!$X:$X,"&gt;="&amp;X$8,операции!$X:$X,"&lt;="&amp;X$9,операции!$AB:$AB,"",операции!$L:$L,AA$9,операции!$O:$O,$F756)/AA799)</f>
        <v>42344.83200419334</v>
      </c>
      <c r="AB800" s="265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</row>
    <row r="801" spans="1:42" s="5" customFormat="1">
      <c r="A801" s="1"/>
      <c r="B801" s="1"/>
      <c r="C801" s="1"/>
      <c r="D801" s="168"/>
      <c r="E801" s="168" t="s">
        <v>304</v>
      </c>
      <c r="F801" s="168" t="str">
        <f t="shared" si="1316"/>
        <v>Гранта</v>
      </c>
      <c r="G801" s="168" t="s">
        <v>261</v>
      </c>
      <c r="H801" s="326"/>
      <c r="I801" s="327">
        <f>SUMIFS(операции!$V:$V,операции!$X:$X,"&gt;="&amp;I$8,операции!$X:$X,"&lt;="&amp;I$9,операции!$AB:$AB,"",операции!$O:$O,$F756)</f>
        <v>39171.35</v>
      </c>
      <c r="J801" s="313">
        <f>I801-K801-L801</f>
        <v>0</v>
      </c>
      <c r="K801" s="327">
        <f>SUMIFS(операции!$V:$V,операции!$X:$X,"&gt;="&amp;I$8,операции!$X:$X,"&lt;="&amp;I$9,операции!$AB:$AB,"",операции!$L:$L,K$9,операции!$O:$O,$F756)</f>
        <v>7987.51</v>
      </c>
      <c r="L801" s="328">
        <f>SUMIFS(операции!$V:$V,операции!$X:$X,"&gt;="&amp;I$8,операции!$X:$X,"&lt;="&amp;I$9,операции!$AB:$AB,"",операции!$L:$L,L$9,операции!$O:$O,$F756)</f>
        <v>31183.84</v>
      </c>
      <c r="M801" s="277"/>
      <c r="N801" s="169">
        <f>SUMIFS(операции!$V:$V,операции!$X:$X,"&gt;="&amp;N$8,операции!$X:$X,"&lt;="&amp;N$9,операции!$AB:$AB,"",операции!$O:$O,$F756)</f>
        <v>0</v>
      </c>
      <c r="O801" s="170">
        <f>N801-P801-Q801</f>
        <v>0</v>
      </c>
      <c r="P801" s="169">
        <f>SUMIFS(операции!$V:$V,операции!$X:$X,"&gt;="&amp;N$8,операции!$X:$X,"&lt;="&amp;N$9,операции!$AB:$AB,"",операции!$L:$L,P$9,операции!$O:$O,$F756)</f>
        <v>0</v>
      </c>
      <c r="Q801" s="243">
        <f>SUMIFS(операции!$V:$V,операции!$X:$X,"&gt;="&amp;N$8,операции!$X:$X,"&lt;="&amp;N$9,операции!$AB:$AB,"",операции!$L:$L,Q$9,операции!$O:$O,$F756)</f>
        <v>0</v>
      </c>
      <c r="R801" s="244"/>
      <c r="S801" s="169">
        <f>SUMIFS(операции!$V:$V,операции!$X:$X,"&gt;="&amp;S$8,операции!$X:$X,"&lt;="&amp;S$9,операции!$AB:$AB,"",операции!$O:$O,$F756)</f>
        <v>14592.55</v>
      </c>
      <c r="T801" s="170">
        <f>S801-U801-V801</f>
        <v>0</v>
      </c>
      <c r="U801" s="169">
        <f>SUMIFS(операции!$V:$V,операции!$X:$X,"&gt;="&amp;S$8,операции!$X:$X,"&lt;="&amp;S$9,операции!$AB:$AB,"",операции!$L:$L,U$9,операции!$O:$O,$F756)</f>
        <v>7987.51</v>
      </c>
      <c r="V801" s="243">
        <f>SUMIFS(операции!$V:$V,операции!$X:$X,"&gt;="&amp;S$8,операции!$X:$X,"&lt;="&amp;S$9,операции!$AB:$AB,"",операции!$L:$L,V$9,операции!$O:$O,$F756)</f>
        <v>6605.04</v>
      </c>
      <c r="W801" s="244"/>
      <c r="X801" s="169">
        <f>SUMIFS(операции!$V:$V,операции!$X:$X,"&gt;="&amp;X$8,операции!$X:$X,"&lt;="&amp;X$9,операции!$AB:$AB,"",операции!$O:$O,$F756)</f>
        <v>24578.799999999999</v>
      </c>
      <c r="Y801" s="170">
        <f>X801-Z801-AA801</f>
        <v>0</v>
      </c>
      <c r="Z801" s="169">
        <f>SUMIFS(операции!$V:$V,операции!$X:$X,"&gt;="&amp;X$8,операции!$X:$X,"&lt;="&amp;X$9,операции!$AB:$AB,"",операции!$L:$L,Z$9,операции!$O:$O,$F756)</f>
        <v>0</v>
      </c>
      <c r="AA801" s="243">
        <f>SUMIFS(операции!$V:$V,операции!$X:$X,"&gt;="&amp;X$8,операции!$X:$X,"&lt;="&amp;X$9,операции!$AB:$AB,"",операции!$L:$L,AA$9,операции!$O:$O,$F756)</f>
        <v>24578.799999999999</v>
      </c>
      <c r="AB801" s="266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s="192" customFormat="1" ht="11.25">
      <c r="A802" s="37"/>
      <c r="B802" s="37"/>
      <c r="C802" s="37"/>
      <c r="D802" s="191"/>
      <c r="E802" s="191" t="s">
        <v>305</v>
      </c>
      <c r="F802" s="191" t="str">
        <f t="shared" si="1316"/>
        <v>Гранта</v>
      </c>
      <c r="G802" s="191" t="s">
        <v>262</v>
      </c>
      <c r="H802" s="315"/>
      <c r="I802" s="316">
        <f>IF(I801=0,0,SUMIFS(операции!$AF:$AF,операции!$X:$X,"&gt;="&amp;I$8,операции!$X:$X,"&lt;="&amp;I$9,операции!$AB:$AB,"",операции!$O:$O,$F756)/I801)</f>
        <v>42292.754758260817</v>
      </c>
      <c r="J802" s="317"/>
      <c r="K802" s="316">
        <f>IF(K801=0,0,SUMIFS(операции!$AF:$AF,операции!$X:$X,"&gt;="&amp;I$8,операции!$X:$X,"&lt;="&amp;I$9,операции!$AB:$AB,"",операции!$L:$L,K$9,операции!$O:$O,$F756)/K801)</f>
        <v>42122</v>
      </c>
      <c r="L802" s="318">
        <f>IF(L801=0,0,SUMIFS(операции!$AF:$AF,операции!$X:$X,"&gt;="&amp;I$8,операции!$X:$X,"&lt;="&amp;I$9,операции!$AB:$AB,"",операции!$L:$L,L$9,операции!$O:$O,$F756)/L801)</f>
        <v>42336.492326794905</v>
      </c>
      <c r="M802" s="274"/>
      <c r="N802" s="193">
        <f>IF(N801=0,0,SUMIFS(операции!$AF:$AF,операции!$X:$X,"&gt;="&amp;N$8,операции!$X:$X,"&lt;="&amp;N$9,операции!$AB:$AB,"",операции!$O:$O,$F756)/N801)</f>
        <v>0</v>
      </c>
      <c r="O802" s="196"/>
      <c r="P802" s="193">
        <f>IF(P801=0,0,SUMIFS(операции!$AF:$AF,операции!$X:$X,"&gt;="&amp;N$8,операции!$X:$X,"&lt;="&amp;N$9,операции!$AB:$AB,"",операции!$L:$L,P$9,операции!$O:$O,$F756)/P801)</f>
        <v>0</v>
      </c>
      <c r="Q802" s="237">
        <f>IF(Q801=0,0,SUMIFS(операции!$AF:$AF,операции!$X:$X,"&gt;="&amp;N$8,операции!$X:$X,"&lt;="&amp;N$9,операции!$AB:$AB,"",операции!$L:$L,Q$9,операции!$O:$O,$F756)/Q801)</f>
        <v>0</v>
      </c>
      <c r="R802" s="238"/>
      <c r="S802" s="193">
        <f>IF(S801=0,0,SUMIFS(операции!$AF:$AF,операции!$X:$X,"&gt;="&amp;S$8,операции!$X:$X,"&lt;="&amp;S$9,операции!$AB:$AB,"",операции!$O:$O,$F756)/S801)</f>
        <v>42217.052502818224</v>
      </c>
      <c r="T802" s="196"/>
      <c r="U802" s="193">
        <f>IF(U801=0,0,SUMIFS(операции!$AF:$AF,операции!$X:$X,"&gt;="&amp;S$8,операции!$X:$X,"&lt;="&amp;S$9,операции!$AB:$AB,"",операции!$L:$L,U$9,операции!$O:$O,$F756)/U801)</f>
        <v>42122</v>
      </c>
      <c r="V802" s="237">
        <f>IF(V801=0,0,SUMIFS(операции!$AF:$AF,операции!$X:$X,"&gt;="&amp;S$8,операции!$X:$X,"&lt;="&amp;S$9,операции!$AB:$AB,"",операции!$L:$L,V$9,операции!$O:$O,$F756)/V801)</f>
        <v>42331.999999999993</v>
      </c>
      <c r="W802" s="238"/>
      <c r="X802" s="193">
        <f>IF(X801=0,0,SUMIFS(операции!$AF:$AF,операции!$X:$X,"&gt;="&amp;X$8,операции!$X:$X,"&lt;="&amp;X$9,операции!$AB:$AB,"",операции!$O:$O,$F756)/X801)</f>
        <v>42337.69954595017</v>
      </c>
      <c r="Y802" s="196"/>
      <c r="Z802" s="193">
        <f>IF(Z801=0,0,SUMIFS(операции!$AF:$AF,операции!$X:$X,"&gt;="&amp;X$8,операции!$X:$X,"&lt;="&amp;X$9,операции!$AB:$AB,"",операции!$L:$L,Z$9,операции!$O:$O,$F756)/Z801)</f>
        <v>0</v>
      </c>
      <c r="AA802" s="237">
        <f>IF(AA801=0,0,SUMIFS(операции!$AF:$AF,операции!$X:$X,"&gt;="&amp;X$8,операции!$X:$X,"&lt;="&amp;X$9,операции!$AB:$AB,"",операции!$L:$L,AA$9,операции!$O:$O,$F756)/AA801)</f>
        <v>42337.69954595017</v>
      </c>
      <c r="AB802" s="265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</row>
    <row r="803" spans="1:42" s="192" customFormat="1" ht="11.25">
      <c r="A803" s="37"/>
      <c r="B803" s="37"/>
      <c r="C803" s="37"/>
      <c r="D803" s="191"/>
      <c r="E803" s="191" t="s">
        <v>307</v>
      </c>
      <c r="F803" s="191" t="str">
        <f t="shared" si="1316"/>
        <v>Гранта</v>
      </c>
      <c r="G803" s="191" t="s">
        <v>262</v>
      </c>
      <c r="H803" s="315"/>
      <c r="I803" s="316">
        <f>I$9</f>
        <v>42369</v>
      </c>
      <c r="J803" s="317"/>
      <c r="K803" s="316">
        <f>I$9</f>
        <v>42369</v>
      </c>
      <c r="L803" s="318">
        <f>I$9</f>
        <v>42369</v>
      </c>
      <c r="M803" s="274"/>
      <c r="N803" s="193">
        <f>N$9</f>
        <v>42308</v>
      </c>
      <c r="O803" s="196"/>
      <c r="P803" s="193">
        <f>N$9</f>
        <v>42308</v>
      </c>
      <c r="Q803" s="237">
        <f>N$9</f>
        <v>42308</v>
      </c>
      <c r="R803" s="238"/>
      <c r="S803" s="193">
        <f>S$9</f>
        <v>42338</v>
      </c>
      <c r="T803" s="196"/>
      <c r="U803" s="193">
        <f>S$9</f>
        <v>42338</v>
      </c>
      <c r="V803" s="237">
        <f>S$9</f>
        <v>42338</v>
      </c>
      <c r="W803" s="238"/>
      <c r="X803" s="193">
        <f>X$9</f>
        <v>42369</v>
      </c>
      <c r="Y803" s="196"/>
      <c r="Z803" s="193">
        <f>X$9</f>
        <v>42369</v>
      </c>
      <c r="AA803" s="237">
        <f>X$9</f>
        <v>42369</v>
      </c>
      <c r="AB803" s="265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</row>
    <row r="804" spans="1:42" s="5" customFormat="1">
      <c r="A804" s="1"/>
      <c r="B804" s="1"/>
      <c r="C804" s="1"/>
      <c r="D804" s="168"/>
      <c r="E804" s="168" t="s">
        <v>380</v>
      </c>
      <c r="F804" s="168" t="str">
        <f t="shared" si="1316"/>
        <v>Гранта</v>
      </c>
      <c r="G804" s="168" t="s">
        <v>261</v>
      </c>
      <c r="H804" s="326"/>
      <c r="I804" s="327">
        <f>I799-I801</f>
        <v>2826.6500000000015</v>
      </c>
      <c r="J804" s="313">
        <f>I804-K804-L804</f>
        <v>0</v>
      </c>
      <c r="K804" s="327">
        <f t="shared" ref="K804:L804" si="1421">K799-K801</f>
        <v>311.48999999999978</v>
      </c>
      <c r="L804" s="328">
        <f t="shared" si="1421"/>
        <v>2515.16</v>
      </c>
      <c r="M804" s="277"/>
      <c r="N804" s="169">
        <f>N799-N801</f>
        <v>0</v>
      </c>
      <c r="O804" s="170">
        <f>N804-P804-Q804</f>
        <v>0</v>
      </c>
      <c r="P804" s="169">
        <f t="shared" ref="P804:Q804" si="1422">P799-P801</f>
        <v>0</v>
      </c>
      <c r="Q804" s="243">
        <f t="shared" si="1422"/>
        <v>0</v>
      </c>
      <c r="R804" s="244"/>
      <c r="S804" s="169">
        <f>S799-S801</f>
        <v>696.45000000000073</v>
      </c>
      <c r="T804" s="170">
        <f>S804-U804-V804</f>
        <v>9.0949470177292824E-13</v>
      </c>
      <c r="U804" s="169">
        <f t="shared" ref="U804:V804" si="1423">U799-U801</f>
        <v>311.48999999999978</v>
      </c>
      <c r="V804" s="243">
        <f t="shared" si="1423"/>
        <v>384.96000000000004</v>
      </c>
      <c r="W804" s="244"/>
      <c r="X804" s="169">
        <f>X799-X801</f>
        <v>2130.2000000000007</v>
      </c>
      <c r="Y804" s="170">
        <f>X804-Z804-AA804</f>
        <v>0</v>
      </c>
      <c r="Z804" s="169">
        <f t="shared" ref="Z804:AA804" si="1424">Z799-Z801</f>
        <v>0</v>
      </c>
      <c r="AA804" s="243">
        <f t="shared" si="1424"/>
        <v>2130.2000000000007</v>
      </c>
      <c r="AB804" s="266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s="211" customFormat="1">
      <c r="A805" s="210"/>
      <c r="B805" s="210"/>
      <c r="C805" s="210"/>
      <c r="D805" s="218"/>
      <c r="E805" s="218" t="s">
        <v>381</v>
      </c>
      <c r="F805" s="218" t="str">
        <f t="shared" si="1316"/>
        <v>Гранта</v>
      </c>
      <c r="G805" s="218" t="s">
        <v>218</v>
      </c>
      <c r="H805" s="343"/>
      <c r="I805" s="344">
        <f>IF(I799=0,0,(I804/I799))</f>
        <v>6.7304395447402299E-2</v>
      </c>
      <c r="J805" s="345"/>
      <c r="K805" s="344">
        <f t="shared" ref="K805" si="1425">IF(K799=0,0,(K804/K799))</f>
        <v>3.7533437763585947E-2</v>
      </c>
      <c r="L805" s="346">
        <f t="shared" ref="L805" si="1426">IF(L799=0,0,(L804/L799))</f>
        <v>7.4636042612540421E-2</v>
      </c>
      <c r="M805" s="280"/>
      <c r="N805" s="219">
        <f>IF(N799=0,0,(N804/N799))</f>
        <v>0</v>
      </c>
      <c r="O805" s="220"/>
      <c r="P805" s="219">
        <f t="shared" ref="P805" si="1427">IF(P799=0,0,(P804/P799))</f>
        <v>0</v>
      </c>
      <c r="Q805" s="252">
        <f t="shared" ref="Q805" si="1428">IF(Q799=0,0,(Q804/Q799))</f>
        <v>0</v>
      </c>
      <c r="R805" s="253"/>
      <c r="S805" s="219">
        <f>IF(S799=0,0,(S804/S799))</f>
        <v>4.5552357904375743E-2</v>
      </c>
      <c r="T805" s="220"/>
      <c r="U805" s="219">
        <f t="shared" ref="U805" si="1429">IF(U799=0,0,(U804/U799))</f>
        <v>3.7533437763585947E-2</v>
      </c>
      <c r="V805" s="252">
        <f t="shared" ref="V805" si="1430">IF(V799=0,0,(V804/V799))</f>
        <v>5.5072961373390565E-2</v>
      </c>
      <c r="W805" s="253"/>
      <c r="X805" s="219">
        <f>IF(X799=0,0,(X804/X799))</f>
        <v>7.9755887528548453E-2</v>
      </c>
      <c r="Y805" s="220"/>
      <c r="Z805" s="219">
        <f t="shared" ref="Z805" si="1431">IF(Z799=0,0,(Z804/Z799))</f>
        <v>0</v>
      </c>
      <c r="AA805" s="252">
        <f t="shared" ref="AA805" si="1432">IF(AA799=0,0,(AA804/AA799))</f>
        <v>7.9755887528548453E-2</v>
      </c>
      <c r="AB805" s="267"/>
      <c r="AC805" s="210"/>
      <c r="AD805" s="210"/>
      <c r="AE805" s="210"/>
      <c r="AF805" s="210"/>
      <c r="AG805" s="210"/>
      <c r="AH805" s="210"/>
      <c r="AI805" s="210"/>
      <c r="AJ805" s="210"/>
      <c r="AK805" s="210"/>
      <c r="AL805" s="210"/>
      <c r="AM805" s="210"/>
      <c r="AN805" s="210"/>
      <c r="AO805" s="210"/>
      <c r="AP805" s="210"/>
    </row>
    <row r="806" spans="1:42" s="5" customFormat="1">
      <c r="A806" s="1"/>
      <c r="B806" s="1"/>
      <c r="C806" s="1"/>
      <c r="D806" s="227"/>
      <c r="E806" s="227" t="s">
        <v>306</v>
      </c>
      <c r="F806" s="227" t="str">
        <f t="shared" si="1316"/>
        <v>Гранта</v>
      </c>
      <c r="G806" s="227" t="s">
        <v>219</v>
      </c>
      <c r="H806" s="347"/>
      <c r="I806" s="348">
        <f>I800-I802</f>
        <v>46.688381888714503</v>
      </c>
      <c r="J806" s="321"/>
      <c r="K806" s="348">
        <f t="shared" ref="K806:L806" si="1433">K800-K802</f>
        <v>203</v>
      </c>
      <c r="L806" s="349">
        <f t="shared" si="1433"/>
        <v>6.5077028795640217</v>
      </c>
      <c r="M806" s="281"/>
      <c r="N806" s="228">
        <f>N800-N802</f>
        <v>0</v>
      </c>
      <c r="O806" s="173"/>
      <c r="P806" s="228">
        <f t="shared" ref="P806:Q806" si="1434">P800-P802</f>
        <v>0</v>
      </c>
      <c r="Q806" s="254">
        <f t="shared" si="1434"/>
        <v>0</v>
      </c>
      <c r="R806" s="255"/>
      <c r="S806" s="228">
        <f>S800-S802</f>
        <v>112.9766030749015</v>
      </c>
      <c r="T806" s="173"/>
      <c r="U806" s="228">
        <f t="shared" ref="U806:V806" si="1435">U800-U802</f>
        <v>203</v>
      </c>
      <c r="V806" s="254">
        <f t="shared" si="1435"/>
        <v>4.000000000007276</v>
      </c>
      <c r="W806" s="255"/>
      <c r="X806" s="228">
        <f>X800-X802</f>
        <v>7.1324582431698218</v>
      </c>
      <c r="Y806" s="173"/>
      <c r="Z806" s="228">
        <f t="shared" ref="Z806:AA806" si="1436">Z800-Z802</f>
        <v>0</v>
      </c>
      <c r="AA806" s="254">
        <f t="shared" si="1436"/>
        <v>7.1324582431698218</v>
      </c>
      <c r="AB806" s="266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s="5" customFormat="1">
      <c r="A807" s="1"/>
      <c r="B807" s="1"/>
      <c r="C807" s="1"/>
      <c r="D807" s="227"/>
      <c r="E807" s="227" t="s">
        <v>382</v>
      </c>
      <c r="F807" s="227" t="str">
        <f t="shared" si="1316"/>
        <v>Гранта</v>
      </c>
      <c r="G807" s="227" t="s">
        <v>219</v>
      </c>
      <c r="H807" s="347"/>
      <c r="I807" s="348">
        <f>I803-I802</f>
        <v>76.245241739183257</v>
      </c>
      <c r="J807" s="321"/>
      <c r="K807" s="348">
        <f t="shared" ref="K807:L807" si="1437">K803-K802</f>
        <v>247</v>
      </c>
      <c r="L807" s="349">
        <f t="shared" si="1437"/>
        <v>32.507673205094761</v>
      </c>
      <c r="M807" s="281"/>
      <c r="N807" s="228">
        <f>N803-N802</f>
        <v>42308</v>
      </c>
      <c r="O807" s="173"/>
      <c r="P807" s="228">
        <f t="shared" ref="P807:Q807" si="1438">P803-P802</f>
        <v>42308</v>
      </c>
      <c r="Q807" s="254">
        <f t="shared" si="1438"/>
        <v>42308</v>
      </c>
      <c r="R807" s="255"/>
      <c r="S807" s="228">
        <f>S803-S802</f>
        <v>120.94749718177627</v>
      </c>
      <c r="T807" s="173"/>
      <c r="U807" s="228">
        <f t="shared" ref="U807:V807" si="1439">U803-U802</f>
        <v>216</v>
      </c>
      <c r="V807" s="254">
        <f t="shared" si="1439"/>
        <v>6.000000000007276</v>
      </c>
      <c r="W807" s="255"/>
      <c r="X807" s="228">
        <f>X803-X802</f>
        <v>31.300454049829568</v>
      </c>
      <c r="Y807" s="173"/>
      <c r="Z807" s="228">
        <f t="shared" ref="Z807:AA807" si="1440">Z803-Z802</f>
        <v>42369</v>
      </c>
      <c r="AA807" s="254">
        <f t="shared" si="1440"/>
        <v>31.300454049829568</v>
      </c>
      <c r="AB807" s="266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s="5" customFormat="1">
      <c r="A808" s="1"/>
      <c r="B808" s="1"/>
      <c r="C808" s="1"/>
      <c r="D808" s="225"/>
      <c r="E808" s="225" t="s">
        <v>383</v>
      </c>
      <c r="F808" s="225" t="str">
        <f t="shared" si="1316"/>
        <v>Гранта</v>
      </c>
      <c r="G808" s="225" t="s">
        <v>219</v>
      </c>
      <c r="H808" s="350"/>
      <c r="I808" s="351">
        <f>I806-I807</f>
        <v>-29.556859850468754</v>
      </c>
      <c r="J808" s="352"/>
      <c r="K808" s="351">
        <f t="shared" ref="K808" si="1441">K806-K807</f>
        <v>-44</v>
      </c>
      <c r="L808" s="353">
        <f t="shared" ref="L808" si="1442">L806-L807</f>
        <v>-25.99997032553074</v>
      </c>
      <c r="M808" s="282"/>
      <c r="N808" s="226">
        <f>N806-N807</f>
        <v>-42308</v>
      </c>
      <c r="O808" s="181"/>
      <c r="P808" s="226">
        <f t="shared" ref="P808" si="1443">P806-P807</f>
        <v>-42308</v>
      </c>
      <c r="Q808" s="256">
        <f t="shared" ref="Q808" si="1444">Q806-Q807</f>
        <v>-42308</v>
      </c>
      <c r="R808" s="257"/>
      <c r="S808" s="226">
        <f>S806-S807</f>
        <v>-7.9708941068747663</v>
      </c>
      <c r="T808" s="181"/>
      <c r="U808" s="226">
        <f t="shared" ref="U808" si="1445">U806-U807</f>
        <v>-13</v>
      </c>
      <c r="V808" s="256">
        <f t="shared" ref="V808" si="1446">V806-V807</f>
        <v>-2</v>
      </c>
      <c r="W808" s="257"/>
      <c r="X808" s="226">
        <f>X806-X807</f>
        <v>-24.167995806659746</v>
      </c>
      <c r="Y808" s="181"/>
      <c r="Z808" s="226">
        <f t="shared" ref="Z808" si="1447">Z806-Z807</f>
        <v>-42369</v>
      </c>
      <c r="AA808" s="256">
        <f t="shared" ref="AA808" si="1448">AA806-AA807</f>
        <v>-24.167995806659746</v>
      </c>
      <c r="AB808" s="266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s="5" customFormat="1">
      <c r="A809" s="1"/>
      <c r="B809" s="1"/>
      <c r="C809" s="1"/>
      <c r="D809" s="168" t="s">
        <v>312</v>
      </c>
      <c r="E809" s="168"/>
      <c r="F809" s="168" t="str">
        <f t="shared" si="1316"/>
        <v>Гранта</v>
      </c>
      <c r="G809" s="168" t="s">
        <v>261</v>
      </c>
      <c r="H809" s="326"/>
      <c r="I809" s="327">
        <f>SUMIFS(операции!$AC:$AC,операции!$AB:$AB,"&gt;="&amp;I$8,операции!$AB:$AB,"&lt;="&amp;I$9,операции!$O:$O,$F756)</f>
        <v>19358.75</v>
      </c>
      <c r="J809" s="313">
        <f>I809-K809-L809</f>
        <v>0</v>
      </c>
      <c r="K809" s="327">
        <f>SUMIFS(операции!$AC:$AC,операции!$AB:$AB,"&gt;="&amp;I$8,операции!$AB:$AB,"&lt;="&amp;I$9,операции!$L:$L,K$9,операции!$O:$O,$F756)</f>
        <v>14698.369999999999</v>
      </c>
      <c r="L809" s="328">
        <f>SUMIFS(операции!$AC:$AC,операции!$AB:$AB,"&gt;="&amp;I$8,операции!$AB:$AB,"&lt;="&amp;I$9,операции!$L:$L,L$9,операции!$O:$O,$F756)</f>
        <v>4660.38</v>
      </c>
      <c r="M809" s="277"/>
      <c r="N809" s="169">
        <f>SUMIFS(операции!$AC:$AC,операции!$AB:$AB,"&gt;="&amp;N$8,операции!$AB:$AB,"&lt;="&amp;N$9,операции!$O:$O,$F756)</f>
        <v>14698.369999999999</v>
      </c>
      <c r="O809" s="170">
        <f>N809-P809-Q809</f>
        <v>0</v>
      </c>
      <c r="P809" s="169">
        <f>SUMIFS(операции!$AC:$AC,операции!$AB:$AB,"&gt;="&amp;N$8,операции!$AB:$AB,"&lt;="&amp;N$9,операции!$L:$L,P$9,операции!$O:$O,$F756)</f>
        <v>14698.369999999999</v>
      </c>
      <c r="Q809" s="243">
        <f>SUMIFS(операции!$AC:$AC,операции!$AB:$AB,"&gt;="&amp;N$8,операции!$AB:$AB,"&lt;="&amp;N$9,операции!$L:$L,Q$9,операции!$O:$O,$F756)</f>
        <v>0</v>
      </c>
      <c r="R809" s="244"/>
      <c r="S809" s="169">
        <f>SUMIFS(операции!$AC:$AC,операции!$AB:$AB,"&gt;="&amp;S$8,операции!$AB:$AB,"&lt;="&amp;S$9,операции!$O:$O,$F756)</f>
        <v>0</v>
      </c>
      <c r="T809" s="170">
        <f>S809-U809-V809</f>
        <v>0</v>
      </c>
      <c r="U809" s="169">
        <f>SUMIFS(операции!$AC:$AC,операции!$AB:$AB,"&gt;="&amp;S$8,операции!$AB:$AB,"&lt;="&amp;S$9,операции!$L:$L,U$9,операции!$O:$O,$F756)</f>
        <v>0</v>
      </c>
      <c r="V809" s="243">
        <f>SUMIFS(операции!$AC:$AC,операции!$AB:$AB,"&gt;="&amp;S$8,операции!$AB:$AB,"&lt;="&amp;S$9,операции!$L:$L,V$9,операции!$O:$O,$F756)</f>
        <v>0</v>
      </c>
      <c r="W809" s="244"/>
      <c r="X809" s="169">
        <f>SUMIFS(операции!$AC:$AC,операции!$AB:$AB,"&gt;="&amp;X$8,операции!$AB:$AB,"&lt;="&amp;X$9,операции!$O:$O,$F756)</f>
        <v>4660.38</v>
      </c>
      <c r="Y809" s="170">
        <f>X809-Z809-AA809</f>
        <v>0</v>
      </c>
      <c r="Z809" s="169">
        <f>SUMIFS(операции!$AC:$AC,операции!$AB:$AB,"&gt;="&amp;X$8,операции!$AB:$AB,"&lt;="&amp;X$9,операции!$L:$L,Z$9,операции!$O:$O,$F756)</f>
        <v>0</v>
      </c>
      <c r="AA809" s="243">
        <f>SUMIFS(операции!$AC:$AC,операции!$AB:$AB,"&gt;="&amp;X$8,операции!$AB:$AB,"&lt;="&amp;X$9,операции!$L:$L,AA$9,операции!$O:$O,$F756)</f>
        <v>4660.38</v>
      </c>
      <c r="AB809" s="266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s="192" customFormat="1" ht="11.25">
      <c r="A810" s="37"/>
      <c r="B810" s="37"/>
      <c r="C810" s="37"/>
      <c r="D810" s="207" t="s">
        <v>255</v>
      </c>
      <c r="E810" s="207"/>
      <c r="F810" s="207" t="str">
        <f t="shared" si="1316"/>
        <v>Гранта</v>
      </c>
      <c r="G810" s="207" t="s">
        <v>262</v>
      </c>
      <c r="H810" s="331"/>
      <c r="I810" s="337">
        <f>IF(I809=0,0,SUMIFS(операции!$AH:$AH,операции!$AB:$AB,"&gt;="&amp;I$8,операции!$AB:$AB,"&lt;="&amp;I$9,операции!$O:$O,$F756)/I809)</f>
        <v>42306.29979363337</v>
      </c>
      <c r="J810" s="333"/>
      <c r="K810" s="337">
        <f>IF(K809=0,0,SUMIFS(операции!$AH:$AH,операции!$AB:$AB,"&gt;="&amp;I$8,операции!$AB:$AB,"&lt;="&amp;I$9,операции!$L:$L,K$9,операции!$O:$O,$F756)/K809)</f>
        <v>42287.370779889199</v>
      </c>
      <c r="L810" s="338">
        <f>IF(L809=0,0,SUMIFS(операции!$AH:$AH,операции!$AB:$AB,"&gt;="&amp;I$8,операции!$AB:$AB,"&lt;="&amp;I$9,операции!$L:$L,L$9,операции!$O:$O,$F756)/L809)</f>
        <v>42366</v>
      </c>
      <c r="M810" s="278"/>
      <c r="N810" s="217">
        <f>IF(N809=0,0,SUMIFS(операции!$AH:$AH,операции!$AB:$AB,"&gt;="&amp;N$8,операции!$AB:$AB,"&lt;="&amp;N$9,операции!$O:$O,$F756)/N809)</f>
        <v>42287.370779889199</v>
      </c>
      <c r="O810" s="208"/>
      <c r="P810" s="217">
        <f>IF(P809=0,0,SUMIFS(операции!$AH:$AH,операции!$AB:$AB,"&gt;="&amp;N$8,операции!$AB:$AB,"&lt;="&amp;N$9,операции!$L:$L,P$9,операции!$O:$O,$F756)/P809)</f>
        <v>42287.370779889199</v>
      </c>
      <c r="Q810" s="249">
        <f>IF(Q809=0,0,SUMIFS(операции!$AH:$AH,операции!$AB:$AB,"&gt;="&amp;N$8,операции!$AB:$AB,"&lt;="&amp;N$9,операции!$L:$L,Q$9,операции!$O:$O,$F756)/Q809)</f>
        <v>0</v>
      </c>
      <c r="R810" s="247"/>
      <c r="S810" s="217">
        <f>IF(S809=0,0,SUMIFS(операции!$AH:$AH,операции!$AB:$AB,"&gt;="&amp;S$8,операции!$AB:$AB,"&lt;="&amp;S$9,операции!$O:$O,$F756)/S809)</f>
        <v>0</v>
      </c>
      <c r="T810" s="208"/>
      <c r="U810" s="217">
        <f>IF(U809=0,0,SUMIFS(операции!$AH:$AH,операции!$AB:$AB,"&gt;="&amp;S$8,операции!$AB:$AB,"&lt;="&amp;S$9,операции!$L:$L,U$9,операции!$O:$O,$F756)/U809)</f>
        <v>0</v>
      </c>
      <c r="V810" s="249">
        <f>IF(V809=0,0,SUMIFS(операции!$AH:$AH,операции!$AB:$AB,"&gt;="&amp;S$8,операции!$AB:$AB,"&lt;="&amp;S$9,операции!$L:$L,V$9,операции!$O:$O,$F756)/V809)</f>
        <v>0</v>
      </c>
      <c r="W810" s="247"/>
      <c r="X810" s="217">
        <f>IF(X809=0,0,SUMIFS(операции!$AH:$AH,операции!$AB:$AB,"&gt;="&amp;X$8,операции!$AB:$AB,"&lt;="&amp;X$9,операции!$O:$O,$F756)/X809)</f>
        <v>42366</v>
      </c>
      <c r="Y810" s="208"/>
      <c r="Z810" s="217">
        <f>IF(Z809=0,0,SUMIFS(операции!$AH:$AH,операции!$AB:$AB,"&gt;="&amp;X$8,операции!$AB:$AB,"&lt;="&amp;X$9,операции!$L:$L,Z$9,операции!$O:$O,$F756)/Z809)</f>
        <v>0</v>
      </c>
      <c r="AA810" s="249">
        <f>IF(AA809=0,0,SUMIFS(операции!$AH:$AH,операции!$AB:$AB,"&gt;="&amp;X$8,операции!$AB:$AB,"&lt;="&amp;X$9,операции!$L:$L,AA$9,операции!$O:$O,$F756)/AA809)</f>
        <v>42366</v>
      </c>
      <c r="AB810" s="265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</row>
    <row r="811" spans="1:42" s="111" customFormat="1" ht="11.25">
      <c r="A811" s="108"/>
      <c r="B811" s="108"/>
      <c r="C811" s="209" t="s">
        <v>279</v>
      </c>
      <c r="D811" s="109"/>
      <c r="E811" s="109"/>
      <c r="F811" s="109" t="str">
        <f t="shared" si="1316"/>
        <v>Гранта</v>
      </c>
      <c r="G811" s="109"/>
      <c r="H811" s="307"/>
      <c r="I811" s="308">
        <f>I812-K812-L812+K811+L811</f>
        <v>2.7284841053187847E-12</v>
      </c>
      <c r="J811" s="309">
        <f>I756+I774-I781-I812</f>
        <v>0</v>
      </c>
      <c r="K811" s="308">
        <f>K756+K774-K781-K812</f>
        <v>0</v>
      </c>
      <c r="L811" s="336">
        <f>L756+L774-L781-L812</f>
        <v>0</v>
      </c>
      <c r="M811" s="272"/>
      <c r="N811" s="110">
        <f>N812-P812-Q812</f>
        <v>0</v>
      </c>
      <c r="O811" s="215">
        <f>N756+N774-N781-N812</f>
        <v>0</v>
      </c>
      <c r="P811" s="110">
        <f>P756+P774-P781-P812</f>
        <v>0</v>
      </c>
      <c r="Q811" s="248">
        <f>Q756+Q774-Q781-Q812</f>
        <v>0</v>
      </c>
      <c r="R811" s="234"/>
      <c r="S811" s="110">
        <f>S812-U812-V812</f>
        <v>0</v>
      </c>
      <c r="T811" s="215">
        <f>S756+S774-S781-S812</f>
        <v>0</v>
      </c>
      <c r="U811" s="110">
        <f>U756+U774-U781-U812</f>
        <v>0</v>
      </c>
      <c r="V811" s="248">
        <f>V756+V774-V781-V812</f>
        <v>0</v>
      </c>
      <c r="W811" s="234"/>
      <c r="X811" s="110">
        <f>X812-Z812-AA812</f>
        <v>0</v>
      </c>
      <c r="Y811" s="215">
        <f>X756+X774-X781-X812</f>
        <v>0</v>
      </c>
      <c r="Z811" s="110">
        <f>Z756+Z774-Z781-Z812</f>
        <v>0</v>
      </c>
      <c r="AA811" s="248">
        <f>AA756+AA774-AA781-AA812</f>
        <v>0</v>
      </c>
      <c r="AB811" s="263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</row>
    <row r="812" spans="1:42" s="93" customFormat="1" ht="15">
      <c r="A812" s="92"/>
      <c r="B812" s="92"/>
      <c r="C812" s="214"/>
      <c r="D812" s="151" t="s">
        <v>238</v>
      </c>
      <c r="E812" s="151"/>
      <c r="F812" s="151" t="str">
        <f t="shared" si="1316"/>
        <v>Гранта</v>
      </c>
      <c r="G812" s="151" t="s">
        <v>261</v>
      </c>
      <c r="H812" s="311"/>
      <c r="I812" s="312">
        <f>SUMIFS(операции!$V:$V,операции!$T:$T,"&lt;="&amp;I$9,операции!$X:$X,"",операции!$O:$O,$F756)+SUMIFS(операции!$V:$V,операции!$T:$T,"&lt;="&amp;I$9,операции!$X:$X,"&gt;"&amp;I$9,операции!$O:$O,$F756)</f>
        <v>46301.78</v>
      </c>
      <c r="J812" s="313">
        <f>I812-I817-I823</f>
        <v>0</v>
      </c>
      <c r="K812" s="312">
        <f>SUMIFS(операции!$V:$V,операции!$T:$T,"&lt;="&amp;I$9,операции!$X:$X,"",операции!$L:$L,K$9,операции!$O:$O,$F756)+SUMIFS(операции!$V:$V,операции!$T:$T,"&lt;="&amp;I$9,операции!$X:$X,"&gt;"&amp;I$9,операции!$L:$L,K$9,операции!$O:$O,$F756)</f>
        <v>38916.979999999996</v>
      </c>
      <c r="L812" s="314">
        <f>SUMIFS(операции!$V:$V,операции!$T:$T,"&lt;="&amp;I$9,операции!$X:$X,"",операции!$L:$L,L$9,операции!$O:$O,$F756)+SUMIFS(операции!$V:$V,операции!$T:$T,"&lt;="&amp;I$9,операции!$X:$X,"&gt;"&amp;I$9,операции!$L:$L,L$9,операции!$O:$O,$F756)</f>
        <v>7384.8</v>
      </c>
      <c r="M812" s="273"/>
      <c r="N812" s="152">
        <f>SUMIFS(операции!$V:$V,операции!$T:$T,"&lt;="&amp;N$9,операции!$X:$X,"",операции!$O:$O,$F756)+SUMIFS(операции!$V:$V,операции!$T:$T,"&lt;="&amp;N$9,операции!$X:$X,"&gt;"&amp;N$9,операции!$O:$O,$F756)</f>
        <v>70773.01999999999</v>
      </c>
      <c r="O812" s="170">
        <f>N812-N817-N823</f>
        <v>0</v>
      </c>
      <c r="P812" s="152">
        <f>SUMIFS(операции!$V:$V,операции!$T:$T,"&lt;="&amp;N$9,операции!$X:$X,"",операции!$L:$L,P$9,операции!$O:$O,$F756)+SUMIFS(операции!$V:$V,операции!$T:$T,"&lt;="&amp;N$9,операции!$X:$X,"&gt;"&amp;N$9,операции!$L:$L,P$9,операции!$O:$O,$F756)</f>
        <v>70773.01999999999</v>
      </c>
      <c r="Q812" s="235">
        <f>SUMIFS(операции!$V:$V,операции!$T:$T,"&lt;="&amp;N$9,операции!$X:$X,"",операции!$L:$L,Q$9,операции!$O:$O,$F756)+SUMIFS(операции!$V:$V,операции!$T:$T,"&lt;="&amp;N$9,операции!$X:$X,"&gt;"&amp;N$9,операции!$L:$L,Q$9,операции!$O:$O,$F756)</f>
        <v>0</v>
      </c>
      <c r="R812" s="236"/>
      <c r="S812" s="152">
        <f>SUMIFS(операции!$V:$V,операции!$T:$T,"&lt;="&amp;S$9,операции!$X:$X,"",операции!$O:$O,$F756)+SUMIFS(операции!$V:$V,операции!$T:$T,"&lt;="&amp;S$9,операции!$X:$X,"&gt;"&amp;S$9,операции!$O:$O,$F756)</f>
        <v>68156.160000000003</v>
      </c>
      <c r="T812" s="170">
        <f>S812-S817-S823</f>
        <v>0</v>
      </c>
      <c r="U812" s="152">
        <f>SUMIFS(операции!$V:$V,операции!$T:$T,"&lt;="&amp;S$9,операции!$X:$X,"",операции!$L:$L,U$9,операции!$O:$O,$F756)+SUMIFS(операции!$V:$V,операции!$T:$T,"&lt;="&amp;S$9,операции!$X:$X,"&gt;"&amp;S$9,операции!$L:$L,U$9,операции!$O:$O,$F756)</f>
        <v>38916.979999999996</v>
      </c>
      <c r="V812" s="235">
        <f>SUMIFS(операции!$V:$V,операции!$T:$T,"&lt;="&amp;S$9,операции!$X:$X,"",операции!$L:$L,V$9,операции!$O:$O,$F756)+SUMIFS(операции!$V:$V,операции!$T:$T,"&lt;="&amp;S$9,операции!$X:$X,"&gt;"&amp;S$9,операции!$L:$L,V$9,операции!$O:$O,$F756)</f>
        <v>29239.18</v>
      </c>
      <c r="W812" s="236"/>
      <c r="X812" s="152">
        <f>SUMIFS(операции!$V:$V,операции!$T:$T,"&lt;="&amp;X$9,операции!$X:$X,"",операции!$O:$O,$F756)+SUMIFS(операции!$V:$V,операции!$T:$T,"&lt;="&amp;X$9,операции!$X:$X,"&gt;"&amp;X$9,операции!$O:$O,$F756)</f>
        <v>46301.78</v>
      </c>
      <c r="Y812" s="170">
        <f>X812-X817-X823</f>
        <v>0</v>
      </c>
      <c r="Z812" s="152">
        <f>SUMIFS(операции!$V:$V,операции!$T:$T,"&lt;="&amp;X$9,операции!$X:$X,"",операции!$L:$L,Z$9,операции!$O:$O,$F756)+SUMIFS(операции!$V:$V,операции!$T:$T,"&lt;="&amp;X$9,операции!$X:$X,"&gt;"&amp;X$9,операции!$L:$L,Z$9,операции!$O:$O,$F756)</f>
        <v>38916.979999999996</v>
      </c>
      <c r="AA812" s="235">
        <f>SUMIFS(операции!$V:$V,операции!$T:$T,"&lt;="&amp;X$9,операции!$X:$X,"",операции!$L:$L,AA$9,операции!$O:$O,$F756)+SUMIFS(операции!$V:$V,операции!$T:$T,"&lt;="&amp;X$9,операции!$X:$X,"&gt;"&amp;X$9,операции!$L:$L,AA$9,операции!$O:$O,$F756)</f>
        <v>7384.8</v>
      </c>
      <c r="AB812" s="264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</row>
    <row r="813" spans="1:42" s="192" customFormat="1" ht="11.25">
      <c r="A813" s="37"/>
      <c r="B813" s="37"/>
      <c r="C813" s="37"/>
      <c r="D813" s="191" t="s">
        <v>255</v>
      </c>
      <c r="E813" s="191"/>
      <c r="F813" s="191" t="str">
        <f t="shared" si="1316"/>
        <v>Гранта</v>
      </c>
      <c r="G813" s="191" t="s">
        <v>262</v>
      </c>
      <c r="H813" s="315"/>
      <c r="I813" s="316">
        <f>IF(I812=0,0,(SUMIFS(операции!$AF:$AF,операции!$T:$T,"&lt;="&amp;I$9,операции!$X:$X,"",операции!$O:$O,$F756)+SUMIFS(операции!$AF:$AF,операции!$T:$T,"&lt;="&amp;I$9,операции!$X:$X,"&gt;"&amp;I$9,операции!$O:$O,$F756))/I812)</f>
        <v>42227.807582775436</v>
      </c>
      <c r="J813" s="317"/>
      <c r="K813" s="316">
        <f>IF(K812=0,0,(SUMIFS(операции!$AF:$AF,операции!$T:$T,"&lt;="&amp;I$9,операции!$X:$X,"",операции!$L:$L,K$9,операции!$O:$O,$F756)+SUMIFS(операции!$AF:$AF,операции!$T:$T,"&lt;="&amp;I$9,операции!$X:$X,"&gt;"&amp;I$9,операции!$L:$L,K$9,операции!$O:$O,$F756))/K812)</f>
        <v>42201.394737721173</v>
      </c>
      <c r="L813" s="318">
        <f>IF(L812=0,0,(SUMIFS(операции!$AF:$AF,операции!$T:$T,"&lt;="&amp;I$9,операции!$X:$X,"",операции!$L:$L,L$9,операции!$O:$O,$F756)+SUMIFS(операции!$AF:$AF,операции!$T:$T,"&lt;="&amp;I$9,операции!$X:$X,"&gt;"&amp;I$9,операции!$L:$L,L$9,операции!$O:$O,$F756))/L812)</f>
        <v>42367</v>
      </c>
      <c r="M813" s="274"/>
      <c r="N813" s="193">
        <f>IF(N812=0,0,(SUMIFS(операции!$AF:$AF,операции!$T:$T,"&lt;="&amp;N$9,операции!$X:$X,"",операции!$O:$O,$F756)+SUMIFS(операции!$AF:$AF,операции!$T:$T,"&lt;="&amp;N$9,операции!$X:$X,"&gt;"&amp;N$9,операции!$O:$O,$F756))/N812)</f>
        <v>42204.079601379177</v>
      </c>
      <c r="O813" s="196"/>
      <c r="P813" s="193">
        <f>IF(P812=0,0,(SUMIFS(операции!$AF:$AF,операции!$T:$T,"&lt;="&amp;N$9,операции!$X:$X,"",операции!$L:$L,P$9,операции!$O:$O,$F756)+SUMIFS(операции!$AF:$AF,операции!$T:$T,"&lt;="&amp;N$9,операции!$X:$X,"&gt;"&amp;N$9,операции!$L:$L,P$9,операции!$O:$O,$F756))/P812)</f>
        <v>42204.079601379177</v>
      </c>
      <c r="Q813" s="237">
        <f>IF(Q812=0,0,(SUMIFS(операции!$AF:$AF,операции!$T:$T,"&lt;="&amp;N$9,операции!$X:$X,"",операции!$L:$L,Q$9,операции!$O:$O,$F756)+SUMIFS(операции!$AF:$AF,операции!$T:$T,"&lt;="&amp;N$9,операции!$X:$X,"&gt;"&amp;N$9,операции!$L:$L,Q$9,операции!$O:$O,$F756))/Q812)</f>
        <v>0</v>
      </c>
      <c r="R813" s="238"/>
      <c r="S813" s="193">
        <f>IF(S812=0,0,(SUMIFS(операции!$AF:$AF,операции!$T:$T,"&lt;="&amp;S$9,операции!$X:$X,"",операции!$O:$O,$F756)+SUMIFS(операции!$AF:$AF,операции!$T:$T,"&lt;="&amp;S$9,операции!$X:$X,"&gt;"&amp;S$9,операции!$O:$O,$F756))/S812)</f>
        <v>42259.753663645373</v>
      </c>
      <c r="T813" s="196"/>
      <c r="U813" s="193">
        <f>IF(U812=0,0,(SUMIFS(операции!$AF:$AF,операции!$T:$T,"&lt;="&amp;S$9,операции!$X:$X,"",операции!$L:$L,U$9,операции!$O:$O,$F756)+SUMIFS(операции!$AF:$AF,операции!$T:$T,"&lt;="&amp;S$9,операции!$X:$X,"&gt;"&amp;S$9,операции!$L:$L,U$9,операции!$O:$O,$F756))/U812)</f>
        <v>42201.394737721173</v>
      </c>
      <c r="V813" s="237">
        <f>IF(V812=0,0,(SUMIFS(операции!$AF:$AF,операции!$T:$T,"&lt;="&amp;S$9,операции!$X:$X,"",операции!$L:$L,V$9,операции!$O:$O,$F756)+SUMIFS(операции!$AF:$AF,операции!$T:$T,"&lt;="&amp;S$9,операции!$X:$X,"&gt;"&amp;S$9,операции!$L:$L,V$9,операции!$O:$O,$F756))/V812)</f>
        <v>42337.428658396027</v>
      </c>
      <c r="W813" s="238"/>
      <c r="X813" s="193">
        <f>IF(X812=0,0,(SUMIFS(операции!$AF:$AF,операции!$T:$T,"&lt;="&amp;X$9,операции!$X:$X,"",операции!$O:$O,$F756)+SUMIFS(операции!$AF:$AF,операции!$T:$T,"&lt;="&amp;X$9,операции!$X:$X,"&gt;"&amp;X$9,операции!$O:$O,$F756))/X812)</f>
        <v>42227.807582775436</v>
      </c>
      <c r="Y813" s="196"/>
      <c r="Z813" s="193">
        <f>IF(Z812=0,0,(SUMIFS(операции!$AF:$AF,операции!$T:$T,"&lt;="&amp;X$9,операции!$X:$X,"",операции!$L:$L,Z$9,операции!$O:$O,$F756)+SUMIFS(операции!$AF:$AF,операции!$T:$T,"&lt;="&amp;X$9,операции!$X:$X,"&gt;"&amp;X$9,операции!$L:$L,Z$9,операции!$O:$O,$F756))/Z812)</f>
        <v>42201.394737721173</v>
      </c>
      <c r="AA813" s="237">
        <f>IF(AA812=0,0,(SUMIFS(операции!$AF:$AF,операции!$T:$T,"&lt;="&amp;X$9,операции!$X:$X,"",операции!$L:$L,AA$9,операции!$O:$O,$F756)+SUMIFS(операции!$AF:$AF,операции!$T:$T,"&lt;="&amp;X$9,операции!$X:$X,"&gt;"&amp;X$9,операции!$L:$L,AA$9,операции!$O:$O,$F756))/AA812)</f>
        <v>42367</v>
      </c>
      <c r="AB813" s="265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</row>
    <row r="814" spans="1:42" s="50" customFormat="1" ht="11.25">
      <c r="A814" s="48"/>
      <c r="B814" s="48"/>
      <c r="C814" s="48"/>
      <c r="D814" s="154" t="s">
        <v>239</v>
      </c>
      <c r="E814" s="154"/>
      <c r="F814" s="154" t="str">
        <f t="shared" si="1316"/>
        <v>Гранта</v>
      </c>
      <c r="G814" s="154" t="s">
        <v>219</v>
      </c>
      <c r="H814" s="319"/>
      <c r="I814" s="320">
        <f>IF(I812=0,0,I$9-I813)</f>
        <v>141.19241722456354</v>
      </c>
      <c r="J814" s="321">
        <f>I814-SUMIFS(ПОбТЗ!$I:$I,ПОбТЗ!$E:$E,$D814,ПОбТЗ!$F:$F,$F814)</f>
        <v>0</v>
      </c>
      <c r="K814" s="320">
        <f>IF(K812=0,0,I$9-K813)</f>
        <v>167.60526227882656</v>
      </c>
      <c r="L814" s="322">
        <f>IF(L812=0,0,I$9-L813)</f>
        <v>2</v>
      </c>
      <c r="M814" s="275"/>
      <c r="N814" s="155">
        <f>IF(N812=0,0,N$9-N813)</f>
        <v>103.92039862082311</v>
      </c>
      <c r="O814" s="173">
        <f>N814-SUMIFS(ПОбТЗ_3!$J:$J,ПОбТЗ_3!$D:$D,$D814,ПОбТЗ_3!$E:$E,$F814)</f>
        <v>0</v>
      </c>
      <c r="P814" s="155">
        <f>IF(P812=0,0,N$9-P813)</f>
        <v>103.92039862082311</v>
      </c>
      <c r="Q814" s="239">
        <f>IF(Q812=0,0,N$9-Q813)</f>
        <v>0</v>
      </c>
      <c r="R814" s="240"/>
      <c r="S814" s="155">
        <f>IF(S812=0,0,S$9-S813)</f>
        <v>78.246336354626692</v>
      </c>
      <c r="T814" s="173">
        <f>S814-SUMIFS(ПОбТЗ_3!$K:$K,ПОбТЗ_3!$D:$D,$D814,ПОбТЗ_3!$E:$E,$F814)</f>
        <v>0</v>
      </c>
      <c r="U814" s="155">
        <f>IF(U812=0,0,S$9-U813)</f>
        <v>136.60526227882656</v>
      </c>
      <c r="V814" s="239">
        <f>IF(V812=0,0,S$9-V813)</f>
        <v>0.57134160397254163</v>
      </c>
      <c r="W814" s="240"/>
      <c r="X814" s="155">
        <f>IF(X812=0,0,X$9-X813)</f>
        <v>141.19241722456354</v>
      </c>
      <c r="Y814" s="173">
        <f>X814-SUMIFS(ПОбТЗ_3!$L:$L,ПОбТЗ_3!$D:$D,$D814,ПОбТЗ_3!$E:$E,$F814)</f>
        <v>0</v>
      </c>
      <c r="Z814" s="155">
        <f>IF(Z812=0,0,X$9-Z813)</f>
        <v>167.60526227882656</v>
      </c>
      <c r="AA814" s="239">
        <f>IF(AA812=0,0,X$9-AA813)</f>
        <v>2</v>
      </c>
      <c r="AB814" s="230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</row>
    <row r="815" spans="1:42" s="93" customFormat="1" ht="15">
      <c r="A815" s="92"/>
      <c r="B815" s="92"/>
      <c r="C815" s="92"/>
      <c r="D815" s="198" t="s">
        <v>280</v>
      </c>
      <c r="E815" s="198"/>
      <c r="F815" s="198" t="str">
        <f t="shared" si="1316"/>
        <v>Гранта</v>
      </c>
      <c r="G815" s="198" t="s">
        <v>219</v>
      </c>
      <c r="H815" s="323"/>
      <c r="I815" s="324">
        <f>IF(I812=0,0,(I817*I821+I823*I827)/I812)</f>
        <v>23.649460560696394</v>
      </c>
      <c r="J815" s="321"/>
      <c r="K815" s="324">
        <f>IF(K812=0,0,(K817*K821+K823*K827)/K812)</f>
        <v>27.757614285590535</v>
      </c>
      <c r="L815" s="325">
        <f>IF(L812=0,0,(L817*L821+L823*L827)/L812)</f>
        <v>2</v>
      </c>
      <c r="M815" s="276"/>
      <c r="N815" s="199">
        <f>IF(N812=0,0,(N817*N821+N823*N827)/N812)</f>
        <v>50.772701942072096</v>
      </c>
      <c r="O815" s="173"/>
      <c r="P815" s="199">
        <f>IF(P812=0,0,(P817*P821+P823*P827)/P812)</f>
        <v>50.772701942072096</v>
      </c>
      <c r="Q815" s="241">
        <f>IF(Q812=0,0,(Q817*Q821+Q823*Q827)/Q812)</f>
        <v>0</v>
      </c>
      <c r="R815" s="242"/>
      <c r="S815" s="199">
        <f>IF(S812=0,0,(S817*S821+S823*S827)/S812)</f>
        <v>16.094628570624913</v>
      </c>
      <c r="T815" s="173"/>
      <c r="U815" s="199">
        <f>IF(U812=0,0,(U817*U821+U823*U827)/U812)</f>
        <v>27.757614285590535</v>
      </c>
      <c r="V815" s="241">
        <f>IF(V812=0,0,(V817*V821+V823*V827)/V812)</f>
        <v>0.57134160397254163</v>
      </c>
      <c r="W815" s="242"/>
      <c r="X815" s="199">
        <f>IF(X812=0,0,(X817*X821+X823*X827)/X812)</f>
        <v>23.649460560696394</v>
      </c>
      <c r="Y815" s="173"/>
      <c r="Z815" s="199">
        <f>IF(Z812=0,0,(Z817*Z821+Z823*Z827)/Z812)</f>
        <v>27.757614285590535</v>
      </c>
      <c r="AA815" s="241">
        <f>IF(AA812=0,0,(AA817*AA821+AA823*AA827)/AA812)</f>
        <v>2</v>
      </c>
      <c r="AB815" s="264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</row>
    <row r="816" spans="1:42" s="50" customFormat="1" ht="11.25">
      <c r="A816" s="48"/>
      <c r="B816" s="48"/>
      <c r="C816" s="48"/>
      <c r="D816" s="154" t="s">
        <v>281</v>
      </c>
      <c r="E816" s="154"/>
      <c r="F816" s="154" t="str">
        <f t="shared" si="1316"/>
        <v>Гранта</v>
      </c>
      <c r="G816" s="154" t="s">
        <v>219</v>
      </c>
      <c r="H816" s="319"/>
      <c r="I816" s="320">
        <f>I814-I815</f>
        <v>117.54295666386714</v>
      </c>
      <c r="J816" s="321"/>
      <c r="K816" s="320">
        <f>K814-K815</f>
        <v>139.84764799323602</v>
      </c>
      <c r="L816" s="322">
        <f>L814-L815</f>
        <v>0</v>
      </c>
      <c r="M816" s="275"/>
      <c r="N816" s="155">
        <f>N814-N815</f>
        <v>53.147696678751011</v>
      </c>
      <c r="O816" s="173"/>
      <c r="P816" s="155">
        <f>P814-P815</f>
        <v>53.147696678751011</v>
      </c>
      <c r="Q816" s="239">
        <f>Q814-Q815</f>
        <v>0</v>
      </c>
      <c r="R816" s="240"/>
      <c r="S816" s="155">
        <f>S814-S815</f>
        <v>62.151707784001779</v>
      </c>
      <c r="T816" s="173"/>
      <c r="U816" s="155">
        <f>U814-U815</f>
        <v>108.84764799323602</v>
      </c>
      <c r="V816" s="239">
        <f>V814-V815</f>
        <v>0</v>
      </c>
      <c r="W816" s="240"/>
      <c r="X816" s="155">
        <f>X814-X815</f>
        <v>117.54295666386714</v>
      </c>
      <c r="Y816" s="173"/>
      <c r="Z816" s="155">
        <f>Z814-Z815</f>
        <v>139.84764799323602</v>
      </c>
      <c r="AA816" s="239">
        <f>AA814-AA815</f>
        <v>0</v>
      </c>
      <c r="AB816" s="230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</row>
    <row r="817" spans="1:42" s="5" customFormat="1">
      <c r="A817" s="1"/>
      <c r="B817" s="1"/>
      <c r="C817" s="1"/>
      <c r="D817" s="168"/>
      <c r="E817" s="168" t="s">
        <v>282</v>
      </c>
      <c r="F817" s="168" t="str">
        <f t="shared" si="1316"/>
        <v>Гранта</v>
      </c>
      <c r="G817" s="168" t="s">
        <v>261</v>
      </c>
      <c r="H817" s="326"/>
      <c r="I817" s="327">
        <f>SUMIFS(операции!$V:$V,операции!$T:$T,"&lt;="&amp;I$9,операции!$X:$X,"",операции!$AB:$AB,"&lt;&gt;"&amp;"",операции!$AB:$AB,"&lt;="&amp;I$9,операции!$O:$O,$F756)+SUMIFS(операции!$V:$V,операции!$T:$T,"&lt;="&amp;I$9,операции!$X:$X,"&gt;"&amp;I$9,операции!$AB:$AB,"&lt;&gt;"&amp;"",операции!$AB:$AB,"&lt;="&amp;I$9,операции!$O:$O,$F756)</f>
        <v>38916.979999999996</v>
      </c>
      <c r="J817" s="313">
        <f>I817-K817-L817</f>
        <v>0</v>
      </c>
      <c r="K817" s="327">
        <f>SUMIFS(операции!$V:$V,операции!$T:$T,"&lt;="&amp;I$9,операции!$X:$X,"",операции!$AB:$AB,"&lt;&gt;"&amp;"",операции!$AB:$AB,"&lt;="&amp;I$9,операции!$L:$L,K$9,операции!$O:$O,$F756)+SUMIFS(операции!$V:$V,операции!$T:$T,"&lt;="&amp;I$9,операции!$X:$X,"&gt;"&amp;I$9,операции!$AB:$AB,"&lt;&gt;"&amp;"",операции!$AB:$AB,"&lt;="&amp;I$9,операции!$L:$L,K$9,операции!$O:$O,$F756)</f>
        <v>38916.979999999996</v>
      </c>
      <c r="L817" s="328">
        <f>SUMIFS(операции!$V:$V,операции!$T:$T,"&lt;="&amp;I$9,операции!$X:$X,"",операции!$AB:$AB,"&lt;&gt;"&amp;"",операции!$AB:$AB,"&lt;="&amp;I$9,операции!$L:$L,L$9,операции!$O:$O,$F756)+SUMIFS(операции!$V:$V,операции!$T:$T,"&lt;="&amp;I$9,операции!$X:$X,"&gt;"&amp;I$9,операции!$AB:$AB,"&lt;&gt;"&amp;"",операции!$AB:$AB,"&lt;="&amp;I$9,операции!$L:$L,L$9,операции!$O:$O,$F756)</f>
        <v>0</v>
      </c>
      <c r="M817" s="277"/>
      <c r="N817" s="169">
        <f>SUMIFS(операции!$V:$V,операции!$T:$T,"&lt;="&amp;N$9,операции!$X:$X,"",операции!$AB:$AB,"&lt;&gt;"&amp;"",операции!$AB:$AB,"&lt;="&amp;N$9,операции!$O:$O,$F756)+SUMIFS(операции!$V:$V,операции!$T:$T,"&lt;="&amp;N$9,операции!$X:$X,"&gt;"&amp;N$9,операции!$AB:$AB,"&lt;&gt;"&amp;"",операции!$AB:$AB,"&lt;="&amp;N$9,операции!$O:$O,$F756)</f>
        <v>62785.509999999995</v>
      </c>
      <c r="O817" s="170">
        <f>N817-P817-Q817</f>
        <v>0</v>
      </c>
      <c r="P817" s="169">
        <f>SUMIFS(операции!$V:$V,операции!$T:$T,"&lt;="&amp;N$9,операции!$X:$X,"",операции!$AB:$AB,"&lt;&gt;"&amp;"",операции!$AB:$AB,"&lt;="&amp;N$9,операции!$L:$L,P$9,операции!$O:$O,$F756)+SUMIFS(операции!$V:$V,операции!$T:$T,"&lt;="&amp;N$9,операции!$X:$X,"&gt;"&amp;N$9,операции!$AB:$AB,"&lt;&gt;"&amp;"",операции!$AB:$AB,"&lt;="&amp;N$9,операции!$L:$L,P$9,операции!$O:$O,$F756)</f>
        <v>62785.509999999995</v>
      </c>
      <c r="Q817" s="243">
        <f>SUMIFS(операции!$V:$V,операции!$T:$T,"&lt;="&amp;N$9,операции!$X:$X,"",операции!$AB:$AB,"&lt;&gt;"&amp;"",операции!$AB:$AB,"&lt;="&amp;N$9,операции!$L:$L,Q$9,операции!$O:$O,$F756)+SUMIFS(операции!$V:$V,операции!$T:$T,"&lt;="&amp;N$9,операции!$X:$X,"&gt;"&amp;N$9,операции!$AB:$AB,"&lt;&gt;"&amp;"",операции!$AB:$AB,"&lt;="&amp;N$9,операции!$L:$L,Q$9,операции!$O:$O,$F756)</f>
        <v>0</v>
      </c>
      <c r="R817" s="244"/>
      <c r="S817" s="169">
        <f>SUMIFS(операции!$V:$V,операции!$T:$T,"&lt;="&amp;S$9,операции!$X:$X,"",операции!$AB:$AB,"&lt;&gt;"&amp;"",операции!$AB:$AB,"&lt;="&amp;S$9,операции!$O:$O,$F756)+SUMIFS(операции!$V:$V,операции!$T:$T,"&lt;="&amp;S$9,операции!$X:$X,"&gt;"&amp;S$9,операции!$AB:$AB,"&lt;&gt;"&amp;"",операции!$AB:$AB,"&lt;="&amp;S$9,операции!$O:$O,$F756)</f>
        <v>38916.979999999996</v>
      </c>
      <c r="T817" s="170">
        <f>S817-U817-V817</f>
        <v>0</v>
      </c>
      <c r="U817" s="169">
        <f>SUMIFS(операции!$V:$V,операции!$T:$T,"&lt;="&amp;S$9,операции!$X:$X,"",операции!$AB:$AB,"&lt;&gt;"&amp;"",операции!$AB:$AB,"&lt;="&amp;S$9,операции!$L:$L,U$9,операции!$O:$O,$F756)+SUMIFS(операции!$V:$V,операции!$T:$T,"&lt;="&amp;S$9,операции!$X:$X,"&gt;"&amp;S$9,операции!$AB:$AB,"&lt;&gt;"&amp;"",операции!$AB:$AB,"&lt;="&amp;S$9,операции!$L:$L,U$9,операции!$O:$O,$F756)</f>
        <v>38916.979999999996</v>
      </c>
      <c r="V817" s="243">
        <f>SUMIFS(операции!$V:$V,операции!$T:$T,"&lt;="&amp;S$9,операции!$X:$X,"",операции!$AB:$AB,"&lt;&gt;"&amp;"",операции!$AB:$AB,"&lt;="&amp;S$9,операции!$L:$L,V$9,операции!$O:$O,$F756)+SUMIFS(операции!$V:$V,операции!$T:$T,"&lt;="&amp;S$9,операции!$X:$X,"&gt;"&amp;S$9,операции!$AB:$AB,"&lt;&gt;"&amp;"",операции!$AB:$AB,"&lt;="&amp;S$9,операции!$L:$L,V$9,операции!$O:$O,$F756)</f>
        <v>0</v>
      </c>
      <c r="W817" s="244"/>
      <c r="X817" s="169">
        <f>SUMIFS(операции!$V:$V,операции!$T:$T,"&lt;="&amp;X$9,операции!$X:$X,"",операции!$AB:$AB,"&lt;&gt;"&amp;"",операции!$AB:$AB,"&lt;="&amp;X$9,операции!$O:$O,$F756)+SUMIFS(операции!$V:$V,операции!$T:$T,"&lt;="&amp;X$9,операции!$X:$X,"&gt;"&amp;X$9,операции!$AB:$AB,"&lt;&gt;"&amp;"",операции!$AB:$AB,"&lt;="&amp;X$9,операции!$O:$O,$F756)</f>
        <v>38916.979999999996</v>
      </c>
      <c r="Y817" s="170">
        <f>X817-Z817-AA817</f>
        <v>0</v>
      </c>
      <c r="Z817" s="169">
        <f>SUMIFS(операции!$V:$V,операции!$T:$T,"&lt;="&amp;X$9,операции!$X:$X,"",операции!$AB:$AB,"&lt;&gt;"&amp;"",операции!$AB:$AB,"&lt;="&amp;X$9,операции!$L:$L,Z$9,операции!$O:$O,$F756)+SUMIFS(операции!$V:$V,операции!$T:$T,"&lt;="&amp;X$9,операции!$X:$X,"&gt;"&amp;X$9,операции!$AB:$AB,"&lt;&gt;"&amp;"",операции!$AB:$AB,"&lt;="&amp;X$9,операции!$L:$L,Z$9,операции!$O:$O,$F756)</f>
        <v>38916.979999999996</v>
      </c>
      <c r="AA817" s="243">
        <f>SUMIFS(операции!$V:$V,операции!$T:$T,"&lt;="&amp;X$9,операции!$X:$X,"",операции!$AB:$AB,"&lt;&gt;"&amp;"",операции!$AB:$AB,"&lt;="&amp;X$9,операции!$L:$L,AA$9,операции!$O:$O,$F756)+SUMIFS(операции!$V:$V,операции!$T:$T,"&lt;="&amp;X$9,операции!$X:$X,"&gt;"&amp;X$9,операции!$AB:$AB,"&lt;&gt;"&amp;"",операции!$AB:$AB,"&lt;="&amp;X$9,операции!$L:$L,AA$9,операции!$O:$O,$F756)</f>
        <v>0</v>
      </c>
      <c r="AB817" s="266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s="192" customFormat="1" ht="11.25">
      <c r="A818" s="37"/>
      <c r="B818" s="37"/>
      <c r="C818" s="37"/>
      <c r="D818" s="191"/>
      <c r="E818" s="191" t="s">
        <v>255</v>
      </c>
      <c r="F818" s="191" t="str">
        <f t="shared" si="1316"/>
        <v>Гранта</v>
      </c>
      <c r="G818" s="191" t="s">
        <v>262</v>
      </c>
      <c r="H818" s="315"/>
      <c r="I818" s="316">
        <f>IF(I817=0,0,(SUMIFS(операции!$AF:$AF,операции!$T:$T,"&lt;="&amp;I$9,операции!$X:$X,"",операции!$AB:$AB,"&lt;&gt;"&amp;"",операции!$AB:$AB,"&lt;="&amp;I$9,операции!$O:$O,$F756)+SUMIFS(операции!$AF:$AF,операции!$T:$T,"&lt;="&amp;I$9,операции!$X:$X,"&gt;"&amp;I$9,операции!$AB:$AB,"&lt;&gt;"&amp;"",операции!$AB:$AB,"&lt;="&amp;I$9,операции!$O:$O,$F756))/I817)</f>
        <v>42201.394737721173</v>
      </c>
      <c r="J818" s="317"/>
      <c r="K818" s="316">
        <f>IF(K817=0,0,(SUMIFS(операции!$AF:$AF,операции!$T:$T,"&lt;="&amp;I$9,операции!$X:$X,"",операции!$AB:$AB,"&lt;&gt;"&amp;"",операции!$AB:$AB,"&lt;="&amp;I$9,операции!$L:$L,K$9,операции!$O:$O,$F756)+SUMIFS(операции!$AF:$AF,операции!$T:$T,"&lt;="&amp;I$9,операции!$X:$X,"&gt;"&amp;I$9,операции!$AB:$AB,"&lt;&gt;"&amp;"",операции!$AB:$AB,"&lt;="&amp;I$9,операции!$L:$L,K$9,операции!$O:$O,$F756))/K817)</f>
        <v>42201.394737721173</v>
      </c>
      <c r="L818" s="318">
        <f>IF(L817=0,0,(SUMIFS(операции!$AF:$AF,операции!$T:$T,"&lt;="&amp;I$9,операции!$X:$X,"",операции!$AB:$AB,"&lt;&gt;"&amp;"",операции!$AB:$AB,"&lt;="&amp;I$9,операции!$L:$L,L$9,операции!$O:$O,$F756)+SUMIFS(операции!$AF:$AF,операции!$T:$T,"&lt;="&amp;I$9,операции!$X:$X,"&gt;"&amp;I$9,операции!$AB:$AB,"&lt;&gt;"&amp;"",операции!$AB:$AB,"&lt;="&amp;I$9,операции!$L:$L,L$9,операции!$O:$O,$F756))/L817)</f>
        <v>0</v>
      </c>
      <c r="M818" s="274"/>
      <c r="N818" s="193">
        <f>IF(N817=0,0,(SUMIFS(операции!$AF:$AF,операции!$T:$T,"&lt;="&amp;N$9,операции!$X:$X,"",операции!$AB:$AB,"&lt;&gt;"&amp;"",операции!$AB:$AB,"&lt;="&amp;N$9,операции!$O:$O,$F756)+SUMIFS(операции!$AF:$AF,операции!$T:$T,"&lt;="&amp;N$9,операции!$X:$X,"&gt;"&amp;N$9,операции!$AB:$AB,"&lt;&gt;"&amp;"",операции!$AB:$AB,"&lt;="&amp;N$9,операции!$O:$O,$F756))/N817)</f>
        <v>42214.521686452812</v>
      </c>
      <c r="O818" s="196"/>
      <c r="P818" s="193">
        <f>IF(P817=0,0,(SUMIFS(операции!$AF:$AF,операции!$T:$T,"&lt;="&amp;N$9,операции!$X:$X,"",операции!$AB:$AB,"&lt;&gt;"&amp;"",операции!$AB:$AB,"&lt;="&amp;N$9,операции!$L:$L,P$9,операции!$O:$O,$F756)+SUMIFS(операции!$AF:$AF,операции!$T:$T,"&lt;="&amp;N$9,операции!$X:$X,"&gt;"&amp;N$9,операции!$AB:$AB,"&lt;&gt;"&amp;"",операции!$AB:$AB,"&lt;="&amp;N$9,операции!$L:$L,P$9,операции!$O:$O,$F756))/P817)</f>
        <v>42214.521686452812</v>
      </c>
      <c r="Q818" s="237">
        <f>IF(Q817=0,0,(SUMIFS(операции!$AF:$AF,операции!$T:$T,"&lt;="&amp;N$9,операции!$X:$X,"",операции!$AB:$AB,"&lt;&gt;"&amp;"",операции!$AB:$AB,"&lt;="&amp;N$9,операции!$L:$L,Q$9,операции!$O:$O,$F756)+SUMIFS(операции!$AF:$AF,операции!$T:$T,"&lt;="&amp;N$9,операции!$X:$X,"&gt;"&amp;N$9,операции!$AB:$AB,"&lt;&gt;"&amp;"",операции!$AB:$AB,"&lt;="&amp;N$9,операции!$L:$L,Q$9,операции!$O:$O,$F756))/Q817)</f>
        <v>0</v>
      </c>
      <c r="R818" s="238"/>
      <c r="S818" s="193">
        <f>IF(S817=0,0,(SUMIFS(операции!$AF:$AF,операции!$T:$T,"&lt;="&amp;S$9,операции!$X:$X,"",операции!$AB:$AB,"&lt;&gt;"&amp;"",операции!$AB:$AB,"&lt;="&amp;S$9,операции!$O:$O,$F756)+SUMIFS(операции!$AF:$AF,операции!$T:$T,"&lt;="&amp;S$9,операции!$X:$X,"&gt;"&amp;S$9,операции!$AB:$AB,"&lt;&gt;"&amp;"",операции!$AB:$AB,"&lt;="&amp;S$9,операции!$O:$O,$F756))/S817)</f>
        <v>42201.394737721173</v>
      </c>
      <c r="T818" s="196"/>
      <c r="U818" s="193">
        <f>IF(U817=0,0,(SUMIFS(операции!$AF:$AF,операции!$T:$T,"&lt;="&amp;S$9,операции!$X:$X,"",операции!$AB:$AB,"&lt;&gt;"&amp;"",операции!$AB:$AB,"&lt;="&amp;S$9,операции!$L:$L,U$9,операции!$O:$O,$F756)+SUMIFS(операции!$AF:$AF,операции!$T:$T,"&lt;="&amp;S$9,операции!$X:$X,"&gt;"&amp;S$9,операции!$AB:$AB,"&lt;&gt;"&amp;"",операции!$AB:$AB,"&lt;="&amp;S$9,операции!$L:$L,U$9,операции!$O:$O,$F756))/U817)</f>
        <v>42201.394737721173</v>
      </c>
      <c r="V818" s="237">
        <f>IF(V817=0,0,(SUMIFS(операции!$AF:$AF,операции!$T:$T,"&lt;="&amp;S$9,операции!$X:$X,"",операции!$AB:$AB,"&lt;&gt;"&amp;"",операции!$AB:$AB,"&lt;="&amp;S$9,операции!$L:$L,V$9,операции!$O:$O,$F756)+SUMIFS(операции!$AF:$AF,операции!$T:$T,"&lt;="&amp;S$9,операции!$X:$X,"&gt;"&amp;S$9,операции!$AB:$AB,"&lt;&gt;"&amp;"",операции!$AB:$AB,"&lt;="&amp;S$9,операции!$L:$L,V$9,операции!$O:$O,$F756))/V817)</f>
        <v>0</v>
      </c>
      <c r="W818" s="238"/>
      <c r="X818" s="193">
        <f>IF(X817=0,0,(SUMIFS(операции!$AF:$AF,операции!$T:$T,"&lt;="&amp;X$9,операции!$X:$X,"",операции!$AB:$AB,"&lt;&gt;"&amp;"",операции!$AB:$AB,"&lt;="&amp;X$9,операции!$O:$O,$F756)+SUMIFS(операции!$AF:$AF,операции!$T:$T,"&lt;="&amp;X$9,операции!$X:$X,"&gt;"&amp;X$9,операции!$AB:$AB,"&lt;&gt;"&amp;"",операции!$AB:$AB,"&lt;="&amp;X$9,операции!$O:$O,$F756))/X817)</f>
        <v>42201.394737721173</v>
      </c>
      <c r="Y818" s="196"/>
      <c r="Z818" s="193">
        <f>IF(Z817=0,0,(SUMIFS(операции!$AF:$AF,операции!$T:$T,"&lt;="&amp;X$9,операции!$X:$X,"",операции!$AB:$AB,"&lt;&gt;"&amp;"",операции!$AB:$AB,"&lt;="&amp;X$9,операции!$L:$L,Z$9,операции!$O:$O,$F756)+SUMIFS(операции!$AF:$AF,операции!$T:$T,"&lt;="&amp;X$9,операции!$X:$X,"&gt;"&amp;X$9,операции!$AB:$AB,"&lt;&gt;"&amp;"",операции!$AB:$AB,"&lt;="&amp;X$9,операции!$L:$L,Z$9,операции!$O:$O,$F756))/Z817)</f>
        <v>42201.394737721173</v>
      </c>
      <c r="AA818" s="237">
        <f>IF(AA817=0,0,(SUMIFS(операции!$AF:$AF,операции!$T:$T,"&lt;="&amp;X$9,операции!$X:$X,"",операции!$AB:$AB,"&lt;&gt;"&amp;"",операции!$AB:$AB,"&lt;="&amp;X$9,операции!$L:$L,AA$9,операции!$O:$O,$F756)+SUMIFS(операции!$AF:$AF,операции!$T:$T,"&lt;="&amp;X$9,операции!$X:$X,"&gt;"&amp;X$9,операции!$AB:$AB,"&lt;&gt;"&amp;"",операции!$AB:$AB,"&lt;="&amp;X$9,операции!$L:$L,AA$9,операции!$O:$O,$F756))/AA817)</f>
        <v>0</v>
      </c>
      <c r="AB818" s="265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</row>
    <row r="819" spans="1:42" s="192" customFormat="1" ht="11.25">
      <c r="A819" s="37"/>
      <c r="B819" s="37"/>
      <c r="C819" s="37"/>
      <c r="D819" s="191"/>
      <c r="E819" s="191" t="s">
        <v>283</v>
      </c>
      <c r="F819" s="191" t="str">
        <f t="shared" si="1316"/>
        <v>Гранта</v>
      </c>
      <c r="G819" s="191" t="s">
        <v>219</v>
      </c>
      <c r="H819" s="315"/>
      <c r="I819" s="329">
        <f>IF(I817=0,0,I$9-I818)</f>
        <v>167.60526227882656</v>
      </c>
      <c r="J819" s="317"/>
      <c r="K819" s="329">
        <f>IF(K817=0,0,I$9-K818)</f>
        <v>167.60526227882656</v>
      </c>
      <c r="L819" s="330">
        <f>IF(L817=0,0,I$9-L818)</f>
        <v>0</v>
      </c>
      <c r="M819" s="274"/>
      <c r="N819" s="156">
        <f>IF(N817=0,0,N$9-N818)</f>
        <v>93.478313547188009</v>
      </c>
      <c r="O819" s="196"/>
      <c r="P819" s="156">
        <f>IF(P817=0,0,N$9-P818)</f>
        <v>93.478313547188009</v>
      </c>
      <c r="Q819" s="245">
        <f>IF(Q817=0,0,N$9-Q818)</f>
        <v>0</v>
      </c>
      <c r="R819" s="238"/>
      <c r="S819" s="156">
        <f>IF(S817=0,0,S$9-S818)</f>
        <v>136.60526227882656</v>
      </c>
      <c r="T819" s="196"/>
      <c r="U819" s="156">
        <f>IF(U817=0,0,S$9-U818)</f>
        <v>136.60526227882656</v>
      </c>
      <c r="V819" s="245">
        <f>IF(V817=0,0,S$9-V818)</f>
        <v>0</v>
      </c>
      <c r="W819" s="238"/>
      <c r="X819" s="156">
        <f>IF(X817=0,0,X$9-X818)</f>
        <v>167.60526227882656</v>
      </c>
      <c r="Y819" s="196"/>
      <c r="Z819" s="156">
        <f>IF(Z817=0,0,X$9-Z818)</f>
        <v>167.60526227882656</v>
      </c>
      <c r="AA819" s="245">
        <f>IF(AA817=0,0,X$9-AA818)</f>
        <v>0</v>
      </c>
      <c r="AB819" s="265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</row>
    <row r="820" spans="1:42" s="192" customFormat="1" ht="11.25">
      <c r="A820" s="37"/>
      <c r="B820" s="37"/>
      <c r="C820" s="37"/>
      <c r="D820" s="191"/>
      <c r="E820" s="191" t="s">
        <v>259</v>
      </c>
      <c r="F820" s="191" t="str">
        <f t="shared" si="1316"/>
        <v>Гранта</v>
      </c>
      <c r="G820" s="191" t="s">
        <v>262</v>
      </c>
      <c r="H820" s="315"/>
      <c r="I820" s="316">
        <f>IF(I817=0,0,(SUMIFS(операции!$AH:$AH,операции!$T:$T,"&lt;="&amp;I$9,операции!$X:$X,"",операции!$AB:$AB,"&lt;&gt;"&amp;"",операции!$AB:$AB,"&lt;="&amp;I$9,операции!$O:$O,$F756)+SUMIFS(операции!$AH:$AH,операции!$T:$T,"&lt;="&amp;I$9,операции!$X:$X,"&gt;"&amp;I$9,операции!$AB:$AB,"&lt;&gt;"&amp;"",операции!$AB:$AB,"&lt;="&amp;I$9,операции!$O:$O,$F756))/I817)</f>
        <v>42229.152352006764</v>
      </c>
      <c r="J820" s="317"/>
      <c r="K820" s="316">
        <f>IF(K817=0,0,(SUMIFS(операции!$AH:$AH,операции!$T:$T,"&lt;="&amp;I$9,операции!$X:$X,"",операции!$AB:$AB,"&lt;&gt;"&amp;"",операции!$AB:$AB,"&lt;="&amp;I$9,операции!$L:$L,K$9,операции!$O:$O,$F756)+SUMIFS(операции!$AH:$AH,операции!$T:$T,"&lt;="&amp;I$9,операции!$X:$X,"&gt;"&amp;I$9,операции!$AB:$AB,"&lt;&gt;"&amp;"",операции!$AB:$AB,"&lt;="&amp;I$9,операции!$L:$L,K$9,операции!$O:$O,$F756))/K817)</f>
        <v>42229.152352006764</v>
      </c>
      <c r="L820" s="318">
        <f>IF(L817=0,0,(SUMIFS(операции!$AH:$AH,операции!$T:$T,"&lt;="&amp;I$9,операции!$X:$X,"",операции!$AB:$AB,"&lt;&gt;"&amp;"",операции!$AB:$AB,"&lt;="&amp;I$9,операции!$L:$L,L$9,операции!$O:$O,$F756)+SUMIFS(операции!$AH:$AH,операции!$T:$T,"&lt;="&amp;I$9,операции!$X:$X,"&gt;"&amp;I$9,операции!$AB:$AB,"&lt;&gt;"&amp;"",операции!$AB:$AB,"&lt;="&amp;I$9,операции!$L:$L,L$9,операции!$O:$O,$F756))/L817)</f>
        <v>0</v>
      </c>
      <c r="M820" s="274"/>
      <c r="N820" s="193">
        <f>IF(N817=0,0,(SUMIFS(операции!$AH:$AH,операции!$T:$T,"&lt;="&amp;N$9,операции!$X:$X,"",операции!$AB:$AB,"&lt;&gt;"&amp;"",операции!$AB:$AB,"&lt;="&amp;N$9,операции!$O:$O,$F756)+SUMIFS(операции!$AH:$AH,операции!$T:$T,"&lt;="&amp;N$9,операции!$X:$X,"&gt;"&amp;N$9,операции!$AB:$AB,"&lt;&gt;"&amp;"",операции!$AB:$AB,"&lt;="&amp;N$9,операции!$O:$O,$F756))/N817)</f>
        <v>42248.090906325364</v>
      </c>
      <c r="O820" s="196"/>
      <c r="P820" s="193">
        <f>IF(P817=0,0,(SUMIFS(операции!$AH:$AH,операции!$T:$T,"&lt;="&amp;N$9,операции!$X:$X,"",операции!$AB:$AB,"&lt;&gt;"&amp;"",операции!$AB:$AB,"&lt;="&amp;N$9,операции!$L:$L,P$9,операции!$O:$O,$F756)+SUMIFS(операции!$AH:$AH,операции!$T:$T,"&lt;="&amp;N$9,операции!$X:$X,"&gt;"&amp;N$9,операции!$AB:$AB,"&lt;&gt;"&amp;"",операции!$AB:$AB,"&lt;="&amp;N$9,операции!$L:$L,P$9,операции!$O:$O,$F756))/P817)</f>
        <v>42248.090906325364</v>
      </c>
      <c r="Q820" s="237">
        <f>IF(Q817=0,0,(SUMIFS(операции!$AH:$AH,операции!$T:$T,"&lt;="&amp;N$9,операции!$X:$X,"",операции!$AB:$AB,"&lt;&gt;"&amp;"",операции!$AB:$AB,"&lt;="&amp;N$9,операции!$L:$L,Q$9,операции!$O:$O,$F756)+SUMIFS(операции!$AH:$AH,операции!$T:$T,"&lt;="&amp;N$9,операции!$X:$X,"&gt;"&amp;N$9,операции!$AB:$AB,"&lt;&gt;"&amp;"",операции!$AB:$AB,"&lt;="&amp;N$9,операции!$L:$L,Q$9,операции!$O:$O,$F756))/Q817)</f>
        <v>0</v>
      </c>
      <c r="R820" s="238"/>
      <c r="S820" s="193">
        <f>IF(S817=0,0,(SUMIFS(операции!$AH:$AH,операции!$T:$T,"&lt;="&amp;S$9,операции!$X:$X,"",операции!$AB:$AB,"&lt;&gt;"&amp;"",операции!$AB:$AB,"&lt;="&amp;S$9,операции!$O:$O,$F756)+SUMIFS(операции!$AH:$AH,операции!$T:$T,"&lt;="&amp;S$9,операции!$X:$X,"&gt;"&amp;S$9,операции!$AB:$AB,"&lt;&gt;"&amp;"",операции!$AB:$AB,"&lt;="&amp;S$9,операции!$O:$O,$F756))/S817)</f>
        <v>42229.152352006764</v>
      </c>
      <c r="T820" s="196"/>
      <c r="U820" s="193">
        <f>IF(U817=0,0,(SUMIFS(операции!$AH:$AH,операции!$T:$T,"&lt;="&amp;S$9,операции!$X:$X,"",операции!$AB:$AB,"&lt;&gt;"&amp;"",операции!$AB:$AB,"&lt;="&amp;S$9,операции!$L:$L,U$9,операции!$O:$O,$F756)+SUMIFS(операции!$AH:$AH,операции!$T:$T,"&lt;="&amp;S$9,операции!$X:$X,"&gt;"&amp;S$9,операции!$AB:$AB,"&lt;&gt;"&amp;"",операции!$AB:$AB,"&lt;="&amp;S$9,операции!$L:$L,U$9,операции!$O:$O,$F756))/U817)</f>
        <v>42229.152352006764</v>
      </c>
      <c r="V820" s="237">
        <f>IF(V817=0,0,(SUMIFS(операции!$AH:$AH,операции!$T:$T,"&lt;="&amp;S$9,операции!$X:$X,"",операции!$AB:$AB,"&lt;&gt;"&amp;"",операции!$AB:$AB,"&lt;="&amp;S$9,операции!$L:$L,V$9,операции!$O:$O,$F756)+SUMIFS(операции!$AH:$AH,операции!$T:$T,"&lt;="&amp;S$9,операции!$X:$X,"&gt;"&amp;S$9,операции!$AB:$AB,"&lt;&gt;"&amp;"",операции!$AB:$AB,"&lt;="&amp;S$9,операции!$L:$L,V$9,операции!$O:$O,$F756))/V817)</f>
        <v>0</v>
      </c>
      <c r="W820" s="238"/>
      <c r="X820" s="193">
        <f>IF(X817=0,0,(SUMIFS(операции!$AH:$AH,операции!$T:$T,"&lt;="&amp;X$9,операции!$X:$X,"",операции!$AB:$AB,"&lt;&gt;"&amp;"",операции!$AB:$AB,"&lt;="&amp;X$9,операции!$O:$O,$F756)+SUMIFS(операции!$AH:$AH,операции!$T:$T,"&lt;="&amp;X$9,операции!$X:$X,"&gt;"&amp;X$9,операции!$AB:$AB,"&lt;&gt;"&amp;"",операции!$AB:$AB,"&lt;="&amp;X$9,операции!$O:$O,$F756))/X817)</f>
        <v>42229.152352006764</v>
      </c>
      <c r="Y820" s="196"/>
      <c r="Z820" s="193">
        <f>IF(Z817=0,0,(SUMIFS(операции!$AH:$AH,операции!$T:$T,"&lt;="&amp;X$9,операции!$X:$X,"",операции!$AB:$AB,"&lt;&gt;"&amp;"",операции!$AB:$AB,"&lt;="&amp;X$9,операции!$L:$L,Z$9,операции!$O:$O,$F756)+SUMIFS(операции!$AH:$AH,операции!$T:$T,"&lt;="&amp;X$9,операции!$X:$X,"&gt;"&amp;X$9,операции!$AB:$AB,"&lt;&gt;"&amp;"",операции!$AB:$AB,"&lt;="&amp;X$9,операции!$L:$L,Z$9,операции!$O:$O,$F756))/Z817)</f>
        <v>42229.152352006764</v>
      </c>
      <c r="AA820" s="237">
        <f>IF(AA817=0,0,(SUMIFS(операции!$AH:$AH,операции!$T:$T,"&lt;="&amp;X$9,операции!$X:$X,"",операции!$AB:$AB,"&lt;&gt;"&amp;"",операции!$AB:$AB,"&lt;="&amp;X$9,операции!$L:$L,AA$9,операции!$O:$O,$F756)+SUMIFS(операции!$AH:$AH,операции!$T:$T,"&lt;="&amp;X$9,операции!$X:$X,"&gt;"&amp;X$9,операции!$AB:$AB,"&lt;&gt;"&amp;"",операции!$AB:$AB,"&lt;="&amp;X$9,операции!$L:$L,AA$9,операции!$O:$O,$F756))/AA817)</f>
        <v>0</v>
      </c>
      <c r="AB820" s="265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</row>
    <row r="821" spans="1:42" s="192" customFormat="1" ht="11.25">
      <c r="A821" s="37"/>
      <c r="B821" s="37"/>
      <c r="C821" s="37"/>
      <c r="D821" s="191"/>
      <c r="E821" s="191" t="s">
        <v>284</v>
      </c>
      <c r="F821" s="191" t="str">
        <f t="shared" si="1316"/>
        <v>Гранта</v>
      </c>
      <c r="G821" s="191" t="s">
        <v>219</v>
      </c>
      <c r="H821" s="315"/>
      <c r="I821" s="329">
        <f>I820-I818</f>
        <v>27.757614285590535</v>
      </c>
      <c r="J821" s="317"/>
      <c r="K821" s="329">
        <f>K820-K818</f>
        <v>27.757614285590535</v>
      </c>
      <c r="L821" s="330">
        <f>L820-L818</f>
        <v>0</v>
      </c>
      <c r="M821" s="274"/>
      <c r="N821" s="156">
        <f>N820-N818</f>
        <v>33.569219872551912</v>
      </c>
      <c r="O821" s="196"/>
      <c r="P821" s="156">
        <f>P820-P818</f>
        <v>33.569219872551912</v>
      </c>
      <c r="Q821" s="245">
        <f>Q820-Q818</f>
        <v>0</v>
      </c>
      <c r="R821" s="238"/>
      <c r="S821" s="156">
        <f>S820-S818</f>
        <v>27.757614285590535</v>
      </c>
      <c r="T821" s="196"/>
      <c r="U821" s="156">
        <f>U820-U818</f>
        <v>27.757614285590535</v>
      </c>
      <c r="V821" s="245">
        <f>V820-V818</f>
        <v>0</v>
      </c>
      <c r="W821" s="238"/>
      <c r="X821" s="156">
        <f>X820-X818</f>
        <v>27.757614285590535</v>
      </c>
      <c r="Y821" s="196"/>
      <c r="Z821" s="156">
        <f>Z820-Z818</f>
        <v>27.757614285590535</v>
      </c>
      <c r="AA821" s="245">
        <f>AA820-AA818</f>
        <v>0</v>
      </c>
      <c r="AB821" s="265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</row>
    <row r="822" spans="1:42" s="192" customFormat="1" ht="11.25">
      <c r="A822" s="37"/>
      <c r="B822" s="37"/>
      <c r="C822" s="37"/>
      <c r="D822" s="191"/>
      <c r="E822" s="191" t="s">
        <v>285</v>
      </c>
      <c r="F822" s="191" t="str">
        <f t="shared" si="1316"/>
        <v>Гранта</v>
      </c>
      <c r="G822" s="191" t="s">
        <v>219</v>
      </c>
      <c r="H822" s="315"/>
      <c r="I822" s="329">
        <f>I819-I821</f>
        <v>139.84764799323602</v>
      </c>
      <c r="J822" s="317"/>
      <c r="K822" s="329">
        <f>K819-K821</f>
        <v>139.84764799323602</v>
      </c>
      <c r="L822" s="330">
        <f>L819-L821</f>
        <v>0</v>
      </c>
      <c r="M822" s="274"/>
      <c r="N822" s="156">
        <f>N819-N821</f>
        <v>59.909093674636097</v>
      </c>
      <c r="O822" s="196"/>
      <c r="P822" s="156">
        <f>P819-P821</f>
        <v>59.909093674636097</v>
      </c>
      <c r="Q822" s="245">
        <f>Q819-Q821</f>
        <v>0</v>
      </c>
      <c r="R822" s="238"/>
      <c r="S822" s="156">
        <f>S819-S821</f>
        <v>108.84764799323602</v>
      </c>
      <c r="T822" s="196"/>
      <c r="U822" s="156">
        <f>U819-U821</f>
        <v>108.84764799323602</v>
      </c>
      <c r="V822" s="245">
        <f>V819-V821</f>
        <v>0</v>
      </c>
      <c r="W822" s="238"/>
      <c r="X822" s="156">
        <f>X819-X821</f>
        <v>139.84764799323602</v>
      </c>
      <c r="Y822" s="196"/>
      <c r="Z822" s="156">
        <f>Z819-Z821</f>
        <v>139.84764799323602</v>
      </c>
      <c r="AA822" s="245">
        <f>AA819-AA821</f>
        <v>0</v>
      </c>
      <c r="AB822" s="265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</row>
    <row r="823" spans="1:42" s="5" customFormat="1">
      <c r="A823" s="1"/>
      <c r="B823" s="1"/>
      <c r="C823" s="1"/>
      <c r="D823" s="168"/>
      <c r="E823" s="168" t="s">
        <v>286</v>
      </c>
      <c r="F823" s="168" t="str">
        <f t="shared" si="1316"/>
        <v>Гранта</v>
      </c>
      <c r="G823" s="168" t="s">
        <v>261</v>
      </c>
      <c r="H823" s="326"/>
      <c r="I823" s="327">
        <f>SUMIFS(операции!$V:$V,операции!$T:$T,"&lt;="&amp;I$9,операции!$X:$X,"",операции!$AB:$AB,"",операции!$O:$O,$F756)+SUMIFS(операции!$V:$V,операции!$T:$T,"&lt;="&amp;I$9,операции!$X:$X,"&gt;"&amp;I$9,операции!$AB:$AB,"",операции!$O:$O,$F756)+SUMIFS(операции!$V:$V,операции!$T:$T,"&lt;="&amp;I$9,операции!$X:$X,"",операции!$AB:$AB,"&gt;"&amp;I$9,операции!$O:$O,$F756)+SUMIFS(операции!$V:$V,операции!$T:$T,"&lt;="&amp;I$9,операции!$X:$X,"&gt;"&amp;I$9,операции!$AB:$AB,"&gt;"&amp;I$9,операции!$O:$O,$F756)</f>
        <v>7384.8</v>
      </c>
      <c r="J823" s="313">
        <f>I823-K823-L823</f>
        <v>0</v>
      </c>
      <c r="K823" s="327">
        <f>SUMIFS(операции!$V:$V,операции!$T:$T,"&lt;="&amp;I$9,операции!$X:$X,"",операции!$AB:$AB,"",операции!$L:$L,K$9,операции!$O:$O,$F756)+SUMIFS(операции!$V:$V,операции!$T:$T,"&lt;="&amp;I$9,операции!$X:$X,"&gt;"&amp;I$9,операции!$AB:$AB,"",операции!$L:$L,K$9,операции!$O:$O,$F756)+SUMIFS(операции!$V:$V,операции!$T:$T,"&lt;="&amp;I$9,операции!$X:$X,"",операции!$AB:$AB,"&gt;"&amp;I$9,операции!$L:$L,K$9,операции!$O:$O,$F756)+SUMIFS(операции!$V:$V,операции!$T:$T,"&lt;="&amp;I$9,операции!$X:$X,"&gt;"&amp;I$9,операции!$AB:$AB,"&gt;"&amp;I$9,операции!$L:$L,K$9,операции!$O:$O,$F756)</f>
        <v>0</v>
      </c>
      <c r="L823" s="328">
        <f>SUMIFS(операции!$V:$V,операции!$T:$T,"&lt;="&amp;I$9,операции!$X:$X,"",операции!$AB:$AB,"",операции!$L:$L,L$9,операции!$O:$O,$F756)+SUMIFS(операции!$V:$V,операции!$T:$T,"&lt;="&amp;I$9,операции!$X:$X,"&gt;"&amp;I$9,операции!$AB:$AB,"",операции!$L:$L,L$9,операции!$O:$O,$F756)+SUMIFS(операции!$V:$V,операции!$T:$T,"&lt;="&amp;I$9,операции!$X:$X,"",операции!$AB:$AB,"&gt;"&amp;I$9,операции!$L:$L,L$9,операции!$O:$O,$F756)+SUMIFS(операции!$V:$V,операции!$T:$T,"&lt;="&amp;I$9,операции!$X:$X,"&gt;"&amp;I$9,операции!$AB:$AB,"&gt;"&amp;I$9,операции!$L:$L,L$9,операции!$O:$O,$F756)</f>
        <v>7384.8</v>
      </c>
      <c r="M823" s="277"/>
      <c r="N823" s="169">
        <f>SUMIFS(операции!$V:$V,операции!$T:$T,"&lt;="&amp;N$9,операции!$X:$X,"",операции!$AB:$AB,"",операции!$O:$O,$F756)+SUMIFS(операции!$V:$V,операции!$T:$T,"&lt;="&amp;N$9,операции!$X:$X,"&gt;"&amp;N$9,операции!$AB:$AB,"",операции!$O:$O,$F756)+SUMIFS(операции!$V:$V,операции!$T:$T,"&lt;="&amp;N$9,операции!$X:$X,"",операции!$AB:$AB,"&gt;"&amp;N$9,операции!$O:$O,$F756)+SUMIFS(операции!$V:$V,операции!$T:$T,"&lt;="&amp;N$9,операции!$X:$X,"&gt;"&amp;N$9,операции!$AB:$AB,"&gt;"&amp;N$9,операции!$O:$O,$F756)</f>
        <v>7987.51</v>
      </c>
      <c r="O823" s="170">
        <f>N823-P823-Q823</f>
        <v>0</v>
      </c>
      <c r="P823" s="169">
        <f>SUMIFS(операции!$V:$V,операции!$T:$T,"&lt;="&amp;N$9,операции!$X:$X,"",операции!$AB:$AB,"",операции!$L:$L,P$9,операции!$O:$O,$F756)+SUMIFS(операции!$V:$V,операции!$T:$T,"&lt;="&amp;N$9,операции!$X:$X,"&gt;"&amp;N$9,операции!$AB:$AB,"",операции!$L:$L,P$9,операции!$O:$O,$F756)+SUMIFS(операции!$V:$V,операции!$T:$T,"&lt;="&amp;N$9,операции!$X:$X,"",операции!$AB:$AB,"&gt;"&amp;N$9,операции!$L:$L,P$9,операции!$O:$O,$F756)+SUMIFS(операции!$V:$V,операции!$T:$T,"&lt;="&amp;N$9,операции!$X:$X,"&gt;"&amp;N$9,операции!$AB:$AB,"&gt;"&amp;N$9,операции!$L:$L,P$9,операции!$O:$O,$F756)</f>
        <v>7987.51</v>
      </c>
      <c r="Q823" s="243">
        <f>SUMIFS(операции!$V:$V,операции!$T:$T,"&lt;="&amp;N$9,операции!$X:$X,"",операции!$AB:$AB,"",операции!$L:$L,Q$9,операции!$O:$O,$F756)+SUMIFS(операции!$V:$V,операции!$T:$T,"&lt;="&amp;N$9,операции!$X:$X,"&gt;"&amp;N$9,операции!$AB:$AB,"",операции!$L:$L,Q$9,операции!$O:$O,$F756)+SUMIFS(операции!$V:$V,операции!$T:$T,"&lt;="&amp;N$9,операции!$X:$X,"",операции!$AB:$AB,"&gt;"&amp;N$9,операции!$L:$L,Q$9,операции!$O:$O,$F756)+SUMIFS(операции!$V:$V,операции!$T:$T,"&lt;="&amp;N$9,операции!$X:$X,"&gt;"&amp;N$9,операции!$AB:$AB,"&gt;"&amp;N$9,операции!$L:$L,Q$9,операции!$O:$O,$F756)</f>
        <v>0</v>
      </c>
      <c r="R823" s="244"/>
      <c r="S823" s="169">
        <f>SUMIFS(операции!$V:$V,операции!$T:$T,"&lt;="&amp;S$9,операции!$X:$X,"",операции!$AB:$AB,"",операции!$O:$O,$F756)+SUMIFS(операции!$V:$V,операции!$T:$T,"&lt;="&amp;S$9,операции!$X:$X,"&gt;"&amp;S$9,операции!$AB:$AB,"",операции!$O:$O,$F756)+SUMIFS(операции!$V:$V,операции!$T:$T,"&lt;="&amp;S$9,операции!$X:$X,"",операции!$AB:$AB,"&gt;"&amp;S$9,операции!$O:$O,$F756)+SUMIFS(операции!$V:$V,операции!$T:$T,"&lt;="&amp;S$9,операции!$X:$X,"&gt;"&amp;S$9,операции!$AB:$AB,"&gt;"&amp;S$9,операции!$O:$O,$F756)</f>
        <v>29239.18</v>
      </c>
      <c r="T823" s="170">
        <f>S823-U823-V823</f>
        <v>0</v>
      </c>
      <c r="U823" s="169">
        <f>SUMIFS(операции!$V:$V,операции!$T:$T,"&lt;="&amp;S$9,операции!$X:$X,"",операции!$AB:$AB,"",операции!$L:$L,U$9,операции!$O:$O,$F756)+SUMIFS(операции!$V:$V,операции!$T:$T,"&lt;="&amp;S$9,операции!$X:$X,"&gt;"&amp;S$9,операции!$AB:$AB,"",операции!$L:$L,U$9,операции!$O:$O,$F756)+SUMIFS(операции!$V:$V,операции!$T:$T,"&lt;="&amp;S$9,операции!$X:$X,"",операции!$AB:$AB,"&gt;"&amp;S$9,операции!$L:$L,U$9,операции!$O:$O,$F756)+SUMIFS(операции!$V:$V,операции!$T:$T,"&lt;="&amp;S$9,операции!$X:$X,"&gt;"&amp;S$9,операции!$AB:$AB,"&gt;"&amp;S$9,операции!$L:$L,U$9,операции!$O:$O,$F756)</f>
        <v>0</v>
      </c>
      <c r="V823" s="243">
        <f>SUMIFS(операции!$V:$V,операции!$T:$T,"&lt;="&amp;S$9,операции!$X:$X,"",операции!$AB:$AB,"",операции!$L:$L,V$9,операции!$O:$O,$F756)+SUMIFS(операции!$V:$V,операции!$T:$T,"&lt;="&amp;S$9,операции!$X:$X,"&gt;"&amp;S$9,операции!$AB:$AB,"",операции!$L:$L,V$9,операции!$O:$O,$F756)+SUMIFS(операции!$V:$V,операции!$T:$T,"&lt;="&amp;S$9,операции!$X:$X,"",операции!$AB:$AB,"&gt;"&amp;S$9,операции!$L:$L,V$9,операции!$O:$O,$F756)+SUMIFS(операции!$V:$V,операции!$T:$T,"&lt;="&amp;S$9,операции!$X:$X,"&gt;"&amp;S$9,операции!$AB:$AB,"&gt;"&amp;S$9,операции!$L:$L,V$9,операции!$O:$O,$F756)</f>
        <v>29239.18</v>
      </c>
      <c r="W823" s="244"/>
      <c r="X823" s="169">
        <f>SUMIFS(операции!$V:$V,операции!$T:$T,"&lt;="&amp;X$9,операции!$X:$X,"",операции!$AB:$AB,"",операции!$O:$O,$F756)+SUMIFS(операции!$V:$V,операции!$T:$T,"&lt;="&amp;X$9,операции!$X:$X,"&gt;"&amp;X$9,операции!$AB:$AB,"",операции!$O:$O,$F756)+SUMIFS(операции!$V:$V,операции!$T:$T,"&lt;="&amp;X$9,операции!$X:$X,"",операции!$AB:$AB,"&gt;"&amp;X$9,операции!$O:$O,$F756)+SUMIFS(операции!$V:$V,операции!$T:$T,"&lt;="&amp;X$9,операции!$X:$X,"&gt;"&amp;X$9,операции!$AB:$AB,"&gt;"&amp;X$9,операции!$O:$O,$F756)</f>
        <v>7384.8</v>
      </c>
      <c r="Y823" s="170">
        <f>X823-Z823-AA823</f>
        <v>0</v>
      </c>
      <c r="Z823" s="169">
        <f>SUMIFS(операции!$V:$V,операции!$T:$T,"&lt;="&amp;X$9,операции!$X:$X,"",операции!$AB:$AB,"",операции!$L:$L,Z$9,операции!$O:$O,$F756)+SUMIFS(операции!$V:$V,операции!$T:$T,"&lt;="&amp;X$9,операции!$X:$X,"&gt;"&amp;X$9,операции!$AB:$AB,"",операции!$L:$L,Z$9,операции!$O:$O,$F756)+SUMIFS(операции!$V:$V,операции!$T:$T,"&lt;="&amp;X$9,операции!$X:$X,"",операции!$AB:$AB,"&gt;"&amp;X$9,операции!$L:$L,Z$9,операции!$O:$O,$F756)+SUMIFS(операции!$V:$V,операции!$T:$T,"&lt;="&amp;X$9,операции!$X:$X,"&gt;"&amp;X$9,операции!$AB:$AB,"&gt;"&amp;X$9,операции!$L:$L,Z$9,операции!$O:$O,$F756)</f>
        <v>0</v>
      </c>
      <c r="AA823" s="243">
        <f>SUMIFS(операции!$V:$V,операции!$T:$T,"&lt;="&amp;X$9,операции!$X:$X,"",операции!$AB:$AB,"",операции!$L:$L,AA$9,операции!$O:$O,$F756)+SUMIFS(операции!$V:$V,операции!$T:$T,"&lt;="&amp;X$9,операции!$X:$X,"&gt;"&amp;X$9,операции!$AB:$AB,"",операции!$L:$L,AA$9,операции!$O:$O,$F756)+SUMIFS(операции!$V:$V,операции!$T:$T,"&lt;="&amp;X$9,операции!$X:$X,"",операции!$AB:$AB,"&gt;"&amp;X$9,операции!$L:$L,AA$9,операции!$O:$O,$F756)+SUMIFS(операции!$V:$V,операции!$T:$T,"&lt;="&amp;X$9,операции!$X:$X,"&gt;"&amp;X$9,операции!$AB:$AB,"&gt;"&amp;X$9,операции!$L:$L,AA$9,операции!$O:$O,$F756)</f>
        <v>7384.8</v>
      </c>
      <c r="AB823" s="266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s="192" customFormat="1" ht="11.25">
      <c r="A824" s="37"/>
      <c r="B824" s="37"/>
      <c r="C824" s="37"/>
      <c r="D824" s="191"/>
      <c r="E824" s="191" t="s">
        <v>255</v>
      </c>
      <c r="F824" s="191" t="str">
        <f t="shared" si="1316"/>
        <v>Гранта</v>
      </c>
      <c r="G824" s="191" t="s">
        <v>262</v>
      </c>
      <c r="H824" s="315"/>
      <c r="I824" s="316">
        <f>IF(I823=0,0,(SUMIFS(операции!$AF:$AF,операции!$T:$T,"&lt;="&amp;I$9,операции!$X:$X,"",операции!$AB:$AB,"",операции!$O:$O,$F756)+SUMIFS(операции!$AF:$AF,операции!$T:$T,"&lt;="&amp;I$9,операции!$X:$X,"&gt;"&amp;I$9,операции!$AB:$AB,"",операции!$O:$O,$F756)+SUMIFS(операции!$AF:$AF,операции!$T:$T,"&lt;="&amp;I$9,операции!$X:$X,"",операции!$AB:$AB,"&gt;"&amp;I$9,операции!$O:$O,$F756)+SUMIFS(операции!$AF:$AF,операции!$T:$T,"&lt;="&amp;I$9,операции!$X:$X,"&gt;"&amp;I$9,операции!$AB:$AB,"&gt;"&amp;I$9,операции!$O:$O,$F756))/I823)</f>
        <v>42367</v>
      </c>
      <c r="J824" s="317"/>
      <c r="K824" s="316">
        <f>IF(K823=0,0,(SUMIFS(операции!$AF:$AF,операции!$T:$T,"&lt;="&amp;I$9,операции!$X:$X,"",операции!$AB:$AB,"",операции!$L:$L,K$9,операции!$O:$O,$F756)+SUMIFS(операции!$AF:$AF,операции!$T:$T,"&lt;="&amp;I$9,операции!$X:$X,"&gt;"&amp;I$9,операции!$AB:$AB,"",операции!$L:$L,K$9,операции!$O:$O,$F756)+SUMIFS(операции!$AF:$AF,операции!$T:$T,"&lt;="&amp;I$9,операции!$X:$X,"",операции!$AB:$AB,"&gt;"&amp;I$9,операции!$L:$L,K$9,операции!$O:$O,$F756)+SUMIFS(операции!$AF:$AF,операции!$T:$T,"&lt;="&amp;I$9,операции!$X:$X,"&gt;"&amp;I$9,операции!$AB:$AB,"&gt;"&amp;I$9,операции!$L:$L,K$9,операции!$O:$O,$F756))/K823)</f>
        <v>0</v>
      </c>
      <c r="L824" s="318">
        <f>IF(L823=0,0,(SUMIFS(операции!$AF:$AF,операции!$T:$T,"&lt;="&amp;I$9,операции!$X:$X,"",операции!$AB:$AB,"",операции!$L:$L,L$9,операции!$O:$O,$F756)+SUMIFS(операции!$AF:$AF,операции!$T:$T,"&lt;="&amp;I$9,операции!$X:$X,"&gt;"&amp;I$9,операции!$AB:$AB,"",операции!$L:$L,L$9,операции!$O:$O,$F756)+SUMIFS(операции!$AF:$AF,операции!$T:$T,"&lt;="&amp;I$9,операции!$X:$X,"",операции!$AB:$AB,"&gt;"&amp;I$9,операции!$L:$L,L$9,операции!$O:$O,$F756)+SUMIFS(операции!$AF:$AF,операции!$T:$T,"&lt;="&amp;I$9,операции!$X:$X,"&gt;"&amp;I$9,операции!$AB:$AB,"&gt;"&amp;I$9,операции!$L:$L,L$9,операции!$O:$O,$F756))/L823)</f>
        <v>42367</v>
      </c>
      <c r="M824" s="274"/>
      <c r="N824" s="193">
        <f>IF(N823=0,0,(SUMIFS(операции!$AF:$AF,операции!$T:$T,"&lt;="&amp;N$9,операции!$X:$X,"",операции!$AB:$AB,"",операции!$O:$O,$F756)+SUMIFS(операции!$AF:$AF,операции!$T:$T,"&lt;="&amp;N$9,операции!$X:$X,"&gt;"&amp;N$9,операции!$AB:$AB,"",операции!$O:$O,$F756)+SUMIFS(операции!$AF:$AF,операции!$T:$T,"&lt;="&amp;N$9,операции!$X:$X,"",операции!$AB:$AB,"&gt;"&amp;N$9,операции!$O:$O,$F756)+SUMIFS(операции!$AF:$AF,операции!$T:$T,"&lt;="&amp;N$9,операции!$X:$X,"&gt;"&amp;N$9,операции!$AB:$AB,"&gt;"&amp;N$9,операции!$O:$O,$F756))/N823)</f>
        <v>42122</v>
      </c>
      <c r="O824" s="196"/>
      <c r="P824" s="193">
        <f>IF(P823=0,0,(SUMIFS(операции!$AF:$AF,операции!$T:$T,"&lt;="&amp;N$9,операции!$X:$X,"",операции!$AB:$AB,"",операции!$L:$L,P$9,операции!$O:$O,$F756)+SUMIFS(операции!$AF:$AF,операции!$T:$T,"&lt;="&amp;N$9,операции!$X:$X,"&gt;"&amp;N$9,операции!$AB:$AB,"",операции!$L:$L,P$9,операции!$O:$O,$F756)+SUMIFS(операции!$AF:$AF,операции!$T:$T,"&lt;="&amp;N$9,операции!$X:$X,"",операции!$AB:$AB,"&gt;"&amp;N$9,операции!$L:$L,P$9,операции!$O:$O,$F756)+SUMIFS(операции!$AF:$AF,операции!$T:$T,"&lt;="&amp;N$9,операции!$X:$X,"&gt;"&amp;N$9,операции!$AB:$AB,"&gt;"&amp;N$9,операции!$L:$L,P$9,операции!$O:$O,$F756))/P823)</f>
        <v>42122</v>
      </c>
      <c r="Q824" s="237">
        <f>IF(Q823=0,0,(SUMIFS(операции!$AF:$AF,операции!$T:$T,"&lt;="&amp;N$9,операции!$X:$X,"",операции!$AB:$AB,"",операции!$L:$L,Q$9,операции!$O:$O,$F756)+SUMIFS(операции!$AF:$AF,операции!$T:$T,"&lt;="&amp;N$9,операции!$X:$X,"&gt;"&amp;N$9,операции!$AB:$AB,"",операции!$L:$L,Q$9,операции!$O:$O,$F756)+SUMIFS(операции!$AF:$AF,операции!$T:$T,"&lt;="&amp;N$9,операции!$X:$X,"",операции!$AB:$AB,"&gt;"&amp;N$9,операции!$L:$L,Q$9,операции!$O:$O,$F756)+SUMIFS(операции!$AF:$AF,операции!$T:$T,"&lt;="&amp;N$9,операции!$X:$X,"&gt;"&amp;N$9,операции!$AB:$AB,"&gt;"&amp;N$9,операции!$L:$L,Q$9,операции!$O:$O,$F756))/Q823)</f>
        <v>0</v>
      </c>
      <c r="R824" s="238"/>
      <c r="S824" s="193">
        <f>IF(S823=0,0,(SUMIFS(операции!$AF:$AF,операции!$T:$T,"&lt;="&amp;S$9,операции!$X:$X,"",операции!$AB:$AB,"",операции!$O:$O,$F756)+SUMIFS(операции!$AF:$AF,операции!$T:$T,"&lt;="&amp;S$9,операции!$X:$X,"&gt;"&amp;S$9,операции!$AB:$AB,"",операции!$O:$O,$F756)+SUMIFS(операции!$AF:$AF,операции!$T:$T,"&lt;="&amp;S$9,операции!$X:$X,"",операции!$AB:$AB,"&gt;"&amp;S$9,операции!$O:$O,$F756)+SUMIFS(операции!$AF:$AF,операции!$T:$T,"&lt;="&amp;S$9,операции!$X:$X,"&gt;"&amp;S$9,операции!$AB:$AB,"&gt;"&amp;S$9,операции!$O:$O,$F756))/S823)</f>
        <v>42337.428658396027</v>
      </c>
      <c r="T824" s="196"/>
      <c r="U824" s="193">
        <f>IF(U823=0,0,(SUMIFS(операции!$AF:$AF,операции!$T:$T,"&lt;="&amp;S$9,операции!$X:$X,"",операции!$AB:$AB,"",операции!$L:$L,U$9,операции!$O:$O,$F756)+SUMIFS(операции!$AF:$AF,операции!$T:$T,"&lt;="&amp;S$9,операции!$X:$X,"&gt;"&amp;S$9,операции!$AB:$AB,"",операции!$L:$L,U$9,операции!$O:$O,$F756)+SUMIFS(операции!$AF:$AF,операции!$T:$T,"&lt;="&amp;S$9,операции!$X:$X,"",операции!$AB:$AB,"&gt;"&amp;S$9,операции!$L:$L,U$9,операции!$O:$O,$F756)+SUMIFS(операции!$AF:$AF,операции!$T:$T,"&lt;="&amp;S$9,операции!$X:$X,"&gt;"&amp;S$9,операции!$AB:$AB,"&gt;"&amp;S$9,операции!$L:$L,U$9,операции!$O:$O,$F756))/U823)</f>
        <v>0</v>
      </c>
      <c r="V824" s="237">
        <f>IF(V823=0,0,(SUMIFS(операции!$AF:$AF,операции!$T:$T,"&lt;="&amp;S$9,операции!$X:$X,"",операции!$AB:$AB,"",операции!$L:$L,V$9,операции!$O:$O,$F756)+SUMIFS(операции!$AF:$AF,операции!$T:$T,"&lt;="&amp;S$9,операции!$X:$X,"&gt;"&amp;S$9,операции!$AB:$AB,"",операции!$L:$L,V$9,операции!$O:$O,$F756)+SUMIFS(операции!$AF:$AF,операции!$T:$T,"&lt;="&amp;S$9,операции!$X:$X,"",операции!$AB:$AB,"&gt;"&amp;S$9,операции!$L:$L,V$9,операции!$O:$O,$F756)+SUMIFS(операции!$AF:$AF,операции!$T:$T,"&lt;="&amp;S$9,операции!$X:$X,"&gt;"&amp;S$9,операции!$AB:$AB,"&gt;"&amp;S$9,операции!$L:$L,V$9,операции!$O:$O,$F756))/V823)</f>
        <v>42337.428658396027</v>
      </c>
      <c r="W824" s="238"/>
      <c r="X824" s="193">
        <f>IF(X823=0,0,(SUMIFS(операции!$AF:$AF,операции!$T:$T,"&lt;="&amp;X$9,операции!$X:$X,"",операции!$AB:$AB,"",операции!$O:$O,$F756)+SUMIFS(операции!$AF:$AF,операции!$T:$T,"&lt;="&amp;X$9,операции!$X:$X,"&gt;"&amp;X$9,операции!$AB:$AB,"",операции!$O:$O,$F756)+SUMIFS(операции!$AF:$AF,операции!$T:$T,"&lt;="&amp;X$9,операции!$X:$X,"",операции!$AB:$AB,"&gt;"&amp;X$9,операции!$O:$O,$F756)+SUMIFS(операции!$AF:$AF,операции!$T:$T,"&lt;="&amp;X$9,операции!$X:$X,"&gt;"&amp;X$9,операции!$AB:$AB,"&gt;"&amp;X$9,операции!$O:$O,$F756))/X823)</f>
        <v>42367</v>
      </c>
      <c r="Y824" s="196"/>
      <c r="Z824" s="193">
        <f>IF(Z823=0,0,(SUMIFS(операции!$AF:$AF,операции!$T:$T,"&lt;="&amp;X$9,операции!$X:$X,"",операции!$AB:$AB,"",операции!$L:$L,Z$9,операции!$O:$O,$F756)+SUMIFS(операции!$AF:$AF,операции!$T:$T,"&lt;="&amp;X$9,операции!$X:$X,"&gt;"&amp;X$9,операции!$AB:$AB,"",операции!$L:$L,Z$9,операции!$O:$O,$F756)+SUMIFS(операции!$AF:$AF,операции!$T:$T,"&lt;="&amp;X$9,операции!$X:$X,"",операции!$AB:$AB,"&gt;"&amp;X$9,операции!$L:$L,Z$9,операции!$O:$O,$F756)+SUMIFS(операции!$AF:$AF,операции!$T:$T,"&lt;="&amp;X$9,операции!$X:$X,"&gt;"&amp;X$9,операции!$AB:$AB,"&gt;"&amp;X$9,операции!$L:$L,Z$9,операции!$O:$O,$F756))/Z823)</f>
        <v>0</v>
      </c>
      <c r="AA824" s="237">
        <f>IF(AA823=0,0,(SUMIFS(операции!$AF:$AF,операции!$T:$T,"&lt;="&amp;X$9,операции!$X:$X,"",операции!$AB:$AB,"",операции!$L:$L,AA$9,операции!$O:$O,$F756)+SUMIFS(операции!$AF:$AF,операции!$T:$T,"&lt;="&amp;X$9,операции!$X:$X,"&gt;"&amp;X$9,операции!$AB:$AB,"",операции!$L:$L,AA$9,операции!$O:$O,$F756)+SUMIFS(операции!$AF:$AF,операции!$T:$T,"&lt;="&amp;X$9,операции!$X:$X,"",операции!$AB:$AB,"&gt;"&amp;X$9,операции!$L:$L,AA$9,операции!$O:$O,$F756)+SUMIFS(операции!$AF:$AF,операции!$T:$T,"&lt;="&amp;X$9,операции!$X:$X,"&gt;"&amp;X$9,операции!$AB:$AB,"&gt;"&amp;X$9,операции!$L:$L,AA$9,операции!$O:$O,$F756))/AA823)</f>
        <v>42367</v>
      </c>
      <c r="AB824" s="265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</row>
    <row r="825" spans="1:42" s="192" customFormat="1" ht="11.25">
      <c r="A825" s="37"/>
      <c r="B825" s="37"/>
      <c r="C825" s="37"/>
      <c r="D825" s="191"/>
      <c r="E825" s="191" t="s">
        <v>287</v>
      </c>
      <c r="F825" s="191" t="str">
        <f t="shared" ref="F825:F828" si="1449">F824</f>
        <v>Гранта</v>
      </c>
      <c r="G825" s="191" t="s">
        <v>219</v>
      </c>
      <c r="H825" s="315"/>
      <c r="I825" s="329">
        <f>IF(I823=0,0,I$9-I824)</f>
        <v>2</v>
      </c>
      <c r="J825" s="317"/>
      <c r="K825" s="329">
        <f>IF(K823=0,0,I$9-K824)</f>
        <v>0</v>
      </c>
      <c r="L825" s="330">
        <f>IF(L823=0,0,I$9-L824)</f>
        <v>2</v>
      </c>
      <c r="M825" s="274"/>
      <c r="N825" s="156">
        <f>IF(N823=0,0,N$9-N824)</f>
        <v>186</v>
      </c>
      <c r="O825" s="196"/>
      <c r="P825" s="156">
        <f>IF(P823=0,0,N$9-P824)</f>
        <v>186</v>
      </c>
      <c r="Q825" s="245">
        <f>IF(Q823=0,0,N$9-Q824)</f>
        <v>0</v>
      </c>
      <c r="R825" s="238"/>
      <c r="S825" s="156">
        <f>IF(S823=0,0,S$9-S824)</f>
        <v>0.57134160397254163</v>
      </c>
      <c r="T825" s="196"/>
      <c r="U825" s="156">
        <f>IF(U823=0,0,S$9-U824)</f>
        <v>0</v>
      </c>
      <c r="V825" s="245">
        <f>IF(V823=0,0,S$9-V824)</f>
        <v>0.57134160397254163</v>
      </c>
      <c r="W825" s="238"/>
      <c r="X825" s="156">
        <f>IF(X823=0,0,X$9-X824)</f>
        <v>2</v>
      </c>
      <c r="Y825" s="196"/>
      <c r="Z825" s="156">
        <f>IF(Z823=0,0,X$9-Z824)</f>
        <v>0</v>
      </c>
      <c r="AA825" s="245">
        <f>IF(AA823=0,0,X$9-AA824)</f>
        <v>2</v>
      </c>
      <c r="AB825" s="265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</row>
    <row r="826" spans="1:42" s="192" customFormat="1" ht="11.25">
      <c r="A826" s="37"/>
      <c r="B826" s="37"/>
      <c r="C826" s="37"/>
      <c r="D826" s="191"/>
      <c r="E826" s="191" t="s">
        <v>311</v>
      </c>
      <c r="F826" s="191" t="str">
        <f t="shared" si="1449"/>
        <v>Гранта</v>
      </c>
      <c r="G826" s="191" t="s">
        <v>262</v>
      </c>
      <c r="H826" s="315"/>
      <c r="I826" s="316">
        <f>I$9</f>
        <v>42369</v>
      </c>
      <c r="J826" s="317"/>
      <c r="K826" s="316">
        <f>I$9</f>
        <v>42369</v>
      </c>
      <c r="L826" s="318">
        <f>I$9</f>
        <v>42369</v>
      </c>
      <c r="M826" s="274"/>
      <c r="N826" s="193">
        <f>N$9</f>
        <v>42308</v>
      </c>
      <c r="O826" s="196"/>
      <c r="P826" s="193">
        <f>N$9</f>
        <v>42308</v>
      </c>
      <c r="Q826" s="237">
        <f>N$9</f>
        <v>42308</v>
      </c>
      <c r="R826" s="238"/>
      <c r="S826" s="193">
        <f>S$9</f>
        <v>42338</v>
      </c>
      <c r="T826" s="196"/>
      <c r="U826" s="193">
        <f>S$9</f>
        <v>42338</v>
      </c>
      <c r="V826" s="237">
        <f>S$9</f>
        <v>42338</v>
      </c>
      <c r="W826" s="238"/>
      <c r="X826" s="193">
        <f>X$9</f>
        <v>42369</v>
      </c>
      <c r="Y826" s="196"/>
      <c r="Z826" s="193">
        <f>X$9</f>
        <v>42369</v>
      </c>
      <c r="AA826" s="237">
        <f>X$9</f>
        <v>42369</v>
      </c>
      <c r="AB826" s="265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</row>
    <row r="827" spans="1:42" s="192" customFormat="1" ht="11.25">
      <c r="A827" s="37"/>
      <c r="B827" s="37"/>
      <c r="C827" s="37"/>
      <c r="D827" s="191"/>
      <c r="E827" s="191" t="s">
        <v>288</v>
      </c>
      <c r="F827" s="191" t="str">
        <f t="shared" si="1449"/>
        <v>Гранта</v>
      </c>
      <c r="G827" s="191" t="s">
        <v>219</v>
      </c>
      <c r="H827" s="315"/>
      <c r="I827" s="329">
        <f>IF(I823=0,0,I826-I824)</f>
        <v>2</v>
      </c>
      <c r="J827" s="317"/>
      <c r="K827" s="329">
        <f>IF(K823=0,0,K826-K824)</f>
        <v>0</v>
      </c>
      <c r="L827" s="330">
        <f>IF(L823=0,0,L826-L824)</f>
        <v>2</v>
      </c>
      <c r="M827" s="274"/>
      <c r="N827" s="156">
        <f>IF(N823=0,0,N826-N824)</f>
        <v>186</v>
      </c>
      <c r="O827" s="196"/>
      <c r="P827" s="156">
        <f>IF(P823=0,0,P826-P824)</f>
        <v>186</v>
      </c>
      <c r="Q827" s="245">
        <f>IF(Q823=0,0,Q826-Q824)</f>
        <v>0</v>
      </c>
      <c r="R827" s="238"/>
      <c r="S827" s="156">
        <f>IF(S823=0,0,S826-S824)</f>
        <v>0.57134160397254163</v>
      </c>
      <c r="T827" s="196"/>
      <c r="U827" s="156">
        <f>IF(U823=0,0,U826-U824)</f>
        <v>0</v>
      </c>
      <c r="V827" s="245">
        <f>IF(V823=0,0,V826-V824)</f>
        <v>0.57134160397254163</v>
      </c>
      <c r="W827" s="238"/>
      <c r="X827" s="156">
        <f>IF(X823=0,0,X826-X824)</f>
        <v>2</v>
      </c>
      <c r="Y827" s="196"/>
      <c r="Z827" s="156">
        <f>IF(Z823=0,0,Z826-Z824)</f>
        <v>0</v>
      </c>
      <c r="AA827" s="245">
        <f>IF(AA823=0,0,AA826-AA824)</f>
        <v>2</v>
      </c>
      <c r="AB827" s="265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</row>
    <row r="828" spans="1:42" s="192" customFormat="1" ht="12" thickBot="1">
      <c r="A828" s="37"/>
      <c r="B828" s="37"/>
      <c r="C828" s="37"/>
      <c r="D828" s="297"/>
      <c r="E828" s="297" t="s">
        <v>289</v>
      </c>
      <c r="F828" s="297" t="str">
        <f t="shared" si="1449"/>
        <v>Гранта</v>
      </c>
      <c r="G828" s="297" t="s">
        <v>219</v>
      </c>
      <c r="H828" s="377"/>
      <c r="I828" s="378">
        <f>I825-I827</f>
        <v>0</v>
      </c>
      <c r="J828" s="379"/>
      <c r="K828" s="378">
        <f>K825-K827</f>
        <v>0</v>
      </c>
      <c r="L828" s="380">
        <f>L825-L827</f>
        <v>0</v>
      </c>
      <c r="M828" s="300"/>
      <c r="N828" s="298">
        <f>N825-N827</f>
        <v>0</v>
      </c>
      <c r="O828" s="299"/>
      <c r="P828" s="298">
        <f>P825-P827</f>
        <v>0</v>
      </c>
      <c r="Q828" s="301">
        <f>Q825-Q827</f>
        <v>0</v>
      </c>
      <c r="R828" s="302"/>
      <c r="S828" s="298">
        <f>S825-S827</f>
        <v>0</v>
      </c>
      <c r="T828" s="299"/>
      <c r="U828" s="298">
        <f>U825-U827</f>
        <v>0</v>
      </c>
      <c r="V828" s="301">
        <f>V825-V827</f>
        <v>0</v>
      </c>
      <c r="W828" s="302"/>
      <c r="X828" s="298">
        <f>X825-X827</f>
        <v>0</v>
      </c>
      <c r="Y828" s="299"/>
      <c r="Z828" s="298">
        <f>Z825-Z827</f>
        <v>0</v>
      </c>
      <c r="AA828" s="301">
        <f>AA825-AA827</f>
        <v>0</v>
      </c>
      <c r="AB828" s="265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</row>
    <row r="829" spans="1:42" s="111" customFormat="1" ht="11.25">
      <c r="A829" s="108"/>
      <c r="B829" s="108"/>
      <c r="C829" s="108" t="s">
        <v>271</v>
      </c>
      <c r="D829" s="291"/>
      <c r="E829" s="291"/>
      <c r="F829" s="291" t="str">
        <f>F830</f>
        <v>Гуливерт</v>
      </c>
      <c r="G829" s="291"/>
      <c r="H829" s="373"/>
      <c r="I829" s="374">
        <f>I830-K830-L830</f>
        <v>0</v>
      </c>
      <c r="J829" s="375">
        <f>N829+N847+N885+SUM(O:O)+S829+S847+S885+SUM(T:T)+X829+X847+X885+SUM(Y:Y)</f>
        <v>3.7104683769939584E-9</v>
      </c>
      <c r="K829" s="373"/>
      <c r="L829" s="376"/>
      <c r="M829" s="293"/>
      <c r="N829" s="292">
        <f>N830-P830-Q830</f>
        <v>0</v>
      </c>
      <c r="O829" s="294"/>
      <c r="P829" s="291"/>
      <c r="Q829" s="295"/>
      <c r="R829" s="296"/>
      <c r="S829" s="292">
        <f>S830-U830-V830</f>
        <v>0</v>
      </c>
      <c r="T829" s="294"/>
      <c r="U829" s="291"/>
      <c r="V829" s="295"/>
      <c r="W829" s="296"/>
      <c r="X829" s="292">
        <f>X830-Z830-AA830</f>
        <v>0</v>
      </c>
      <c r="Y829" s="294"/>
      <c r="Z829" s="291"/>
      <c r="AA829" s="295"/>
      <c r="AB829" s="263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</row>
    <row r="830" spans="1:42" s="93" customFormat="1" ht="15">
      <c r="A830" s="92"/>
      <c r="B830" s="92"/>
      <c r="C830" s="92"/>
      <c r="D830" s="151" t="s">
        <v>256</v>
      </c>
      <c r="E830" s="151"/>
      <c r="F830" s="286" t="str">
        <f>микс!$H$28</f>
        <v>Гуливерт</v>
      </c>
      <c r="G830" s="151" t="s">
        <v>261</v>
      </c>
      <c r="H830" s="311"/>
      <c r="I830" s="312">
        <f>SUMIFS(операции!$V:$V,операции!$T:$T,"&lt;"&amp;I$8,операции!$X:$X,"",операции!$O:$O,$F830)+SUMIFS(операции!$V:$V,операции!$T:$T,"&lt;"&amp;I$8,операции!$X:$X,"&gt;="&amp;I$8,операции!$O:$O,$F830)</f>
        <v>28339.54</v>
      </c>
      <c r="J830" s="313">
        <f>I830-I835-I841</f>
        <v>0</v>
      </c>
      <c r="K830" s="312">
        <f>SUMIFS(операции!$V:$V,операции!$T:$T,"&lt;"&amp;I$8,операции!$X:$X,"",операции!$L:$L,K$9,операции!$O:$O,$F830)+SUMIFS(операции!$V:$V,операции!$T:$T,"&lt;"&amp;I$8,операции!$X:$X,"&gt;="&amp;I$8,операции!$L:$L,K$9,операции!$O:$O,$F830)</f>
        <v>28339.54</v>
      </c>
      <c r="L830" s="314">
        <f>SUMIFS(операции!$V:$V,операции!$T:$T,"&lt;"&amp;I$8,операции!$X:$X,"",операции!$L:$L,L$9,операции!$O:$O,$F830)+SUMIFS(операции!$V:$V,операции!$T:$T,"&lt;"&amp;I$8,операции!$X:$X,"&gt;="&amp;I$8,операции!$L:$L,L$9,операции!$O:$O,$F830)</f>
        <v>0</v>
      </c>
      <c r="M830" s="273"/>
      <c r="N830" s="152">
        <f>SUMIFS(операции!$V:$V,операции!$T:$T,"&lt;"&amp;N$8,операции!$X:$X,"",операции!$O:$O,$F830)+SUMIFS(операции!$V:$V,операции!$T:$T,"&lt;"&amp;N$8,операции!$X:$X,"&gt;="&amp;N$8,операции!$O:$O,$F830)</f>
        <v>28339.54</v>
      </c>
      <c r="O830" s="170">
        <f>N830-N835-N841</f>
        <v>0</v>
      </c>
      <c r="P830" s="152">
        <f>SUMIFS(операции!$V:$V,операции!$T:$T,"&lt;"&amp;N$8,операции!$X:$X,"",операции!$L:$L,P$9,операции!$O:$O,$F830)+SUMIFS(операции!$V:$V,операции!$T:$T,"&lt;"&amp;N$8,операции!$X:$X,"&gt;="&amp;N$8,операции!$L:$L,P$9,операции!$O:$O,$F830)</f>
        <v>28339.54</v>
      </c>
      <c r="Q830" s="235">
        <f>SUMIFS(операции!$V:$V,операции!$T:$T,"&lt;"&amp;N$8,операции!$X:$X,"",операции!$L:$L,Q$9,операции!$O:$O,$F830)+SUMIFS(операции!$V:$V,операции!$T:$T,"&lt;"&amp;N$8,операции!$X:$X,"&gt;="&amp;N$8,операции!$L:$L,Q$9,операции!$O:$O,$F830)</f>
        <v>0</v>
      </c>
      <c r="R830" s="236"/>
      <c r="S830" s="152">
        <f>SUMIFS(операции!$V:$V,операции!$T:$T,"&lt;"&amp;S$8,операции!$X:$X,"",операции!$O:$O,$F830)+SUMIFS(операции!$V:$V,операции!$T:$T,"&lt;"&amp;S$8,операции!$X:$X,"&gt;="&amp;S$8,операции!$O:$O,$F830)</f>
        <v>25804.14</v>
      </c>
      <c r="T830" s="170">
        <f>S830-S835-S841</f>
        <v>0</v>
      </c>
      <c r="U830" s="152">
        <f>SUMIFS(операции!$V:$V,операции!$T:$T,"&lt;"&amp;S$8,операции!$X:$X,"",операции!$L:$L,U$9,операции!$O:$O,$F830)+SUMIFS(операции!$V:$V,операции!$T:$T,"&lt;"&amp;S$8,операции!$X:$X,"&gt;="&amp;S$8,операции!$L:$L,U$9,операции!$O:$O,$F830)</f>
        <v>25804.14</v>
      </c>
      <c r="V830" s="235">
        <f>SUMIFS(операции!$V:$V,операции!$T:$T,"&lt;"&amp;S$8,операции!$X:$X,"",операции!$L:$L,V$9,операции!$O:$O,$F830)+SUMIFS(операции!$V:$V,операции!$T:$T,"&lt;"&amp;S$8,операции!$X:$X,"&gt;="&amp;S$8,операции!$L:$L,V$9,операции!$O:$O,$F830)</f>
        <v>0</v>
      </c>
      <c r="W830" s="236"/>
      <c r="X830" s="152">
        <f>SUMIFS(операции!$V:$V,операции!$T:$T,"&lt;"&amp;X$8,операции!$X:$X,"",операции!$O:$O,$F830)+SUMIFS(операции!$V:$V,операции!$T:$T,"&lt;"&amp;X$8,операции!$X:$X,"&gt;="&amp;X$8,операции!$O:$O,$F830)</f>
        <v>17819.510000000002</v>
      </c>
      <c r="Y830" s="170">
        <f>X830-X835-X841</f>
        <v>0</v>
      </c>
      <c r="Z830" s="152">
        <f>SUMIFS(операции!$V:$V,операции!$T:$T,"&lt;"&amp;X$8,операции!$X:$X,"",операции!$L:$L,Z$9,операции!$O:$O,$F830)+SUMIFS(операции!$V:$V,операции!$T:$T,"&lt;"&amp;X$8,операции!$X:$X,"&gt;="&amp;X$8,операции!$L:$L,Z$9,операции!$O:$O,$F830)</f>
        <v>9853.51</v>
      </c>
      <c r="AA830" s="235">
        <f>SUMIFS(операции!$V:$V,операции!$T:$T,"&lt;"&amp;X$8,операции!$X:$X,"",операции!$L:$L,AA$9,операции!$O:$O,$F830)+SUMIFS(операции!$V:$V,операции!$T:$T,"&lt;"&amp;X$8,операции!$X:$X,"&gt;="&amp;X$8,операции!$L:$L,AA$9,операции!$O:$O,$F830)</f>
        <v>7966</v>
      </c>
      <c r="AB830" s="264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</row>
    <row r="831" spans="1:42" s="192" customFormat="1" ht="11.25">
      <c r="A831" s="37"/>
      <c r="B831" s="37"/>
      <c r="C831" s="37"/>
      <c r="D831" s="191" t="s">
        <v>255</v>
      </c>
      <c r="E831" s="191"/>
      <c r="F831" s="191" t="str">
        <f>F830</f>
        <v>Гуливерт</v>
      </c>
      <c r="G831" s="191" t="s">
        <v>262</v>
      </c>
      <c r="H831" s="315"/>
      <c r="I831" s="316">
        <f>IF(I830=0,0,(SUMIFS(операции!$AF:$AF,операции!$T:$T,"&lt;"&amp;I$8,операции!$X:$X,"",операции!$O:$O,$F830)+SUMIFS(операции!$AF:$AF,операции!$T:$T,"&lt;"&amp;I$8,операции!$X:$X,"&gt;="&amp;I$8,операции!$O:$O,$F830))/I830)</f>
        <v>42013.81222242846</v>
      </c>
      <c r="J831" s="317"/>
      <c r="K831" s="316">
        <f>IF(K830=0,0,(SUMIFS(операции!$AF:$AF,операции!$T:$T,"&lt;"&amp;I$8,операции!$X:$X,"",операции!$L:$L,K$9,операции!$O:$O,$F830)+SUMIFS(операции!$AF:$AF,операции!$T:$T,"&lt;"&amp;I$8,операции!$X:$X,"&gt;="&amp;I$8,операции!$L:$L,K$9,операции!$O:$O,$F830))/K830)</f>
        <v>42013.81222242846</v>
      </c>
      <c r="L831" s="318">
        <f>IF(L830=0,0,(SUMIFS(операции!$AF:$AF,операции!$T:$T,"&lt;"&amp;I$8,операции!$X:$X,"",операции!$L:$L,L$9,операции!$O:$O,$F830)+SUMIFS(операции!$AF:$AF,операции!$T:$T,"&lt;"&amp;I$8,операции!$X:$X,"&gt;="&amp;I$8,операции!$L:$L,L$9,операции!$O:$O,$F830))/L830)</f>
        <v>0</v>
      </c>
      <c r="M831" s="274"/>
      <c r="N831" s="193">
        <f>IF(N830=0,0,(SUMIFS(операции!$AF:$AF,операции!$T:$T,"&lt;"&amp;N$8,операции!$X:$X,"",операции!$O:$O,$F830)+SUMIFS(операции!$AF:$AF,операции!$T:$T,"&lt;"&amp;N$8,операции!$X:$X,"&gt;="&amp;N$8,операции!$O:$O,$F830))/N830)</f>
        <v>42013.81222242846</v>
      </c>
      <c r="O831" s="196"/>
      <c r="P831" s="193">
        <f>IF(P830=0,0,(SUMIFS(операции!$AF:$AF,операции!$T:$T,"&lt;"&amp;N$8,операции!$X:$X,"",операции!$L:$L,P$9,операции!$O:$O,$F830)+SUMIFS(операции!$AF:$AF,операции!$T:$T,"&lt;"&amp;N$8,операции!$X:$X,"&gt;="&amp;N$8,операции!$L:$L,P$9,операции!$O:$O,$F830))/P830)</f>
        <v>42013.81222242846</v>
      </c>
      <c r="Q831" s="237">
        <f>IF(Q830=0,0,(SUMIFS(операции!$AF:$AF,операции!$T:$T,"&lt;"&amp;N$8,операции!$X:$X,"",операции!$L:$L,Q$9,операции!$O:$O,$F830)+SUMIFS(операции!$AF:$AF,операции!$T:$T,"&lt;"&amp;N$8,операции!$X:$X,"&gt;="&amp;N$8,операции!$L:$L,Q$9,операции!$O:$O,$F830))/Q830)</f>
        <v>0</v>
      </c>
      <c r="R831" s="238"/>
      <c r="S831" s="193">
        <f>IF(S830=0,0,(SUMIFS(операции!$AF:$AF,операции!$T:$T,"&lt;"&amp;S$8,операции!$X:$X,"",операции!$O:$O,$F830)+SUMIFS(операции!$AF:$AF,операции!$T:$T,"&lt;"&amp;S$8,операции!$X:$X,"&gt;="&amp;S$8,операции!$O:$O,$F830))/S830)</f>
        <v>41999.739570084501</v>
      </c>
      <c r="T831" s="196"/>
      <c r="U831" s="193">
        <f>IF(U830=0,0,(SUMIFS(операции!$AF:$AF,операции!$T:$T,"&lt;"&amp;S$8,операции!$X:$X,"",операции!$L:$L,U$9,операции!$O:$O,$F830)+SUMIFS(операции!$AF:$AF,операции!$T:$T,"&lt;"&amp;S$8,операции!$X:$X,"&gt;="&amp;S$8,операции!$L:$L,U$9,операции!$O:$O,$F830))/U830)</f>
        <v>41999.739570084501</v>
      </c>
      <c r="V831" s="237">
        <f>IF(V830=0,0,(SUMIFS(операции!$AF:$AF,операции!$T:$T,"&lt;"&amp;S$8,операции!$X:$X,"",операции!$L:$L,V$9,операции!$O:$O,$F830)+SUMIFS(операции!$AF:$AF,операции!$T:$T,"&lt;"&amp;S$8,операции!$X:$X,"&gt;="&amp;S$8,операции!$L:$L,V$9,операции!$O:$O,$F830))/V830)</f>
        <v>0</v>
      </c>
      <c r="W831" s="238"/>
      <c r="X831" s="193">
        <f>IF(X830=0,0,(SUMIFS(операции!$AF:$AF,операции!$T:$T,"&lt;"&amp;X$8,операции!$X:$X,"",операции!$O:$O,$F830)+SUMIFS(операции!$AF:$AF,операции!$T:$T,"&lt;"&amp;X$8,операции!$X:$X,"&gt;="&amp;X$8,операции!$O:$O,$F830))/X830)</f>
        <v>42126.507883213395</v>
      </c>
      <c r="Y831" s="196"/>
      <c r="Z831" s="193">
        <f>IF(Z830=0,0,(SUMIFS(операции!$AF:$AF,операции!$T:$T,"&lt;"&amp;X$8,операции!$X:$X,"",операции!$L:$L,Z$9,операции!$O:$O,$F830)+SUMIFS(операции!$AF:$AF,операции!$T:$T,"&lt;"&amp;X$8,операции!$X:$X,"&gt;="&amp;X$8,операции!$L:$L,Z$9,операции!$O:$O,$F830))/Z830)</f>
        <v>41957.948841580313</v>
      </c>
      <c r="AA831" s="237">
        <f>IF(AA830=0,0,(SUMIFS(операции!$AF:$AF,операции!$T:$T,"&lt;"&amp;X$8,операции!$X:$X,"",операции!$L:$L,AA$9,операции!$O:$O,$F830)+SUMIFS(операции!$AF:$AF,операции!$T:$T,"&lt;"&amp;X$8,операции!$X:$X,"&gt;="&amp;X$8,операции!$L:$L,AA$9,операции!$O:$O,$F830))/AA830)</f>
        <v>42335.006276675871</v>
      </c>
      <c r="AB831" s="265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</row>
    <row r="832" spans="1:42" s="50" customFormat="1" ht="11.25">
      <c r="A832" s="48"/>
      <c r="B832" s="48"/>
      <c r="C832" s="48"/>
      <c r="D832" s="154" t="s">
        <v>257</v>
      </c>
      <c r="E832" s="154"/>
      <c r="F832" s="154" t="str">
        <f t="shared" ref="F832:F898" si="1450">F831</f>
        <v>Гуливерт</v>
      </c>
      <c r="G832" s="154" t="s">
        <v>219</v>
      </c>
      <c r="H832" s="319"/>
      <c r="I832" s="320">
        <f>IF(I830=0,0,I$8-I831)</f>
        <v>264.18777757154021</v>
      </c>
      <c r="J832" s="321">
        <f>I832-IF(I830=0,0,(I835*I837+I841*I843)/I830)</f>
        <v>-4.5474735088646412E-12</v>
      </c>
      <c r="K832" s="320">
        <f>IF(K830=0,0,I$8-K831)</f>
        <v>264.18777757154021</v>
      </c>
      <c r="L832" s="322">
        <f>IF(L830=0,0,I$8-L831)</f>
        <v>0</v>
      </c>
      <c r="M832" s="275"/>
      <c r="N832" s="155">
        <f>IF(N830=0,0,N$8-N831)</f>
        <v>264.18777757154021</v>
      </c>
      <c r="O832" s="173">
        <f>N832-IF(N830=0,0,(N835*N837+N841*N843)/N830)</f>
        <v>-4.5474735088646412E-12</v>
      </c>
      <c r="P832" s="155">
        <f>IF(P830=0,0,N$8-P831)</f>
        <v>264.18777757154021</v>
      </c>
      <c r="Q832" s="239">
        <f>IF(Q830=0,0,N$8-Q831)</f>
        <v>0</v>
      </c>
      <c r="R832" s="240"/>
      <c r="S832" s="155">
        <f>IF(S830=0,0,S$8-S831)</f>
        <v>309.26042991549912</v>
      </c>
      <c r="T832" s="173">
        <f>S832-IF(S830=0,0,(S835*S837+S841*S843)/S830)</f>
        <v>-5.1727511163335294E-12</v>
      </c>
      <c r="U832" s="155">
        <f>IF(U830=0,0,S$8-U831)</f>
        <v>309.26042991549912</v>
      </c>
      <c r="V832" s="239">
        <f>IF(V830=0,0,S$8-V831)</f>
        <v>0</v>
      </c>
      <c r="W832" s="240"/>
      <c r="X832" s="155">
        <f>IF(X830=0,0,X$8-X831)</f>
        <v>212.49211678660504</v>
      </c>
      <c r="Y832" s="173">
        <f>X832-IF(X830=0,0,(X835*X837+X841*X843)/X830)</f>
        <v>3.4958702599396929E-12</v>
      </c>
      <c r="Z832" s="155">
        <f>IF(Z830=0,0,X$8-Z831)</f>
        <v>381.05115841968654</v>
      </c>
      <c r="AA832" s="239">
        <f>IF(AA830=0,0,X$8-AA831)</f>
        <v>3.9937233241289505</v>
      </c>
      <c r="AB832" s="230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</row>
    <row r="833" spans="1:42" s="93" customFormat="1" ht="15">
      <c r="A833" s="92"/>
      <c r="B833" s="92"/>
      <c r="C833" s="92"/>
      <c r="D833" s="198" t="s">
        <v>267</v>
      </c>
      <c r="E833" s="198"/>
      <c r="F833" s="198" t="str">
        <f t="shared" si="1450"/>
        <v>Гуливерт</v>
      </c>
      <c r="G833" s="198" t="s">
        <v>219</v>
      </c>
      <c r="H833" s="323"/>
      <c r="I833" s="324">
        <f>IF(I830=0,0,(I835*I839+I841*I845)/I830)</f>
        <v>81.000552584831951</v>
      </c>
      <c r="J833" s="321"/>
      <c r="K833" s="324">
        <f t="shared" ref="K833" si="1451">IF(K830=0,0,(K835*K839+K841*K845)/K830)</f>
        <v>81.000552584831951</v>
      </c>
      <c r="L833" s="325">
        <f>IF(L830=0,0,(L835*L839+L841*L845)/L830)</f>
        <v>0</v>
      </c>
      <c r="M833" s="276"/>
      <c r="N833" s="199">
        <f>IF(N830=0,0,(N835*N839+N841*N845)/N830)</f>
        <v>81.000552584831951</v>
      </c>
      <c r="O833" s="173"/>
      <c r="P833" s="199">
        <f t="shared" ref="P833" si="1452">IF(P830=0,0,(P835*P839+P841*P845)/P830)</f>
        <v>81.000552584831951</v>
      </c>
      <c r="Q833" s="241">
        <f>IF(Q830=0,0,(Q835*Q839+Q841*Q845)/Q830)</f>
        <v>0</v>
      </c>
      <c r="R833" s="242"/>
      <c r="S833" s="199">
        <f>IF(S830=0,0,(S835*S839+S841*S845)/S830)</f>
        <v>93.658276927649368</v>
      </c>
      <c r="T833" s="173"/>
      <c r="U833" s="199">
        <f t="shared" ref="U833" si="1453">IF(U830=0,0,(U835*U839+U841*U845)/U830)</f>
        <v>93.658276927649368</v>
      </c>
      <c r="V833" s="241">
        <f>IF(V830=0,0,(V835*V839+V841*V845)/V830)</f>
        <v>0</v>
      </c>
      <c r="W833" s="242"/>
      <c r="X833" s="199">
        <f>IF(X830=0,0,(X835*X839+X841*X845)/X830)</f>
        <v>48.855560001372098</v>
      </c>
      <c r="Y833" s="173"/>
      <c r="Z833" s="199">
        <f t="shared" ref="Z833" si="1454">IF(Z830=0,0,(Z835*Z839+Z841*Z845)/Z830)</f>
        <v>85.123792435380537</v>
      </c>
      <c r="AA833" s="241">
        <f>IF(AA830=0,0,(AA835*AA839+AA841*AA845)/AA830)</f>
        <v>3.9937233241289505</v>
      </c>
      <c r="AB833" s="264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</row>
    <row r="834" spans="1:42" s="50" customFormat="1" ht="11.25">
      <c r="A834" s="48"/>
      <c r="B834" s="48"/>
      <c r="C834" s="48"/>
      <c r="D834" s="154" t="s">
        <v>270</v>
      </c>
      <c r="E834" s="154"/>
      <c r="F834" s="154" t="str">
        <f t="shared" si="1450"/>
        <v>Гуливерт</v>
      </c>
      <c r="G834" s="154" t="s">
        <v>219</v>
      </c>
      <c r="H834" s="319"/>
      <c r="I834" s="320">
        <f>I832-I833</f>
        <v>183.18722498670826</v>
      </c>
      <c r="J834" s="321"/>
      <c r="K834" s="320">
        <f t="shared" ref="K834" si="1455">K832-K833</f>
        <v>183.18722498670826</v>
      </c>
      <c r="L834" s="322">
        <f t="shared" ref="L834" si="1456">L832-L833</f>
        <v>0</v>
      </c>
      <c r="M834" s="275"/>
      <c r="N834" s="155">
        <f>N832-N833</f>
        <v>183.18722498670826</v>
      </c>
      <c r="O834" s="173"/>
      <c r="P834" s="155">
        <f t="shared" ref="P834" si="1457">P832-P833</f>
        <v>183.18722498670826</v>
      </c>
      <c r="Q834" s="239">
        <f t="shared" ref="Q834" si="1458">Q832-Q833</f>
        <v>0</v>
      </c>
      <c r="R834" s="240"/>
      <c r="S834" s="155">
        <f>S832-S833</f>
        <v>215.60215298784976</v>
      </c>
      <c r="T834" s="173"/>
      <c r="U834" s="155">
        <f t="shared" ref="U834" si="1459">U832-U833</f>
        <v>215.60215298784976</v>
      </c>
      <c r="V834" s="239">
        <f t="shared" ref="V834" si="1460">V832-V833</f>
        <v>0</v>
      </c>
      <c r="W834" s="240"/>
      <c r="X834" s="155">
        <f>X832-X833</f>
        <v>163.63655678523293</v>
      </c>
      <c r="Y834" s="173"/>
      <c r="Z834" s="155">
        <f t="shared" ref="Z834" si="1461">Z832-Z833</f>
        <v>295.92736598430599</v>
      </c>
      <c r="AA834" s="239">
        <f t="shared" ref="AA834" si="1462">AA832-AA833</f>
        <v>0</v>
      </c>
      <c r="AB834" s="230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</row>
    <row r="835" spans="1:42" s="5" customFormat="1">
      <c r="A835" s="1"/>
      <c r="B835" s="1"/>
      <c r="C835" s="1"/>
      <c r="D835" s="168"/>
      <c r="E835" s="168" t="s">
        <v>258</v>
      </c>
      <c r="F835" s="168" t="str">
        <f t="shared" si="1450"/>
        <v>Гуливерт</v>
      </c>
      <c r="G835" s="168" t="s">
        <v>261</v>
      </c>
      <c r="H835" s="326"/>
      <c r="I835" s="327">
        <f>SUMIFS(операции!$V:$V,операции!$T:$T,"&lt;"&amp;I$8,операции!$X:$X,"",операции!$AB:$AB,"&lt;&gt;"&amp;"",операции!$AB:$AB,"&lt;"&amp;I$8,операции!$O:$O,$F830)+SUMIFS(операции!$V:$V,операции!$T:$T,"&lt;"&amp;I$8,операции!$X:$X,"&gt;="&amp;I$8,операции!$AB:$AB,"&lt;&gt;"&amp;"",операции!$AB:$AB,"&lt;"&amp;I$8,операции!$O:$O,$F830)</f>
        <v>18690.169999999998</v>
      </c>
      <c r="J835" s="313">
        <f>I835-K835-L835</f>
        <v>0</v>
      </c>
      <c r="K835" s="327">
        <f>SUMIFS(операции!$V:$V,операции!$T:$T,"&lt;"&amp;I$8,операции!$X:$X,"",операции!$AB:$AB,"&lt;&gt;"&amp;"",операции!$AB:$AB,"&lt;"&amp;I$8,операции!$L:$L,K$9,операции!$O:$O,$F830)+SUMIFS(операции!$V:$V,операции!$T:$T,"&lt;"&amp;I$8,операции!$X:$X,"&gt;="&amp;I$8,операции!$AB:$AB,"&lt;&gt;"&amp;"",операции!$AB:$AB,"&lt;"&amp;I$8,операции!$L:$L,K$9,операции!$O:$O,$F830)</f>
        <v>18690.169999999998</v>
      </c>
      <c r="L835" s="328">
        <f>SUMIFS(операции!$V:$V,операции!$T:$T,"&lt;"&amp;I$8,операции!$X:$X,"",операции!$AB:$AB,"&lt;&gt;"&amp;"",операции!$AB:$AB,"&lt;"&amp;I$8,операции!$L:$L,L$9,операции!$O:$O,$F830)+SUMIFS(операции!$V:$V,операции!$T:$T,"&lt;"&amp;I$8,операции!$X:$X,"&gt;="&amp;I$8,операции!$AB:$AB,"&lt;&gt;"&amp;"",операции!$AB:$AB,"&lt;"&amp;I$8,операции!$L:$L,L$9,операции!$O:$O,$F830)</f>
        <v>0</v>
      </c>
      <c r="M835" s="277"/>
      <c r="N835" s="169">
        <f>SUMIFS(операции!$V:$V,операции!$T:$T,"&lt;"&amp;N$8,операции!$X:$X,"",операции!$AB:$AB,"&lt;&gt;"&amp;"",операции!$AB:$AB,"&lt;"&amp;N$8,операции!$O:$O,$F830)+SUMIFS(операции!$V:$V,операции!$T:$T,"&lt;"&amp;N$8,операции!$X:$X,"&gt;="&amp;N$8,операции!$AB:$AB,"&lt;&gt;"&amp;"",операции!$AB:$AB,"&lt;"&amp;N$8,операции!$O:$O,$F830)</f>
        <v>18690.169999999998</v>
      </c>
      <c r="O835" s="170">
        <f>N835-P835-Q835</f>
        <v>0</v>
      </c>
      <c r="P835" s="169">
        <f>SUMIFS(операции!$V:$V,операции!$T:$T,"&lt;"&amp;N$8,операции!$X:$X,"",операции!$AB:$AB,"&lt;&gt;"&amp;"",операции!$AB:$AB,"&lt;"&amp;N$8,операции!$L:$L,P$9,операции!$O:$O,$F830)+SUMIFS(операции!$V:$V,операции!$T:$T,"&lt;"&amp;N$8,операции!$X:$X,"&gt;="&amp;N$8,операции!$AB:$AB,"&lt;&gt;"&amp;"",операции!$AB:$AB,"&lt;"&amp;N$8,операции!$L:$L,P$9,операции!$O:$O,$F830)</f>
        <v>18690.169999999998</v>
      </c>
      <c r="Q835" s="243">
        <f>SUMIFS(операции!$V:$V,операции!$T:$T,"&lt;"&amp;N$8,операции!$X:$X,"",операции!$AB:$AB,"&lt;&gt;"&amp;"",операции!$AB:$AB,"&lt;"&amp;N$8,операции!$L:$L,Q$9,операции!$O:$O,$F830)+SUMIFS(операции!$V:$V,операции!$T:$T,"&lt;"&amp;N$8,операции!$X:$X,"&gt;="&amp;N$8,операции!$AB:$AB,"&lt;&gt;"&amp;"",операции!$AB:$AB,"&lt;"&amp;N$8,операции!$L:$L,Q$9,операции!$O:$O,$F830)</f>
        <v>0</v>
      </c>
      <c r="R835" s="244"/>
      <c r="S835" s="169">
        <f>SUMIFS(операции!$V:$V,операции!$T:$T,"&lt;"&amp;S$8,операции!$X:$X,"",операции!$AB:$AB,"&lt;&gt;"&amp;"",операции!$AB:$AB,"&lt;"&amp;S$8,операции!$O:$O,$F830)+SUMIFS(операции!$V:$V,операции!$T:$T,"&lt;"&amp;S$8,операции!$X:$X,"&gt;="&amp;S$8,операции!$AB:$AB,"&lt;&gt;"&amp;"",операции!$AB:$AB,"&lt;"&amp;S$8,операции!$O:$O,$F830)</f>
        <v>20863.039999999997</v>
      </c>
      <c r="T835" s="170">
        <f>S835-U835-V835</f>
        <v>0</v>
      </c>
      <c r="U835" s="169">
        <f>SUMIFS(операции!$V:$V,операции!$T:$T,"&lt;"&amp;S$8,операции!$X:$X,"",операции!$AB:$AB,"&lt;&gt;"&amp;"",операции!$AB:$AB,"&lt;"&amp;S$8,операции!$L:$L,U$9,операции!$O:$O,$F830)+SUMIFS(операции!$V:$V,операции!$T:$T,"&lt;"&amp;S$8,операции!$X:$X,"&gt;="&amp;S$8,операции!$AB:$AB,"&lt;&gt;"&amp;"",операции!$AB:$AB,"&lt;"&amp;S$8,операции!$L:$L,U$9,операции!$O:$O,$F830)</f>
        <v>20863.039999999997</v>
      </c>
      <c r="V835" s="243">
        <f>SUMIFS(операции!$V:$V,операции!$T:$T,"&lt;"&amp;S$8,операции!$X:$X,"",операции!$AB:$AB,"&lt;&gt;"&amp;"",операции!$AB:$AB,"&lt;"&amp;S$8,операции!$L:$L,V$9,операции!$O:$O,$F830)+SUMIFS(операции!$V:$V,операции!$T:$T,"&lt;"&amp;S$8,операции!$X:$X,"&gt;="&amp;S$8,операции!$AB:$AB,"&lt;&gt;"&amp;"",операции!$AB:$AB,"&lt;"&amp;S$8,операции!$L:$L,V$9,операции!$O:$O,$F830)</f>
        <v>0</v>
      </c>
      <c r="W835" s="244"/>
      <c r="X835" s="169">
        <f>SUMIFS(операции!$V:$V,операции!$T:$T,"&lt;"&amp;X$8,операции!$X:$X,"",операции!$AB:$AB,"&lt;&gt;"&amp;"",операции!$AB:$AB,"&lt;"&amp;X$8,операции!$O:$O,$F830)+SUMIFS(операции!$V:$V,операции!$T:$T,"&lt;"&amp;X$8,операции!$X:$X,"&gt;="&amp;X$8,операции!$AB:$AB,"&lt;&gt;"&amp;"",операции!$AB:$AB,"&lt;"&amp;X$8,операции!$O:$O,$F830)</f>
        <v>7860.9699999999993</v>
      </c>
      <c r="Y835" s="170">
        <f>X835-Z835-AA835</f>
        <v>0</v>
      </c>
      <c r="Z835" s="169">
        <f>SUMIFS(операции!$V:$V,операции!$T:$T,"&lt;"&amp;X$8,операции!$X:$X,"",операции!$AB:$AB,"&lt;&gt;"&amp;"",операции!$AB:$AB,"&lt;"&amp;X$8,операции!$L:$L,Z$9,операции!$O:$O,$F830)+SUMIFS(операции!$V:$V,операции!$T:$T,"&lt;"&amp;X$8,операции!$X:$X,"&gt;="&amp;X$8,операции!$AB:$AB,"&lt;&gt;"&amp;"",операции!$AB:$AB,"&lt;"&amp;X$8,операции!$L:$L,Z$9,операции!$O:$O,$F830)</f>
        <v>7860.9699999999993</v>
      </c>
      <c r="AA835" s="243">
        <f>SUMIFS(операции!$V:$V,операции!$T:$T,"&lt;"&amp;X$8,операции!$X:$X,"",операции!$AB:$AB,"&lt;&gt;"&amp;"",операции!$AB:$AB,"&lt;"&amp;X$8,операции!$L:$L,AA$9,операции!$O:$O,$F830)+SUMIFS(операции!$V:$V,операции!$T:$T,"&lt;"&amp;X$8,операции!$X:$X,"&gt;="&amp;X$8,операции!$AB:$AB,"&lt;&gt;"&amp;"",операции!$AB:$AB,"&lt;"&amp;X$8,операции!$L:$L,AA$9,операции!$O:$O,$F830)</f>
        <v>0</v>
      </c>
      <c r="AB835" s="266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s="192" customFormat="1" ht="11.25">
      <c r="A836" s="37"/>
      <c r="B836" s="37"/>
      <c r="C836" s="37"/>
      <c r="D836" s="191"/>
      <c r="E836" s="191" t="s">
        <v>255</v>
      </c>
      <c r="F836" s="191" t="str">
        <f t="shared" si="1450"/>
        <v>Гуливерт</v>
      </c>
      <c r="G836" s="191" t="s">
        <v>262</v>
      </c>
      <c r="H836" s="315"/>
      <c r="I836" s="316">
        <f>IF(I835=0,0,(SUMIFS(операции!$AF:$AF,операции!$T:$T,"&lt;"&amp;I$8,операции!$X:$X,"",операции!$AB:$AB,"&lt;&gt;"&amp;"",операции!$AB:$AB,"&lt;"&amp;I$8,операции!$O:$O,$F830)+SUMIFS(операции!$AF:$AF,операции!$T:$T,"&lt;"&amp;I$8,операции!$X:$X,"&gt;="&amp;I$8,операции!$AB:$AB,"&lt;&gt;"&amp;"",операции!$AB:$AB,"&lt;"&amp;I$8,операции!$O:$O,$F830))/I835)</f>
        <v>41973.053939584286</v>
      </c>
      <c r="J836" s="317"/>
      <c r="K836" s="316">
        <f>IF(K835=0,0,(SUMIFS(операции!$AF:$AF,операции!$T:$T,"&lt;"&amp;I$8,операции!$X:$X,"",операции!$AB:$AB,"&lt;&gt;"&amp;"",операции!$AB:$AB,"&lt;"&amp;I$8,операции!$L:$L,K$9,операции!$O:$O,$F830)+SUMIFS(операции!$AF:$AF,операции!$T:$T,"&lt;"&amp;I$8,операции!$X:$X,"&gt;="&amp;I$8,операции!$AB:$AB,"&lt;&gt;"&amp;"",операции!$AB:$AB,"&lt;"&amp;I$8,операции!$L:$L,K$9,операции!$O:$O,$F830))/K835)</f>
        <v>41973.053939584286</v>
      </c>
      <c r="L836" s="318">
        <f>IF(L835=0,0,(SUMIFS(операции!$AF:$AF,операции!$T:$T,"&lt;"&amp;I$8,операции!$X:$X,"",операции!$AB:$AB,"&lt;&gt;"&amp;"",операции!$AB:$AB,"&lt;"&amp;I$8,операции!$L:$L,L$9,операции!$O:$O,$F830)+SUMIFS(операции!$AF:$AF,операции!$T:$T,"&lt;"&amp;I$8,операции!$X:$X,"&gt;="&amp;I$8,операции!$AB:$AB,"&lt;&gt;"&amp;"",операции!$AB:$AB,"&lt;"&amp;I$8,операции!$L:$L,L$9,операции!$O:$O,$F830))/L835)</f>
        <v>0</v>
      </c>
      <c r="M836" s="274"/>
      <c r="N836" s="193">
        <f>IF(N835=0,0,(SUMIFS(операции!$AF:$AF,операции!$T:$T,"&lt;"&amp;N$8,операции!$X:$X,"",операции!$AB:$AB,"&lt;&gt;"&amp;"",операции!$AB:$AB,"&lt;"&amp;N$8,операции!$O:$O,$F830)+SUMIFS(операции!$AF:$AF,операции!$T:$T,"&lt;"&amp;N$8,операции!$X:$X,"&gt;="&amp;N$8,операции!$AB:$AB,"&lt;&gt;"&amp;"",операции!$AB:$AB,"&lt;"&amp;N$8,операции!$O:$O,$F830))/N835)</f>
        <v>41973.053939584286</v>
      </c>
      <c r="O836" s="196"/>
      <c r="P836" s="193">
        <f>IF(P835=0,0,(SUMIFS(операции!$AF:$AF,операции!$T:$T,"&lt;"&amp;N$8,операции!$X:$X,"",операции!$AB:$AB,"&lt;&gt;"&amp;"",операции!$AB:$AB,"&lt;"&amp;N$8,операции!$L:$L,P$9,операции!$O:$O,$F830)+SUMIFS(операции!$AF:$AF,операции!$T:$T,"&lt;"&amp;N$8,операции!$X:$X,"&gt;="&amp;N$8,операции!$AB:$AB,"&lt;&gt;"&amp;"",операции!$AB:$AB,"&lt;"&amp;N$8,операции!$L:$L,P$9,операции!$O:$O,$F830))/P835)</f>
        <v>41973.053939584286</v>
      </c>
      <c r="Q836" s="237">
        <f>IF(Q835=0,0,(SUMIFS(операции!$AF:$AF,операции!$T:$T,"&lt;"&amp;N$8,операции!$X:$X,"",операции!$AB:$AB,"&lt;&gt;"&amp;"",операции!$AB:$AB,"&lt;"&amp;N$8,операции!$L:$L,Q$9,операции!$O:$O,$F830)+SUMIFS(операции!$AF:$AF,операции!$T:$T,"&lt;"&amp;N$8,операции!$X:$X,"&gt;="&amp;N$8,операции!$AB:$AB,"&lt;&gt;"&amp;"",операции!$AB:$AB,"&lt;"&amp;N$8,операции!$L:$L,Q$9,операции!$O:$O,$F830))/Q835)</f>
        <v>0</v>
      </c>
      <c r="R836" s="238"/>
      <c r="S836" s="193">
        <f>IF(S835=0,0,(SUMIFS(операции!$AF:$AF,операции!$T:$T,"&lt;"&amp;S$8,операции!$X:$X,"",операции!$AB:$AB,"&lt;&gt;"&amp;"",операции!$AB:$AB,"&lt;"&amp;S$8,операции!$O:$O,$F830)+SUMIFS(операции!$AF:$AF,операции!$T:$T,"&lt;"&amp;S$8,операции!$X:$X,"&gt;="&amp;S$8,операции!$AB:$AB,"&lt;&gt;"&amp;"",операции!$AB:$AB,"&lt;"&amp;S$8,операции!$O:$O,$F830))/S835)</f>
        <v>42010.709156000281</v>
      </c>
      <c r="T836" s="196"/>
      <c r="U836" s="193">
        <f>IF(U835=0,0,(SUMIFS(операции!$AF:$AF,операции!$T:$T,"&lt;"&amp;S$8,операции!$X:$X,"",операции!$AB:$AB,"&lt;&gt;"&amp;"",операции!$AB:$AB,"&lt;"&amp;S$8,операции!$L:$L,U$9,операции!$O:$O,$F830)+SUMIFS(операции!$AF:$AF,операции!$T:$T,"&lt;"&amp;S$8,операции!$X:$X,"&gt;="&amp;S$8,операции!$AB:$AB,"&lt;&gt;"&amp;"",операции!$AB:$AB,"&lt;"&amp;S$8,операции!$L:$L,U$9,операции!$O:$O,$F830))/U835)</f>
        <v>42010.709156000281</v>
      </c>
      <c r="V836" s="237">
        <f>IF(V835=0,0,(SUMIFS(операции!$AF:$AF,операции!$T:$T,"&lt;"&amp;S$8,операции!$X:$X,"",операции!$AB:$AB,"&lt;&gt;"&amp;"",операции!$AB:$AB,"&lt;"&amp;S$8,операции!$L:$L,V$9,операции!$O:$O,$F830)+SUMIFS(операции!$AF:$AF,операции!$T:$T,"&lt;"&amp;S$8,операции!$X:$X,"&gt;="&amp;S$8,операции!$AB:$AB,"&lt;&gt;"&amp;"",операции!$AB:$AB,"&lt;"&amp;S$8,операции!$L:$L,V$9,операции!$O:$O,$F830))/V835)</f>
        <v>0</v>
      </c>
      <c r="W836" s="238"/>
      <c r="X836" s="193">
        <f>IF(X835=0,0,(SUMIFS(операции!$AF:$AF,операции!$T:$T,"&lt;"&amp;X$8,операции!$X:$X,"",операции!$AB:$AB,"&lt;&gt;"&amp;"",операции!$AB:$AB,"&lt;"&amp;X$8,операции!$O:$O,$F830)+SUMIFS(операции!$AF:$AF,операции!$T:$T,"&lt;"&amp;X$8,операции!$X:$X,"&gt;="&amp;X$8,операции!$AB:$AB,"&lt;&gt;"&amp;"",операции!$AB:$AB,"&lt;"&amp;X$8,операции!$O:$O,$F830))/X835)</f>
        <v>41938.061662873675</v>
      </c>
      <c r="Y836" s="196"/>
      <c r="Z836" s="193">
        <f>IF(Z835=0,0,(SUMIFS(операции!$AF:$AF,операции!$T:$T,"&lt;"&amp;X$8,операции!$X:$X,"",операции!$AB:$AB,"&lt;&gt;"&amp;"",операции!$AB:$AB,"&lt;"&amp;X$8,операции!$L:$L,Z$9,операции!$O:$O,$F830)+SUMIFS(операции!$AF:$AF,операции!$T:$T,"&lt;"&amp;X$8,операции!$X:$X,"&gt;="&amp;X$8,операции!$AB:$AB,"&lt;&gt;"&amp;"",операции!$AB:$AB,"&lt;"&amp;X$8,операции!$L:$L,Z$9,операции!$O:$O,$F830))/Z835)</f>
        <v>41938.061662873675</v>
      </c>
      <c r="AA836" s="237">
        <f>IF(AA835=0,0,(SUMIFS(операции!$AF:$AF,операции!$T:$T,"&lt;"&amp;X$8,операции!$X:$X,"",операции!$AB:$AB,"&lt;&gt;"&amp;"",операции!$AB:$AB,"&lt;"&amp;X$8,операции!$L:$L,AA$9,операции!$O:$O,$F830)+SUMIFS(операции!$AF:$AF,операции!$T:$T,"&lt;"&amp;X$8,операции!$X:$X,"&gt;="&amp;X$8,операции!$AB:$AB,"&lt;&gt;"&amp;"",операции!$AB:$AB,"&lt;"&amp;X$8,операции!$L:$L,AA$9,операции!$O:$O,$F830))/AA835)</f>
        <v>0</v>
      </c>
      <c r="AB836" s="265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</row>
    <row r="837" spans="1:42" s="192" customFormat="1" ht="11.25">
      <c r="A837" s="37"/>
      <c r="B837" s="37"/>
      <c r="C837" s="37"/>
      <c r="D837" s="191"/>
      <c r="E837" s="191" t="s">
        <v>260</v>
      </c>
      <c r="F837" s="191" t="str">
        <f t="shared" si="1450"/>
        <v>Гуливерт</v>
      </c>
      <c r="G837" s="191" t="s">
        <v>219</v>
      </c>
      <c r="H837" s="315"/>
      <c r="I837" s="329">
        <f>IF(I835=0,0,I$8-I836)</f>
        <v>304.94606041571387</v>
      </c>
      <c r="J837" s="317"/>
      <c r="K837" s="329">
        <f>IF(K835=0,0,I$8-K836)</f>
        <v>304.94606041571387</v>
      </c>
      <c r="L837" s="330">
        <f>IF(L835=0,0,I$8-L836)</f>
        <v>0</v>
      </c>
      <c r="M837" s="274"/>
      <c r="N837" s="156">
        <f>IF(N835=0,0,N$8-N836)</f>
        <v>304.94606041571387</v>
      </c>
      <c r="O837" s="196"/>
      <c r="P837" s="156">
        <f>IF(P835=0,0,N$8-P836)</f>
        <v>304.94606041571387</v>
      </c>
      <c r="Q837" s="245">
        <f>IF(Q835=0,0,N$8-Q836)</f>
        <v>0</v>
      </c>
      <c r="R837" s="238"/>
      <c r="S837" s="156">
        <f>IF(S835=0,0,S$8-S836)</f>
        <v>298.29084399971907</v>
      </c>
      <c r="T837" s="196"/>
      <c r="U837" s="156">
        <f>IF(U835=0,0,S$8-U836)</f>
        <v>298.29084399971907</v>
      </c>
      <c r="V837" s="245">
        <f>IF(V835=0,0,S$8-V836)</f>
        <v>0</v>
      </c>
      <c r="W837" s="238"/>
      <c r="X837" s="156">
        <f>IF(X835=0,0,X$8-X836)</f>
        <v>400.93833712632477</v>
      </c>
      <c r="Y837" s="196"/>
      <c r="Z837" s="156">
        <f>IF(Z835=0,0,X$8-Z836)</f>
        <v>400.93833712632477</v>
      </c>
      <c r="AA837" s="245">
        <f>IF(AA835=0,0,X$8-AA836)</f>
        <v>0</v>
      </c>
      <c r="AB837" s="265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</row>
    <row r="838" spans="1:42" s="192" customFormat="1" ht="11.25">
      <c r="A838" s="37"/>
      <c r="B838" s="37"/>
      <c r="C838" s="37"/>
      <c r="D838" s="191"/>
      <c r="E838" s="191" t="s">
        <v>259</v>
      </c>
      <c r="F838" s="191" t="str">
        <f t="shared" si="1450"/>
        <v>Гуливерт</v>
      </c>
      <c r="G838" s="191" t="s">
        <v>262</v>
      </c>
      <c r="H838" s="315"/>
      <c r="I838" s="316">
        <f>IF(I835=0,0,(SUMIFS(операции!$AH:$AH,операции!$T:$T,"&lt;"&amp;I$8,операции!$X:$X,"",операции!$AB:$AB,"&lt;&gt;"&amp;"",операции!$AB:$AB,"&lt;"&amp;I$8,операции!$O:$O,$F830)+SUMIFS(операции!$AH:$AH,операции!$T:$T,"&lt;"&amp;I$8,операции!$X:$X,"&gt;="&amp;I$8,операции!$AB:$AB,"&lt;&gt;"&amp;"",операции!$AB:$AB,"&lt;"&amp;I$8,операции!$O:$O,$F830))/I835)</f>
        <v>42000.236785968242</v>
      </c>
      <c r="J838" s="317"/>
      <c r="K838" s="316">
        <f>IF(K835=0,0,(SUMIFS(операции!$AH:$AH,операции!$T:$T,"&lt;"&amp;I$8,операции!$X:$X,"",операции!$AB:$AB,"&lt;&gt;"&amp;"",операции!$AB:$AB,"&lt;"&amp;I$8,операции!$L:$L,K$9,операции!$O:$O,$F830)+SUMIFS(операции!$AH:$AH,операции!$T:$T,"&lt;"&amp;I$8,операции!$X:$X,"&gt;="&amp;I$8,операции!$AB:$AB,"&lt;&gt;"&amp;"",операции!$AB:$AB,"&lt;"&amp;I$8,операции!$L:$L,K$9,операции!$O:$O,$F830))/K835)</f>
        <v>42000.236785968242</v>
      </c>
      <c r="L838" s="318">
        <f>IF(L835=0,0,(SUMIFS(операции!$AH:$AH,операции!$T:$T,"&lt;"&amp;I$8,операции!$X:$X,"",операции!$AB:$AB,"&lt;&gt;"&amp;"",операции!$AB:$AB,"&lt;"&amp;I$8,операции!$L:$L,L$9,операции!$O:$O,$F830)+SUMIFS(операции!$AH:$AH,операции!$T:$T,"&lt;"&amp;I$8,операции!$X:$X,"&gt;="&amp;I$8,операции!$AB:$AB,"&lt;&gt;"&amp;"",операции!$AB:$AB,"&lt;"&amp;I$8,операции!$L:$L,L$9,операции!$O:$O,$F830))/L835)</f>
        <v>0</v>
      </c>
      <c r="M838" s="274"/>
      <c r="N838" s="193">
        <f>IF(N835=0,0,(SUMIFS(операции!$AH:$AH,операции!$T:$T,"&lt;"&amp;N$8,операции!$X:$X,"",операции!$AB:$AB,"&lt;&gt;"&amp;"",операции!$AB:$AB,"&lt;"&amp;N$8,операции!$O:$O,$F830)+SUMIFS(операции!$AH:$AH,операции!$T:$T,"&lt;"&amp;N$8,операции!$X:$X,"&gt;="&amp;N$8,операции!$AB:$AB,"&lt;&gt;"&amp;"",операции!$AB:$AB,"&lt;"&amp;N$8,операции!$O:$O,$F830))/N835)</f>
        <v>42000.236785968242</v>
      </c>
      <c r="O838" s="196"/>
      <c r="P838" s="193">
        <f>IF(P835=0,0,(SUMIFS(операции!$AH:$AH,операции!$T:$T,"&lt;"&amp;N$8,операции!$X:$X,"",операции!$AB:$AB,"&lt;&gt;"&amp;"",операции!$AB:$AB,"&lt;"&amp;N$8,операции!$L:$L,P$9,операции!$O:$O,$F830)+SUMIFS(операции!$AH:$AH,операции!$T:$T,"&lt;"&amp;N$8,операции!$X:$X,"&gt;="&amp;N$8,операции!$AB:$AB,"&lt;&gt;"&amp;"",операции!$AB:$AB,"&lt;"&amp;N$8,операции!$L:$L,P$9,операции!$O:$O,$F830))/P835)</f>
        <v>42000.236785968242</v>
      </c>
      <c r="Q838" s="237">
        <f>IF(Q835=0,0,(SUMIFS(операции!$AH:$AH,операции!$T:$T,"&lt;"&amp;N$8,операции!$X:$X,"",операции!$AB:$AB,"&lt;&gt;"&amp;"",операции!$AB:$AB,"&lt;"&amp;N$8,операции!$L:$L,Q$9,операции!$O:$O,$F830)+SUMIFS(операции!$AH:$AH,операции!$T:$T,"&lt;"&amp;N$8,операции!$X:$X,"&gt;="&amp;N$8,операции!$AB:$AB,"&lt;&gt;"&amp;"",операции!$AB:$AB,"&lt;"&amp;N$8,операции!$L:$L,Q$9,операции!$O:$O,$F830))/Q835)</f>
        <v>0</v>
      </c>
      <c r="R838" s="238"/>
      <c r="S838" s="193">
        <f>IF(S835=0,0,(SUMIFS(операции!$AH:$AH,операции!$T:$T,"&lt;"&amp;S$8,операции!$X:$X,"",операции!$AB:$AB,"&lt;&gt;"&amp;"",операции!$AB:$AB,"&lt;"&amp;S$8,операции!$O:$O,$F830)+SUMIFS(операции!$AH:$AH,операции!$T:$T,"&lt;"&amp;S$8,операции!$X:$X,"&gt;="&amp;S$8,операции!$AB:$AB,"&lt;&gt;"&amp;"",операции!$AB:$AB,"&lt;"&amp;S$8,операции!$O:$O,$F830))/S835)</f>
        <v>42042.33569125113</v>
      </c>
      <c r="T838" s="196"/>
      <c r="U838" s="193">
        <f>IF(U835=0,0,(SUMIFS(операции!$AH:$AH,операции!$T:$T,"&lt;"&amp;S$8,операции!$X:$X,"",операции!$AB:$AB,"&lt;&gt;"&amp;"",операции!$AB:$AB,"&lt;"&amp;S$8,операции!$L:$L,U$9,операции!$O:$O,$F830)+SUMIFS(операции!$AH:$AH,операции!$T:$T,"&lt;"&amp;S$8,операции!$X:$X,"&gt;="&amp;S$8,операции!$AB:$AB,"&lt;&gt;"&amp;"",операции!$AB:$AB,"&lt;"&amp;S$8,операции!$L:$L,U$9,операции!$O:$O,$F830))/U835)</f>
        <v>42042.33569125113</v>
      </c>
      <c r="V838" s="237">
        <f>IF(V835=0,0,(SUMIFS(операции!$AH:$AH,операции!$T:$T,"&lt;"&amp;S$8,операции!$X:$X,"",операции!$AB:$AB,"&lt;&gt;"&amp;"",операции!$AB:$AB,"&lt;"&amp;S$8,операции!$L:$L,V$9,операции!$O:$O,$F830)+SUMIFS(операции!$AH:$AH,операции!$T:$T,"&lt;"&amp;S$8,операции!$X:$X,"&gt;="&amp;S$8,операции!$AB:$AB,"&lt;&gt;"&amp;"",операции!$AB:$AB,"&lt;"&amp;S$8,операции!$L:$L,V$9,операции!$O:$O,$F830))/V835)</f>
        <v>0</v>
      </c>
      <c r="W838" s="238"/>
      <c r="X838" s="193">
        <f>IF(X835=0,0,(SUMIFS(операции!$AH:$AH,операции!$T:$T,"&lt;"&amp;X$8,операции!$X:$X,"",операции!$AB:$AB,"&lt;&gt;"&amp;"",операции!$AB:$AB,"&lt;"&amp;X$8,операции!$O:$O,$F830)+SUMIFS(операции!$AH:$AH,операции!$T:$T,"&lt;"&amp;X$8,операции!$X:$X,"&gt;="&amp;X$8,операции!$AB:$AB,"&lt;&gt;"&amp;"",операции!$AB:$AB,"&lt;"&amp;X$8,операции!$O:$O,$F830))/X835)</f>
        <v>41968.063174137547</v>
      </c>
      <c r="Y838" s="196"/>
      <c r="Z838" s="193">
        <f>IF(Z835=0,0,(SUMIFS(операции!$AH:$AH,операции!$T:$T,"&lt;"&amp;X$8,операции!$X:$X,"",операции!$AB:$AB,"&lt;&gt;"&amp;"",операции!$AB:$AB,"&lt;"&amp;X$8,операции!$L:$L,Z$9,операции!$O:$O,$F830)+SUMIFS(операции!$AH:$AH,операции!$T:$T,"&lt;"&amp;X$8,операции!$X:$X,"&gt;="&amp;X$8,операции!$AB:$AB,"&lt;&gt;"&amp;"",операции!$AB:$AB,"&lt;"&amp;X$8,операции!$L:$L,Z$9,операции!$O:$O,$F830))/Z835)</f>
        <v>41968.063174137547</v>
      </c>
      <c r="AA838" s="237">
        <f>IF(AA835=0,0,(SUMIFS(операции!$AH:$AH,операции!$T:$T,"&lt;"&amp;X$8,операции!$X:$X,"",операции!$AB:$AB,"&lt;&gt;"&amp;"",операции!$AB:$AB,"&lt;"&amp;X$8,операции!$L:$L,AA$9,операции!$O:$O,$F830)+SUMIFS(операции!$AH:$AH,операции!$T:$T,"&lt;"&amp;X$8,операции!$X:$X,"&gt;="&amp;X$8,операции!$AB:$AB,"&lt;&gt;"&amp;"",операции!$AB:$AB,"&lt;"&amp;X$8,операции!$L:$L,AA$9,операции!$O:$O,$F830))/AA835)</f>
        <v>0</v>
      </c>
      <c r="AB838" s="265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</row>
    <row r="839" spans="1:42" s="192" customFormat="1" ht="11.25">
      <c r="A839" s="37"/>
      <c r="B839" s="37"/>
      <c r="C839" s="37"/>
      <c r="D839" s="191"/>
      <c r="E839" s="191" t="s">
        <v>265</v>
      </c>
      <c r="F839" s="191" t="str">
        <f t="shared" si="1450"/>
        <v>Гуливерт</v>
      </c>
      <c r="G839" s="191" t="s">
        <v>219</v>
      </c>
      <c r="H839" s="315"/>
      <c r="I839" s="329">
        <f>I838-I836</f>
        <v>27.182846383955621</v>
      </c>
      <c r="J839" s="317"/>
      <c r="K839" s="329">
        <f t="shared" ref="K839" si="1463">K838-K836</f>
        <v>27.182846383955621</v>
      </c>
      <c r="L839" s="330">
        <f>L838-L836</f>
        <v>0</v>
      </c>
      <c r="M839" s="274"/>
      <c r="N839" s="156">
        <f>N838-N836</f>
        <v>27.182846383955621</v>
      </c>
      <c r="O839" s="196"/>
      <c r="P839" s="156">
        <f t="shared" ref="P839" si="1464">P838-P836</f>
        <v>27.182846383955621</v>
      </c>
      <c r="Q839" s="245">
        <f>Q838-Q836</f>
        <v>0</v>
      </c>
      <c r="R839" s="238"/>
      <c r="S839" s="156">
        <f>S838-S836</f>
        <v>31.626535250848974</v>
      </c>
      <c r="T839" s="196"/>
      <c r="U839" s="156">
        <f t="shared" ref="U839" si="1465">U838-U836</f>
        <v>31.626535250848974</v>
      </c>
      <c r="V839" s="245">
        <f>V838-V836</f>
        <v>0</v>
      </c>
      <c r="W839" s="238"/>
      <c r="X839" s="156">
        <f>X838-X836</f>
        <v>30.001511263872089</v>
      </c>
      <c r="Y839" s="196"/>
      <c r="Z839" s="156">
        <f t="shared" ref="Z839" si="1466">Z838-Z836</f>
        <v>30.001511263872089</v>
      </c>
      <c r="AA839" s="245">
        <f>AA838-AA836</f>
        <v>0</v>
      </c>
      <c r="AB839" s="265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</row>
    <row r="840" spans="1:42" s="192" customFormat="1" ht="11.25">
      <c r="A840" s="37"/>
      <c r="B840" s="37"/>
      <c r="C840" s="37"/>
      <c r="D840" s="191"/>
      <c r="E840" s="191" t="s">
        <v>268</v>
      </c>
      <c r="F840" s="191" t="str">
        <f t="shared" si="1450"/>
        <v>Гуливерт</v>
      </c>
      <c r="G840" s="191" t="s">
        <v>219</v>
      </c>
      <c r="H840" s="315"/>
      <c r="I840" s="329">
        <f>I837-I839</f>
        <v>277.76321403175825</v>
      </c>
      <c r="J840" s="317"/>
      <c r="K840" s="329">
        <f t="shared" ref="K840" si="1467">K837-K839</f>
        <v>277.76321403175825</v>
      </c>
      <c r="L840" s="330">
        <f t="shared" ref="L840" si="1468">L837-L839</f>
        <v>0</v>
      </c>
      <c r="M840" s="274"/>
      <c r="N840" s="156">
        <f>N837-N839</f>
        <v>277.76321403175825</v>
      </c>
      <c r="O840" s="196"/>
      <c r="P840" s="156">
        <f t="shared" ref="P840" si="1469">P837-P839</f>
        <v>277.76321403175825</v>
      </c>
      <c r="Q840" s="245">
        <f t="shared" ref="Q840" si="1470">Q837-Q839</f>
        <v>0</v>
      </c>
      <c r="R840" s="238"/>
      <c r="S840" s="156">
        <f>S837-S839</f>
        <v>266.6643087488701</v>
      </c>
      <c r="T840" s="196"/>
      <c r="U840" s="156">
        <f t="shared" ref="U840" si="1471">U837-U839</f>
        <v>266.6643087488701</v>
      </c>
      <c r="V840" s="245">
        <f t="shared" ref="V840" si="1472">V837-V839</f>
        <v>0</v>
      </c>
      <c r="W840" s="238"/>
      <c r="X840" s="156">
        <f>X837-X839</f>
        <v>370.93682586245268</v>
      </c>
      <c r="Y840" s="196"/>
      <c r="Z840" s="156">
        <f t="shared" ref="Z840" si="1473">Z837-Z839</f>
        <v>370.93682586245268</v>
      </c>
      <c r="AA840" s="245">
        <f t="shared" ref="AA840" si="1474">AA837-AA839</f>
        <v>0</v>
      </c>
      <c r="AB840" s="265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</row>
    <row r="841" spans="1:42" s="5" customFormat="1">
      <c r="A841" s="1"/>
      <c r="B841" s="1"/>
      <c r="C841" s="1"/>
      <c r="D841" s="168"/>
      <c r="E841" s="168" t="s">
        <v>276</v>
      </c>
      <c r="F841" s="168" t="str">
        <f t="shared" si="1450"/>
        <v>Гуливерт</v>
      </c>
      <c r="G841" s="168" t="s">
        <v>261</v>
      </c>
      <c r="H841" s="326"/>
      <c r="I841" s="327">
        <f>SUMIFS(операции!$V:$V,операции!$T:$T,"&lt;"&amp;I$8,операции!$X:$X,"",операции!$AB:$AB,"",операции!$O:$O,$F830)+SUMIFS(операции!$V:$V,операции!$T:$T,"&lt;"&amp;I$8,операции!$X:$X,"&gt;="&amp;I$8,операции!$AB:$AB,"",операции!$O:$O,$F830)+SUMIFS(операции!$V:$V,операции!$T:$T,"&lt;"&amp;I$8,операции!$X:$X,"",операции!$AB:$AB,"&gt;="&amp;I$8,операции!$O:$O,$F830)+SUMIFS(операции!$V:$V,операции!$T:$T,"&lt;"&amp;I$8,операции!$X:$X,"&gt;="&amp;I$8,операции!$AB:$AB,"&gt;="&amp;I$8,операции!$O:$O,$F830)</f>
        <v>9649.369999999999</v>
      </c>
      <c r="J841" s="313">
        <f>I841-K841-L841</f>
        <v>0</v>
      </c>
      <c r="K841" s="327">
        <f>SUMIFS(операции!$V:$V,операции!$T:$T,"&lt;"&amp;I$8,операции!$X:$X,"",операции!$AB:$AB,"",операции!$L:$L,K$9,операции!$O:$O,$F830)+SUMIFS(операции!$V:$V,операции!$T:$T,"&lt;"&amp;I$8,операции!$X:$X,"&gt;="&amp;I$8,операции!$AB:$AB,"",операции!$L:$L,K$9,операции!$O:$O,$F830)+SUMIFS(операции!$V:$V,операции!$T:$T,"&lt;"&amp;I$8,операции!$X:$X,"",операции!$AB:$AB,"&gt;="&amp;I$8,операции!$L:$L,K$9,операции!$O:$O,$F830)+SUMIFS(операции!$V:$V,операции!$T:$T,"&lt;"&amp;I$8,операции!$X:$X,"&gt;="&amp;I$8,операции!$AB:$AB,"&gt;="&amp;I$8,операции!$L:$L,K$9,операции!$O:$O,$F830)</f>
        <v>9649.369999999999</v>
      </c>
      <c r="L841" s="328">
        <f>SUMIFS(операции!$V:$V,операции!$T:$T,"&lt;"&amp;I$8,операции!$X:$X,"",операции!$AB:$AB,"",операции!$L:$L,L$9,операции!$O:$O,$F830)+SUMIFS(операции!$V:$V,операции!$T:$T,"&lt;"&amp;I$8,операции!$X:$X,"&gt;="&amp;I$8,операции!$AB:$AB,"",операции!$L:$L,L$9,операции!$O:$O,$F830)+SUMIFS(операции!$V:$V,операции!$T:$T,"&lt;"&amp;I$8,операции!$X:$X,"",операции!$AB:$AB,"&gt;="&amp;I$8,операции!$L:$L,L$9,операции!$O:$O,$F830)+SUMIFS(операции!$V:$V,операции!$T:$T,"&lt;"&amp;I$8,операции!$X:$X,"&gt;="&amp;I$8,операции!$AB:$AB,"&gt;="&amp;I$8,операции!$L:$L,L$9,операции!$O:$O,$F830)</f>
        <v>0</v>
      </c>
      <c r="M841" s="277"/>
      <c r="N841" s="169">
        <f>SUMIFS(операции!$V:$V,операции!$T:$T,"&lt;"&amp;N$8,операции!$X:$X,"",операции!$AB:$AB,"",операции!$O:$O,$F830)+SUMIFS(операции!$V:$V,операции!$T:$T,"&lt;"&amp;N$8,операции!$X:$X,"&gt;="&amp;N$8,операции!$AB:$AB,"",операции!$O:$O,$F830)+SUMIFS(операции!$V:$V,операции!$T:$T,"&lt;"&amp;N$8,операции!$X:$X,"",операции!$AB:$AB,"&gt;="&amp;N$8,операции!$O:$O,$F830)+SUMIFS(операции!$V:$V,операции!$T:$T,"&lt;"&amp;N$8,операции!$X:$X,"&gt;="&amp;N$8,операции!$AB:$AB,"&gt;="&amp;N$8,операции!$O:$O,$F830)</f>
        <v>9649.369999999999</v>
      </c>
      <c r="O841" s="170">
        <f>N841-P841-Q841</f>
        <v>0</v>
      </c>
      <c r="P841" s="169">
        <f>SUMIFS(операции!$V:$V,операции!$T:$T,"&lt;"&amp;N$8,операции!$X:$X,"",операции!$AB:$AB,"",операции!$L:$L,P$9,операции!$O:$O,$F830)+SUMIFS(операции!$V:$V,операции!$T:$T,"&lt;"&amp;N$8,операции!$X:$X,"&gt;="&amp;N$8,операции!$AB:$AB,"",операции!$L:$L,P$9,операции!$O:$O,$F830)+SUMIFS(операции!$V:$V,операции!$T:$T,"&lt;"&amp;N$8,операции!$X:$X,"",операции!$AB:$AB,"&gt;="&amp;N$8,операции!$L:$L,P$9,операции!$O:$O,$F830)+SUMIFS(операции!$V:$V,операции!$T:$T,"&lt;"&amp;N$8,операции!$X:$X,"&gt;="&amp;N$8,операции!$AB:$AB,"&gt;="&amp;N$8,операции!$L:$L,P$9,операции!$O:$O,$F830)</f>
        <v>9649.369999999999</v>
      </c>
      <c r="Q841" s="243">
        <f>SUMIFS(операции!$V:$V,операции!$T:$T,"&lt;"&amp;N$8,операции!$X:$X,"",операции!$AB:$AB,"",операции!$L:$L,Q$9,операции!$O:$O,$F830)+SUMIFS(операции!$V:$V,операции!$T:$T,"&lt;"&amp;N$8,операции!$X:$X,"&gt;="&amp;N$8,операции!$AB:$AB,"",операции!$L:$L,Q$9,операции!$O:$O,$F830)+SUMIFS(операции!$V:$V,операции!$T:$T,"&lt;"&amp;N$8,операции!$X:$X,"",операции!$AB:$AB,"&gt;="&amp;N$8,операции!$L:$L,Q$9,операции!$O:$O,$F830)+SUMIFS(операции!$V:$V,операции!$T:$T,"&lt;"&amp;N$8,операции!$X:$X,"&gt;="&amp;N$8,операции!$AB:$AB,"&gt;="&amp;N$8,операции!$L:$L,Q$9,операции!$O:$O,$F830)</f>
        <v>0</v>
      </c>
      <c r="R841" s="244"/>
      <c r="S841" s="169">
        <f>SUMIFS(операции!$V:$V,операции!$T:$T,"&lt;"&amp;S$8,операции!$X:$X,"",операции!$AB:$AB,"",операции!$O:$O,$F830)+SUMIFS(операции!$V:$V,операции!$T:$T,"&lt;"&amp;S$8,операции!$X:$X,"&gt;="&amp;S$8,операции!$AB:$AB,"",операции!$O:$O,$F830)+SUMIFS(операции!$V:$V,операции!$T:$T,"&lt;"&amp;S$8,операции!$X:$X,"",операции!$AB:$AB,"&gt;="&amp;S$8,операции!$O:$O,$F830)+SUMIFS(операции!$V:$V,операции!$T:$T,"&lt;"&amp;S$8,операции!$X:$X,"&gt;="&amp;S$8,операции!$AB:$AB,"&gt;="&amp;S$8,операции!$O:$O,$F830)</f>
        <v>4941.0999999999995</v>
      </c>
      <c r="T841" s="170">
        <f>S841-U841-V841</f>
        <v>0</v>
      </c>
      <c r="U841" s="169">
        <f>SUMIFS(операции!$V:$V,операции!$T:$T,"&lt;"&amp;S$8,операции!$X:$X,"",операции!$AB:$AB,"",операции!$L:$L,U$9,операции!$O:$O,$F830)+SUMIFS(операции!$V:$V,операции!$T:$T,"&lt;"&amp;S$8,операции!$X:$X,"&gt;="&amp;S$8,операции!$AB:$AB,"",операции!$L:$L,U$9,операции!$O:$O,$F830)+SUMIFS(операции!$V:$V,операции!$T:$T,"&lt;"&amp;S$8,операции!$X:$X,"",операции!$AB:$AB,"&gt;="&amp;S$8,операции!$L:$L,U$9,операции!$O:$O,$F830)+SUMIFS(операции!$V:$V,операции!$T:$T,"&lt;"&amp;S$8,операции!$X:$X,"&gt;="&amp;S$8,операции!$AB:$AB,"&gt;="&amp;S$8,операции!$L:$L,U$9,операции!$O:$O,$F830)</f>
        <v>4941.0999999999995</v>
      </c>
      <c r="V841" s="243">
        <f>SUMIFS(операции!$V:$V,операции!$T:$T,"&lt;"&amp;S$8,операции!$X:$X,"",операции!$AB:$AB,"",операции!$L:$L,V$9,операции!$O:$O,$F830)+SUMIFS(операции!$V:$V,операции!$T:$T,"&lt;"&amp;S$8,операции!$X:$X,"&gt;="&amp;S$8,операции!$AB:$AB,"",операции!$L:$L,V$9,операции!$O:$O,$F830)+SUMIFS(операции!$V:$V,операции!$T:$T,"&lt;"&amp;S$8,операции!$X:$X,"",операции!$AB:$AB,"&gt;="&amp;S$8,операции!$L:$L,V$9,операции!$O:$O,$F830)+SUMIFS(операции!$V:$V,операции!$T:$T,"&lt;"&amp;S$8,операции!$X:$X,"&gt;="&amp;S$8,операции!$AB:$AB,"&gt;="&amp;S$8,операции!$L:$L,V$9,операции!$O:$O,$F830)</f>
        <v>0</v>
      </c>
      <c r="W841" s="244"/>
      <c r="X841" s="169">
        <f>SUMIFS(операции!$V:$V,операции!$T:$T,"&lt;"&amp;X$8,операции!$X:$X,"",операции!$AB:$AB,"",операции!$O:$O,$F830)+SUMIFS(операции!$V:$V,операции!$T:$T,"&lt;"&amp;X$8,операции!$X:$X,"&gt;="&amp;X$8,операции!$AB:$AB,"",операции!$O:$O,$F830)+SUMIFS(операции!$V:$V,операции!$T:$T,"&lt;"&amp;X$8,операции!$X:$X,"",операции!$AB:$AB,"&gt;="&amp;X$8,операции!$O:$O,$F830)+SUMIFS(операции!$V:$V,операции!$T:$T,"&lt;"&amp;X$8,операции!$X:$X,"&gt;="&amp;X$8,операции!$AB:$AB,"&gt;="&amp;X$8,операции!$O:$O,$F830)</f>
        <v>9958.5400000000009</v>
      </c>
      <c r="Y841" s="170">
        <f>X841-Z841-AA841</f>
        <v>0</v>
      </c>
      <c r="Z841" s="169">
        <f>SUMIFS(операции!$V:$V,операции!$T:$T,"&lt;"&amp;X$8,операции!$X:$X,"",операции!$AB:$AB,"",операции!$L:$L,Z$9,операции!$O:$O,$F830)+SUMIFS(операции!$V:$V,операции!$T:$T,"&lt;"&amp;X$8,операции!$X:$X,"&gt;="&amp;X$8,операции!$AB:$AB,"",операции!$L:$L,Z$9,операции!$O:$O,$F830)+SUMIFS(операции!$V:$V,операции!$T:$T,"&lt;"&amp;X$8,операции!$X:$X,"",операции!$AB:$AB,"&gt;="&amp;X$8,операции!$L:$L,Z$9,операции!$O:$O,$F830)+SUMIFS(операции!$V:$V,операции!$T:$T,"&lt;"&amp;X$8,операции!$X:$X,"&gt;="&amp;X$8,операции!$AB:$AB,"&gt;="&amp;X$8,операции!$L:$L,Z$9,операции!$O:$O,$F830)</f>
        <v>1992.54</v>
      </c>
      <c r="AA841" s="243">
        <f>SUMIFS(операции!$V:$V,операции!$T:$T,"&lt;"&amp;X$8,операции!$X:$X,"",операции!$AB:$AB,"",операции!$L:$L,AA$9,операции!$O:$O,$F830)+SUMIFS(операции!$V:$V,операции!$T:$T,"&lt;"&amp;X$8,операции!$X:$X,"&gt;="&amp;X$8,операции!$AB:$AB,"",операции!$L:$L,AA$9,операции!$O:$O,$F830)+SUMIFS(операции!$V:$V,операции!$T:$T,"&lt;"&amp;X$8,операции!$X:$X,"",операции!$AB:$AB,"&gt;="&amp;X$8,операции!$L:$L,AA$9,операции!$O:$O,$F830)+SUMIFS(операции!$V:$V,операции!$T:$T,"&lt;"&amp;X$8,операции!$X:$X,"&gt;="&amp;X$8,операции!$AB:$AB,"&gt;="&amp;X$8,операции!$L:$L,AA$9,операции!$O:$O,$F830)</f>
        <v>7966</v>
      </c>
      <c r="AB841" s="266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s="192" customFormat="1" ht="11.25">
      <c r="A842" s="37"/>
      <c r="B842" s="37"/>
      <c r="C842" s="37"/>
      <c r="D842" s="191"/>
      <c r="E842" s="191" t="s">
        <v>255</v>
      </c>
      <c r="F842" s="191" t="str">
        <f t="shared" si="1450"/>
        <v>Гуливерт</v>
      </c>
      <c r="G842" s="191" t="s">
        <v>262</v>
      </c>
      <c r="H842" s="315"/>
      <c r="I842" s="316">
        <f>IF(I841=0,0,(SUMIFS(операции!$AF:$AF,операции!$T:$T,"&lt;"&amp;I$8,операции!$X:$X,"",операции!$AB:$AB,"",операции!$O:$O,$F830)+SUMIFS(операции!$AF:$AF,операции!$T:$T,"&lt;"&amp;I$8,операции!$X:$X,"&gt;="&amp;I$8,операции!$AB:$AB,"",операции!$O:$O,$F830)+SUMIFS(операции!$AF:$AF,операции!$T:$T,"&lt;"&amp;I$8,операции!$X:$X,"",операции!$AB:$AB,"&gt;="&amp;I$8,операции!$O:$O,$F830)+SUMIFS(операции!$AF:$AF,операции!$T:$T,"&lt;"&amp;I$8,операции!$X:$X,"&gt;="&amp;I$8,операции!$AB:$AB,"&gt;="&amp;I$8,операции!$O:$O,$F830))/I841)</f>
        <v>42092.758229811901</v>
      </c>
      <c r="J842" s="317"/>
      <c r="K842" s="316">
        <f>IF(K841=0,0,(SUMIFS(операции!$AF:$AF,операции!$T:$T,"&lt;"&amp;I$8,операции!$X:$X,"",операции!$AB:$AB,"",операции!$L:$L,K$9,операции!$O:$O,$F830)+SUMIFS(операции!$AF:$AF,операции!$T:$T,"&lt;"&amp;I$8,операции!$X:$X,"&gt;="&amp;I$8,операции!$AB:$AB,"",операции!$L:$L,K$9,операции!$O:$O,$F830)+SUMIFS(операции!$AF:$AF,операции!$T:$T,"&lt;"&amp;I$8,операции!$X:$X,"",операции!$AB:$AB,"&gt;="&amp;I$8,операции!$L:$L,K$9,операции!$O:$O,$F830)+SUMIFS(операции!$AF:$AF,операции!$T:$T,"&lt;"&amp;I$8,операции!$X:$X,"&gt;="&amp;I$8,операции!$AB:$AB,"&gt;="&amp;I$8,операции!$L:$L,K$9,операции!$O:$O,$F830))/K841)</f>
        <v>42092.758229811901</v>
      </c>
      <c r="L842" s="318">
        <f>IF(L841=0,0,(SUMIFS(операции!$AF:$AF,операции!$T:$T,"&lt;"&amp;I$8,операции!$X:$X,"",операции!$AB:$AB,"",операции!$L:$L,L$9,операции!$O:$O,$F830)+SUMIFS(операции!$AF:$AF,операции!$T:$T,"&lt;"&amp;I$8,операции!$X:$X,"&gt;="&amp;I$8,операции!$AB:$AB,"",операции!$L:$L,L$9,операции!$O:$O,$F830)+SUMIFS(операции!$AF:$AF,операции!$T:$T,"&lt;"&amp;I$8,операции!$X:$X,"",операции!$AB:$AB,"&gt;="&amp;I$8,операции!$L:$L,L$9,операции!$O:$O,$F830)+SUMIFS(операции!$AF:$AF,операции!$T:$T,"&lt;"&amp;I$8,операции!$X:$X,"&gt;="&amp;I$8,операции!$AB:$AB,"&gt;="&amp;I$8,операции!$L:$L,L$9,операции!$O:$O,$F830))/L841)</f>
        <v>0</v>
      </c>
      <c r="M842" s="274"/>
      <c r="N842" s="193">
        <f>IF(N841=0,0,(SUMIFS(операции!$AF:$AF,операции!$T:$T,"&lt;"&amp;N$8,операции!$X:$X,"",операции!$AB:$AB,"",операции!$O:$O,$F830)+SUMIFS(операции!$AF:$AF,операции!$T:$T,"&lt;"&amp;N$8,операции!$X:$X,"&gt;="&amp;N$8,операции!$AB:$AB,"",операции!$O:$O,$F830)+SUMIFS(операции!$AF:$AF,операции!$T:$T,"&lt;"&amp;N$8,операции!$X:$X,"",операции!$AB:$AB,"&gt;="&amp;N$8,операции!$O:$O,$F830)+SUMIFS(операции!$AF:$AF,операции!$T:$T,"&lt;"&amp;N$8,операции!$X:$X,"&gt;="&amp;N$8,операции!$AB:$AB,"&gt;="&amp;N$8,операции!$O:$O,$F830))/N841)</f>
        <v>42092.758229811901</v>
      </c>
      <c r="O842" s="196"/>
      <c r="P842" s="193">
        <f>IF(P841=0,0,(SUMIFS(операции!$AF:$AF,операции!$T:$T,"&lt;"&amp;N$8,операции!$X:$X,"",операции!$AB:$AB,"",операции!$L:$L,P$9,операции!$O:$O,$F830)+SUMIFS(операции!$AF:$AF,операции!$T:$T,"&lt;"&amp;N$8,операции!$X:$X,"&gt;="&amp;N$8,операции!$AB:$AB,"",операции!$L:$L,P$9,операции!$O:$O,$F830)+SUMIFS(операции!$AF:$AF,операции!$T:$T,"&lt;"&amp;N$8,операции!$X:$X,"",операции!$AB:$AB,"&gt;="&amp;N$8,операции!$L:$L,P$9,операции!$O:$O,$F830)+SUMIFS(операции!$AF:$AF,операции!$T:$T,"&lt;"&amp;N$8,операции!$X:$X,"&gt;="&amp;N$8,операции!$AB:$AB,"&gt;="&amp;N$8,операции!$L:$L,P$9,операции!$O:$O,$F830))/P841)</f>
        <v>42092.758229811901</v>
      </c>
      <c r="Q842" s="237">
        <f>IF(Q841=0,0,(SUMIFS(операции!$AF:$AF,операции!$T:$T,"&lt;"&amp;N$8,операции!$X:$X,"",операции!$AB:$AB,"",операции!$L:$L,Q$9,операции!$O:$O,$F830)+SUMIFS(операции!$AF:$AF,операции!$T:$T,"&lt;"&amp;N$8,операции!$X:$X,"&gt;="&amp;N$8,операции!$AB:$AB,"",операции!$L:$L,Q$9,операции!$O:$O,$F830)+SUMIFS(операции!$AF:$AF,операции!$T:$T,"&lt;"&amp;N$8,операции!$X:$X,"",операции!$AB:$AB,"&gt;="&amp;N$8,операции!$L:$L,Q$9,операции!$O:$O,$F830)+SUMIFS(операции!$AF:$AF,операции!$T:$T,"&lt;"&amp;N$8,операции!$X:$X,"&gt;="&amp;N$8,операции!$AB:$AB,"&gt;="&amp;N$8,операции!$L:$L,Q$9,операции!$O:$O,$F830))/Q841)</f>
        <v>0</v>
      </c>
      <c r="R842" s="238"/>
      <c r="S842" s="193">
        <f>IF(S841=0,0,(SUMIFS(операции!$AF:$AF,операции!$T:$T,"&lt;"&amp;S$8,операции!$X:$X,"",операции!$AB:$AB,"",операции!$O:$O,$F830)+SUMIFS(операции!$AF:$AF,операции!$T:$T,"&lt;"&amp;S$8,операции!$X:$X,"&gt;="&amp;S$8,операции!$AB:$AB,"",операции!$O:$O,$F830)+SUMIFS(операции!$AF:$AF,операции!$T:$T,"&lt;"&amp;S$8,операции!$X:$X,"",операции!$AB:$AB,"&gt;="&amp;S$8,операции!$O:$O,$F830)+SUMIFS(операции!$AF:$AF,операции!$T:$T,"&lt;"&amp;S$8,операции!$X:$X,"&gt;="&amp;S$8,операции!$AB:$AB,"&gt;="&amp;S$8,операции!$O:$O,$F830))/S841)</f>
        <v>41953.422169152625</v>
      </c>
      <c r="T842" s="196"/>
      <c r="U842" s="193">
        <f>IF(U841=0,0,(SUMIFS(операции!$AF:$AF,операции!$T:$T,"&lt;"&amp;S$8,операции!$X:$X,"",операции!$AB:$AB,"",операции!$L:$L,U$9,операции!$O:$O,$F830)+SUMIFS(операции!$AF:$AF,операции!$T:$T,"&lt;"&amp;S$8,операции!$X:$X,"&gt;="&amp;S$8,операции!$AB:$AB,"",операции!$L:$L,U$9,операции!$O:$O,$F830)+SUMIFS(операции!$AF:$AF,операции!$T:$T,"&lt;"&amp;S$8,операции!$X:$X,"",операции!$AB:$AB,"&gt;="&amp;S$8,операции!$L:$L,U$9,операции!$O:$O,$F830)+SUMIFS(операции!$AF:$AF,операции!$T:$T,"&lt;"&amp;S$8,операции!$X:$X,"&gt;="&amp;S$8,операции!$AB:$AB,"&gt;="&amp;S$8,операции!$L:$L,U$9,операции!$O:$O,$F830))/U841)</f>
        <v>41953.422169152625</v>
      </c>
      <c r="V842" s="237">
        <f>IF(V841=0,0,(SUMIFS(операции!$AF:$AF,операции!$T:$T,"&lt;"&amp;S$8,операции!$X:$X,"",операции!$AB:$AB,"",операции!$L:$L,V$9,операции!$O:$O,$F830)+SUMIFS(операции!$AF:$AF,операции!$T:$T,"&lt;"&amp;S$8,операции!$X:$X,"&gt;="&amp;S$8,операции!$AB:$AB,"",операции!$L:$L,V$9,операции!$O:$O,$F830)+SUMIFS(операции!$AF:$AF,операции!$T:$T,"&lt;"&amp;S$8,операции!$X:$X,"",операции!$AB:$AB,"&gt;="&amp;S$8,операции!$L:$L,V$9,операции!$O:$O,$F830)+SUMIFS(операции!$AF:$AF,операции!$T:$T,"&lt;"&amp;S$8,операции!$X:$X,"&gt;="&amp;S$8,операции!$AB:$AB,"&gt;="&amp;S$8,операции!$L:$L,V$9,операции!$O:$O,$F830))/V841)</f>
        <v>0</v>
      </c>
      <c r="W842" s="238"/>
      <c r="X842" s="193">
        <f>IF(X841=0,0,(SUMIFS(операции!$AF:$AF,операции!$T:$T,"&lt;"&amp;X$8,операции!$X:$X,"",операции!$AB:$AB,"",операции!$O:$O,$F830)+SUMIFS(операции!$AF:$AF,операции!$T:$T,"&lt;"&amp;X$8,операции!$X:$X,"&gt;="&amp;X$8,операции!$AB:$AB,"",операции!$O:$O,$F830)+SUMIFS(операции!$AF:$AF,операции!$T:$T,"&lt;"&amp;X$8,операции!$X:$X,"",операции!$AB:$AB,"&gt;="&amp;X$8,операции!$O:$O,$F830)+SUMIFS(операции!$AF:$AF,операции!$T:$T,"&lt;"&amp;X$8,операции!$X:$X,"&gt;="&amp;X$8,операции!$AB:$AB,"&gt;="&amp;X$8,операции!$O:$O,$F830))/X841)</f>
        <v>42275.261624695981</v>
      </c>
      <c r="Y842" s="196"/>
      <c r="Z842" s="193">
        <f>IF(Z841=0,0,(SUMIFS(операции!$AF:$AF,операции!$T:$T,"&lt;"&amp;X$8,операции!$X:$X,"",операции!$AB:$AB,"",операции!$L:$L,Z$9,операции!$O:$O,$F830)+SUMIFS(операции!$AF:$AF,операции!$T:$T,"&lt;"&amp;X$8,операции!$X:$X,"&gt;="&amp;X$8,операции!$AB:$AB,"",операции!$L:$L,Z$9,операции!$O:$O,$F830)+SUMIFS(операции!$AF:$AF,операции!$T:$T,"&lt;"&amp;X$8,операции!$X:$X,"",операции!$AB:$AB,"&gt;="&amp;X$8,операции!$L:$L,Z$9,операции!$O:$O,$F830)+SUMIFS(операции!$AF:$AF,операции!$T:$T,"&lt;"&amp;X$8,операции!$X:$X,"&gt;="&amp;X$8,операции!$AB:$AB,"&gt;="&amp;X$8,операции!$L:$L,Z$9,операции!$O:$O,$F830))/Z841)</f>
        <v>42036.407750910905</v>
      </c>
      <c r="AA842" s="237">
        <f>IF(AA841=0,0,(SUMIFS(операции!$AF:$AF,операции!$T:$T,"&lt;"&amp;X$8,операции!$X:$X,"",операции!$AB:$AB,"",операции!$L:$L,AA$9,операции!$O:$O,$F830)+SUMIFS(операции!$AF:$AF,операции!$T:$T,"&lt;"&amp;X$8,операции!$X:$X,"&gt;="&amp;X$8,операции!$AB:$AB,"",операции!$L:$L,AA$9,операции!$O:$O,$F830)+SUMIFS(операции!$AF:$AF,операции!$T:$T,"&lt;"&amp;X$8,операции!$X:$X,"",операции!$AB:$AB,"&gt;="&amp;X$8,операции!$L:$L,AA$9,операции!$O:$O,$F830)+SUMIFS(операции!$AF:$AF,операции!$T:$T,"&lt;"&amp;X$8,операции!$X:$X,"&gt;="&amp;X$8,операции!$AB:$AB,"&gt;="&amp;X$8,операции!$L:$L,AA$9,операции!$O:$O,$F830))/AA841)</f>
        <v>42335.006276675871</v>
      </c>
      <c r="AB842" s="265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</row>
    <row r="843" spans="1:42" s="192" customFormat="1" ht="11.25">
      <c r="A843" s="37"/>
      <c r="B843" s="37"/>
      <c r="C843" s="37"/>
      <c r="D843" s="191"/>
      <c r="E843" s="191" t="s">
        <v>263</v>
      </c>
      <c r="F843" s="191" t="str">
        <f t="shared" si="1450"/>
        <v>Гуливерт</v>
      </c>
      <c r="G843" s="191" t="s">
        <v>219</v>
      </c>
      <c r="H843" s="315"/>
      <c r="I843" s="329">
        <f>IF(I841=0,0,I$8-I842)</f>
        <v>185.2417701880986</v>
      </c>
      <c r="J843" s="317"/>
      <c r="K843" s="329">
        <f>IF(K841=0,0,I$8-K842)</f>
        <v>185.2417701880986</v>
      </c>
      <c r="L843" s="330">
        <f>IF(L841=0,0,I$8-L842)</f>
        <v>0</v>
      </c>
      <c r="M843" s="274"/>
      <c r="N843" s="156">
        <f>IF(N841=0,0,N$8-N842)</f>
        <v>185.2417701880986</v>
      </c>
      <c r="O843" s="196"/>
      <c r="P843" s="156">
        <f>IF(P841=0,0,N$8-P842)</f>
        <v>185.2417701880986</v>
      </c>
      <c r="Q843" s="245">
        <f>IF(Q841=0,0,N$8-Q842)</f>
        <v>0</v>
      </c>
      <c r="R843" s="238"/>
      <c r="S843" s="156">
        <f>IF(S841=0,0,S$8-S842)</f>
        <v>355.57783084737457</v>
      </c>
      <c r="T843" s="196"/>
      <c r="U843" s="156">
        <f>IF(U841=0,0,S$8-U842)</f>
        <v>355.57783084737457</v>
      </c>
      <c r="V843" s="245">
        <f>IF(V841=0,0,S$8-V842)</f>
        <v>0</v>
      </c>
      <c r="W843" s="238"/>
      <c r="X843" s="156">
        <f>IF(X841=0,0,X$8-X842)</f>
        <v>63.738375304019428</v>
      </c>
      <c r="Y843" s="196"/>
      <c r="Z843" s="156">
        <f>IF(Z841=0,0,X$8-Z842)</f>
        <v>302.59224908909528</v>
      </c>
      <c r="AA843" s="245">
        <f>IF(AA841=0,0,X$8-AA842)</f>
        <v>3.9937233241289505</v>
      </c>
      <c r="AB843" s="265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</row>
    <row r="844" spans="1:42" s="192" customFormat="1" ht="11.25">
      <c r="A844" s="37"/>
      <c r="B844" s="37"/>
      <c r="C844" s="37"/>
      <c r="D844" s="191"/>
      <c r="E844" s="191" t="s">
        <v>311</v>
      </c>
      <c r="F844" s="191" t="str">
        <f t="shared" si="1450"/>
        <v>Гуливерт</v>
      </c>
      <c r="G844" s="191" t="s">
        <v>262</v>
      </c>
      <c r="H844" s="315"/>
      <c r="I844" s="316">
        <f>I$8</f>
        <v>42278</v>
      </c>
      <c r="J844" s="317"/>
      <c r="K844" s="316">
        <f>I$8</f>
        <v>42278</v>
      </c>
      <c r="L844" s="318">
        <f>I$8</f>
        <v>42278</v>
      </c>
      <c r="M844" s="274"/>
      <c r="N844" s="193">
        <f>N$8</f>
        <v>42278</v>
      </c>
      <c r="O844" s="196"/>
      <c r="P844" s="193">
        <f>N$8</f>
        <v>42278</v>
      </c>
      <c r="Q844" s="237">
        <f>N$8</f>
        <v>42278</v>
      </c>
      <c r="R844" s="238"/>
      <c r="S844" s="193">
        <f>S$8</f>
        <v>42309</v>
      </c>
      <c r="T844" s="196"/>
      <c r="U844" s="193">
        <f>S$8</f>
        <v>42309</v>
      </c>
      <c r="V844" s="237">
        <f>S$8</f>
        <v>42309</v>
      </c>
      <c r="W844" s="238"/>
      <c r="X844" s="193">
        <f>X$8</f>
        <v>42339</v>
      </c>
      <c r="Y844" s="196"/>
      <c r="Z844" s="193">
        <f>X$8</f>
        <v>42339</v>
      </c>
      <c r="AA844" s="237">
        <f>X$8</f>
        <v>42339</v>
      </c>
      <c r="AB844" s="265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</row>
    <row r="845" spans="1:42" s="192" customFormat="1" ht="11.25">
      <c r="A845" s="37"/>
      <c r="B845" s="37"/>
      <c r="C845" s="37"/>
      <c r="D845" s="191"/>
      <c r="E845" s="191" t="s">
        <v>264</v>
      </c>
      <c r="F845" s="191" t="str">
        <f t="shared" si="1450"/>
        <v>Гуливерт</v>
      </c>
      <c r="G845" s="191" t="s">
        <v>219</v>
      </c>
      <c r="H845" s="315"/>
      <c r="I845" s="329">
        <f>IF(I841=0,0,I844-I842)</f>
        <v>185.2417701880986</v>
      </c>
      <c r="J845" s="317"/>
      <c r="K845" s="329">
        <f>IF(K841=0,0,K844-K842)</f>
        <v>185.2417701880986</v>
      </c>
      <c r="L845" s="330">
        <f>IF(L841=0,0,L844-L842)</f>
        <v>0</v>
      </c>
      <c r="M845" s="274"/>
      <c r="N845" s="156">
        <f>IF(N841=0,0,N844-N842)</f>
        <v>185.2417701880986</v>
      </c>
      <c r="O845" s="196"/>
      <c r="P845" s="156">
        <f>IF(P841=0,0,P844-P842)</f>
        <v>185.2417701880986</v>
      </c>
      <c r="Q845" s="245">
        <f>IF(Q841=0,0,Q844-Q842)</f>
        <v>0</v>
      </c>
      <c r="R845" s="238"/>
      <c r="S845" s="156">
        <f>IF(S841=0,0,S844-S842)</f>
        <v>355.57783084737457</v>
      </c>
      <c r="T845" s="196"/>
      <c r="U845" s="156">
        <f>IF(U841=0,0,U844-U842)</f>
        <v>355.57783084737457</v>
      </c>
      <c r="V845" s="245">
        <f>IF(V841=0,0,V844-V842)</f>
        <v>0</v>
      </c>
      <c r="W845" s="238"/>
      <c r="X845" s="156">
        <f>IF(X841=0,0,X844-X842)</f>
        <v>63.738375304019428</v>
      </c>
      <c r="Y845" s="196"/>
      <c r="Z845" s="156">
        <f>IF(Z841=0,0,Z844-Z842)</f>
        <v>302.59224908909528</v>
      </c>
      <c r="AA845" s="245">
        <f>IF(AA841=0,0,AA844-AA842)</f>
        <v>3.9937233241289505</v>
      </c>
      <c r="AB845" s="265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</row>
    <row r="846" spans="1:42" s="192" customFormat="1" ht="11.25">
      <c r="A846" s="37"/>
      <c r="B846" s="37"/>
      <c r="C846" s="37"/>
      <c r="D846" s="207"/>
      <c r="E846" s="207" t="s">
        <v>269</v>
      </c>
      <c r="F846" s="207" t="str">
        <f t="shared" si="1450"/>
        <v>Гуливерт</v>
      </c>
      <c r="G846" s="207" t="s">
        <v>219</v>
      </c>
      <c r="H846" s="331"/>
      <c r="I846" s="332">
        <f>I843-I845</f>
        <v>0</v>
      </c>
      <c r="J846" s="333"/>
      <c r="K846" s="332">
        <f t="shared" ref="K846" si="1475">K843-K845</f>
        <v>0</v>
      </c>
      <c r="L846" s="334">
        <f>L843-L845</f>
        <v>0</v>
      </c>
      <c r="M846" s="278"/>
      <c r="N846" s="162">
        <f>N843-N845</f>
        <v>0</v>
      </c>
      <c r="O846" s="208"/>
      <c r="P846" s="162">
        <f t="shared" ref="P846" si="1476">P843-P845</f>
        <v>0</v>
      </c>
      <c r="Q846" s="246">
        <f>Q843-Q845</f>
        <v>0</v>
      </c>
      <c r="R846" s="247"/>
      <c r="S846" s="162">
        <f>S843-S845</f>
        <v>0</v>
      </c>
      <c r="T846" s="208"/>
      <c r="U846" s="162">
        <f t="shared" ref="U846" si="1477">U843-U845</f>
        <v>0</v>
      </c>
      <c r="V846" s="246">
        <f>V843-V845</f>
        <v>0</v>
      </c>
      <c r="W846" s="247"/>
      <c r="X846" s="162">
        <f>X843-X845</f>
        <v>0</v>
      </c>
      <c r="Y846" s="208"/>
      <c r="Z846" s="162">
        <f t="shared" ref="Z846" si="1478">Z843-Z845</f>
        <v>0</v>
      </c>
      <c r="AA846" s="246">
        <f>AA843-AA845</f>
        <v>0</v>
      </c>
      <c r="AB846" s="265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</row>
    <row r="847" spans="1:42" s="111" customFormat="1" ht="11.25">
      <c r="A847" s="108"/>
      <c r="B847" s="108"/>
      <c r="C847" s="108" t="s">
        <v>272</v>
      </c>
      <c r="D847" s="109"/>
      <c r="E847" s="109"/>
      <c r="F847" s="109" t="str">
        <f t="shared" si="1450"/>
        <v>Гуливерт</v>
      </c>
      <c r="G847" s="109"/>
      <c r="H847" s="307"/>
      <c r="I847" s="308">
        <f>I848-K848-L848</f>
        <v>0</v>
      </c>
      <c r="J847" s="335"/>
      <c r="K847" s="308"/>
      <c r="L847" s="336"/>
      <c r="M847" s="272"/>
      <c r="N847" s="110">
        <f>N848-P848-Q848</f>
        <v>0</v>
      </c>
      <c r="O847" s="105"/>
      <c r="P847" s="110"/>
      <c r="Q847" s="248"/>
      <c r="R847" s="234"/>
      <c r="S847" s="110">
        <f>S848-U848-V848</f>
        <v>0</v>
      </c>
      <c r="T847" s="105"/>
      <c r="U847" s="110"/>
      <c r="V847" s="248"/>
      <c r="W847" s="234"/>
      <c r="X847" s="110">
        <f>X848-Z848-AA848</f>
        <v>0</v>
      </c>
      <c r="Y847" s="105"/>
      <c r="Z847" s="110"/>
      <c r="AA847" s="248"/>
      <c r="AB847" s="263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</row>
    <row r="848" spans="1:42" s="5" customFormat="1">
      <c r="A848" s="1"/>
      <c r="B848" s="1"/>
      <c r="C848" s="1"/>
      <c r="D848" s="168" t="s">
        <v>273</v>
      </c>
      <c r="E848" s="168"/>
      <c r="F848" s="168" t="str">
        <f t="shared" si="1450"/>
        <v>Гуливерт</v>
      </c>
      <c r="G848" s="168" t="s">
        <v>261</v>
      </c>
      <c r="H848" s="326"/>
      <c r="I848" s="327">
        <f>SUMIFS(операции!$V:$V,операции!$T:$T,"&gt;="&amp;I$8,операции!$T:$T,"&lt;="&amp;I$9,операции!$O:$O,$F830)</f>
        <v>53624.07</v>
      </c>
      <c r="J848" s="313"/>
      <c r="K848" s="327">
        <f>SUMIFS(операции!$V:$V,операции!$T:$T,"&gt;="&amp;I$8,операции!$T:$T,"&lt;="&amp;I$9,операции!$L:$L,K$9,операции!$O:$O,$F830)</f>
        <v>0</v>
      </c>
      <c r="L848" s="328">
        <f>SUMIFS(операции!$V:$V,операции!$T:$T,"&gt;="&amp;I$8,операции!$T:$T,"&lt;="&amp;I$9,операции!$L:$L,L$9,операции!$O:$O,$F830)</f>
        <v>53624.07</v>
      </c>
      <c r="M848" s="277"/>
      <c r="N848" s="169">
        <f>SUMIFS(операции!$V:$V,операции!$T:$T,"&gt;="&amp;N$8,операции!$T:$T,"&lt;="&amp;N$9,операции!$O:$O,$F830)</f>
        <v>5783.3</v>
      </c>
      <c r="O848" s="170"/>
      <c r="P848" s="169">
        <f>SUMIFS(операции!$V:$V,операции!$T:$T,"&gt;="&amp;N$8,операции!$T:$T,"&lt;="&amp;N$9,операции!$L:$L,P$9,операции!$O:$O,$F830)</f>
        <v>0</v>
      </c>
      <c r="Q848" s="243">
        <f>SUMIFS(операции!$V:$V,операции!$T:$T,"&gt;="&amp;N$8,операции!$T:$T,"&lt;="&amp;N$9,операции!$L:$L,Q$9,операции!$O:$O,$F830)</f>
        <v>5783.3</v>
      </c>
      <c r="R848" s="244"/>
      <c r="S848" s="169">
        <f>SUMIFS(операции!$V:$V,операции!$T:$T,"&gt;="&amp;S$8,операции!$T:$T,"&lt;="&amp;S$9,операции!$O:$O,$F830)</f>
        <v>25324.230000000003</v>
      </c>
      <c r="T848" s="170"/>
      <c r="U848" s="169">
        <f>SUMIFS(операции!$V:$V,операции!$T:$T,"&gt;="&amp;S$8,операции!$T:$T,"&lt;="&amp;S$9,операции!$L:$L,U$9,операции!$O:$O,$F830)</f>
        <v>0</v>
      </c>
      <c r="V848" s="243">
        <f>SUMIFS(операции!$V:$V,операции!$T:$T,"&gt;="&amp;S$8,операции!$T:$T,"&lt;="&amp;S$9,операции!$L:$L,V$9,операции!$O:$O,$F830)</f>
        <v>25324.230000000003</v>
      </c>
      <c r="W848" s="244"/>
      <c r="X848" s="169">
        <f>SUMIFS(операции!$V:$V,операции!$T:$T,"&gt;="&amp;X$8,операции!$T:$T,"&lt;="&amp;X$9,операции!$O:$O,$F830)</f>
        <v>22516.54</v>
      </c>
      <c r="Y848" s="170"/>
      <c r="Z848" s="169">
        <f>SUMIFS(операции!$V:$V,операции!$T:$T,"&gt;="&amp;X$8,операции!$T:$T,"&lt;="&amp;X$9,операции!$L:$L,Z$9,операции!$O:$O,$F830)</f>
        <v>0</v>
      </c>
      <c r="AA848" s="243">
        <f>SUMIFS(операции!$V:$V,операции!$T:$T,"&gt;="&amp;X$8,операции!$T:$T,"&lt;="&amp;X$9,операции!$L:$L,AA$9,операции!$O:$O,$F830)</f>
        <v>22516.54</v>
      </c>
      <c r="AB848" s="266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s="192" customFormat="1" ht="11.25">
      <c r="A849" s="37"/>
      <c r="B849" s="37"/>
      <c r="C849" s="37"/>
      <c r="D849" s="207" t="s">
        <v>255</v>
      </c>
      <c r="E849" s="207"/>
      <c r="F849" s="207" t="str">
        <f t="shared" si="1450"/>
        <v>Гуливерт</v>
      </c>
      <c r="G849" s="207" t="s">
        <v>262</v>
      </c>
      <c r="H849" s="331"/>
      <c r="I849" s="337">
        <f>IF(I848=0,0,SUMIFS(операции!$AF:$AF,операции!$T:$T,"&gt;="&amp;I$8,операции!$T:$T,"&lt;="&amp;I$9,операции!$O:$O,$F830)/I848)</f>
        <v>42338.570513204235</v>
      </c>
      <c r="J849" s="333"/>
      <c r="K849" s="337">
        <f>IF(K848=0,0,SUMIFS(операции!$AF:$AF,операции!$T:$T,"&gt;="&amp;I$8,операции!$T:$T,"&lt;="&amp;I$9,операции!$L:$L,K$9,операции!$O:$O,$F830)/K848)</f>
        <v>0</v>
      </c>
      <c r="L849" s="338">
        <f>IF(L848=0,0,SUMIFS(операции!$AF:$AF,операции!$T:$T,"&gt;="&amp;I$8,операции!$T:$T,"&lt;="&amp;I$9,операции!$L:$L,L$9,операции!$O:$O,$F830)/L848)</f>
        <v>42338.570513204235</v>
      </c>
      <c r="M849" s="278"/>
      <c r="N849" s="217">
        <f>IF(N848=0,0,SUMIFS(операции!$AF:$AF,операции!$T:$T,"&gt;="&amp;N$8,операции!$T:$T,"&lt;="&amp;N$9,операции!$O:$O,$F830)/N848)</f>
        <v>42304</v>
      </c>
      <c r="O849" s="208"/>
      <c r="P849" s="217">
        <f>IF(P848=0,0,SUMIFS(операции!$AF:$AF,операции!$T:$T,"&gt;="&amp;N$8,операции!$T:$T,"&lt;="&amp;N$9,операции!$L:$L,P$9,операции!$O:$O,$F830)/P848)</f>
        <v>0</v>
      </c>
      <c r="Q849" s="249">
        <f>IF(Q848=0,0,SUMIFS(операции!$AF:$AF,операции!$T:$T,"&gt;="&amp;N$8,операции!$T:$T,"&lt;="&amp;N$9,операции!$L:$L,Q$9,операции!$O:$O,$F830)/Q848)</f>
        <v>42304</v>
      </c>
      <c r="R849" s="247"/>
      <c r="S849" s="217">
        <f>IF(S848=0,0,SUMIFS(операции!$AF:$AF,операции!$T:$T,"&gt;="&amp;S$8,операции!$T:$T,"&lt;="&amp;S$9,операции!$O:$O,$F830)/S848)</f>
        <v>42324.64998619898</v>
      </c>
      <c r="T849" s="208"/>
      <c r="U849" s="217">
        <f>IF(U848=0,0,SUMIFS(операции!$AF:$AF,операции!$T:$T,"&gt;="&amp;S$8,операции!$T:$T,"&lt;="&amp;S$9,операции!$L:$L,U$9,операции!$O:$O,$F830)/U848)</f>
        <v>0</v>
      </c>
      <c r="V849" s="249">
        <f>IF(V848=0,0,SUMIFS(операции!$AF:$AF,операции!$T:$T,"&gt;="&amp;S$8,операции!$T:$T,"&lt;="&amp;S$9,операции!$L:$L,V$9,операции!$O:$O,$F830)/V848)</f>
        <v>42324.64998619898</v>
      </c>
      <c r="W849" s="247"/>
      <c r="X849" s="217">
        <f>IF(X848=0,0,SUMIFS(операции!$AF:$AF,операции!$T:$T,"&gt;="&amp;X$8,операции!$T:$T,"&lt;="&amp;X$9,операции!$O:$O,$F830)/X848)</f>
        <v>42363.106177947411</v>
      </c>
      <c r="Y849" s="208"/>
      <c r="Z849" s="217">
        <f>IF(Z848=0,0,SUMIFS(операции!$AF:$AF,операции!$T:$T,"&gt;="&amp;X$8,операции!$T:$T,"&lt;="&amp;X$9,операции!$L:$L,Z$9,операции!$O:$O,$F830)/Z848)</f>
        <v>0</v>
      </c>
      <c r="AA849" s="249">
        <f>IF(AA848=0,0,SUMIFS(операции!$AF:$AF,операции!$T:$T,"&gt;="&amp;X$8,операции!$T:$T,"&lt;="&amp;X$9,операции!$L:$L,AA$9,операции!$O:$O,$F830)/AA848)</f>
        <v>42363.106177947411</v>
      </c>
      <c r="AB849" s="265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</row>
    <row r="850" spans="1:42" s="93" customFormat="1" ht="15">
      <c r="A850" s="92"/>
      <c r="B850" s="92"/>
      <c r="C850" s="92"/>
      <c r="D850" s="212" t="s">
        <v>274</v>
      </c>
      <c r="E850" s="212"/>
      <c r="F850" s="212" t="str">
        <f t="shared" si="1450"/>
        <v>Гуливерт</v>
      </c>
      <c r="G850" s="212" t="s">
        <v>261</v>
      </c>
      <c r="H850" s="339"/>
      <c r="I850" s="340">
        <f>SUMIFS(операции!$Z:$Z,операции!$X:$X,"&gt;="&amp;I$8,операции!$X:$X,"&lt;="&amp;I$9,операции!$O:$O,$F830)</f>
        <v>61671</v>
      </c>
      <c r="J850" s="341">
        <f>I850-I863-I873</f>
        <v>0</v>
      </c>
      <c r="K850" s="340">
        <f>SUMIFS(операции!$Z:$Z,операции!$X:$X,"&gt;="&amp;I$8,операции!$X:$X,"&lt;="&amp;I$9,операции!$L:$L,K$9,операции!$O:$O,$F830)</f>
        <v>25279</v>
      </c>
      <c r="L850" s="342">
        <f>SUMIFS(операции!$Z:$Z,операции!$X:$X,"&gt;="&amp;I$8,операции!$X:$X,"&lt;="&amp;I$9,операции!$L:$L,L$9,операции!$O:$O,$F830)</f>
        <v>36392</v>
      </c>
      <c r="M850" s="279"/>
      <c r="N850" s="213">
        <f>SUMIFS(операции!$Z:$Z,операции!$X:$X,"&gt;="&amp;N$8,операции!$X:$X,"&lt;="&amp;N$9,операции!$O:$O,$F830)</f>
        <v>9476</v>
      </c>
      <c r="O850" s="216">
        <f>N850-N863-N873</f>
        <v>0</v>
      </c>
      <c r="P850" s="213">
        <f>SUMIFS(операции!$Z:$Z,операции!$X:$X,"&gt;="&amp;N$8,операции!$X:$X,"&lt;="&amp;N$9,операции!$L:$L,P$9,операции!$O:$O,$F830)</f>
        <v>2478</v>
      </c>
      <c r="Q850" s="250">
        <f>SUMIFS(операции!$Z:$Z,операции!$X:$X,"&gt;="&amp;N$8,операции!$X:$X,"&lt;="&amp;N$9,операции!$L:$L,Q$9,операции!$O:$O,$F830)</f>
        <v>6998</v>
      </c>
      <c r="R850" s="251"/>
      <c r="S850" s="213">
        <f>SUMIFS(операции!$Z:$Z,операции!$X:$X,"&gt;="&amp;S$8,операции!$X:$X,"&lt;="&amp;S$9,операции!$O:$O,$F830)</f>
        <v>39262</v>
      </c>
      <c r="T850" s="216">
        <f>S850-S863-S873</f>
        <v>0</v>
      </c>
      <c r="U850" s="213">
        <f>SUMIFS(операции!$Z:$Z,операции!$X:$X,"&gt;="&amp;S$8,операции!$X:$X,"&lt;="&amp;S$9,операции!$L:$L,U$9,операции!$O:$O,$F830)</f>
        <v>18845</v>
      </c>
      <c r="V850" s="250">
        <f>SUMIFS(операции!$Z:$Z,операции!$X:$X,"&gt;="&amp;S$8,операции!$X:$X,"&lt;="&amp;S$9,операции!$L:$L,V$9,операции!$O:$O,$F830)</f>
        <v>20417</v>
      </c>
      <c r="W850" s="251"/>
      <c r="X850" s="213">
        <f>SUMIFS(операции!$Z:$Z,операции!$X:$X,"&gt;="&amp;X$8,операции!$X:$X,"&lt;="&amp;X$9,операции!$O:$O,$F830)</f>
        <v>12933</v>
      </c>
      <c r="Y850" s="216">
        <f>X850-X863-X873</f>
        <v>0</v>
      </c>
      <c r="Z850" s="213">
        <f>SUMIFS(операции!$Z:$Z,операции!$X:$X,"&gt;="&amp;X$8,операции!$X:$X,"&lt;="&amp;X$9,операции!$L:$L,Z$9,операции!$O:$O,$F830)</f>
        <v>3956</v>
      </c>
      <c r="AA850" s="250">
        <f>SUMIFS(операции!$Z:$Z,операции!$X:$X,"&gt;="&amp;X$8,операции!$X:$X,"&lt;="&amp;X$9,операции!$L:$L,AA$9,операции!$O:$O,$F830)</f>
        <v>8977</v>
      </c>
      <c r="AB850" s="264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</row>
    <row r="851" spans="1:42" s="407" customFormat="1" ht="11.25">
      <c r="A851" s="404"/>
      <c r="B851" s="404"/>
      <c r="C851" s="404"/>
      <c r="D851" s="405" t="s">
        <v>332</v>
      </c>
      <c r="E851" s="405"/>
      <c r="F851" s="405" t="str">
        <f>F849</f>
        <v>Гуливерт</v>
      </c>
      <c r="G851" s="405" t="s">
        <v>218</v>
      </c>
      <c r="H851" s="408"/>
      <c r="I851" s="408">
        <f>IF(I$31=0,0,I850/I$31)</f>
        <v>1.6623914759273876E-2</v>
      </c>
      <c r="J851" s="409"/>
      <c r="K851" s="408">
        <f t="shared" ref="K851" si="1479">IF(K$31=0,0,K850/K$31)</f>
        <v>1.9417393695549647E-2</v>
      </c>
      <c r="L851" s="410">
        <f t="shared" ref="L851" si="1480">IF(L$31=0,0,L850/L$31)</f>
        <v>1.511357189785963E-2</v>
      </c>
      <c r="M851" s="411"/>
      <c r="N851" s="412">
        <f t="shared" ref="N851" si="1481">IF(N$31=0,0,N850/N$31)</f>
        <v>1.2227049443679572E-2</v>
      </c>
      <c r="O851" s="413"/>
      <c r="P851" s="412">
        <f t="shared" ref="P851" si="1482">IF(P$31=0,0,P850/P$31)</f>
        <v>4.9512863753706469E-3</v>
      </c>
      <c r="Q851" s="414">
        <f t="shared" ref="Q851" si="1483">IF(Q$31=0,0,Q850/Q$31)</f>
        <v>2.5491117449285498E-2</v>
      </c>
      <c r="R851" s="415"/>
      <c r="S851" s="412">
        <f t="shared" ref="S851" si="1484">IF(S$31=0,0,S850/S$31)</f>
        <v>2.2123238077528813E-2</v>
      </c>
      <c r="T851" s="413"/>
      <c r="U851" s="412">
        <f t="shared" ref="U851" si="1485">IF(U$31=0,0,U850/U$31)</f>
        <v>2.9924335654341768E-2</v>
      </c>
      <c r="V851" s="414">
        <f t="shared" ref="V851" si="1486">IF(V$31=0,0,V850/V$31)</f>
        <v>1.7832375495659161E-2</v>
      </c>
      <c r="W851" s="415"/>
      <c r="X851" s="412">
        <f t="shared" ref="X851" si="1487">IF(X$31=0,0,X850/X$31)</f>
        <v>1.1148388298028236E-2</v>
      </c>
      <c r="Y851" s="413"/>
      <c r="Z851" s="412">
        <f t="shared" ref="Z851" si="1488">IF(Z$31=0,0,Z850/Z$31)</f>
        <v>2.3047837663056459E-2</v>
      </c>
      <c r="AA851" s="414">
        <f t="shared" ref="AA851" si="1489">IF(AA$31=0,0,AA850/AA$31)</f>
        <v>9.0820337199714694E-3</v>
      </c>
      <c r="AB851" s="406"/>
      <c r="AC851" s="404"/>
      <c r="AD851" s="404"/>
      <c r="AE851" s="404"/>
      <c r="AF851" s="404"/>
      <c r="AG851" s="404"/>
      <c r="AH851" s="404"/>
      <c r="AI851" s="404"/>
      <c r="AJ851" s="404"/>
      <c r="AK851" s="404"/>
      <c r="AL851" s="404"/>
      <c r="AM851" s="404"/>
      <c r="AN851" s="404"/>
      <c r="AO851" s="404"/>
      <c r="AP851" s="404"/>
    </row>
    <row r="852" spans="1:42" s="192" customFormat="1" ht="11.25">
      <c r="A852" s="37"/>
      <c r="B852" s="37"/>
      <c r="C852" s="37"/>
      <c r="D852" s="191" t="s">
        <v>331</v>
      </c>
      <c r="E852" s="191"/>
      <c r="F852" s="191" t="str">
        <f>F850</f>
        <v>Гуливерт</v>
      </c>
      <c r="G852" s="191" t="s">
        <v>334</v>
      </c>
      <c r="H852" s="315"/>
      <c r="I852" s="329">
        <f>SUMIFS(операции!$R:$R,операции!$X:$X,"&gt;="&amp;I$8,операции!$X:$X,"&lt;="&amp;I$9,операции!$O:$O,$F830)</f>
        <v>31</v>
      </c>
      <c r="J852" s="317">
        <f>I852-K852-L852</f>
        <v>0</v>
      </c>
      <c r="K852" s="329">
        <f>SUMIFS(операции!$R:$R,операции!$X:$X,"&gt;="&amp;I$8,операции!$X:$X,"&lt;="&amp;I$9,операции!$L:$L,K$9,операции!$O:$O,$F830)</f>
        <v>18</v>
      </c>
      <c r="L852" s="330">
        <f>SUMIFS(операции!$R:$R,операции!$X:$X,"&gt;="&amp;I$8,операции!$X:$X,"&lt;="&amp;I$9,операции!$L:$L,L$9,операции!$O:$O,$F830)</f>
        <v>13</v>
      </c>
      <c r="M852" s="402"/>
      <c r="N852" s="156">
        <f>SUMIFS(операции!$R:$R,операции!$X:$X,"&gt;="&amp;N$8,операции!$X:$X,"&lt;="&amp;N$9,операции!$O:$O,$F830)</f>
        <v>5</v>
      </c>
      <c r="O852" s="196">
        <f t="shared" ref="O852" si="1490">N852-P852-Q852</f>
        <v>0</v>
      </c>
      <c r="P852" s="156">
        <f>SUMIFS(операции!$R:$R,операции!$X:$X,"&gt;="&amp;N$8,операции!$X:$X,"&lt;="&amp;N$9,операции!$L:$L,P$9,операции!$O:$O,$F830)</f>
        <v>3</v>
      </c>
      <c r="Q852" s="245">
        <f>SUMIFS(операции!$R:$R,операции!$X:$X,"&gt;="&amp;N$8,операции!$X:$X,"&lt;="&amp;N$9,операции!$L:$L,Q$9,операции!$O:$O,$F830)</f>
        <v>2</v>
      </c>
      <c r="R852" s="403"/>
      <c r="S852" s="156">
        <f>SUMIFS(операции!$R:$R,операции!$X:$X,"&gt;="&amp;S$8,операции!$X:$X,"&lt;="&amp;S$9,операции!$O:$O,$F830)</f>
        <v>18</v>
      </c>
      <c r="T852" s="196">
        <f t="shared" ref="T852" si="1491">S852-U852-V852</f>
        <v>0</v>
      </c>
      <c r="U852" s="156">
        <f>SUMIFS(операции!$R:$R,операции!$X:$X,"&gt;="&amp;S$8,операции!$X:$X,"&lt;="&amp;S$9,операции!$L:$L,U$9,операции!$O:$O,$F830)</f>
        <v>11</v>
      </c>
      <c r="V852" s="245">
        <f>SUMIFS(операции!$R:$R,операции!$X:$X,"&gt;="&amp;S$8,операции!$X:$X,"&lt;="&amp;S$9,операции!$L:$L,V$9,операции!$O:$O,$F830)</f>
        <v>7</v>
      </c>
      <c r="W852" s="403"/>
      <c r="X852" s="156">
        <f>SUMIFS(операции!$R:$R,операции!$X:$X,"&gt;="&amp;X$8,операции!$X:$X,"&lt;="&amp;X$9,операции!$O:$O,$F830)</f>
        <v>8</v>
      </c>
      <c r="Y852" s="196">
        <f t="shared" ref="Y852" si="1492">X852-Z852-AA852</f>
        <v>0</v>
      </c>
      <c r="Z852" s="156">
        <f>SUMIFS(операции!$R:$R,операции!$X:$X,"&gt;="&amp;X$8,операции!$X:$X,"&lt;="&amp;X$9,операции!$L:$L,Z$9,операции!$O:$O,$F830)</f>
        <v>4</v>
      </c>
      <c r="AA852" s="245">
        <f>SUMIFS(операции!$R:$R,операции!$X:$X,"&gt;="&amp;X$8,операции!$X:$X,"&lt;="&amp;X$9,операции!$L:$L,AA$9,операции!$O:$O,$F830)</f>
        <v>4</v>
      </c>
      <c r="AB852" s="265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</row>
    <row r="853" spans="1:42" s="192" customFormat="1" ht="11.25">
      <c r="A853" s="37"/>
      <c r="B853" s="37"/>
      <c r="C853" s="37"/>
      <c r="D853" s="191" t="s">
        <v>333</v>
      </c>
      <c r="E853" s="191"/>
      <c r="F853" s="191" t="str">
        <f t="shared" si="1450"/>
        <v>Гуливерт</v>
      </c>
      <c r="G853" s="191" t="s">
        <v>261</v>
      </c>
      <c r="H853" s="315"/>
      <c r="I853" s="329">
        <f>IF(I852=0,0,I850/I852)</f>
        <v>1989.3870967741937</v>
      </c>
      <c r="J853" s="317"/>
      <c r="K853" s="329">
        <f t="shared" ref="K853" si="1493">IF(K852=0,0,K850/K852)</f>
        <v>1404.3888888888889</v>
      </c>
      <c r="L853" s="330">
        <f t="shared" ref="L853" si="1494">IF(L852=0,0,L850/L852)</f>
        <v>2799.3846153846152</v>
      </c>
      <c r="M853" s="402"/>
      <c r="N853" s="156">
        <f>IF(N852=0,0,N850/N852)</f>
        <v>1895.2</v>
      </c>
      <c r="O853" s="196"/>
      <c r="P853" s="156">
        <f>IF(P852=0,0,P850/P852)</f>
        <v>826</v>
      </c>
      <c r="Q853" s="245">
        <f>IF(Q852=0,0,Q850/Q852)</f>
        <v>3499</v>
      </c>
      <c r="R853" s="403"/>
      <c r="S853" s="156">
        <f>IF(S852=0,0,S850/S852)</f>
        <v>2181.2222222222222</v>
      </c>
      <c r="T853" s="196"/>
      <c r="U853" s="156">
        <f>IF(U852=0,0,U850/U852)</f>
        <v>1713.1818181818182</v>
      </c>
      <c r="V853" s="245">
        <f>IF(V852=0,0,V850/V852)</f>
        <v>2916.7142857142858</v>
      </c>
      <c r="W853" s="403"/>
      <c r="X853" s="156">
        <f>IF(X852=0,0,X850/X852)</f>
        <v>1616.625</v>
      </c>
      <c r="Y853" s="196"/>
      <c r="Z853" s="156">
        <f>IF(Z852=0,0,Z850/Z852)</f>
        <v>989</v>
      </c>
      <c r="AA853" s="245">
        <f>IF(AA852=0,0,AA850/AA852)</f>
        <v>2244.25</v>
      </c>
      <c r="AB853" s="265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</row>
    <row r="854" spans="1:42" s="192" customFormat="1" ht="11.25">
      <c r="A854" s="37"/>
      <c r="B854" s="37"/>
      <c r="C854" s="37"/>
      <c r="D854" s="191" t="s">
        <v>290</v>
      </c>
      <c r="E854" s="191"/>
      <c r="F854" s="191" t="str">
        <f>F850</f>
        <v>Гуливерт</v>
      </c>
      <c r="G854" s="191" t="s">
        <v>262</v>
      </c>
      <c r="H854" s="315"/>
      <c r="I854" s="316">
        <f>IF(I850=0,0,SUMIFS(операции!$AG:$AG,операции!$X:$X,"&gt;="&amp;I$8,операции!$X:$X,"&lt;="&amp;I$9,операции!$O:$O,$F830)/I850)</f>
        <v>42327.477923172963</v>
      </c>
      <c r="J854" s="317"/>
      <c r="K854" s="316">
        <f>IF(K850=0,0,SUMIFS(операции!$AG:$AG,операции!$X:$X,"&gt;="&amp;I$8,операции!$X:$X,"&lt;="&amp;I$9,операции!$L:$L,K$9,операции!$O:$O,$F830)/K850)</f>
        <v>42329.144349064438</v>
      </c>
      <c r="L854" s="318">
        <f>IF(L850=0,0,SUMIFS(операции!$AG:$AG,операции!$X:$X,"&gt;="&amp;I$8,операции!$X:$X,"&lt;="&amp;I$9,операции!$L:$L,L$9,операции!$O:$O,$F830)/L850)</f>
        <v>42326.320372609363</v>
      </c>
      <c r="M854" s="274"/>
      <c r="N854" s="193">
        <f>IF(N850=0,0,SUMIFS(операции!$AG:$AG,операции!$X:$X,"&gt;="&amp;N$8,операции!$X:$X,"&lt;="&amp;N$9,операции!$O:$O,$F830)/N850)</f>
        <v>42305.298649219083</v>
      </c>
      <c r="O854" s="196"/>
      <c r="P854" s="193">
        <f>IF(P850=0,0,SUMIFS(операции!$AG:$AG,операции!$X:$X,"&gt;="&amp;N$8,операции!$X:$X,"&lt;="&amp;N$9,операции!$L:$L,P$9,операции!$O:$O,$F830)/P850)</f>
        <v>42303.317998385792</v>
      </c>
      <c r="Q854" s="237">
        <f>IF(Q850=0,0,SUMIFS(операции!$AG:$AG,операции!$X:$X,"&gt;="&amp;N$8,операции!$X:$X,"&lt;="&amp;N$9,операции!$L:$L,Q$9,операции!$O:$O,$F830)/Q850)</f>
        <v>42306</v>
      </c>
      <c r="R854" s="238"/>
      <c r="S854" s="193">
        <f>IF(S850=0,0,SUMIFS(операции!$AG:$AG,операции!$X:$X,"&gt;="&amp;S$8,операции!$X:$X,"&lt;="&amp;S$9,операции!$O:$O,$F830)/S850)</f>
        <v>42327.488742295347</v>
      </c>
      <c r="T854" s="196"/>
      <c r="U854" s="193">
        <f>IF(U850=0,0,SUMIFS(операции!$AG:$AG,операции!$X:$X,"&gt;="&amp;S$8,операции!$X:$X,"&lt;="&amp;S$9,операции!$L:$L,U$9,операции!$O:$O,$F830)/U850)</f>
        <v>42329.49832846909</v>
      </c>
      <c r="V854" s="237">
        <f>IF(V850=0,0,SUMIFS(операции!$AG:$AG,операции!$X:$X,"&gt;="&amp;S$8,операции!$X:$X,"&lt;="&amp;S$9,операции!$L:$L,V$9,операции!$O:$O,$F830)/V850)</f>
        <v>42325.633883528433</v>
      </c>
      <c r="W854" s="238"/>
      <c r="X854" s="193">
        <f>IF(X850=0,0,SUMIFS(операции!$AG:$AG,операции!$X:$X,"&gt;="&amp;X$8,операции!$X:$X,"&lt;="&amp;X$9,операции!$O:$O,$F830)/X850)</f>
        <v>42343.695816902495</v>
      </c>
      <c r="Y854" s="196"/>
      <c r="Z854" s="193">
        <f>IF(Z850=0,0,SUMIFS(операции!$AG:$AG,операции!$X:$X,"&gt;="&amp;X$8,операции!$X:$X,"&lt;="&amp;X$9,операции!$L:$L,Z$9,операции!$O:$O,$F830)/Z850)</f>
        <v>42343.635490394336</v>
      </c>
      <c r="AA854" s="237">
        <f>IF(AA850=0,0,SUMIFS(операции!$AG:$AG,операции!$X:$X,"&gt;="&amp;X$8,операции!$X:$X,"&lt;="&amp;X$9,операции!$L:$L,AA$9,операции!$O:$O,$F830)/AA850)</f>
        <v>42343.722401693216</v>
      </c>
      <c r="AB854" s="265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</row>
    <row r="855" spans="1:42" s="93" customFormat="1" ht="15">
      <c r="A855" s="92"/>
      <c r="B855" s="92"/>
      <c r="C855" s="92"/>
      <c r="D855" s="151" t="s">
        <v>275</v>
      </c>
      <c r="E855" s="151"/>
      <c r="F855" s="151" t="str">
        <f t="shared" si="1450"/>
        <v>Гуливерт</v>
      </c>
      <c r="G855" s="151" t="s">
        <v>261</v>
      </c>
      <c r="H855" s="311"/>
      <c r="I855" s="312">
        <f>SUMIFS(операции!$V:$V,операции!$X:$X,"&gt;="&amp;I$8,операции!$X:$X,"&lt;="&amp;I$9,операции!$O:$O,$F830)</f>
        <v>52983.229999999996</v>
      </c>
      <c r="J855" s="313">
        <f>I855-I865-I875</f>
        <v>0</v>
      </c>
      <c r="K855" s="312">
        <f>SUMIFS(операции!$V:$V,операции!$X:$X,"&gt;="&amp;I$8,операции!$X:$X,"&lt;="&amp;I$9,операции!$L:$L,K$9,операции!$O:$O,$F830)</f>
        <v>21875.7</v>
      </c>
      <c r="L855" s="314">
        <f>SUMIFS(операции!$V:$V,операции!$X:$X,"&gt;="&amp;I$8,операции!$X:$X,"&lt;="&amp;I$9,операции!$L:$L,L$9,операции!$O:$O,$F830)</f>
        <v>31107.530000000002</v>
      </c>
      <c r="M855" s="273"/>
      <c r="N855" s="152">
        <f>SUMIFS(операции!$V:$V,операции!$X:$X,"&gt;="&amp;N$8,операции!$X:$X,"&lt;="&amp;N$9,операции!$O:$O,$F830)</f>
        <v>8318.7000000000007</v>
      </c>
      <c r="O855" s="170">
        <f>N855-N865-N875</f>
        <v>0</v>
      </c>
      <c r="P855" s="152">
        <f>SUMIFS(операции!$V:$V,операции!$X:$X,"&gt;="&amp;N$8,операции!$X:$X,"&lt;="&amp;N$9,операции!$L:$L,P$9,операции!$O:$O,$F830)</f>
        <v>2535.4</v>
      </c>
      <c r="Q855" s="235">
        <f>SUMIFS(операции!$V:$V,операции!$X:$X,"&gt;="&amp;N$8,операции!$X:$X,"&lt;="&amp;N$9,операции!$L:$L,Q$9,операции!$O:$O,$F830)</f>
        <v>5783.3</v>
      </c>
      <c r="R855" s="236"/>
      <c r="S855" s="152">
        <f>SUMIFS(операции!$V:$V,операции!$X:$X,"&gt;="&amp;S$8,операции!$X:$X,"&lt;="&amp;S$9,операции!$O:$O,$F830)</f>
        <v>33308.860000000008</v>
      </c>
      <c r="T855" s="170">
        <f>S855-S865-S875</f>
        <v>0</v>
      </c>
      <c r="U855" s="152">
        <f>SUMIFS(операции!$V:$V,операции!$X:$X,"&gt;="&amp;S$8,операции!$X:$X,"&lt;="&amp;S$9,операции!$L:$L,U$9,операции!$O:$O,$F830)</f>
        <v>15950.630000000001</v>
      </c>
      <c r="V855" s="235">
        <f>SUMIFS(операции!$V:$V,операции!$X:$X,"&gt;="&amp;S$8,операции!$X:$X,"&lt;="&amp;S$9,операции!$L:$L,V$9,операции!$O:$O,$F830)</f>
        <v>17358.230000000003</v>
      </c>
      <c r="W855" s="236"/>
      <c r="X855" s="152">
        <f>SUMIFS(операции!$V:$V,операции!$X:$X,"&gt;="&amp;X$8,операции!$X:$X,"&lt;="&amp;X$9,операции!$O:$O,$F830)</f>
        <v>11355.67</v>
      </c>
      <c r="Y855" s="170">
        <f>X855-X865-X875</f>
        <v>0</v>
      </c>
      <c r="Z855" s="152">
        <f>SUMIFS(операции!$V:$V,операции!$X:$X,"&gt;="&amp;X$8,операции!$X:$X,"&lt;="&amp;X$9,операции!$L:$L,Z$9,операции!$O:$O,$F830)</f>
        <v>3389.6699999999996</v>
      </c>
      <c r="AA855" s="235">
        <f>SUMIFS(операции!$V:$V,операции!$X:$X,"&gt;="&amp;X$8,операции!$X:$X,"&lt;="&amp;X$9,операции!$L:$L,AA$9,операции!$O:$O,$F830)</f>
        <v>7966</v>
      </c>
      <c r="AB855" s="264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</row>
    <row r="856" spans="1:42" s="192" customFormat="1" ht="11.25">
      <c r="A856" s="37"/>
      <c r="B856" s="37"/>
      <c r="C856" s="37"/>
      <c r="D856" s="191" t="s">
        <v>291</v>
      </c>
      <c r="E856" s="191"/>
      <c r="F856" s="191" t="str">
        <f t="shared" si="1450"/>
        <v>Гуливерт</v>
      </c>
      <c r="G856" s="191" t="s">
        <v>262</v>
      </c>
      <c r="H856" s="315"/>
      <c r="I856" s="316">
        <f>IF(I855=0,0,SUMIFS(операции!$AF:$AF,операции!$X:$X,"&gt;="&amp;I$8,операции!$X:$X,"&lt;="&amp;I$9,операции!$O:$O,$F830)/I855)</f>
        <v>42197.045769576529</v>
      </c>
      <c r="J856" s="317"/>
      <c r="K856" s="316">
        <f>IF(K855=0,0,SUMIFS(операции!$AF:$AF,операции!$X:$X,"&gt;="&amp;I$8,операции!$X:$X,"&lt;="&amp;I$9,операции!$L:$L,K$9,операции!$O:$O,$F830)/K855)</f>
        <v>42021.050170280272</v>
      </c>
      <c r="L856" s="318">
        <f>IF(L855=0,0,SUMIFS(операции!$AF:$AF,операции!$X:$X,"&gt;="&amp;I$8,операции!$X:$X,"&lt;="&amp;I$9,операции!$L:$L,L$9,операции!$O:$O,$F830)/L855)</f>
        <v>42320.810881481098</v>
      </c>
      <c r="M856" s="274"/>
      <c r="N856" s="193">
        <f>IF(N855=0,0,SUMIFS(операции!$AF:$AF,операции!$X:$X,"&gt;="&amp;N$8,операции!$X:$X,"&lt;="&amp;N$9,операции!$O:$O,$F830)/N855)</f>
        <v>42259.208217630156</v>
      </c>
      <c r="O856" s="196"/>
      <c r="P856" s="193">
        <f>IF(P855=0,0,SUMIFS(операции!$AF:$AF,операции!$X:$X,"&gt;="&amp;N$8,операции!$X:$X,"&lt;="&amp;N$9,операции!$L:$L,P$9,операции!$O:$O,$F830)/P855)</f>
        <v>42157.037232783783</v>
      </c>
      <c r="Q856" s="237">
        <f>IF(Q855=0,0,SUMIFS(операции!$AF:$AF,операции!$X:$X,"&gt;="&amp;N$8,операции!$X:$X,"&lt;="&amp;N$9,операции!$L:$L,Q$9,операции!$O:$O,$F830)/Q855)</f>
        <v>42304</v>
      </c>
      <c r="R856" s="238"/>
      <c r="S856" s="193">
        <f>IF(S855=0,0,SUMIFS(операции!$AF:$AF,операции!$X:$X,"&gt;="&amp;S$8,операции!$X:$X,"&lt;="&amp;S$9,операции!$O:$O,$F830)/S855)</f>
        <v>42178.945849842945</v>
      </c>
      <c r="T856" s="196"/>
      <c r="U856" s="193">
        <f>IF(U855=0,0,SUMIFS(операции!$AF:$AF,операции!$X:$X,"&gt;="&amp;S$8,операции!$X:$X,"&lt;="&amp;S$9,операции!$L:$L,U$9,операции!$O:$O,$F830)/U855)</f>
        <v>42025.555814409832</v>
      </c>
      <c r="V856" s="237">
        <f>IF(V855=0,0,SUMIFS(операции!$AF:$AF,операции!$X:$X,"&gt;="&amp;S$8,операции!$X:$X,"&lt;="&amp;S$9,операции!$L:$L,V$9,операции!$O:$O,$F830)/V855)</f>
        <v>42319.897300588818</v>
      </c>
      <c r="W856" s="238"/>
      <c r="X856" s="193">
        <f>IF(X855=0,0,SUMIFS(операции!$AF:$AF,операции!$X:$X,"&gt;="&amp;X$8,операции!$X:$X,"&lt;="&amp;X$9,операции!$O:$O,$F830)/X855)</f>
        <v>42204.599435348158</v>
      </c>
      <c r="Y856" s="196"/>
      <c r="Z856" s="193">
        <f>IF(Z855=0,0,SUMIFS(операции!$AF:$AF,операции!$X:$X,"&gt;="&amp;X$8,операции!$X:$X,"&lt;="&amp;X$9,операции!$L:$L,Z$9,операции!$O:$O,$F830)/Z855)</f>
        <v>41898.132759236163</v>
      </c>
      <c r="AA856" s="237">
        <f>IF(AA855=0,0,SUMIFS(операции!$AF:$AF,операции!$X:$X,"&gt;="&amp;X$8,операции!$X:$X,"&lt;="&amp;X$9,операции!$L:$L,AA$9,операции!$O:$O,$F830)/AA855)</f>
        <v>42335.006276675871</v>
      </c>
      <c r="AB856" s="265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</row>
    <row r="857" spans="1:42" s="192" customFormat="1" ht="11.25">
      <c r="A857" s="37"/>
      <c r="B857" s="37"/>
      <c r="C857" s="37"/>
      <c r="D857" s="191" t="s">
        <v>308</v>
      </c>
      <c r="E857" s="191"/>
      <c r="F857" s="191" t="str">
        <f t="shared" si="1450"/>
        <v>Гуливерт</v>
      </c>
      <c r="G857" s="191" t="s">
        <v>262</v>
      </c>
      <c r="H857" s="315"/>
      <c r="I857" s="316">
        <f>IF(I855=0,0,(I865*I867+I875*I877)/I855)</f>
        <v>42251.882102506774</v>
      </c>
      <c r="J857" s="317"/>
      <c r="K857" s="316">
        <f t="shared" ref="K857:L857" si="1495">IF(K855=0,0,(K865*K867+K875*K877)/K855)</f>
        <v>42110.502407694381</v>
      </c>
      <c r="L857" s="318">
        <f t="shared" si="1495"/>
        <v>42351.304325672907</v>
      </c>
      <c r="M857" s="274"/>
      <c r="N857" s="193">
        <f>IF(N855=0,0,(N865*N867+N875*N877)/N855)</f>
        <v>42278.843959993748</v>
      </c>
      <c r="O857" s="196"/>
      <c r="P857" s="193">
        <f t="shared" ref="P857:Q857" si="1496">IF(P855=0,0,(P865*P867+P875*P877)/P855)</f>
        <v>42188.387710026029</v>
      </c>
      <c r="Q857" s="237">
        <f t="shared" si="1496"/>
        <v>42318.5</v>
      </c>
      <c r="R857" s="238"/>
      <c r="S857" s="193">
        <f>IF(S855=0,0,(S865*S867+S875*S877)/S855)</f>
        <v>42240.508544873635</v>
      </c>
      <c r="T857" s="196"/>
      <c r="U857" s="193">
        <f t="shared" ref="U857:V857" si="1497">IF(U855=0,0,(U865*U867+U875*U877)/U855)</f>
        <v>42133.491605033785</v>
      </c>
      <c r="V857" s="237">
        <f t="shared" si="1497"/>
        <v>42338.84735079555</v>
      </c>
      <c r="W857" s="238"/>
      <c r="X857" s="193">
        <f>IF(X855=0,0,(X865*X867+X875*X877)/X855)</f>
        <v>42230.050375715386</v>
      </c>
      <c r="Y857" s="196"/>
      <c r="Z857" s="193">
        <f t="shared" ref="Z857:AA857" si="1498">IF(Z855=0,0,(Z865*Z867+Z875*Z877)/Z855)</f>
        <v>41917.984980838846</v>
      </c>
      <c r="AA857" s="237">
        <f t="shared" si="1498"/>
        <v>42362.839568164702</v>
      </c>
      <c r="AB857" s="265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</row>
    <row r="858" spans="1:42" s="93" customFormat="1" ht="15">
      <c r="A858" s="92"/>
      <c r="B858" s="92"/>
      <c r="C858" s="92"/>
      <c r="D858" s="151" t="s">
        <v>278</v>
      </c>
      <c r="E858" s="151"/>
      <c r="F858" s="151" t="str">
        <f t="shared" si="1450"/>
        <v>Гуливерт</v>
      </c>
      <c r="G858" s="151" t="s">
        <v>261</v>
      </c>
      <c r="H858" s="311"/>
      <c r="I858" s="312">
        <f>I850-I855</f>
        <v>8687.7700000000041</v>
      </c>
      <c r="J858" s="313">
        <f>I858-K858-L858</f>
        <v>7.2759576141834259E-12</v>
      </c>
      <c r="K858" s="312">
        <f t="shared" ref="K858:L858" si="1499">K850-K855</f>
        <v>3403.2999999999993</v>
      </c>
      <c r="L858" s="314">
        <f t="shared" si="1499"/>
        <v>5284.4699999999975</v>
      </c>
      <c r="M858" s="273"/>
      <c r="N858" s="152">
        <f>N850-N855</f>
        <v>1157.2999999999993</v>
      </c>
      <c r="O858" s="170">
        <f>N858-P858-Q858</f>
        <v>0</v>
      </c>
      <c r="P858" s="152">
        <f t="shared" ref="P858:Q858" si="1500">P850-P855</f>
        <v>-57.400000000000091</v>
      </c>
      <c r="Q858" s="235">
        <f t="shared" si="1500"/>
        <v>1214.6999999999998</v>
      </c>
      <c r="R858" s="236"/>
      <c r="S858" s="152">
        <f>S850-S855</f>
        <v>5953.1399999999921</v>
      </c>
      <c r="T858" s="170">
        <f>S858-U858-V858</f>
        <v>-3.637978807091713E-12</v>
      </c>
      <c r="U858" s="152">
        <f t="shared" ref="U858:V858" si="1501">U850-U855</f>
        <v>2894.369999999999</v>
      </c>
      <c r="V858" s="235">
        <f t="shared" si="1501"/>
        <v>3058.7699999999968</v>
      </c>
      <c r="W858" s="236"/>
      <c r="X858" s="152">
        <f>X850-X855</f>
        <v>1577.33</v>
      </c>
      <c r="Y858" s="170">
        <f>X858-Z858-AA858</f>
        <v>0</v>
      </c>
      <c r="Z858" s="152">
        <f t="shared" ref="Z858:AA858" si="1502">Z850-Z855</f>
        <v>566.33000000000038</v>
      </c>
      <c r="AA858" s="235">
        <f t="shared" si="1502"/>
        <v>1011</v>
      </c>
      <c r="AB858" s="264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</row>
    <row r="859" spans="1:42" s="211" customFormat="1">
      <c r="A859" s="210"/>
      <c r="B859" s="210"/>
      <c r="C859" s="210"/>
      <c r="D859" s="218" t="s">
        <v>277</v>
      </c>
      <c r="E859" s="218"/>
      <c r="F859" s="218" t="str">
        <f t="shared" si="1450"/>
        <v>Гуливерт</v>
      </c>
      <c r="G859" s="218" t="s">
        <v>218</v>
      </c>
      <c r="H859" s="343"/>
      <c r="I859" s="344">
        <f>IF(I850=0,0,(I858/I850))</f>
        <v>0.14087285758298071</v>
      </c>
      <c r="J859" s="345"/>
      <c r="K859" s="344">
        <f t="shared" ref="K859" si="1503">IF(K850=0,0,(K858/K850))</f>
        <v>0.13462953439613906</v>
      </c>
      <c r="L859" s="346">
        <f t="shared" ref="L859" si="1504">IF(L850=0,0,(L858/L850))</f>
        <v>0.14520966146405798</v>
      </c>
      <c r="M859" s="280"/>
      <c r="N859" s="219">
        <f>IF(N850=0,0,(N858/N850))</f>
        <v>0.12212959054453348</v>
      </c>
      <c r="O859" s="220"/>
      <c r="P859" s="219">
        <f t="shared" ref="P859" si="1505">IF(P850=0,0,(P858/P850))</f>
        <v>-2.3163841807909643E-2</v>
      </c>
      <c r="Q859" s="252">
        <f t="shared" ref="Q859" si="1506">IF(Q850=0,0,(Q858/Q850))</f>
        <v>0.17357816519005428</v>
      </c>
      <c r="R859" s="253"/>
      <c r="S859" s="219">
        <f>IF(S850=0,0,(S858/S850))</f>
        <v>0.15162599969436075</v>
      </c>
      <c r="T859" s="220"/>
      <c r="U859" s="219">
        <f t="shared" ref="U859" si="1507">IF(U850=0,0,(U858/U850))</f>
        <v>0.15358821968691955</v>
      </c>
      <c r="V859" s="252">
        <f t="shared" ref="V859" si="1508">IF(V850=0,0,(V858/V850))</f>
        <v>0.14981486016554815</v>
      </c>
      <c r="W859" s="253"/>
      <c r="X859" s="219">
        <f>IF(X850=0,0,(X858/X850))</f>
        <v>0.12196164849609525</v>
      </c>
      <c r="Y859" s="220"/>
      <c r="Z859" s="219">
        <f t="shared" ref="Z859" si="1509">IF(Z850=0,0,(Z858/Z850))</f>
        <v>0.14315722952477258</v>
      </c>
      <c r="AA859" s="252">
        <f t="shared" ref="AA859" si="1510">IF(AA850=0,0,(AA858/AA850))</f>
        <v>0.1126211429207976</v>
      </c>
      <c r="AB859" s="267"/>
      <c r="AC859" s="210"/>
      <c r="AD859" s="210"/>
      <c r="AE859" s="210"/>
      <c r="AF859" s="210"/>
      <c r="AG859" s="210"/>
      <c r="AH859" s="210"/>
      <c r="AI859" s="210"/>
      <c r="AJ859" s="210"/>
      <c r="AK859" s="210"/>
      <c r="AL859" s="210"/>
      <c r="AM859" s="210"/>
      <c r="AN859" s="210"/>
      <c r="AO859" s="210"/>
      <c r="AP859" s="210"/>
    </row>
    <row r="860" spans="1:42" s="93" customFormat="1" ht="15">
      <c r="A860" s="92"/>
      <c r="B860" s="92"/>
      <c r="C860" s="92"/>
      <c r="D860" s="198" t="s">
        <v>220</v>
      </c>
      <c r="E860" s="198"/>
      <c r="F860" s="198" t="str">
        <f t="shared" si="1450"/>
        <v>Гуливерт</v>
      </c>
      <c r="G860" s="198" t="s">
        <v>219</v>
      </c>
      <c r="H860" s="323"/>
      <c r="I860" s="324">
        <f>I854-I856</f>
        <v>130.43215359643364</v>
      </c>
      <c r="J860" s="321">
        <f>I860-SUMIFS(ПОбТЗ!$I:$I,ПОбТЗ!$E:$E,$D860,ПОбТЗ!$F:$F,$F860)</f>
        <v>0</v>
      </c>
      <c r="K860" s="324">
        <f t="shared" ref="K860:L860" si="1511">K854-K856</f>
        <v>308.09417878416571</v>
      </c>
      <c r="L860" s="325">
        <f t="shared" si="1511"/>
        <v>5.5094911282649264</v>
      </c>
      <c r="M860" s="276"/>
      <c r="N860" s="199">
        <f>N854-N856</f>
        <v>46.090431588927459</v>
      </c>
      <c r="O860" s="173">
        <f>N860-SUMIFS(ПОбТЗ_3!$J:$J,ПОбТЗ_3!$D:$D,$D860,ПОбТЗ_3!$E:$E,$F860)</f>
        <v>0</v>
      </c>
      <c r="P860" s="199">
        <f t="shared" ref="P860:Q860" si="1512">P854-P856</f>
        <v>146.28076560200861</v>
      </c>
      <c r="Q860" s="241">
        <f t="shared" si="1512"/>
        <v>2</v>
      </c>
      <c r="R860" s="242"/>
      <c r="S860" s="199">
        <f>S854-S856</f>
        <v>148.54289245240216</v>
      </c>
      <c r="T860" s="173">
        <f>S860-SUMIFS(ПОбТЗ_3!$K:$K,ПОбТЗ_3!$D:$D,$D860,ПОбТЗ_3!$E:$E,$F860)</f>
        <v>0</v>
      </c>
      <c r="U860" s="199">
        <f t="shared" ref="U860:V860" si="1513">U854-U856</f>
        <v>303.94251405925752</v>
      </c>
      <c r="V860" s="241">
        <f t="shared" si="1513"/>
        <v>5.7365829396148911</v>
      </c>
      <c r="W860" s="242"/>
      <c r="X860" s="199">
        <f>X854-X856</f>
        <v>139.0963815543364</v>
      </c>
      <c r="Y860" s="173">
        <f>X860-SUMIFS(ПОбТЗ_3!$L:$L,ПОбТЗ_3!$D:$D,$D860,ПОбТЗ_3!$E:$E,$F860)</f>
        <v>0</v>
      </c>
      <c r="Z860" s="199">
        <f t="shared" ref="Z860:AA860" si="1514">Z854-Z856</f>
        <v>445.50273115817254</v>
      </c>
      <c r="AA860" s="241">
        <f t="shared" si="1514"/>
        <v>8.7161250173448934</v>
      </c>
      <c r="AB860" s="264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</row>
    <row r="861" spans="1:42" s="5" customFormat="1">
      <c r="A861" s="1"/>
      <c r="B861" s="1"/>
      <c r="C861" s="1"/>
      <c r="D861" s="227" t="s">
        <v>309</v>
      </c>
      <c r="E861" s="227"/>
      <c r="F861" s="227" t="str">
        <f t="shared" si="1450"/>
        <v>Гуливерт</v>
      </c>
      <c r="G861" s="227" t="s">
        <v>219</v>
      </c>
      <c r="H861" s="347"/>
      <c r="I861" s="348">
        <f>I857-I856</f>
        <v>54.83633293024468</v>
      </c>
      <c r="J861" s="321"/>
      <c r="K861" s="348">
        <f t="shared" ref="K861:L861" si="1515">K857-K856</f>
        <v>89.452237414108822</v>
      </c>
      <c r="L861" s="349">
        <f t="shared" si="1515"/>
        <v>30.493444191808521</v>
      </c>
      <c r="M861" s="281"/>
      <c r="N861" s="228">
        <f>N857-N856</f>
        <v>19.635742363592726</v>
      </c>
      <c r="O861" s="173"/>
      <c r="P861" s="228">
        <f t="shared" ref="P861:Q861" si="1516">P857-P856</f>
        <v>31.350477242245688</v>
      </c>
      <c r="Q861" s="254">
        <f t="shared" si="1516"/>
        <v>14.5</v>
      </c>
      <c r="R861" s="255"/>
      <c r="S861" s="228">
        <f>S857-S856</f>
        <v>61.56269503069052</v>
      </c>
      <c r="T861" s="173"/>
      <c r="U861" s="228">
        <f t="shared" ref="U861:V861" si="1517">U857-U856</f>
        <v>107.93579062395293</v>
      </c>
      <c r="V861" s="254">
        <f t="shared" si="1517"/>
        <v>18.950050206731248</v>
      </c>
      <c r="W861" s="255"/>
      <c r="X861" s="228">
        <f>X857-X856</f>
        <v>25.450940367227304</v>
      </c>
      <c r="Y861" s="173"/>
      <c r="Z861" s="228">
        <f t="shared" ref="Z861:AA861" si="1518">Z857-Z856</f>
        <v>19.85222160268313</v>
      </c>
      <c r="AA861" s="254">
        <f t="shared" si="1518"/>
        <v>27.833291488830582</v>
      </c>
      <c r="AB861" s="266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s="5" customFormat="1">
      <c r="A862" s="1"/>
      <c r="B862" s="1"/>
      <c r="C862" s="1"/>
      <c r="D862" s="225" t="s">
        <v>310</v>
      </c>
      <c r="E862" s="225"/>
      <c r="F862" s="225" t="str">
        <f t="shared" si="1450"/>
        <v>Гуливерт</v>
      </c>
      <c r="G862" s="225" t="s">
        <v>219</v>
      </c>
      <c r="H862" s="350"/>
      <c r="I862" s="351">
        <f>I860-I861</f>
        <v>75.595820666188956</v>
      </c>
      <c r="J862" s="352"/>
      <c r="K862" s="351">
        <f t="shared" ref="K862" si="1519">K860-K861</f>
        <v>218.64194137005688</v>
      </c>
      <c r="L862" s="353">
        <f t="shared" ref="L862" si="1520">L860-L861</f>
        <v>-24.983953063543595</v>
      </c>
      <c r="M862" s="282"/>
      <c r="N862" s="226">
        <f>N860-N861</f>
        <v>26.454689225334732</v>
      </c>
      <c r="O862" s="181"/>
      <c r="P862" s="226">
        <f t="shared" ref="P862" si="1521">P860-P861</f>
        <v>114.93028835976293</v>
      </c>
      <c r="Q862" s="256">
        <f t="shared" ref="Q862" si="1522">Q860-Q861</f>
        <v>-12.5</v>
      </c>
      <c r="R862" s="257"/>
      <c r="S862" s="226">
        <f>S860-S861</f>
        <v>86.980197421711637</v>
      </c>
      <c r="T862" s="181"/>
      <c r="U862" s="226">
        <f t="shared" ref="U862" si="1523">U860-U861</f>
        <v>196.00672343530459</v>
      </c>
      <c r="V862" s="256">
        <f t="shared" ref="V862" si="1524">V860-V861</f>
        <v>-13.213467267116357</v>
      </c>
      <c r="W862" s="257"/>
      <c r="X862" s="226">
        <f>X860-X861</f>
        <v>113.6454411871091</v>
      </c>
      <c r="Y862" s="181"/>
      <c r="Z862" s="226">
        <f t="shared" ref="Z862" si="1525">Z860-Z861</f>
        <v>425.65050955548941</v>
      </c>
      <c r="AA862" s="256">
        <f t="shared" ref="AA862" si="1526">AA860-AA861</f>
        <v>-19.117166471485689</v>
      </c>
      <c r="AB862" s="266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s="5" customFormat="1">
      <c r="A863" s="1"/>
      <c r="B863" s="1"/>
      <c r="C863" s="1"/>
      <c r="D863" s="223"/>
      <c r="E863" s="223" t="s">
        <v>293</v>
      </c>
      <c r="F863" s="223" t="str">
        <f t="shared" si="1450"/>
        <v>Гуливерт</v>
      </c>
      <c r="G863" s="223" t="s">
        <v>261</v>
      </c>
      <c r="H863" s="354"/>
      <c r="I863" s="355">
        <f>SUMIFS(операции!$Z:$Z,операции!$X:$X,"&gt;="&amp;I$8,операции!$X:$X,"&lt;="&amp;I$9,операции!$AB:$AB,"&lt;&gt;"&amp;"",операции!$O:$O,$F830)</f>
        <v>46200</v>
      </c>
      <c r="J863" s="341">
        <f>I863-K863-L863</f>
        <v>0</v>
      </c>
      <c r="K863" s="355">
        <f>SUMIFS(операции!$Z:$Z,операции!$X:$X,"&gt;="&amp;I$8,операции!$X:$X,"&lt;="&amp;I$9,операции!$AB:$AB,"&lt;&gt;"&amp;"",операции!$L:$L,K$9,операции!$O:$O,$F830)</f>
        <v>21672</v>
      </c>
      <c r="L863" s="356">
        <f>SUMIFS(операции!$Z:$Z,операции!$X:$X,"&gt;="&amp;I$8,операции!$X:$X,"&lt;="&amp;I$9,операции!$AB:$AB,"&lt;&gt;"&amp;"",операции!$L:$L,L$9,операции!$O:$O,$F830)</f>
        <v>24528</v>
      </c>
      <c r="M863" s="283"/>
      <c r="N863" s="224">
        <f>SUMIFS(операции!$Z:$Z,операции!$X:$X,"&gt;="&amp;N$8,операции!$X:$X,"&lt;="&amp;N$9,операции!$AB:$AB,"&lt;&gt;"&amp;"",операции!$O:$O,$F830)</f>
        <v>5977</v>
      </c>
      <c r="O863" s="216">
        <f>N863-P863-Q863</f>
        <v>0</v>
      </c>
      <c r="P863" s="224">
        <f>SUMIFS(операции!$Z:$Z,операции!$X:$X,"&gt;="&amp;N$8,операции!$X:$X,"&lt;="&amp;N$9,операции!$AB:$AB,"&lt;&gt;"&amp;"",операции!$L:$L,P$9,операции!$O:$O,$F830)</f>
        <v>2478</v>
      </c>
      <c r="Q863" s="258">
        <f>SUMIFS(операции!$Z:$Z,операции!$X:$X,"&gt;="&amp;N$8,операции!$X:$X,"&lt;="&amp;N$9,операции!$AB:$AB,"&lt;&gt;"&amp;"",операции!$L:$L,Q$9,операции!$O:$O,$F830)</f>
        <v>3499</v>
      </c>
      <c r="R863" s="259"/>
      <c r="S863" s="224">
        <f>SUMIFS(операции!$Z:$Z,операции!$X:$X,"&gt;="&amp;S$8,операции!$X:$X,"&lt;="&amp;S$9,операции!$AB:$AB,"&lt;&gt;"&amp;"",операции!$O:$O,$F830)</f>
        <v>30502</v>
      </c>
      <c r="T863" s="216">
        <f>S863-U863-V863</f>
        <v>0</v>
      </c>
      <c r="U863" s="224">
        <f>SUMIFS(операции!$Z:$Z,операции!$X:$X,"&gt;="&amp;S$8,операции!$X:$X,"&lt;="&amp;S$9,операции!$AB:$AB,"&lt;&gt;"&amp;"",операции!$L:$L,U$9,операции!$O:$O,$F830)</f>
        <v>15238</v>
      </c>
      <c r="V863" s="258">
        <f>SUMIFS(операции!$Z:$Z,операции!$X:$X,"&gt;="&amp;S$8,операции!$X:$X,"&lt;="&amp;S$9,операции!$AB:$AB,"&lt;&gt;"&amp;"",операции!$L:$L,V$9,операции!$O:$O,$F830)</f>
        <v>15264</v>
      </c>
      <c r="W863" s="259"/>
      <c r="X863" s="224">
        <f>SUMIFS(операции!$Z:$Z,операции!$X:$X,"&gt;="&amp;X$8,операции!$X:$X,"&lt;="&amp;X$9,операции!$AB:$AB,"&lt;&gt;"&amp;"",операции!$O:$O,$F830)</f>
        <v>9721</v>
      </c>
      <c r="Y863" s="216">
        <f>X863-Z863-AA863</f>
        <v>0</v>
      </c>
      <c r="Z863" s="224">
        <f>SUMIFS(операции!$Z:$Z,операции!$X:$X,"&gt;="&amp;X$8,операции!$X:$X,"&lt;="&amp;X$9,операции!$AB:$AB,"&lt;&gt;"&amp;"",операции!$L:$L,Z$9,операции!$O:$O,$F830)</f>
        <v>3956</v>
      </c>
      <c r="AA863" s="258">
        <f>SUMIFS(операции!$Z:$Z,операции!$X:$X,"&gt;="&amp;X$8,операции!$X:$X,"&lt;="&amp;X$9,операции!$AB:$AB,"&lt;&gt;"&amp;"",операции!$L:$L,AA$9,операции!$O:$O,$F830)</f>
        <v>5765</v>
      </c>
      <c r="AB863" s="266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s="192" customFormat="1" ht="11.25">
      <c r="A864" s="37"/>
      <c r="B864" s="37"/>
      <c r="C864" s="37"/>
      <c r="D864" s="191"/>
      <c r="E864" s="191" t="s">
        <v>295</v>
      </c>
      <c r="F864" s="191" t="str">
        <f t="shared" si="1450"/>
        <v>Гуливерт</v>
      </c>
      <c r="G864" s="191" t="s">
        <v>262</v>
      </c>
      <c r="H864" s="315"/>
      <c r="I864" s="316">
        <f>IF(I863=0,0,SUMIFS(операции!$AG:$AG,операции!$X:$X,"&gt;="&amp;I$8,операции!$X:$X,"&lt;="&amp;I$9,операции!$AB:$AB,"&lt;&gt;"&amp;"",операции!$O:$O,$F830)/I863)</f>
        <v>42327.599935064936</v>
      </c>
      <c r="J864" s="317"/>
      <c r="K864" s="316">
        <f>IF(K863=0,0,SUMIFS(операции!$AG:$AG,операции!$X:$X,"&gt;="&amp;I$8,операции!$X:$X,"&lt;="&amp;I$9,операции!$AB:$AB,"&lt;&gt;"&amp;"",операции!$L:$L,K$9,операции!$O:$O,$F830)/K863)</f>
        <v>42329.808093392399</v>
      </c>
      <c r="L864" s="318">
        <f>IF(L863=0,0,SUMIFS(операции!$AG:$AG,операции!$X:$X,"&gt;="&amp;I$8,операции!$X:$X,"&lt;="&amp;I$9,операции!$AB:$AB,"&lt;&gt;"&amp;"",операции!$L:$L,L$9,операции!$O:$O,$F830)/L863)</f>
        <v>42325.648891063276</v>
      </c>
      <c r="M864" s="274"/>
      <c r="N864" s="193">
        <f>IF(N863=0,0,SUMIFS(операции!$AG:$AG,операции!$X:$X,"&gt;="&amp;N$8,операции!$X:$X,"&lt;="&amp;N$9,операции!$AB:$AB,"&lt;&gt;"&amp;"",операции!$O:$O,$F830)/N863)</f>
        <v>42304.888070938599</v>
      </c>
      <c r="O864" s="196"/>
      <c r="P864" s="193">
        <f>IF(P863=0,0,SUMIFS(операции!$AG:$AG,операции!$X:$X,"&gt;="&amp;N$8,операции!$X:$X,"&lt;="&amp;N$9,операции!$AB:$AB,"&lt;&gt;"&amp;"",операции!$L:$L,P$9,операции!$O:$O,$F830)/P863)</f>
        <v>42303.317998385792</v>
      </c>
      <c r="Q864" s="237">
        <f>IF(Q863=0,0,SUMIFS(операции!$AG:$AG,операции!$X:$X,"&gt;="&amp;N$8,операции!$X:$X,"&lt;="&amp;N$9,операции!$AB:$AB,"&lt;&gt;"&amp;"",операции!$L:$L,Q$9,операции!$O:$O,$F830)/Q863)</f>
        <v>42306</v>
      </c>
      <c r="R864" s="238"/>
      <c r="S864" s="193">
        <f>IF(S863=0,0,SUMIFS(операции!$AG:$AG,операции!$X:$X,"&gt;="&amp;S$8,операции!$X:$X,"&lt;="&amp;S$9,операции!$AB:$AB,"&lt;&gt;"&amp;"",операции!$O:$O,$F830)/S863)</f>
        <v>42327.268605337355</v>
      </c>
      <c r="T864" s="196"/>
      <c r="U864" s="193">
        <f>IF(U863=0,0,SUMIFS(операции!$AG:$AG,операции!$X:$X,"&gt;="&amp;S$8,операции!$X:$X,"&lt;="&amp;S$9,операции!$AB:$AB,"&lt;&gt;"&amp;"",операции!$L:$L,U$9,операции!$O:$O,$F830)/U863)</f>
        <v>42330.526118913243</v>
      </c>
      <c r="V864" s="237">
        <f>IF(V863=0,0,SUMIFS(операции!$AG:$AG,операции!$X:$X,"&gt;="&amp;S$8,операции!$X:$X,"&lt;="&amp;S$9,операции!$AB:$AB,"&lt;&gt;"&amp;"",операции!$L:$L,V$9,операции!$O:$O,$F830)/V863)</f>
        <v>42324.016640461217</v>
      </c>
      <c r="W864" s="238"/>
      <c r="X864" s="193">
        <f>IF(X863=0,0,SUMIFS(операции!$AG:$AG,операции!$X:$X,"&gt;="&amp;X$8,операции!$X:$X,"&lt;="&amp;X$9,операции!$AB:$AB,"&lt;&gt;"&amp;"",операции!$O:$O,$F830)/X863)</f>
        <v>42342.604053080962</v>
      </c>
      <c r="Y864" s="196"/>
      <c r="Z864" s="193">
        <f>IF(Z863=0,0,SUMIFS(операции!$AG:$AG,операции!$X:$X,"&gt;="&amp;X$8,операции!$X:$X,"&lt;="&amp;X$9,операции!$AB:$AB,"&lt;&gt;"&amp;"",операции!$L:$L,Z$9,операции!$O:$O,$F830)/Z863)</f>
        <v>42343.635490394336</v>
      </c>
      <c r="AA864" s="237">
        <f>IF(AA863=0,0,SUMIFS(операции!$AG:$AG,операции!$X:$X,"&gt;="&amp;X$8,операции!$X:$X,"&lt;="&amp;X$9,операции!$AB:$AB,"&lt;&gt;"&amp;"",операции!$L:$L,AA$9,операции!$O:$O,$F830)/AA863)</f>
        <v>42341.896270598438</v>
      </c>
      <c r="AB864" s="265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</row>
    <row r="865" spans="1:42" s="93" customFormat="1" ht="15">
      <c r="A865" s="92"/>
      <c r="B865" s="92"/>
      <c r="C865" s="92"/>
      <c r="D865" s="151"/>
      <c r="E865" s="151" t="s">
        <v>292</v>
      </c>
      <c r="F865" s="151" t="str">
        <f t="shared" si="1450"/>
        <v>Гуливерт</v>
      </c>
      <c r="G865" s="151" t="s">
        <v>261</v>
      </c>
      <c r="H865" s="311"/>
      <c r="I865" s="312">
        <f>SUMIFS(операции!$V:$V,операции!$X:$X,"&gt;="&amp;I$8,операции!$X:$X,"&lt;="&amp;I$9,операции!$AB:$AB,"&lt;&gt;"&amp;"",операции!$O:$O,$F830)</f>
        <v>39778.81</v>
      </c>
      <c r="J865" s="313">
        <f>I865-K865-L865</f>
        <v>0</v>
      </c>
      <c r="K865" s="312">
        <f>SUMIFS(операции!$V:$V,операции!$X:$X,"&gt;="&amp;I$8,операции!$X:$X,"&lt;="&amp;I$9,операции!$AB:$AB,"&lt;&gt;"&amp;"",операции!$L:$L,K$9,операции!$O:$O,$F830)</f>
        <v>19023.829999999998</v>
      </c>
      <c r="L865" s="314">
        <f>SUMIFS(операции!$V:$V,операции!$X:$X,"&gt;="&amp;I$8,операции!$X:$X,"&lt;="&amp;I$9,операции!$AB:$AB,"&lt;&gt;"&amp;"",операции!$L:$L,L$9,операции!$O:$O,$F830)</f>
        <v>20754.98</v>
      </c>
      <c r="M865" s="273"/>
      <c r="N865" s="152">
        <f>SUMIFS(операции!$V:$V,операции!$X:$X,"&gt;="&amp;N$8,операции!$X:$X,"&lt;="&amp;N$9,операции!$AB:$AB,"&lt;&gt;"&amp;"",операции!$O:$O,$F830)</f>
        <v>5427.05</v>
      </c>
      <c r="O865" s="170">
        <f>N865-P865-Q865</f>
        <v>0</v>
      </c>
      <c r="P865" s="152">
        <f>SUMIFS(операции!$V:$V,операции!$X:$X,"&gt;="&amp;N$8,операции!$X:$X,"&lt;="&amp;N$9,операции!$AB:$AB,"&lt;&gt;"&amp;"",операции!$L:$L,P$9,операции!$O:$O,$F830)</f>
        <v>2535.4</v>
      </c>
      <c r="Q865" s="235">
        <f>SUMIFS(операции!$V:$V,операции!$X:$X,"&gt;="&amp;N$8,операции!$X:$X,"&lt;="&amp;N$9,операции!$AB:$AB,"&lt;&gt;"&amp;"",операции!$L:$L,Q$9,операции!$O:$O,$F830)</f>
        <v>2891.65</v>
      </c>
      <c r="R865" s="236"/>
      <c r="S865" s="152">
        <f>SUMIFS(операции!$V:$V,операции!$X:$X,"&gt;="&amp;S$8,операции!$X:$X,"&lt;="&amp;S$9,операции!$AB:$AB,"&lt;&gt;"&amp;"",операции!$O:$O,$F830)</f>
        <v>26016.090000000004</v>
      </c>
      <c r="T865" s="170">
        <f>S865-U865-V865</f>
        <v>0</v>
      </c>
      <c r="U865" s="152">
        <f>SUMIFS(операции!$V:$V,операции!$X:$X,"&gt;="&amp;S$8,операции!$X:$X,"&lt;="&amp;S$9,операции!$AB:$AB,"&lt;&gt;"&amp;"",операции!$L:$L,U$9,операции!$O:$O,$F830)</f>
        <v>13098.76</v>
      </c>
      <c r="V865" s="235">
        <f>SUMIFS(операции!$V:$V,операции!$X:$X,"&gt;="&amp;S$8,операции!$X:$X,"&lt;="&amp;S$9,операции!$AB:$AB,"&lt;&gt;"&amp;"",операции!$L:$L,V$9,операции!$O:$O,$F830)</f>
        <v>12917.330000000002</v>
      </c>
      <c r="W865" s="236"/>
      <c r="X865" s="152">
        <f>SUMIFS(операции!$V:$V,операции!$X:$X,"&gt;="&amp;X$8,операции!$X:$X,"&lt;="&amp;X$9,операции!$AB:$AB,"&lt;&gt;"&amp;"",операции!$O:$O,$F830)</f>
        <v>8335.67</v>
      </c>
      <c r="Y865" s="170">
        <f>X865-Z865-AA865</f>
        <v>0</v>
      </c>
      <c r="Z865" s="152">
        <f>SUMIFS(операции!$V:$V,операции!$X:$X,"&gt;="&amp;X$8,операции!$X:$X,"&lt;="&amp;X$9,операции!$AB:$AB,"&lt;&gt;"&amp;"",операции!$L:$L,Z$9,операции!$O:$O,$F830)</f>
        <v>3389.6699999999996</v>
      </c>
      <c r="AA865" s="235">
        <f>SUMIFS(операции!$V:$V,операции!$X:$X,"&gt;="&amp;X$8,операции!$X:$X,"&lt;="&amp;X$9,операции!$AB:$AB,"&lt;&gt;"&amp;"",операции!$L:$L,AA$9,операции!$O:$O,$F830)</f>
        <v>4946</v>
      </c>
      <c r="AB865" s="264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</row>
    <row r="866" spans="1:42" s="192" customFormat="1" ht="11.25">
      <c r="A866" s="37"/>
      <c r="B866" s="37"/>
      <c r="C866" s="37"/>
      <c r="D866" s="191"/>
      <c r="E866" s="191" t="s">
        <v>294</v>
      </c>
      <c r="F866" s="191" t="str">
        <f t="shared" si="1450"/>
        <v>Гуливерт</v>
      </c>
      <c r="G866" s="191" t="s">
        <v>262</v>
      </c>
      <c r="H866" s="315"/>
      <c r="I866" s="316">
        <f>IF(I865=0,0,SUMIFS(операции!$AF:$AF,операции!$X:$X,"&gt;="&amp;I$8,операции!$X:$X,"&lt;="&amp;I$9,операции!$AB:$AB,"&lt;&gt;"&amp;"",операции!$O:$O,$F830)/I865)</f>
        <v>42186.685732177517</v>
      </c>
      <c r="J866" s="317"/>
      <c r="K866" s="316">
        <f>IF(K865=0,0,SUMIFS(операции!$AF:$AF,операции!$X:$X,"&gt;="&amp;I$8,операции!$X:$X,"&lt;="&amp;I$9,операции!$AB:$AB,"&lt;&gt;"&amp;"",операции!$L:$L,K$9,операции!$O:$O,$F830)/K865)</f>
        <v>42041.443438045855</v>
      </c>
      <c r="L866" s="318">
        <f>IF(L865=0,0,SUMIFS(операции!$AF:$AF,операции!$X:$X,"&gt;="&amp;I$8,операции!$X:$X,"&lt;="&amp;I$9,операции!$AB:$AB,"&lt;&gt;"&amp;"",операции!$L:$L,L$9,операции!$O:$O,$F830)/L865)</f>
        <v>42319.813526681311</v>
      </c>
      <c r="M866" s="274"/>
      <c r="N866" s="193">
        <f>IF(N865=0,0,SUMIFS(операции!$AF:$AF,операции!$X:$X,"&gt;="&amp;N$8,операции!$X:$X,"&lt;="&amp;N$9,операции!$AB:$AB,"&lt;&gt;"&amp;"",операции!$O:$O,$F830)/N865)</f>
        <v>42235.342184059482</v>
      </c>
      <c r="O866" s="196"/>
      <c r="P866" s="193">
        <f>IF(P865=0,0,SUMIFS(операции!$AF:$AF,операции!$X:$X,"&gt;="&amp;N$8,операции!$X:$X,"&lt;="&amp;N$9,операции!$AB:$AB,"&lt;&gt;"&amp;"",операции!$L:$L,P$9,операции!$O:$O,$F830)/P865)</f>
        <v>42157.037232783783</v>
      </c>
      <c r="Q866" s="237">
        <f>IF(Q865=0,0,SUMIFS(операции!$AF:$AF,операции!$X:$X,"&gt;="&amp;N$8,операции!$X:$X,"&lt;="&amp;N$9,операции!$AB:$AB,"&lt;&gt;"&amp;"",операции!$L:$L,Q$9,операции!$O:$O,$F830)/Q865)</f>
        <v>42304</v>
      </c>
      <c r="R866" s="238"/>
      <c r="S866" s="193">
        <f>IF(S865=0,0,SUMIFS(операции!$AF:$AF,операции!$X:$X,"&gt;="&amp;S$8,операции!$X:$X,"&lt;="&amp;S$9,операции!$AB:$AB,"&lt;&gt;"&amp;"",операции!$O:$O,$F830)/S865)</f>
        <v>42185.933351245323</v>
      </c>
      <c r="T866" s="196"/>
      <c r="U866" s="193">
        <f>IF(U865=0,0,SUMIFS(операции!$AF:$AF,операции!$X:$X,"&gt;="&amp;S$8,операции!$X:$X,"&lt;="&amp;S$9,операции!$AB:$AB,"&lt;&gt;"&amp;"",операции!$L:$L,U$9,операции!$O:$O,$F830)/U865)</f>
        <v>42056.154708537295</v>
      </c>
      <c r="V866" s="237">
        <f>IF(V865=0,0,SUMIFS(операции!$AF:$AF,операции!$X:$X,"&gt;="&amp;S$8,операции!$X:$X,"&lt;="&amp;S$9,операции!$AB:$AB,"&lt;&gt;"&amp;"",операции!$L:$L,V$9,операции!$O:$O,$F830)/V865)</f>
        <v>42317.534796277556</v>
      </c>
      <c r="W866" s="238"/>
      <c r="X866" s="193">
        <f>IF(X865=0,0,SUMIFS(операции!$AF:$AF,операции!$X:$X,"&gt;="&amp;X$8,операции!$X:$X,"&lt;="&amp;X$9,операции!$AB:$AB,"&lt;&gt;"&amp;"",операции!$O:$O,$F830)/X865)</f>
        <v>42157.35551791278</v>
      </c>
      <c r="Y866" s="196"/>
      <c r="Z866" s="193">
        <f>IF(Z865=0,0,SUMIFS(операции!$AF:$AF,операции!$X:$X,"&gt;="&amp;X$8,операции!$X:$X,"&lt;="&amp;X$9,операции!$AB:$AB,"&lt;&gt;"&amp;"",операции!$L:$L,Z$9,операции!$O:$O,$F830)/Z865)</f>
        <v>41898.132759236163</v>
      </c>
      <c r="AA866" s="237">
        <f>IF(AA865=0,0,SUMIFS(операции!$AF:$AF,операции!$X:$X,"&gt;="&amp;X$8,операции!$X:$X,"&lt;="&amp;X$9,операции!$AB:$AB,"&lt;&gt;"&amp;"",операции!$L:$L,AA$9,операции!$O:$O,$F830)/AA865)</f>
        <v>42335.010109179137</v>
      </c>
      <c r="AB866" s="265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</row>
    <row r="867" spans="1:42" s="192" customFormat="1" ht="11.25">
      <c r="A867" s="37"/>
      <c r="B867" s="37"/>
      <c r="C867" s="37"/>
      <c r="D867" s="191"/>
      <c r="E867" s="191" t="s">
        <v>299</v>
      </c>
      <c r="F867" s="191" t="str">
        <f t="shared" si="1450"/>
        <v>Гуливерт</v>
      </c>
      <c r="G867" s="191" t="s">
        <v>262</v>
      </c>
      <c r="H867" s="315"/>
      <c r="I867" s="316">
        <f>IF(I865=0,0,SUMIFS(операции!$AH:$AH,операции!$X:$X,"&gt;="&amp;I$8,операции!$X:$X,"&lt;="&amp;I$9,операции!$AB:$AB,"&lt;&gt;"&amp;"",операции!$O:$O,$F830)/I865)</f>
        <v>42213.00527567316</v>
      </c>
      <c r="J867" s="317"/>
      <c r="K867" s="316">
        <f>IF(K865=0,0,SUMIFS(операции!$AH:$AH,операции!$X:$X,"&gt;="&amp;I$8,операции!$X:$X,"&lt;="&amp;I$9,операции!$AB:$AB,"&lt;&gt;"&amp;"",операции!$L:$L,K$9,операции!$O:$O,$F830)/K865)</f>
        <v>42071.750929754948</v>
      </c>
      <c r="L867" s="318">
        <f>IF(L865=0,0,SUMIFS(операции!$AH:$AH,операции!$X:$X,"&gt;="&amp;I$8,операции!$X:$X,"&lt;="&amp;I$9,операции!$AB:$AB,"&lt;&gt;"&amp;"",операции!$L:$L,L$9,операции!$O:$O,$F830)/L865)</f>
        <v>42342.477752327395</v>
      </c>
      <c r="M867" s="274"/>
      <c r="N867" s="193">
        <f>IF(N865=0,0,SUMIFS(операции!$AH:$AH,операции!$X:$X,"&gt;="&amp;N$8,операции!$X:$X,"&lt;="&amp;N$9,операции!$AB:$AB,"&lt;&gt;"&amp;"",операции!$O:$O,$F830)/N865)</f>
        <v>42263.308989229874</v>
      </c>
      <c r="O867" s="196"/>
      <c r="P867" s="193">
        <f>IF(P865=0,0,SUMIFS(операции!$AH:$AH,операции!$X:$X,"&gt;="&amp;N$8,операции!$X:$X,"&lt;="&amp;N$9,операции!$AB:$AB,"&lt;&gt;"&amp;"",операции!$L:$L,P$9,операции!$O:$O,$F830)/P865)</f>
        <v>42188.387710026029</v>
      </c>
      <c r="Q867" s="237">
        <f>IF(Q865=0,0,SUMIFS(операции!$AH:$AH,операции!$X:$X,"&gt;="&amp;N$8,операции!$X:$X,"&lt;="&amp;N$9,операции!$AB:$AB,"&lt;&gt;"&amp;"",операции!$L:$L,Q$9,операции!$O:$O,$F830)/Q865)</f>
        <v>42329</v>
      </c>
      <c r="R867" s="238"/>
      <c r="S867" s="193">
        <f>IF(S865=0,0,SUMIFS(операции!$AH:$AH,операции!$X:$X,"&gt;="&amp;S$8,операции!$X:$X,"&lt;="&amp;S$9,операции!$AB:$AB,"&lt;&gt;"&amp;"",операции!$O:$O,$F830)/S865)</f>
        <v>42213.179966320837</v>
      </c>
      <c r="T867" s="196"/>
      <c r="U867" s="193">
        <f>IF(U865=0,0,SUMIFS(операции!$AH:$AH,операции!$X:$X,"&gt;="&amp;S$8,операции!$X:$X,"&lt;="&amp;S$9,операции!$AB:$AB,"&lt;&gt;"&amp;"",операции!$L:$L,U$9,операции!$O:$O,$F830)/U865)</f>
        <v>42088.965912803957</v>
      </c>
      <c r="V867" s="237">
        <f>IF(V865=0,0,SUMIFS(операции!$AH:$AH,операции!$X:$X,"&gt;="&amp;S$8,операции!$X:$X,"&lt;="&amp;S$9,операции!$AB:$AB,"&lt;&gt;"&amp;"",операции!$L:$L,V$9,операции!$O:$O,$F830)/V865)</f>
        <v>42339.138664878876</v>
      </c>
      <c r="W867" s="238"/>
      <c r="X867" s="193">
        <f>IF(X865=0,0,SUMIFS(операции!$AH:$AH,операции!$X:$X,"&gt;="&amp;X$8,операции!$X:$X,"&lt;="&amp;X$9,операции!$AB:$AB,"&lt;&gt;"&amp;"",операции!$O:$O,$F830)/X865)</f>
        <v>42179.709147555019</v>
      </c>
      <c r="Y867" s="196"/>
      <c r="Z867" s="193">
        <f>IF(Z865=0,0,SUMIFS(операции!$AH:$AH,операции!$X:$X,"&gt;="&amp;X$8,операции!$X:$X,"&lt;="&amp;X$9,операции!$AB:$AB,"&lt;&gt;"&amp;"",операции!$L:$L,Z$9,операции!$O:$O,$F830)/Z865)</f>
        <v>41917.984980838846</v>
      </c>
      <c r="AA867" s="237">
        <f>IF(AA865=0,0,SUMIFS(операции!$AH:$AH,операции!$X:$X,"&gt;="&amp;X$8,операции!$X:$X,"&lt;="&amp;X$9,операции!$AB:$AB,"&lt;&gt;"&amp;"",операции!$L:$L,AA$9,операции!$O:$O,$F830)/AA865)</f>
        <v>42359.078042862922</v>
      </c>
      <c r="AB867" s="265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</row>
    <row r="868" spans="1:42" s="5" customFormat="1">
      <c r="A868" s="1"/>
      <c r="B868" s="1"/>
      <c r="C868" s="1"/>
      <c r="D868" s="168"/>
      <c r="E868" s="168" t="s">
        <v>296</v>
      </c>
      <c r="F868" s="168" t="str">
        <f t="shared" si="1450"/>
        <v>Гуливерт</v>
      </c>
      <c r="G868" s="168" t="s">
        <v>261</v>
      </c>
      <c r="H868" s="326"/>
      <c r="I868" s="327">
        <f>I863-I865</f>
        <v>6421.1900000000023</v>
      </c>
      <c r="J868" s="313">
        <f>I868-K868-L868</f>
        <v>0</v>
      </c>
      <c r="K868" s="327">
        <f t="shared" ref="K868:L868" si="1527">K863-K865</f>
        <v>2648.1700000000019</v>
      </c>
      <c r="L868" s="328">
        <f t="shared" si="1527"/>
        <v>3773.0200000000004</v>
      </c>
      <c r="M868" s="277"/>
      <c r="N868" s="169">
        <f>N863-N865</f>
        <v>549.94999999999982</v>
      </c>
      <c r="O868" s="170">
        <f>N868-P868-Q868</f>
        <v>0</v>
      </c>
      <c r="P868" s="169">
        <f t="shared" ref="P868:Q868" si="1528">P863-P865</f>
        <v>-57.400000000000091</v>
      </c>
      <c r="Q868" s="243">
        <f t="shared" si="1528"/>
        <v>607.34999999999991</v>
      </c>
      <c r="R868" s="244"/>
      <c r="S868" s="169">
        <f>S863-S865</f>
        <v>4485.9099999999962</v>
      </c>
      <c r="T868" s="170">
        <f>S868-U868-V868</f>
        <v>0</v>
      </c>
      <c r="U868" s="169">
        <f t="shared" ref="U868:V868" si="1529">U863-U865</f>
        <v>2139.2399999999998</v>
      </c>
      <c r="V868" s="243">
        <f t="shared" si="1529"/>
        <v>2346.6699999999983</v>
      </c>
      <c r="W868" s="244"/>
      <c r="X868" s="169">
        <f>X863-X865</f>
        <v>1385.33</v>
      </c>
      <c r="Y868" s="170">
        <f>X868-Z868-AA868</f>
        <v>0</v>
      </c>
      <c r="Z868" s="169">
        <f t="shared" ref="Z868:AA868" si="1530">Z863-Z865</f>
        <v>566.33000000000038</v>
      </c>
      <c r="AA868" s="243">
        <f t="shared" si="1530"/>
        <v>819</v>
      </c>
      <c r="AB868" s="266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s="211" customFormat="1">
      <c r="A869" s="210"/>
      <c r="B869" s="210"/>
      <c r="C869" s="210"/>
      <c r="D869" s="218"/>
      <c r="E869" s="218" t="s">
        <v>297</v>
      </c>
      <c r="F869" s="218" t="str">
        <f t="shared" si="1450"/>
        <v>Гуливерт</v>
      </c>
      <c r="G869" s="218" t="s">
        <v>218</v>
      </c>
      <c r="H869" s="343"/>
      <c r="I869" s="344">
        <f>IF(I863=0,0,(I868/I863))</f>
        <v>0.13898679653679658</v>
      </c>
      <c r="J869" s="345"/>
      <c r="K869" s="344">
        <f t="shared" ref="K869" si="1531">IF(K863=0,0,(K868/K863))</f>
        <v>0.12219315245478045</v>
      </c>
      <c r="L869" s="346">
        <f t="shared" ref="L869" si="1532">IF(L863=0,0,(L868/L863))</f>
        <v>0.15382501630789303</v>
      </c>
      <c r="M869" s="280"/>
      <c r="N869" s="219">
        <f>IF(N863=0,0,(N868/N863))</f>
        <v>9.2011042328927525E-2</v>
      </c>
      <c r="O869" s="220"/>
      <c r="P869" s="219">
        <f t="shared" ref="P869" si="1533">IF(P863=0,0,(P868/P863))</f>
        <v>-2.3163841807909643E-2</v>
      </c>
      <c r="Q869" s="252">
        <f t="shared" ref="Q869" si="1534">IF(Q863=0,0,(Q868/Q863))</f>
        <v>0.17357816519005428</v>
      </c>
      <c r="R869" s="253"/>
      <c r="S869" s="219">
        <f>IF(S863=0,0,(S868/S863))</f>
        <v>0.1470693725001638</v>
      </c>
      <c r="T869" s="220"/>
      <c r="U869" s="219">
        <f t="shared" ref="U869" si="1535">IF(U863=0,0,(U868/U863))</f>
        <v>0.14038850242814016</v>
      </c>
      <c r="V869" s="252">
        <f t="shared" ref="V869" si="1536">IF(V863=0,0,(V868/V863))</f>
        <v>0.15373886268343803</v>
      </c>
      <c r="W869" s="253"/>
      <c r="X869" s="219">
        <f>IF(X863=0,0,(X868/X863))</f>
        <v>0.14250900113157081</v>
      </c>
      <c r="Y869" s="220"/>
      <c r="Z869" s="219">
        <f t="shared" ref="Z869" si="1537">IF(Z863=0,0,(Z868/Z863))</f>
        <v>0.14315722952477258</v>
      </c>
      <c r="AA869" s="252">
        <f t="shared" ref="AA869" si="1538">IF(AA863=0,0,(AA868/AA863))</f>
        <v>0.14206418039895924</v>
      </c>
      <c r="AB869" s="267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</row>
    <row r="870" spans="1:42" s="5" customFormat="1">
      <c r="A870" s="1"/>
      <c r="B870" s="1"/>
      <c r="C870" s="1"/>
      <c r="D870" s="227"/>
      <c r="E870" s="227" t="s">
        <v>298</v>
      </c>
      <c r="F870" s="227" t="str">
        <f t="shared" si="1450"/>
        <v>Гуливерт</v>
      </c>
      <c r="G870" s="227" t="s">
        <v>219</v>
      </c>
      <c r="H870" s="347"/>
      <c r="I870" s="348">
        <f>I864-I866</f>
        <v>140.91420288741938</v>
      </c>
      <c r="J870" s="321"/>
      <c r="K870" s="348">
        <f t="shared" ref="K870:L870" si="1539">K864-K866</f>
        <v>288.36465534654417</v>
      </c>
      <c r="L870" s="349">
        <f t="shared" si="1539"/>
        <v>5.8353643819646095</v>
      </c>
      <c r="M870" s="281"/>
      <c r="N870" s="228">
        <f>N864-N866</f>
        <v>69.545886879117461</v>
      </c>
      <c r="O870" s="173"/>
      <c r="P870" s="228">
        <f t="shared" ref="P870:Q870" si="1540">P864-P866</f>
        <v>146.28076560200861</v>
      </c>
      <c r="Q870" s="254">
        <f t="shared" si="1540"/>
        <v>2</v>
      </c>
      <c r="R870" s="255"/>
      <c r="S870" s="228">
        <f>S864-S866</f>
        <v>141.33525409203139</v>
      </c>
      <c r="T870" s="173"/>
      <c r="U870" s="228">
        <f t="shared" ref="U870:V870" si="1541">U864-U866</f>
        <v>274.37141037594847</v>
      </c>
      <c r="V870" s="254">
        <f t="shared" si="1541"/>
        <v>6.4818441836614511</v>
      </c>
      <c r="W870" s="255"/>
      <c r="X870" s="228">
        <f>X864-X866</f>
        <v>185.24853516818257</v>
      </c>
      <c r="Y870" s="173"/>
      <c r="Z870" s="228">
        <f t="shared" ref="Z870:AA870" si="1542">Z864-Z866</f>
        <v>445.50273115817254</v>
      </c>
      <c r="AA870" s="254">
        <f t="shared" si="1542"/>
        <v>6.886161419301061</v>
      </c>
      <c r="AB870" s="266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s="5" customFormat="1">
      <c r="A871" s="1"/>
      <c r="B871" s="1"/>
      <c r="C871" s="1"/>
      <c r="D871" s="227"/>
      <c r="E871" s="227" t="s">
        <v>300</v>
      </c>
      <c r="F871" s="227" t="str">
        <f t="shared" si="1450"/>
        <v>Гуливерт</v>
      </c>
      <c r="G871" s="227" t="s">
        <v>219</v>
      </c>
      <c r="H871" s="347"/>
      <c r="I871" s="348">
        <f>I867-I866</f>
        <v>26.319543495643302</v>
      </c>
      <c r="J871" s="321"/>
      <c r="K871" s="348">
        <f t="shared" ref="K871:L871" si="1543">K867-K866</f>
        <v>30.307491709092574</v>
      </c>
      <c r="L871" s="349">
        <f t="shared" si="1543"/>
        <v>22.664225646083651</v>
      </c>
      <c r="M871" s="281"/>
      <c r="N871" s="228">
        <f>N867-N866</f>
        <v>27.966805170392036</v>
      </c>
      <c r="O871" s="173"/>
      <c r="P871" s="228">
        <f t="shared" ref="P871:Q871" si="1544">P867-P866</f>
        <v>31.350477242245688</v>
      </c>
      <c r="Q871" s="254">
        <f t="shared" si="1544"/>
        <v>25</v>
      </c>
      <c r="R871" s="255"/>
      <c r="S871" s="228">
        <f>S867-S866</f>
        <v>27.246615075513546</v>
      </c>
      <c r="T871" s="173"/>
      <c r="U871" s="228">
        <f t="shared" ref="U871:V871" si="1545">U867-U866</f>
        <v>32.811204266661662</v>
      </c>
      <c r="V871" s="254">
        <f t="shared" si="1545"/>
        <v>21.603868601319846</v>
      </c>
      <c r="W871" s="255"/>
      <c r="X871" s="228">
        <f>X867-X866</f>
        <v>22.353629642238957</v>
      </c>
      <c r="Y871" s="173"/>
      <c r="Z871" s="228">
        <f t="shared" ref="Z871:AA871" si="1546">Z867-Z866</f>
        <v>19.85222160268313</v>
      </c>
      <c r="AA871" s="254">
        <f t="shared" si="1546"/>
        <v>24.067933683785668</v>
      </c>
      <c r="AB871" s="266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s="93" customFormat="1" ht="15">
      <c r="A872" s="92"/>
      <c r="B872" s="92"/>
      <c r="C872" s="92"/>
      <c r="D872" s="221"/>
      <c r="E872" s="221" t="s">
        <v>301</v>
      </c>
      <c r="F872" s="221" t="str">
        <f t="shared" si="1450"/>
        <v>Гуливерт</v>
      </c>
      <c r="G872" s="221" t="s">
        <v>219</v>
      </c>
      <c r="H872" s="357"/>
      <c r="I872" s="358">
        <f>I870-I871</f>
        <v>114.59465939177608</v>
      </c>
      <c r="J872" s="352"/>
      <c r="K872" s="358">
        <f t="shared" ref="K872" si="1547">K870-K871</f>
        <v>258.05716363745159</v>
      </c>
      <c r="L872" s="359">
        <f t="shared" ref="L872" si="1548">L870-L871</f>
        <v>-16.828861264119041</v>
      </c>
      <c r="M872" s="284"/>
      <c r="N872" s="222">
        <f>N870-N871</f>
        <v>41.579081708725425</v>
      </c>
      <c r="O872" s="181"/>
      <c r="P872" s="222">
        <f t="shared" ref="P872" si="1549">P870-P871</f>
        <v>114.93028835976293</v>
      </c>
      <c r="Q872" s="260">
        <f t="shared" ref="Q872" si="1550">Q870-Q871</f>
        <v>-23</v>
      </c>
      <c r="R872" s="261"/>
      <c r="S872" s="222">
        <f>S870-S871</f>
        <v>114.08863901651785</v>
      </c>
      <c r="T872" s="181"/>
      <c r="U872" s="222">
        <f t="shared" ref="U872" si="1551">U870-U871</f>
        <v>241.56020610928681</v>
      </c>
      <c r="V872" s="260">
        <f t="shared" ref="V872" si="1552">V870-V871</f>
        <v>-15.122024417658395</v>
      </c>
      <c r="W872" s="261"/>
      <c r="X872" s="222">
        <f>X870-X871</f>
        <v>162.89490552594361</v>
      </c>
      <c r="Y872" s="181"/>
      <c r="Z872" s="222">
        <f t="shared" ref="Z872" si="1553">Z870-Z871</f>
        <v>425.65050955548941</v>
      </c>
      <c r="AA872" s="260">
        <f t="shared" ref="AA872" si="1554">AA870-AA871</f>
        <v>-17.181772264484607</v>
      </c>
      <c r="AB872" s="264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</row>
    <row r="873" spans="1:42" s="5" customFormat="1">
      <c r="A873" s="1"/>
      <c r="B873" s="1"/>
      <c r="C873" s="1"/>
      <c r="D873" s="223"/>
      <c r="E873" s="223" t="s">
        <v>302</v>
      </c>
      <c r="F873" s="223" t="str">
        <f t="shared" si="1450"/>
        <v>Гуливерт</v>
      </c>
      <c r="G873" s="223" t="s">
        <v>261</v>
      </c>
      <c r="H873" s="354"/>
      <c r="I873" s="355">
        <f>SUMIFS(операции!$Z:$Z,операции!$X:$X,"&gt;="&amp;I$8,операции!$X:$X,"&lt;="&amp;I$9,операции!$AB:$AB,"",операции!$O:$O,$F830)</f>
        <v>15471</v>
      </c>
      <c r="J873" s="341">
        <f>I873-K873-L873</f>
        <v>0</v>
      </c>
      <c r="K873" s="355">
        <f>SUMIFS(операции!$Z:$Z,операции!$X:$X,"&gt;="&amp;I$8,операции!$X:$X,"&lt;="&amp;I$9,операции!$AB:$AB,"",операции!$L:$L,K$9,операции!$O:$O,$F830)</f>
        <v>3607</v>
      </c>
      <c r="L873" s="356">
        <f>SUMIFS(операции!$Z:$Z,операции!$X:$X,"&gt;="&amp;I$8,операции!$X:$X,"&lt;="&amp;I$9,операции!$AB:$AB,"",операции!$L:$L,L$9,операции!$O:$O,$F830)</f>
        <v>11864</v>
      </c>
      <c r="M873" s="283"/>
      <c r="N873" s="224">
        <f>SUMIFS(операции!$Z:$Z,операции!$X:$X,"&gt;="&amp;N$8,операции!$X:$X,"&lt;="&amp;N$9,операции!$AB:$AB,"",операции!$O:$O,$F830)</f>
        <v>3499</v>
      </c>
      <c r="O873" s="216">
        <f>N873-P873-Q873</f>
        <v>0</v>
      </c>
      <c r="P873" s="224">
        <f>SUMIFS(операции!$Z:$Z,операции!$X:$X,"&gt;="&amp;N$8,операции!$X:$X,"&lt;="&amp;N$9,операции!$AB:$AB,"",операции!$L:$L,P$9,операции!$O:$O,$F830)</f>
        <v>0</v>
      </c>
      <c r="Q873" s="258">
        <f>SUMIFS(операции!$Z:$Z,операции!$X:$X,"&gt;="&amp;N$8,операции!$X:$X,"&lt;="&amp;N$9,операции!$AB:$AB,"",операции!$L:$L,Q$9,операции!$O:$O,$F830)</f>
        <v>3499</v>
      </c>
      <c r="R873" s="259"/>
      <c r="S873" s="224">
        <f>SUMIFS(операции!$Z:$Z,операции!$X:$X,"&gt;="&amp;S$8,операции!$X:$X,"&lt;="&amp;S$9,операции!$AB:$AB,"",операции!$O:$O,$F830)</f>
        <v>8760</v>
      </c>
      <c r="T873" s="216">
        <f>S873-U873-V873</f>
        <v>0</v>
      </c>
      <c r="U873" s="224">
        <f>SUMIFS(операции!$Z:$Z,операции!$X:$X,"&gt;="&amp;S$8,операции!$X:$X,"&lt;="&amp;S$9,операции!$AB:$AB,"",операции!$L:$L,U$9,операции!$O:$O,$F830)</f>
        <v>3607</v>
      </c>
      <c r="V873" s="258">
        <f>SUMIFS(операции!$Z:$Z,операции!$X:$X,"&gt;="&amp;S$8,операции!$X:$X,"&lt;="&amp;S$9,операции!$AB:$AB,"",операции!$L:$L,V$9,операции!$O:$O,$F830)</f>
        <v>5153</v>
      </c>
      <c r="W873" s="259"/>
      <c r="X873" s="224">
        <f>SUMIFS(операции!$Z:$Z,операции!$X:$X,"&gt;="&amp;X$8,операции!$X:$X,"&lt;="&amp;X$9,операции!$AB:$AB,"",операции!$O:$O,$F830)</f>
        <v>3212</v>
      </c>
      <c r="Y873" s="216">
        <f>X873-Z873-AA873</f>
        <v>0</v>
      </c>
      <c r="Z873" s="224">
        <f>SUMIFS(операции!$Z:$Z,операции!$X:$X,"&gt;="&amp;X$8,операции!$X:$X,"&lt;="&amp;X$9,операции!$AB:$AB,"",операции!$L:$L,Z$9,операции!$O:$O,$F830)</f>
        <v>0</v>
      </c>
      <c r="AA873" s="258">
        <f>SUMIFS(операции!$Z:$Z,операции!$X:$X,"&gt;="&amp;X$8,операции!$X:$X,"&lt;="&amp;X$9,операции!$AB:$AB,"",операции!$L:$L,AA$9,операции!$O:$O,$F830)</f>
        <v>3212</v>
      </c>
      <c r="AB873" s="266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s="192" customFormat="1" ht="11.25">
      <c r="A874" s="37"/>
      <c r="B874" s="37"/>
      <c r="C874" s="37"/>
      <c r="D874" s="191"/>
      <c r="E874" s="191" t="s">
        <v>303</v>
      </c>
      <c r="F874" s="191" t="str">
        <f t="shared" si="1450"/>
        <v>Гуливерт</v>
      </c>
      <c r="G874" s="191" t="s">
        <v>262</v>
      </c>
      <c r="H874" s="315"/>
      <c r="I874" s="316">
        <f>IF(I873=0,0,SUMIFS(операции!$AG:$AG,операции!$X:$X,"&gt;="&amp;I$8,операции!$X:$X,"&lt;="&amp;I$9,операции!$AB:$AB,"",операции!$O:$O,$F830)/I873)</f>
        <v>42327.113567319502</v>
      </c>
      <c r="J874" s="317"/>
      <c r="K874" s="316">
        <f>IF(K873=0,0,SUMIFS(операции!$AG:$AG,операции!$X:$X,"&gt;="&amp;I$8,операции!$X:$X,"&lt;="&amp;I$9,операции!$AB:$AB,"",операции!$L:$L,K$9,операции!$O:$O,$F830)/K873)</f>
        <v>42325.156362628222</v>
      </c>
      <c r="L874" s="318">
        <f>IF(L873=0,0,SUMIFS(операции!$AG:$AG,операции!$X:$X,"&gt;="&amp;I$8,операции!$X:$X,"&lt;="&amp;I$9,операции!$AB:$AB,"",операции!$L:$L,L$9,операции!$O:$O,$F830)/L873)</f>
        <v>42327.708614295349</v>
      </c>
      <c r="M874" s="274"/>
      <c r="N874" s="193">
        <f>IF(N873=0,0,SUMIFS(операции!$AG:$AG,операции!$X:$X,"&gt;="&amp;N$8,операции!$X:$X,"&lt;="&amp;N$9,операции!$AB:$AB,"",операции!$O:$O,$F830)/N873)</f>
        <v>42306</v>
      </c>
      <c r="O874" s="196"/>
      <c r="P874" s="193">
        <f>IF(P873=0,0,SUMIFS(операции!$AG:$AG,операции!$X:$X,"&gt;="&amp;N$8,операции!$X:$X,"&lt;="&amp;N$9,операции!$AB:$AB,"",операции!$L:$L,P$9,операции!$O:$O,$F830)/P873)</f>
        <v>0</v>
      </c>
      <c r="Q874" s="237">
        <f>IF(Q873=0,0,SUMIFS(операции!$AG:$AG,операции!$X:$X,"&gt;="&amp;N$8,операции!$X:$X,"&lt;="&amp;N$9,операции!$AB:$AB,"",операции!$L:$L,Q$9,операции!$O:$O,$F830)/Q873)</f>
        <v>42306</v>
      </c>
      <c r="R874" s="238"/>
      <c r="S874" s="193">
        <f>IF(S873=0,0,SUMIFS(операции!$AG:$AG,операции!$X:$X,"&gt;="&amp;S$8,операции!$X:$X,"&lt;="&amp;S$9,операции!$AB:$AB,"",операции!$O:$O,$F830)/S873)</f>
        <v>42328.255251141556</v>
      </c>
      <c r="T874" s="196"/>
      <c r="U874" s="193">
        <f>IF(U873=0,0,SUMIFS(операции!$AG:$AG,операции!$X:$X,"&gt;="&amp;S$8,операции!$X:$X,"&lt;="&amp;S$9,операции!$AB:$AB,"",операции!$L:$L,U$9,операции!$O:$O,$F830)/U873)</f>
        <v>42325.156362628222</v>
      </c>
      <c r="V874" s="237">
        <f>IF(V873=0,0,SUMIFS(операции!$AG:$AG,операции!$X:$X,"&gt;="&amp;S$8,операции!$X:$X,"&lt;="&amp;S$9,операции!$AB:$AB,"",операции!$L:$L,V$9,операции!$O:$O,$F830)/V873)</f>
        <v>42330.424412963323</v>
      </c>
      <c r="W874" s="238"/>
      <c r="X874" s="193">
        <f>IF(X873=0,0,SUMIFS(операции!$AG:$AG,операции!$X:$X,"&gt;="&amp;X$8,операции!$X:$X,"&lt;="&amp;X$9,операции!$AB:$AB,"",операции!$O:$O,$F830)/X873)</f>
        <v>42347</v>
      </c>
      <c r="Y874" s="196"/>
      <c r="Z874" s="193">
        <f>IF(Z873=0,0,SUMIFS(операции!$AG:$AG,операции!$X:$X,"&gt;="&amp;X$8,операции!$X:$X,"&lt;="&amp;X$9,операции!$AB:$AB,"",операции!$L:$L,Z$9,операции!$O:$O,$F830)/Z873)</f>
        <v>0</v>
      </c>
      <c r="AA874" s="237">
        <f>IF(AA873=0,0,SUMIFS(операции!$AG:$AG,операции!$X:$X,"&gt;="&amp;X$8,операции!$X:$X,"&lt;="&amp;X$9,операции!$AB:$AB,"",операции!$L:$L,AA$9,операции!$O:$O,$F830)/AA873)</f>
        <v>42347</v>
      </c>
      <c r="AB874" s="265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</row>
    <row r="875" spans="1:42" s="5" customFormat="1">
      <c r="A875" s="1"/>
      <c r="B875" s="1"/>
      <c r="C875" s="1"/>
      <c r="D875" s="168"/>
      <c r="E875" s="168" t="s">
        <v>304</v>
      </c>
      <c r="F875" s="168" t="str">
        <f t="shared" si="1450"/>
        <v>Гуливерт</v>
      </c>
      <c r="G875" s="168" t="s">
        <v>261</v>
      </c>
      <c r="H875" s="326"/>
      <c r="I875" s="327">
        <f>SUMIFS(операции!$V:$V,операции!$X:$X,"&gt;="&amp;I$8,операции!$X:$X,"&lt;="&amp;I$9,операции!$AB:$AB,"",операции!$O:$O,$F830)</f>
        <v>13204.42</v>
      </c>
      <c r="J875" s="313">
        <f>I875-K875-L875</f>
        <v>0</v>
      </c>
      <c r="K875" s="327">
        <f>SUMIFS(операции!$V:$V,операции!$X:$X,"&gt;="&amp;I$8,операции!$X:$X,"&lt;="&amp;I$9,операции!$AB:$AB,"",операции!$L:$L,K$9,операции!$O:$O,$F830)</f>
        <v>2851.87</v>
      </c>
      <c r="L875" s="328">
        <f>SUMIFS(операции!$V:$V,операции!$X:$X,"&gt;="&amp;I$8,операции!$X:$X,"&lt;="&amp;I$9,операции!$AB:$AB,"",операции!$L:$L,L$9,операции!$O:$O,$F830)</f>
        <v>10352.549999999999</v>
      </c>
      <c r="M875" s="277"/>
      <c r="N875" s="169">
        <f>SUMIFS(операции!$V:$V,операции!$X:$X,"&gt;="&amp;N$8,операции!$X:$X,"&lt;="&amp;N$9,операции!$AB:$AB,"",операции!$O:$O,$F830)</f>
        <v>2891.65</v>
      </c>
      <c r="O875" s="170">
        <f>N875-P875-Q875</f>
        <v>0</v>
      </c>
      <c r="P875" s="169">
        <f>SUMIFS(операции!$V:$V,операции!$X:$X,"&gt;="&amp;N$8,операции!$X:$X,"&lt;="&amp;N$9,операции!$AB:$AB,"",операции!$L:$L,P$9,операции!$O:$O,$F830)</f>
        <v>0</v>
      </c>
      <c r="Q875" s="243">
        <f>SUMIFS(операции!$V:$V,операции!$X:$X,"&gt;="&amp;N$8,операции!$X:$X,"&lt;="&amp;N$9,операции!$AB:$AB,"",операции!$L:$L,Q$9,операции!$O:$O,$F830)</f>
        <v>2891.65</v>
      </c>
      <c r="R875" s="244"/>
      <c r="S875" s="169">
        <f>SUMIFS(операции!$V:$V,операции!$X:$X,"&gt;="&amp;S$8,операции!$X:$X,"&lt;="&amp;S$9,операции!$AB:$AB,"",операции!$O:$O,$F830)</f>
        <v>7292.77</v>
      </c>
      <c r="T875" s="170">
        <f>S875-U875-V875</f>
        <v>0</v>
      </c>
      <c r="U875" s="169">
        <f>SUMIFS(операции!$V:$V,операции!$X:$X,"&gt;="&amp;S$8,операции!$X:$X,"&lt;="&amp;S$9,операции!$AB:$AB,"",операции!$L:$L,U$9,операции!$O:$O,$F830)</f>
        <v>2851.87</v>
      </c>
      <c r="V875" s="243">
        <f>SUMIFS(операции!$V:$V,операции!$X:$X,"&gt;="&amp;S$8,операции!$X:$X,"&lt;="&amp;S$9,операции!$AB:$AB,"",операции!$L:$L,V$9,операции!$O:$O,$F830)</f>
        <v>4440.8999999999996</v>
      </c>
      <c r="W875" s="244"/>
      <c r="X875" s="169">
        <f>SUMIFS(операции!$V:$V,операции!$X:$X,"&gt;="&amp;X$8,операции!$X:$X,"&lt;="&amp;X$9,операции!$AB:$AB,"",операции!$O:$O,$F830)</f>
        <v>3020</v>
      </c>
      <c r="Y875" s="170">
        <f>X875-Z875-AA875</f>
        <v>0</v>
      </c>
      <c r="Z875" s="169">
        <f>SUMIFS(операции!$V:$V,операции!$X:$X,"&gt;="&amp;X$8,операции!$X:$X,"&lt;="&amp;X$9,операции!$AB:$AB,"",операции!$L:$L,Z$9,операции!$O:$O,$F830)</f>
        <v>0</v>
      </c>
      <c r="AA875" s="243">
        <f>SUMIFS(операции!$V:$V,операции!$X:$X,"&gt;="&amp;X$8,операции!$X:$X,"&lt;="&amp;X$9,операции!$AB:$AB,"",операции!$L:$L,AA$9,операции!$O:$O,$F830)</f>
        <v>3020</v>
      </c>
      <c r="AB875" s="266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s="192" customFormat="1" ht="11.25">
      <c r="A876" s="37"/>
      <c r="B876" s="37"/>
      <c r="C876" s="37"/>
      <c r="D876" s="191"/>
      <c r="E876" s="191" t="s">
        <v>305</v>
      </c>
      <c r="F876" s="191" t="str">
        <f t="shared" si="1450"/>
        <v>Гуливерт</v>
      </c>
      <c r="G876" s="191" t="s">
        <v>262</v>
      </c>
      <c r="H876" s="315"/>
      <c r="I876" s="316">
        <f>IF(I875=0,0,SUMIFS(операции!$AF:$AF,операции!$X:$X,"&gt;="&amp;I$8,операции!$X:$X,"&lt;="&amp;I$9,операции!$AB:$AB,"",операции!$O:$O,$F830)/I875)</f>
        <v>42228.255770416268</v>
      </c>
      <c r="J876" s="317"/>
      <c r="K876" s="316">
        <f>IF(K875=0,0,SUMIFS(операции!$AF:$AF,операции!$X:$X,"&gt;="&amp;I$8,операции!$X:$X,"&lt;="&amp;I$9,операции!$AB:$AB,"",операции!$L:$L,K$9,операции!$O:$O,$F830)/K875)</f>
        <v>41885.013794457678</v>
      </c>
      <c r="L876" s="318">
        <f>IF(L875=0,0,SUMIFS(операции!$AF:$AF,операции!$X:$X,"&gt;="&amp;I$8,операции!$X:$X,"&lt;="&amp;I$9,операции!$AB:$AB,"",операции!$L:$L,L$9,операции!$O:$O,$F830)/L875)</f>
        <v>42322.81039647237</v>
      </c>
      <c r="M876" s="274"/>
      <c r="N876" s="193">
        <f>IF(N875=0,0,SUMIFS(операции!$AF:$AF,операции!$X:$X,"&gt;="&amp;N$8,операции!$X:$X,"&lt;="&amp;N$9,операции!$AB:$AB,"",операции!$O:$O,$F830)/N875)</f>
        <v>42304</v>
      </c>
      <c r="O876" s="196"/>
      <c r="P876" s="193">
        <f>IF(P875=0,0,SUMIFS(операции!$AF:$AF,операции!$X:$X,"&gt;="&amp;N$8,операции!$X:$X,"&lt;="&amp;N$9,операции!$AB:$AB,"",операции!$L:$L,P$9,операции!$O:$O,$F830)/P875)</f>
        <v>0</v>
      </c>
      <c r="Q876" s="237">
        <f>IF(Q875=0,0,SUMIFS(операции!$AF:$AF,операции!$X:$X,"&gt;="&amp;N$8,операции!$X:$X,"&lt;="&amp;N$9,операции!$AB:$AB,"",операции!$L:$L,Q$9,операции!$O:$O,$F830)/Q875)</f>
        <v>42304</v>
      </c>
      <c r="R876" s="238"/>
      <c r="S876" s="193">
        <f>IF(S875=0,0,SUMIFS(операции!$AF:$AF,операции!$X:$X,"&gt;="&amp;S$8,операции!$X:$X,"&lt;="&amp;S$9,операции!$AB:$AB,"",операции!$O:$O,$F830)/S875)</f>
        <v>42154.018769274218</v>
      </c>
      <c r="T876" s="196"/>
      <c r="U876" s="193">
        <f>IF(U875=0,0,SUMIFS(операции!$AF:$AF,операции!$X:$X,"&gt;="&amp;S$8,операции!$X:$X,"&lt;="&amp;S$9,операции!$AB:$AB,"",операции!$L:$L,U$9,операции!$O:$O,$F830)/U875)</f>
        <v>41885.013794457678</v>
      </c>
      <c r="V876" s="237">
        <f>IF(V875=0,0,SUMIFS(операции!$AF:$AF,операции!$X:$X,"&gt;="&amp;S$8,операции!$X:$X,"&lt;="&amp;S$9,операции!$AB:$AB,"",операции!$L:$L,V$9,операции!$O:$O,$F830)/V875)</f>
        <v>42326.769161656419</v>
      </c>
      <c r="W876" s="238"/>
      <c r="X876" s="193">
        <f>IF(X875=0,0,SUMIFS(операции!$AF:$AF,операции!$X:$X,"&gt;="&amp;X$8,операции!$X:$X,"&lt;="&amp;X$9,операции!$AB:$AB,"",операции!$O:$O,$F830)/X875)</f>
        <v>42335</v>
      </c>
      <c r="Y876" s="196"/>
      <c r="Z876" s="193">
        <f>IF(Z875=0,0,SUMIFS(операции!$AF:$AF,операции!$X:$X,"&gt;="&amp;X$8,операции!$X:$X,"&lt;="&amp;X$9,операции!$AB:$AB,"",операции!$L:$L,Z$9,операции!$O:$O,$F830)/Z875)</f>
        <v>0</v>
      </c>
      <c r="AA876" s="237">
        <f>IF(AA875=0,0,SUMIFS(операции!$AF:$AF,операции!$X:$X,"&gt;="&amp;X$8,операции!$X:$X,"&lt;="&amp;X$9,операции!$AB:$AB,"",операции!$L:$L,AA$9,операции!$O:$O,$F830)/AA875)</f>
        <v>42335</v>
      </c>
      <c r="AB876" s="265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</row>
    <row r="877" spans="1:42" s="192" customFormat="1" ht="11.25">
      <c r="A877" s="37"/>
      <c r="B877" s="37"/>
      <c r="C877" s="37"/>
      <c r="D877" s="191"/>
      <c r="E877" s="191" t="s">
        <v>307</v>
      </c>
      <c r="F877" s="191" t="str">
        <f t="shared" si="1450"/>
        <v>Гуливерт</v>
      </c>
      <c r="G877" s="191" t="s">
        <v>262</v>
      </c>
      <c r="H877" s="315"/>
      <c r="I877" s="316">
        <f>I$9</f>
        <v>42369</v>
      </c>
      <c r="J877" s="317"/>
      <c r="K877" s="316">
        <f>I$9</f>
        <v>42369</v>
      </c>
      <c r="L877" s="318">
        <f>I$9</f>
        <v>42369</v>
      </c>
      <c r="M877" s="274"/>
      <c r="N877" s="193">
        <f>N$9</f>
        <v>42308</v>
      </c>
      <c r="O877" s="196"/>
      <c r="P877" s="193">
        <f>N$9</f>
        <v>42308</v>
      </c>
      <c r="Q877" s="237">
        <f>N$9</f>
        <v>42308</v>
      </c>
      <c r="R877" s="238"/>
      <c r="S877" s="193">
        <f>S$9</f>
        <v>42338</v>
      </c>
      <c r="T877" s="196"/>
      <c r="U877" s="193">
        <f>S$9</f>
        <v>42338</v>
      </c>
      <c r="V877" s="237">
        <f>S$9</f>
        <v>42338</v>
      </c>
      <c r="W877" s="238"/>
      <c r="X877" s="193">
        <f>X$9</f>
        <v>42369</v>
      </c>
      <c r="Y877" s="196"/>
      <c r="Z877" s="193">
        <f>X$9</f>
        <v>42369</v>
      </c>
      <c r="AA877" s="237">
        <f>X$9</f>
        <v>42369</v>
      </c>
      <c r="AB877" s="265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</row>
    <row r="878" spans="1:42" s="5" customFormat="1">
      <c r="A878" s="1"/>
      <c r="B878" s="1"/>
      <c r="C878" s="1"/>
      <c r="D878" s="168"/>
      <c r="E878" s="168" t="s">
        <v>380</v>
      </c>
      <c r="F878" s="168" t="str">
        <f t="shared" si="1450"/>
        <v>Гуливерт</v>
      </c>
      <c r="G878" s="168" t="s">
        <v>261</v>
      </c>
      <c r="H878" s="326"/>
      <c r="I878" s="327">
        <f>I873-I875</f>
        <v>2266.58</v>
      </c>
      <c r="J878" s="313">
        <f>I878-K878-L878</f>
        <v>0</v>
      </c>
      <c r="K878" s="327">
        <f t="shared" ref="K878:L878" si="1555">K873-K875</f>
        <v>755.13000000000011</v>
      </c>
      <c r="L878" s="328">
        <f t="shared" si="1555"/>
        <v>1511.4500000000007</v>
      </c>
      <c r="M878" s="277"/>
      <c r="N878" s="169">
        <f>N873-N875</f>
        <v>607.34999999999991</v>
      </c>
      <c r="O878" s="170">
        <f>N878-P878-Q878</f>
        <v>0</v>
      </c>
      <c r="P878" s="169">
        <f t="shared" ref="P878:Q878" si="1556">P873-P875</f>
        <v>0</v>
      </c>
      <c r="Q878" s="243">
        <f t="shared" si="1556"/>
        <v>607.34999999999991</v>
      </c>
      <c r="R878" s="244"/>
      <c r="S878" s="169">
        <f>S873-S875</f>
        <v>1467.2299999999996</v>
      </c>
      <c r="T878" s="170">
        <f>S878-U878-V878</f>
        <v>-9.0949470177292824E-13</v>
      </c>
      <c r="U878" s="169">
        <f t="shared" ref="U878:V878" si="1557">U873-U875</f>
        <v>755.13000000000011</v>
      </c>
      <c r="V878" s="243">
        <f t="shared" si="1557"/>
        <v>712.10000000000036</v>
      </c>
      <c r="W878" s="244"/>
      <c r="X878" s="169">
        <f>X873-X875</f>
        <v>192</v>
      </c>
      <c r="Y878" s="170">
        <f>X878-Z878-AA878</f>
        <v>0</v>
      </c>
      <c r="Z878" s="169">
        <f t="shared" ref="Z878:AA878" si="1558">Z873-Z875</f>
        <v>0</v>
      </c>
      <c r="AA878" s="243">
        <f t="shared" si="1558"/>
        <v>192</v>
      </c>
      <c r="AB878" s="266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s="211" customFormat="1">
      <c r="A879" s="210"/>
      <c r="B879" s="210"/>
      <c r="C879" s="210"/>
      <c r="D879" s="218"/>
      <c r="E879" s="218" t="s">
        <v>381</v>
      </c>
      <c r="F879" s="218" t="str">
        <f t="shared" si="1450"/>
        <v>Гуливерт</v>
      </c>
      <c r="G879" s="218" t="s">
        <v>218</v>
      </c>
      <c r="H879" s="343"/>
      <c r="I879" s="344">
        <f>IF(I873=0,0,(I878/I873))</f>
        <v>0.14650507400943702</v>
      </c>
      <c r="J879" s="345"/>
      <c r="K879" s="344">
        <f t="shared" ref="K879" si="1559">IF(K873=0,0,(K878/K873))</f>
        <v>0.2093512614360965</v>
      </c>
      <c r="L879" s="346">
        <f t="shared" ref="L879" si="1560">IF(L873=0,0,(L878/L873))</f>
        <v>0.12739801078894139</v>
      </c>
      <c r="M879" s="280"/>
      <c r="N879" s="219">
        <f>IF(N873=0,0,(N878/N873))</f>
        <v>0.17357816519005428</v>
      </c>
      <c r="O879" s="220"/>
      <c r="P879" s="219">
        <f t="shared" ref="P879" si="1561">IF(P873=0,0,(P878/P873))</f>
        <v>0</v>
      </c>
      <c r="Q879" s="252">
        <f t="shared" ref="Q879" si="1562">IF(Q873=0,0,(Q878/Q873))</f>
        <v>0.17357816519005428</v>
      </c>
      <c r="R879" s="253"/>
      <c r="S879" s="219">
        <f>IF(S873=0,0,(S878/S873))</f>
        <v>0.16749200913242004</v>
      </c>
      <c r="T879" s="220"/>
      <c r="U879" s="219">
        <f t="shared" ref="U879" si="1563">IF(U873=0,0,(U878/U873))</f>
        <v>0.2093512614360965</v>
      </c>
      <c r="V879" s="252">
        <f t="shared" ref="V879" si="1564">IF(V873=0,0,(V878/V873))</f>
        <v>0.13819134484766163</v>
      </c>
      <c r="W879" s="253"/>
      <c r="X879" s="219">
        <f>IF(X873=0,0,(X878/X873))</f>
        <v>5.9775840597758409E-2</v>
      </c>
      <c r="Y879" s="220"/>
      <c r="Z879" s="219">
        <f t="shared" ref="Z879" si="1565">IF(Z873=0,0,(Z878/Z873))</f>
        <v>0</v>
      </c>
      <c r="AA879" s="252">
        <f t="shared" ref="AA879" si="1566">IF(AA873=0,0,(AA878/AA873))</f>
        <v>5.9775840597758409E-2</v>
      </c>
      <c r="AB879" s="267"/>
      <c r="AC879" s="210"/>
      <c r="AD879" s="210"/>
      <c r="AE879" s="210"/>
      <c r="AF879" s="210"/>
      <c r="AG879" s="210"/>
      <c r="AH879" s="210"/>
      <c r="AI879" s="210"/>
      <c r="AJ879" s="210"/>
      <c r="AK879" s="210"/>
      <c r="AL879" s="210"/>
      <c r="AM879" s="210"/>
      <c r="AN879" s="210"/>
      <c r="AO879" s="210"/>
      <c r="AP879" s="210"/>
    </row>
    <row r="880" spans="1:42" s="5" customFormat="1">
      <c r="A880" s="1"/>
      <c r="B880" s="1"/>
      <c r="C880" s="1"/>
      <c r="D880" s="227"/>
      <c r="E880" s="227" t="s">
        <v>306</v>
      </c>
      <c r="F880" s="227" t="str">
        <f t="shared" si="1450"/>
        <v>Гуливерт</v>
      </c>
      <c r="G880" s="227" t="s">
        <v>219</v>
      </c>
      <c r="H880" s="347"/>
      <c r="I880" s="348">
        <f>I874-I876</f>
        <v>98.857796903233975</v>
      </c>
      <c r="J880" s="321"/>
      <c r="K880" s="348">
        <f t="shared" ref="K880:L880" si="1567">K874-K876</f>
        <v>440.14256817054411</v>
      </c>
      <c r="L880" s="349">
        <f t="shared" si="1567"/>
        <v>4.8982178229780402</v>
      </c>
      <c r="M880" s="281"/>
      <c r="N880" s="228">
        <f>N874-N876</f>
        <v>2</v>
      </c>
      <c r="O880" s="173"/>
      <c r="P880" s="228">
        <f t="shared" ref="P880:Q880" si="1568">P874-P876</f>
        <v>0</v>
      </c>
      <c r="Q880" s="254">
        <f t="shared" si="1568"/>
        <v>2</v>
      </c>
      <c r="R880" s="255"/>
      <c r="S880" s="228">
        <f>S874-S876</f>
        <v>174.23648186733772</v>
      </c>
      <c r="T880" s="173"/>
      <c r="U880" s="228">
        <f t="shared" ref="U880:V880" si="1569">U874-U876</f>
        <v>440.14256817054411</v>
      </c>
      <c r="V880" s="254">
        <f t="shared" si="1569"/>
        <v>3.655251306903665</v>
      </c>
      <c r="W880" s="255"/>
      <c r="X880" s="228">
        <f>X874-X876</f>
        <v>12</v>
      </c>
      <c r="Y880" s="173"/>
      <c r="Z880" s="228">
        <f t="shared" ref="Z880:AA880" si="1570">Z874-Z876</f>
        <v>0</v>
      </c>
      <c r="AA880" s="254">
        <f t="shared" si="1570"/>
        <v>12</v>
      </c>
      <c r="AB880" s="266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s="5" customFormat="1">
      <c r="A881" s="1"/>
      <c r="B881" s="1"/>
      <c r="C881" s="1"/>
      <c r="D881" s="227"/>
      <c r="E881" s="227" t="s">
        <v>382</v>
      </c>
      <c r="F881" s="227" t="str">
        <f t="shared" si="1450"/>
        <v>Гуливерт</v>
      </c>
      <c r="G881" s="227" t="s">
        <v>219</v>
      </c>
      <c r="H881" s="347"/>
      <c r="I881" s="348">
        <f>I877-I876</f>
        <v>140.74422958373179</v>
      </c>
      <c r="J881" s="321"/>
      <c r="K881" s="348">
        <f t="shared" ref="K881:L881" si="1571">K877-K876</f>
        <v>483.98620554232184</v>
      </c>
      <c r="L881" s="349">
        <f t="shared" si="1571"/>
        <v>46.189603527629515</v>
      </c>
      <c r="M881" s="281"/>
      <c r="N881" s="228">
        <f>N877-N876</f>
        <v>4</v>
      </c>
      <c r="O881" s="173"/>
      <c r="P881" s="228">
        <f t="shared" ref="P881:Q881" si="1572">P877-P876</f>
        <v>42308</v>
      </c>
      <c r="Q881" s="254">
        <f t="shared" si="1572"/>
        <v>4</v>
      </c>
      <c r="R881" s="255"/>
      <c r="S881" s="228">
        <f>S877-S876</f>
        <v>183.98123072578164</v>
      </c>
      <c r="T881" s="173"/>
      <c r="U881" s="228">
        <f t="shared" ref="U881:V881" si="1573">U877-U876</f>
        <v>452.98620554232184</v>
      </c>
      <c r="V881" s="254">
        <f t="shared" si="1573"/>
        <v>11.230838343581127</v>
      </c>
      <c r="W881" s="255"/>
      <c r="X881" s="228">
        <f>X877-X876</f>
        <v>34</v>
      </c>
      <c r="Y881" s="173"/>
      <c r="Z881" s="228">
        <f t="shared" ref="Z881:AA881" si="1574">Z877-Z876</f>
        <v>42369</v>
      </c>
      <c r="AA881" s="254">
        <f t="shared" si="1574"/>
        <v>34</v>
      </c>
      <c r="AB881" s="266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s="5" customFormat="1">
      <c r="A882" s="1"/>
      <c r="B882" s="1"/>
      <c r="C882" s="1"/>
      <c r="D882" s="225"/>
      <c r="E882" s="225" t="s">
        <v>383</v>
      </c>
      <c r="F882" s="225" t="str">
        <f t="shared" si="1450"/>
        <v>Гуливерт</v>
      </c>
      <c r="G882" s="225" t="s">
        <v>219</v>
      </c>
      <c r="H882" s="350"/>
      <c r="I882" s="351">
        <f>I880-I881</f>
        <v>-41.886432680497819</v>
      </c>
      <c r="J882" s="352"/>
      <c r="K882" s="351">
        <f t="shared" ref="K882" si="1575">K880-K881</f>
        <v>-43.843637371777731</v>
      </c>
      <c r="L882" s="353">
        <f t="shared" ref="L882" si="1576">L880-L881</f>
        <v>-41.291385704651475</v>
      </c>
      <c r="M882" s="282"/>
      <c r="N882" s="226">
        <f>N880-N881</f>
        <v>-2</v>
      </c>
      <c r="O882" s="181"/>
      <c r="P882" s="226">
        <f t="shared" ref="P882" si="1577">P880-P881</f>
        <v>-42308</v>
      </c>
      <c r="Q882" s="256">
        <f t="shared" ref="Q882" si="1578">Q880-Q881</f>
        <v>-2</v>
      </c>
      <c r="R882" s="257"/>
      <c r="S882" s="226">
        <f>S880-S881</f>
        <v>-9.744748858443927</v>
      </c>
      <c r="T882" s="181"/>
      <c r="U882" s="226">
        <f t="shared" ref="U882" si="1579">U880-U881</f>
        <v>-12.843637371777731</v>
      </c>
      <c r="V882" s="256">
        <f t="shared" ref="V882" si="1580">V880-V881</f>
        <v>-7.5755870366774616</v>
      </c>
      <c r="W882" s="257"/>
      <c r="X882" s="226">
        <f>X880-X881</f>
        <v>-22</v>
      </c>
      <c r="Y882" s="181"/>
      <c r="Z882" s="226">
        <f t="shared" ref="Z882" si="1581">Z880-Z881</f>
        <v>-42369</v>
      </c>
      <c r="AA882" s="256">
        <f t="shared" ref="AA882" si="1582">AA880-AA881</f>
        <v>-22</v>
      </c>
      <c r="AB882" s="266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s="5" customFormat="1">
      <c r="A883" s="1"/>
      <c r="B883" s="1"/>
      <c r="C883" s="1"/>
      <c r="D883" s="168" t="s">
        <v>312</v>
      </c>
      <c r="E883" s="168"/>
      <c r="F883" s="168" t="str">
        <f t="shared" si="1450"/>
        <v>Гуливерт</v>
      </c>
      <c r="G883" s="168" t="s">
        <v>261</v>
      </c>
      <c r="H883" s="326"/>
      <c r="I883" s="327">
        <f>SUMIFS(операции!$AC:$AC,операции!$AB:$AB,"&gt;="&amp;I$8,операции!$AB:$AB,"&lt;="&amp;I$9,операции!$O:$O,$F830)</f>
        <v>25559.940000000002</v>
      </c>
      <c r="J883" s="313">
        <f>I883-K883-L883</f>
        <v>0</v>
      </c>
      <c r="K883" s="327">
        <f>SUMIFS(операции!$AC:$AC,операции!$AB:$AB,"&gt;="&amp;I$8,операции!$AB:$AB,"&lt;="&amp;I$9,операции!$L:$L,K$9,операции!$O:$O,$F830)</f>
        <v>4804.96</v>
      </c>
      <c r="L883" s="328">
        <f>SUMIFS(операции!$AC:$AC,операции!$AB:$AB,"&gt;="&amp;I$8,операции!$AB:$AB,"&lt;="&amp;I$9,операции!$L:$L,L$9,операции!$O:$O,$F830)</f>
        <v>20754.98</v>
      </c>
      <c r="M883" s="277"/>
      <c r="N883" s="169">
        <f>SUMIFS(операции!$AC:$AC,операции!$AB:$AB,"&gt;="&amp;N$8,операции!$AB:$AB,"&lt;="&amp;N$9,операции!$O:$O,$F830)</f>
        <v>4708.2699999999995</v>
      </c>
      <c r="O883" s="170">
        <f>N883-P883-Q883</f>
        <v>0</v>
      </c>
      <c r="P883" s="169">
        <f>SUMIFS(операции!$AC:$AC,операции!$AB:$AB,"&gt;="&amp;N$8,операции!$AB:$AB,"&lt;="&amp;N$9,операции!$L:$L,P$9,операции!$O:$O,$F830)</f>
        <v>4708.2699999999995</v>
      </c>
      <c r="Q883" s="243">
        <f>SUMIFS(операции!$AC:$AC,операции!$AB:$AB,"&gt;="&amp;N$8,операции!$AB:$AB,"&lt;="&amp;N$9,операции!$L:$L,Q$9,операции!$O:$O,$F830)</f>
        <v>0</v>
      </c>
      <c r="R883" s="244"/>
      <c r="S883" s="169">
        <f>SUMIFS(операции!$AC:$AC,операции!$AB:$AB,"&gt;="&amp;S$8,операции!$AB:$AB,"&lt;="&amp;S$9,операции!$O:$O,$F830)</f>
        <v>9857.1200000000008</v>
      </c>
      <c r="T883" s="170">
        <f>S883-U883-V883</f>
        <v>0</v>
      </c>
      <c r="U883" s="169">
        <f>SUMIFS(операции!$AC:$AC,операции!$AB:$AB,"&gt;="&amp;S$8,операции!$AB:$AB,"&lt;="&amp;S$9,операции!$L:$L,U$9,операции!$O:$O,$F830)</f>
        <v>96.69</v>
      </c>
      <c r="V883" s="243">
        <f>SUMIFS(операции!$AC:$AC,операции!$AB:$AB,"&gt;="&amp;S$8,операции!$AB:$AB,"&lt;="&amp;S$9,операции!$L:$L,V$9,операции!$O:$O,$F830)</f>
        <v>9760.43</v>
      </c>
      <c r="W883" s="244"/>
      <c r="X883" s="169">
        <f>SUMIFS(операции!$AC:$AC,операции!$AB:$AB,"&gt;="&amp;X$8,операции!$AB:$AB,"&lt;="&amp;X$9,операции!$O:$O,$F830)</f>
        <v>10994.55</v>
      </c>
      <c r="Y883" s="170">
        <f>X883-Z883-AA883</f>
        <v>0</v>
      </c>
      <c r="Z883" s="169">
        <f>SUMIFS(операции!$AC:$AC,операции!$AB:$AB,"&gt;="&amp;X$8,операции!$AB:$AB,"&lt;="&amp;X$9,операции!$L:$L,Z$9,операции!$O:$O,$F830)</f>
        <v>0</v>
      </c>
      <c r="AA883" s="243">
        <f>SUMIFS(операции!$AC:$AC,операции!$AB:$AB,"&gt;="&amp;X$8,операции!$AB:$AB,"&lt;="&amp;X$9,операции!$L:$L,AA$9,операции!$O:$O,$F830)</f>
        <v>10994.55</v>
      </c>
      <c r="AB883" s="266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s="192" customFormat="1" ht="11.25">
      <c r="A884" s="37"/>
      <c r="B884" s="37"/>
      <c r="C884" s="37"/>
      <c r="D884" s="207" t="s">
        <v>255</v>
      </c>
      <c r="E884" s="207"/>
      <c r="F884" s="207" t="str">
        <f t="shared" si="1450"/>
        <v>Гуливерт</v>
      </c>
      <c r="G884" s="207" t="s">
        <v>262</v>
      </c>
      <c r="H884" s="331"/>
      <c r="I884" s="337">
        <f>IF(I883=0,0,SUMIFS(операции!$AH:$AH,операции!$AB:$AB,"&gt;="&amp;I$8,операции!$AB:$AB,"&lt;="&amp;I$9,операции!$O:$O,$F830)/I883)</f>
        <v>42332.380288842614</v>
      </c>
      <c r="J884" s="333"/>
      <c r="K884" s="337">
        <f>IF(K883=0,0,SUMIFS(операции!$AH:$AH,операции!$AB:$AB,"&gt;="&amp;I$8,операции!$AB:$AB,"&lt;="&amp;I$9,операции!$L:$L,K$9,операции!$O:$O,$F830)/K883)</f>
        <v>42288.764389297721</v>
      </c>
      <c r="L884" s="338">
        <f>IF(L883=0,0,SUMIFS(операции!$AH:$AH,операции!$AB:$AB,"&gt;="&amp;I$8,операции!$AB:$AB,"&lt;="&amp;I$9,операции!$L:$L,L$9,операции!$O:$O,$F830)/L883)</f>
        <v>42342.477752327395</v>
      </c>
      <c r="M884" s="278"/>
      <c r="N884" s="217">
        <f>IF(N883=0,0,SUMIFS(операции!$AH:$AH,операции!$AB:$AB,"&gt;="&amp;N$8,операции!$AB:$AB,"&lt;="&amp;N$9,операции!$O:$O,$F830)/N883)</f>
        <v>42288.102392173765</v>
      </c>
      <c r="O884" s="208"/>
      <c r="P884" s="217">
        <f>IF(P883=0,0,SUMIFS(операции!$AH:$AH,операции!$AB:$AB,"&gt;="&amp;N$8,операции!$AB:$AB,"&lt;="&amp;N$9,операции!$L:$L,P$9,операции!$O:$O,$F830)/P883)</f>
        <v>42288.102392173765</v>
      </c>
      <c r="Q884" s="249">
        <f>IF(Q883=0,0,SUMIFS(операции!$AH:$AH,операции!$AB:$AB,"&gt;="&amp;N$8,операции!$AB:$AB,"&lt;="&amp;N$9,операции!$L:$L,Q$9,операции!$O:$O,$F830)/Q883)</f>
        <v>0</v>
      </c>
      <c r="R884" s="247"/>
      <c r="S884" s="217">
        <f>IF(S883=0,0,SUMIFS(операции!$AH:$AH,операции!$AB:$AB,"&gt;="&amp;S$8,операции!$AB:$AB,"&lt;="&amp;S$9,операции!$O:$O,$F830)/S883)</f>
        <v>42326.094757900886</v>
      </c>
      <c r="T884" s="208"/>
      <c r="U884" s="217">
        <f>IF(U883=0,0,SUMIFS(операции!$AH:$AH,операции!$AB:$AB,"&gt;="&amp;S$8,операции!$AB:$AB,"&lt;="&amp;S$9,операции!$L:$L,U$9,операции!$O:$O,$F830)/U883)</f>
        <v>42321</v>
      </c>
      <c r="V884" s="249">
        <f>IF(V883=0,0,SUMIFS(операции!$AH:$AH,операции!$AB:$AB,"&gt;="&amp;S$8,операции!$AB:$AB,"&lt;="&amp;S$9,операции!$L:$L,V$9,операции!$O:$O,$F830)/V883)</f>
        <v>42326.145228232774</v>
      </c>
      <c r="W884" s="247"/>
      <c r="X884" s="217">
        <f>IF(X883=0,0,SUMIFS(операции!$AH:$AH,операции!$AB:$AB,"&gt;="&amp;X$8,операции!$AB:$AB,"&lt;="&amp;X$9,операции!$O:$O,$F830)/X883)</f>
        <v>42356.976977684404</v>
      </c>
      <c r="Y884" s="208"/>
      <c r="Z884" s="217">
        <f>IF(Z883=0,0,SUMIFS(операции!$AH:$AH,операции!$AB:$AB,"&gt;="&amp;X$8,операции!$AB:$AB,"&lt;="&amp;X$9,операции!$L:$L,Z$9,операции!$O:$O,$F830)/Z883)</f>
        <v>0</v>
      </c>
      <c r="AA884" s="249">
        <f>IF(AA883=0,0,SUMIFS(операции!$AH:$AH,операции!$AB:$AB,"&gt;="&amp;X$8,операции!$AB:$AB,"&lt;="&amp;X$9,операции!$L:$L,AA$9,операции!$O:$O,$F830)/AA883)</f>
        <v>42356.976977684404</v>
      </c>
      <c r="AB884" s="265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</row>
    <row r="885" spans="1:42" s="111" customFormat="1" ht="11.25">
      <c r="A885" s="108"/>
      <c r="B885" s="108"/>
      <c r="C885" s="209" t="s">
        <v>279</v>
      </c>
      <c r="D885" s="109"/>
      <c r="E885" s="109"/>
      <c r="F885" s="109" t="str">
        <f t="shared" si="1450"/>
        <v>Гуливерт</v>
      </c>
      <c r="G885" s="109"/>
      <c r="H885" s="307"/>
      <c r="I885" s="308">
        <f>I886-K886-L886+K885+L885</f>
        <v>0</v>
      </c>
      <c r="J885" s="309">
        <f>I830+I848-I855-I886</f>
        <v>0</v>
      </c>
      <c r="K885" s="308">
        <f>K830+K848-K855-K886</f>
        <v>0</v>
      </c>
      <c r="L885" s="336">
        <f>L830+L848-L855-L886</f>
        <v>0</v>
      </c>
      <c r="M885" s="272"/>
      <c r="N885" s="110">
        <f>N886-P886-Q886</f>
        <v>0</v>
      </c>
      <c r="O885" s="215">
        <f>N830+N848-N855-N886</f>
        <v>0</v>
      </c>
      <c r="P885" s="110">
        <f>P830+P848-P855-P886</f>
        <v>0</v>
      </c>
      <c r="Q885" s="248">
        <f>Q830+Q848-Q855-Q886</f>
        <v>0</v>
      </c>
      <c r="R885" s="234"/>
      <c r="S885" s="110">
        <f>S886-U886-V886</f>
        <v>0</v>
      </c>
      <c r="T885" s="215">
        <f>S830+S848-S855-S886</f>
        <v>0</v>
      </c>
      <c r="U885" s="110">
        <f>U830+U848-U855-U886</f>
        <v>0</v>
      </c>
      <c r="V885" s="248">
        <f>V830+V848-V855-V886</f>
        <v>0</v>
      </c>
      <c r="W885" s="234"/>
      <c r="X885" s="110">
        <f>X886-Z886-AA886</f>
        <v>0</v>
      </c>
      <c r="Y885" s="215">
        <f>X830+X848-X855-X886</f>
        <v>0</v>
      </c>
      <c r="Z885" s="110">
        <f>Z830+Z848-Z855-Z886</f>
        <v>0</v>
      </c>
      <c r="AA885" s="248">
        <f>AA830+AA848-AA855-AA886</f>
        <v>0</v>
      </c>
      <c r="AB885" s="263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</row>
    <row r="886" spans="1:42" s="93" customFormat="1" ht="15">
      <c r="A886" s="92"/>
      <c r="B886" s="92"/>
      <c r="C886" s="214"/>
      <c r="D886" s="151" t="s">
        <v>238</v>
      </c>
      <c r="E886" s="151"/>
      <c r="F886" s="151" t="str">
        <f t="shared" si="1450"/>
        <v>Гуливерт</v>
      </c>
      <c r="G886" s="151" t="s">
        <v>261</v>
      </c>
      <c r="H886" s="311"/>
      <c r="I886" s="312">
        <f>SUMIFS(операции!$V:$V,операции!$T:$T,"&lt;="&amp;I$9,операции!$X:$X,"",операции!$O:$O,$F830)+SUMIFS(операции!$V:$V,операции!$T:$T,"&lt;="&amp;I$9,операции!$X:$X,"&gt;"&amp;I$9,операции!$O:$O,$F830)</f>
        <v>28980.38</v>
      </c>
      <c r="J886" s="313">
        <f>I886-I891-I897</f>
        <v>0</v>
      </c>
      <c r="K886" s="312">
        <f>SUMIFS(операции!$V:$V,операции!$T:$T,"&lt;="&amp;I$9,операции!$X:$X,"",операции!$L:$L,K$9,операции!$O:$O,$F830)+SUMIFS(операции!$V:$V,операции!$T:$T,"&lt;="&amp;I$9,операции!$X:$X,"&gt;"&amp;I$9,операции!$L:$L,K$9,операции!$O:$O,$F830)</f>
        <v>6463.8400000000011</v>
      </c>
      <c r="L886" s="314">
        <f>SUMIFS(операции!$V:$V,операции!$T:$T,"&lt;="&amp;I$9,операции!$X:$X,"",операции!$L:$L,L$9,операции!$O:$O,$F830)+SUMIFS(операции!$V:$V,операции!$T:$T,"&lt;="&amp;I$9,операции!$X:$X,"&gt;"&amp;I$9,операции!$L:$L,L$9,операции!$O:$O,$F830)</f>
        <v>22516.54</v>
      </c>
      <c r="M886" s="273"/>
      <c r="N886" s="152">
        <f>SUMIFS(операции!$V:$V,операции!$T:$T,"&lt;="&amp;N$9,операции!$X:$X,"",операции!$O:$O,$F830)+SUMIFS(операции!$V:$V,операции!$T:$T,"&lt;="&amp;N$9,операции!$X:$X,"&gt;"&amp;N$9,операции!$O:$O,$F830)</f>
        <v>25804.14</v>
      </c>
      <c r="O886" s="170">
        <f>N886-N891-N897</f>
        <v>0</v>
      </c>
      <c r="P886" s="152">
        <f>SUMIFS(операции!$V:$V,операции!$T:$T,"&lt;="&amp;N$9,операции!$X:$X,"",операции!$L:$L,P$9,операции!$O:$O,$F830)+SUMIFS(операции!$V:$V,операции!$T:$T,"&lt;="&amp;N$9,операции!$X:$X,"&gt;"&amp;N$9,операции!$L:$L,P$9,операции!$O:$O,$F830)</f>
        <v>25804.14</v>
      </c>
      <c r="Q886" s="235">
        <f>SUMIFS(операции!$V:$V,операции!$T:$T,"&lt;="&amp;N$9,операции!$X:$X,"",операции!$L:$L,Q$9,операции!$O:$O,$F830)+SUMIFS(операции!$V:$V,операции!$T:$T,"&lt;="&amp;N$9,операции!$X:$X,"&gt;"&amp;N$9,операции!$L:$L,Q$9,операции!$O:$O,$F830)</f>
        <v>0</v>
      </c>
      <c r="R886" s="236"/>
      <c r="S886" s="152">
        <f>SUMIFS(операции!$V:$V,операции!$T:$T,"&lt;="&amp;S$9,операции!$X:$X,"",операции!$O:$O,$F830)+SUMIFS(операции!$V:$V,операции!$T:$T,"&lt;="&amp;S$9,операции!$X:$X,"&gt;"&amp;S$9,операции!$O:$O,$F830)</f>
        <v>17819.510000000002</v>
      </c>
      <c r="T886" s="170">
        <f>S886-S891-S897</f>
        <v>0</v>
      </c>
      <c r="U886" s="152">
        <f>SUMIFS(операции!$V:$V,операции!$T:$T,"&lt;="&amp;S$9,операции!$X:$X,"",операции!$L:$L,U$9,операции!$O:$O,$F830)+SUMIFS(операции!$V:$V,операции!$T:$T,"&lt;="&amp;S$9,операции!$X:$X,"&gt;"&amp;S$9,операции!$L:$L,U$9,операции!$O:$O,$F830)</f>
        <v>9853.51</v>
      </c>
      <c r="V886" s="235">
        <f>SUMIFS(операции!$V:$V,операции!$T:$T,"&lt;="&amp;S$9,операции!$X:$X,"",операции!$L:$L,V$9,операции!$O:$O,$F830)+SUMIFS(операции!$V:$V,операции!$T:$T,"&lt;="&amp;S$9,операции!$X:$X,"&gt;"&amp;S$9,операции!$L:$L,V$9,операции!$O:$O,$F830)</f>
        <v>7966</v>
      </c>
      <c r="W886" s="236"/>
      <c r="X886" s="152">
        <f>SUMIFS(операции!$V:$V,операции!$T:$T,"&lt;="&amp;X$9,операции!$X:$X,"",операции!$O:$O,$F830)+SUMIFS(операции!$V:$V,операции!$T:$T,"&lt;="&amp;X$9,операции!$X:$X,"&gt;"&amp;X$9,операции!$O:$O,$F830)</f>
        <v>28980.38</v>
      </c>
      <c r="Y886" s="170">
        <f>X886-X891-X897</f>
        <v>0</v>
      </c>
      <c r="Z886" s="152">
        <f>SUMIFS(операции!$V:$V,операции!$T:$T,"&lt;="&amp;X$9,операции!$X:$X,"",операции!$L:$L,Z$9,операции!$O:$O,$F830)+SUMIFS(операции!$V:$V,операции!$T:$T,"&lt;="&amp;X$9,операции!$X:$X,"&gt;"&amp;X$9,операции!$L:$L,Z$9,операции!$O:$O,$F830)</f>
        <v>6463.8400000000011</v>
      </c>
      <c r="AA886" s="235">
        <f>SUMIFS(операции!$V:$V,операции!$T:$T,"&lt;="&amp;X$9,операции!$X:$X,"",операции!$L:$L,AA$9,операции!$O:$O,$F830)+SUMIFS(операции!$V:$V,операции!$T:$T,"&lt;="&amp;X$9,операции!$X:$X,"&gt;"&amp;X$9,операции!$L:$L,AA$9,операции!$O:$O,$F830)</f>
        <v>22516.54</v>
      </c>
      <c r="AB886" s="264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</row>
    <row r="887" spans="1:42" s="192" customFormat="1" ht="11.25">
      <c r="A887" s="37"/>
      <c r="B887" s="37"/>
      <c r="C887" s="37"/>
      <c r="D887" s="191" t="s">
        <v>255</v>
      </c>
      <c r="E887" s="191"/>
      <c r="F887" s="191" t="str">
        <f t="shared" si="1450"/>
        <v>Гуливерт</v>
      </c>
      <c r="G887" s="191" t="s">
        <v>262</v>
      </c>
      <c r="H887" s="315"/>
      <c r="I887" s="316">
        <f>IF(I886=0,0,(SUMIFS(операции!$AF:$AF,операции!$T:$T,"&lt;="&amp;I$9,операции!$X:$X,"",операции!$O:$O,$F830)+SUMIFS(операции!$AF:$AF,операции!$T:$T,"&lt;="&amp;I$9,операции!$X:$X,"&gt;"&amp;I$9,операции!$O:$O,$F830))/I886)</f>
        <v>42279.735448603496</v>
      </c>
      <c r="J887" s="317"/>
      <c r="K887" s="316">
        <f>IF(K886=0,0,(SUMIFS(операции!$AF:$AF,операции!$T:$T,"&lt;="&amp;I$9,операции!$X:$X,"",операции!$L:$L,K$9,операции!$O:$O,$F830)+SUMIFS(операции!$AF:$AF,операции!$T:$T,"&lt;="&amp;I$9,операции!$X:$X,"&gt;"&amp;I$9,операции!$L:$L,K$9,операции!$O:$O,$F830))/K886)</f>
        <v>41989.316694101341</v>
      </c>
      <c r="L887" s="318">
        <f>IF(L886=0,0,(SUMIFS(операции!$AF:$AF,операции!$T:$T,"&lt;="&amp;I$9,операции!$X:$X,"",операции!$L:$L,L$9,операции!$O:$O,$F830)+SUMIFS(операции!$AF:$AF,операции!$T:$T,"&lt;="&amp;I$9,операции!$X:$X,"&gt;"&amp;I$9,операции!$L:$L,L$9,операции!$O:$O,$F830))/L886)</f>
        <v>42363.106177947411</v>
      </c>
      <c r="M887" s="274"/>
      <c r="N887" s="193">
        <f>IF(N886=0,0,(SUMIFS(операции!$AF:$AF,операции!$T:$T,"&lt;="&amp;N$9,операции!$X:$X,"",операции!$O:$O,$F830)+SUMIFS(операции!$AF:$AF,операции!$T:$T,"&lt;="&amp;N$9,операции!$X:$X,"&gt;"&amp;N$9,операции!$O:$O,$F830))/N886)</f>
        <v>41999.739570084501</v>
      </c>
      <c r="O887" s="196"/>
      <c r="P887" s="193">
        <f>IF(P886=0,0,(SUMIFS(операции!$AF:$AF,операции!$T:$T,"&lt;="&amp;N$9,операции!$X:$X,"",операции!$L:$L,P$9,операции!$O:$O,$F830)+SUMIFS(операции!$AF:$AF,операции!$T:$T,"&lt;="&amp;N$9,операции!$X:$X,"&gt;"&amp;N$9,операции!$L:$L,P$9,операции!$O:$O,$F830))/P886)</f>
        <v>41999.739570084501</v>
      </c>
      <c r="Q887" s="237">
        <f>IF(Q886=0,0,(SUMIFS(операции!$AF:$AF,операции!$T:$T,"&lt;="&amp;N$9,операции!$X:$X,"",операции!$L:$L,Q$9,операции!$O:$O,$F830)+SUMIFS(операции!$AF:$AF,операции!$T:$T,"&lt;="&amp;N$9,операции!$X:$X,"&gt;"&amp;N$9,операции!$L:$L,Q$9,операции!$O:$O,$F830))/Q886)</f>
        <v>0</v>
      </c>
      <c r="R887" s="238"/>
      <c r="S887" s="193">
        <f>IF(S886=0,0,(SUMIFS(операции!$AF:$AF,операции!$T:$T,"&lt;="&amp;S$9,операции!$X:$X,"",операции!$O:$O,$F830)+SUMIFS(операции!$AF:$AF,операции!$T:$T,"&lt;="&amp;S$9,операции!$X:$X,"&gt;"&amp;S$9,операции!$O:$O,$F830))/S886)</f>
        <v>42126.507883213395</v>
      </c>
      <c r="T887" s="196"/>
      <c r="U887" s="193">
        <f>IF(U886=0,0,(SUMIFS(операции!$AF:$AF,операции!$T:$T,"&lt;="&amp;S$9,операции!$X:$X,"",операции!$L:$L,U$9,операции!$O:$O,$F830)+SUMIFS(операции!$AF:$AF,операции!$T:$T,"&lt;="&amp;S$9,операции!$X:$X,"&gt;"&amp;S$9,операции!$L:$L,U$9,операции!$O:$O,$F830))/U886)</f>
        <v>41957.948841580313</v>
      </c>
      <c r="V887" s="237">
        <f>IF(V886=0,0,(SUMIFS(операции!$AF:$AF,операции!$T:$T,"&lt;="&amp;S$9,операции!$X:$X,"",операции!$L:$L,V$9,операции!$O:$O,$F830)+SUMIFS(операции!$AF:$AF,операции!$T:$T,"&lt;="&amp;S$9,операции!$X:$X,"&gt;"&amp;S$9,операции!$L:$L,V$9,операции!$O:$O,$F830))/V886)</f>
        <v>42335.006276675871</v>
      </c>
      <c r="W887" s="238"/>
      <c r="X887" s="193">
        <f>IF(X886=0,0,(SUMIFS(операции!$AF:$AF,операции!$T:$T,"&lt;="&amp;X$9,операции!$X:$X,"",операции!$O:$O,$F830)+SUMIFS(операции!$AF:$AF,операции!$T:$T,"&lt;="&amp;X$9,операции!$X:$X,"&gt;"&amp;X$9,операции!$O:$O,$F830))/X886)</f>
        <v>42279.735448603496</v>
      </c>
      <c r="Y887" s="196"/>
      <c r="Z887" s="193">
        <f>IF(Z886=0,0,(SUMIFS(операции!$AF:$AF,операции!$T:$T,"&lt;="&amp;X$9,операции!$X:$X,"",операции!$L:$L,Z$9,операции!$O:$O,$F830)+SUMIFS(операции!$AF:$AF,операции!$T:$T,"&lt;="&amp;X$9,операции!$X:$X,"&gt;"&amp;X$9,операции!$L:$L,Z$9,операции!$O:$O,$F830))/Z886)</f>
        <v>41989.316694101341</v>
      </c>
      <c r="AA887" s="237">
        <f>IF(AA886=0,0,(SUMIFS(операции!$AF:$AF,операции!$T:$T,"&lt;="&amp;X$9,операции!$X:$X,"",операции!$L:$L,AA$9,операции!$O:$O,$F830)+SUMIFS(операции!$AF:$AF,операции!$T:$T,"&lt;="&amp;X$9,операции!$X:$X,"&gt;"&amp;X$9,операции!$L:$L,AA$9,операции!$O:$O,$F830))/AA886)</f>
        <v>42363.106177947411</v>
      </c>
      <c r="AB887" s="265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</row>
    <row r="888" spans="1:42" s="50" customFormat="1" ht="11.25">
      <c r="A888" s="48"/>
      <c r="B888" s="48"/>
      <c r="C888" s="48"/>
      <c r="D888" s="154" t="s">
        <v>239</v>
      </c>
      <c r="E888" s="154"/>
      <c r="F888" s="154" t="str">
        <f t="shared" si="1450"/>
        <v>Гуливерт</v>
      </c>
      <c r="G888" s="154" t="s">
        <v>219</v>
      </c>
      <c r="H888" s="319"/>
      <c r="I888" s="320">
        <f>IF(I886=0,0,I$9-I887)</f>
        <v>89.264551396503521</v>
      </c>
      <c r="J888" s="321">
        <f>I888-SUMIFS(ПОбТЗ!$I:$I,ПОбТЗ!$E:$E,$D888,ПОбТЗ!$F:$F,$F888)</f>
        <v>0</v>
      </c>
      <c r="K888" s="320">
        <f>IF(K886=0,0,I$9-K887)</f>
        <v>379.68330589865946</v>
      </c>
      <c r="L888" s="322">
        <f>IF(L886=0,0,I$9-L887)</f>
        <v>5.8938220525888028</v>
      </c>
      <c r="M888" s="275"/>
      <c r="N888" s="155">
        <f>IF(N886=0,0,N$9-N887)</f>
        <v>308.26042991549912</v>
      </c>
      <c r="O888" s="173">
        <f>N888-SUMIFS(ПОбТЗ_3!$J:$J,ПОбТЗ_3!$D:$D,$D888,ПОбТЗ_3!$E:$E,$F888)</f>
        <v>0</v>
      </c>
      <c r="P888" s="155">
        <f>IF(P886=0,0,N$9-P887)</f>
        <v>308.26042991549912</v>
      </c>
      <c r="Q888" s="239">
        <f>IF(Q886=0,0,N$9-Q887)</f>
        <v>0</v>
      </c>
      <c r="R888" s="240"/>
      <c r="S888" s="155">
        <f>IF(S886=0,0,S$9-S887)</f>
        <v>211.49211678660504</v>
      </c>
      <c r="T888" s="173">
        <f>S888-SUMIFS(ПОбТЗ_3!$K:$K,ПОбТЗ_3!$D:$D,$D888,ПОбТЗ_3!$E:$E,$F888)</f>
        <v>0</v>
      </c>
      <c r="U888" s="155">
        <f>IF(U886=0,0,S$9-U887)</f>
        <v>380.05115841968654</v>
      </c>
      <c r="V888" s="239">
        <f>IF(V886=0,0,S$9-V887)</f>
        <v>2.9937233241289505</v>
      </c>
      <c r="W888" s="240"/>
      <c r="X888" s="155">
        <f>IF(X886=0,0,X$9-X887)</f>
        <v>89.264551396503521</v>
      </c>
      <c r="Y888" s="173">
        <f>X888-SUMIFS(ПОбТЗ_3!$L:$L,ПОбТЗ_3!$D:$D,$D888,ПОбТЗ_3!$E:$E,$F888)</f>
        <v>0</v>
      </c>
      <c r="Z888" s="155">
        <f>IF(Z886=0,0,X$9-Z887)</f>
        <v>379.68330589865946</v>
      </c>
      <c r="AA888" s="239">
        <f>IF(AA886=0,0,X$9-AA887)</f>
        <v>5.8938220525888028</v>
      </c>
      <c r="AB888" s="230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</row>
    <row r="889" spans="1:42" s="93" customFormat="1" ht="15">
      <c r="A889" s="92"/>
      <c r="B889" s="92"/>
      <c r="C889" s="92"/>
      <c r="D889" s="198" t="s">
        <v>280</v>
      </c>
      <c r="E889" s="198"/>
      <c r="F889" s="198" t="str">
        <f t="shared" si="1450"/>
        <v>Гуливерт</v>
      </c>
      <c r="G889" s="198" t="s">
        <v>219</v>
      </c>
      <c r="H889" s="323"/>
      <c r="I889" s="324">
        <f>IF(I886=0,0,(I891*I895+I897*I901)/I886)</f>
        <v>33.262515536378487</v>
      </c>
      <c r="J889" s="321"/>
      <c r="K889" s="324">
        <f>IF(K886=0,0,(K891*K895+K897*K901)/K886)</f>
        <v>128.60031498303493</v>
      </c>
      <c r="L889" s="325">
        <f>IF(L886=0,0,(L891*L895+L897*L901)/L886)</f>
        <v>5.8938220525888028</v>
      </c>
      <c r="M889" s="276"/>
      <c r="N889" s="199">
        <f>IF(N886=0,0,(N891*N895+N897*N901)/N886)</f>
        <v>93.466792150400465</v>
      </c>
      <c r="O889" s="173"/>
      <c r="P889" s="199">
        <f>IF(P886=0,0,(P891*P895+P897*P901)/P886)</f>
        <v>93.466792150400465</v>
      </c>
      <c r="Q889" s="241">
        <f>IF(Q886=0,0,(Q891*Q895+Q897*Q901)/Q886)</f>
        <v>0</v>
      </c>
      <c r="R889" s="242"/>
      <c r="S889" s="199">
        <f>IF(S886=0,0,(S891*S895+S897*S901)/S886)</f>
        <v>48.296704005892984</v>
      </c>
      <c r="T889" s="173"/>
      <c r="U889" s="199">
        <f>IF(U886=0,0,(U891*U895+U897*U901)/U886)</f>
        <v>84.921576169298703</v>
      </c>
      <c r="V889" s="241">
        <f>IF(V886=0,0,(V891*V895+V897*V901)/V886)</f>
        <v>2.9937233241289505</v>
      </c>
      <c r="W889" s="242"/>
      <c r="X889" s="199">
        <f>IF(X886=0,0,(X891*X895+X897*X901)/X886)</f>
        <v>33.262515536378487</v>
      </c>
      <c r="Y889" s="173"/>
      <c r="Z889" s="199">
        <f>IF(Z886=0,0,(Z891*Z895+Z897*Z901)/Z886)</f>
        <v>128.60031498303493</v>
      </c>
      <c r="AA889" s="241">
        <f>IF(AA886=0,0,(AA891*AA895+AA897*AA901)/AA886)</f>
        <v>5.8938220525888028</v>
      </c>
      <c r="AB889" s="264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</row>
    <row r="890" spans="1:42" s="50" customFormat="1" ht="11.25">
      <c r="A890" s="48"/>
      <c r="B890" s="48"/>
      <c r="C890" s="48"/>
      <c r="D890" s="154" t="s">
        <v>281</v>
      </c>
      <c r="E890" s="154"/>
      <c r="F890" s="154" t="str">
        <f t="shared" si="1450"/>
        <v>Гуливерт</v>
      </c>
      <c r="G890" s="154" t="s">
        <v>219</v>
      </c>
      <c r="H890" s="319"/>
      <c r="I890" s="320">
        <f>I888-I889</f>
        <v>56.002035860125034</v>
      </c>
      <c r="J890" s="321"/>
      <c r="K890" s="320">
        <f>K888-K889</f>
        <v>251.08299091562452</v>
      </c>
      <c r="L890" s="322">
        <f>L888-L889</f>
        <v>0</v>
      </c>
      <c r="M890" s="275"/>
      <c r="N890" s="155">
        <f>N888-N889</f>
        <v>214.79363776509865</v>
      </c>
      <c r="O890" s="173"/>
      <c r="P890" s="155">
        <f>P888-P889</f>
        <v>214.79363776509865</v>
      </c>
      <c r="Q890" s="239">
        <f>Q888-Q889</f>
        <v>0</v>
      </c>
      <c r="R890" s="240"/>
      <c r="S890" s="155">
        <f>S888-S889</f>
        <v>163.19541278071205</v>
      </c>
      <c r="T890" s="173"/>
      <c r="U890" s="155">
        <f>U888-U889</f>
        <v>295.12958225038784</v>
      </c>
      <c r="V890" s="239">
        <f>V888-V889</f>
        <v>0</v>
      </c>
      <c r="W890" s="240"/>
      <c r="X890" s="155">
        <f>X888-X889</f>
        <v>56.002035860125034</v>
      </c>
      <c r="Y890" s="173"/>
      <c r="Z890" s="155">
        <f>Z888-Z889</f>
        <v>251.08299091562452</v>
      </c>
      <c r="AA890" s="239">
        <f>AA888-AA889</f>
        <v>0</v>
      </c>
      <c r="AB890" s="230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</row>
    <row r="891" spans="1:42" s="5" customFormat="1">
      <c r="A891" s="1"/>
      <c r="B891" s="1"/>
      <c r="C891" s="1"/>
      <c r="D891" s="168"/>
      <c r="E891" s="168" t="s">
        <v>282</v>
      </c>
      <c r="F891" s="168" t="str">
        <f t="shared" si="1450"/>
        <v>Гуливерт</v>
      </c>
      <c r="G891" s="168" t="s">
        <v>261</v>
      </c>
      <c r="H891" s="326"/>
      <c r="I891" s="327">
        <f>SUMIFS(операции!$V:$V,операции!$T:$T,"&lt;="&amp;I$9,операции!$X:$X,"",операции!$AB:$AB,"&lt;&gt;"&amp;"",операции!$AB:$AB,"&lt;="&amp;I$9,операции!$O:$O,$F830)+SUMIFS(операции!$V:$V,операции!$T:$T,"&lt;="&amp;I$9,операции!$X:$X,"&gt;"&amp;I$9,операции!$AB:$AB,"&lt;&gt;"&amp;"",операции!$AB:$AB,"&lt;="&amp;I$9,операции!$O:$O,$F830)</f>
        <v>4471.3</v>
      </c>
      <c r="J891" s="313">
        <f>I891-K891-L891</f>
        <v>0</v>
      </c>
      <c r="K891" s="327">
        <f>SUMIFS(операции!$V:$V,операции!$T:$T,"&lt;="&amp;I$9,операции!$X:$X,"",операции!$AB:$AB,"&lt;&gt;"&amp;"",операции!$AB:$AB,"&lt;="&amp;I$9,операции!$L:$L,K$9,операции!$O:$O,$F830)+SUMIFS(операции!$V:$V,операции!$T:$T,"&lt;="&amp;I$9,операции!$X:$X,"&gt;"&amp;I$9,операции!$AB:$AB,"&lt;&gt;"&amp;"",операции!$AB:$AB,"&lt;="&amp;I$9,операции!$L:$L,K$9,операции!$O:$O,$F830)</f>
        <v>4471.3</v>
      </c>
      <c r="L891" s="328">
        <f>SUMIFS(операции!$V:$V,операции!$T:$T,"&lt;="&amp;I$9,операции!$X:$X,"",операции!$AB:$AB,"&lt;&gt;"&amp;"",операции!$AB:$AB,"&lt;="&amp;I$9,операции!$L:$L,L$9,операции!$O:$O,$F830)+SUMIFS(операции!$V:$V,операции!$T:$T,"&lt;="&amp;I$9,операции!$X:$X,"&gt;"&amp;I$9,операции!$AB:$AB,"&lt;&gt;"&amp;"",операции!$AB:$AB,"&lt;="&amp;I$9,операции!$L:$L,L$9,операции!$O:$O,$F830)</f>
        <v>0</v>
      </c>
      <c r="M891" s="277"/>
      <c r="N891" s="169">
        <f>SUMIFS(операции!$V:$V,операции!$T:$T,"&lt;="&amp;N$9,операции!$X:$X,"",операции!$AB:$AB,"&lt;&gt;"&amp;"",операции!$AB:$AB,"&lt;="&amp;N$9,операции!$O:$O,$F830)+SUMIFS(операции!$V:$V,операции!$T:$T,"&lt;="&amp;N$9,операции!$X:$X,"&gt;"&amp;N$9,операции!$AB:$AB,"&lt;&gt;"&amp;"",операции!$AB:$AB,"&lt;="&amp;N$9,операции!$O:$O,$F830)</f>
        <v>20863.039999999997</v>
      </c>
      <c r="O891" s="170">
        <f>N891-P891-Q891</f>
        <v>0</v>
      </c>
      <c r="P891" s="169">
        <f>SUMIFS(операции!$V:$V,операции!$T:$T,"&lt;="&amp;N$9,операции!$X:$X,"",операции!$AB:$AB,"&lt;&gt;"&amp;"",операции!$AB:$AB,"&lt;="&amp;N$9,операции!$L:$L,P$9,операции!$O:$O,$F830)+SUMIFS(операции!$V:$V,операции!$T:$T,"&lt;="&amp;N$9,операции!$X:$X,"&gt;"&amp;N$9,операции!$AB:$AB,"&lt;&gt;"&amp;"",операции!$AB:$AB,"&lt;="&amp;N$9,операции!$L:$L,P$9,операции!$O:$O,$F830)</f>
        <v>20863.039999999997</v>
      </c>
      <c r="Q891" s="243">
        <f>SUMIFS(операции!$V:$V,операции!$T:$T,"&lt;="&amp;N$9,операции!$X:$X,"",операции!$AB:$AB,"&lt;&gt;"&amp;"",операции!$AB:$AB,"&lt;="&amp;N$9,операции!$L:$L,Q$9,операции!$O:$O,$F830)+SUMIFS(операции!$V:$V,операции!$T:$T,"&lt;="&amp;N$9,операции!$X:$X,"&gt;"&amp;N$9,операции!$AB:$AB,"&lt;&gt;"&amp;"",операции!$AB:$AB,"&lt;="&amp;N$9,операции!$L:$L,Q$9,операции!$O:$O,$F830)</f>
        <v>0</v>
      </c>
      <c r="R891" s="244"/>
      <c r="S891" s="169">
        <f>SUMIFS(операции!$V:$V,операции!$T:$T,"&lt;="&amp;S$9,операции!$X:$X,"",операции!$AB:$AB,"&lt;&gt;"&amp;"",операции!$AB:$AB,"&lt;="&amp;S$9,операции!$O:$O,$F830)+SUMIFS(операции!$V:$V,операции!$T:$T,"&lt;="&amp;S$9,операции!$X:$X,"&gt;"&amp;S$9,операции!$AB:$AB,"&lt;&gt;"&amp;"",операции!$AB:$AB,"&lt;="&amp;S$9,операции!$O:$O,$F830)</f>
        <v>7860.9699999999993</v>
      </c>
      <c r="T891" s="170">
        <f>S891-U891-V891</f>
        <v>0</v>
      </c>
      <c r="U891" s="169">
        <f>SUMIFS(операции!$V:$V,операции!$T:$T,"&lt;="&amp;S$9,операции!$X:$X,"",операции!$AB:$AB,"&lt;&gt;"&amp;"",операции!$AB:$AB,"&lt;="&amp;S$9,операции!$L:$L,U$9,операции!$O:$O,$F830)+SUMIFS(операции!$V:$V,операции!$T:$T,"&lt;="&amp;S$9,операции!$X:$X,"&gt;"&amp;S$9,операции!$AB:$AB,"&lt;&gt;"&amp;"",операции!$AB:$AB,"&lt;="&amp;S$9,операции!$L:$L,U$9,операции!$O:$O,$F830)</f>
        <v>7860.9699999999993</v>
      </c>
      <c r="V891" s="243">
        <f>SUMIFS(операции!$V:$V,операции!$T:$T,"&lt;="&amp;S$9,операции!$X:$X,"",операции!$AB:$AB,"&lt;&gt;"&amp;"",операции!$AB:$AB,"&lt;="&amp;S$9,операции!$L:$L,V$9,операции!$O:$O,$F830)+SUMIFS(операции!$V:$V,операции!$T:$T,"&lt;="&amp;S$9,операции!$X:$X,"&gt;"&amp;S$9,операции!$AB:$AB,"&lt;&gt;"&amp;"",операции!$AB:$AB,"&lt;="&amp;S$9,операции!$L:$L,V$9,операции!$O:$O,$F830)</f>
        <v>0</v>
      </c>
      <c r="W891" s="244"/>
      <c r="X891" s="169">
        <f>SUMIFS(операции!$V:$V,операции!$T:$T,"&lt;="&amp;X$9,операции!$X:$X,"",операции!$AB:$AB,"&lt;&gt;"&amp;"",операции!$AB:$AB,"&lt;="&amp;X$9,операции!$O:$O,$F830)+SUMIFS(операции!$V:$V,операции!$T:$T,"&lt;="&amp;X$9,операции!$X:$X,"&gt;"&amp;X$9,операции!$AB:$AB,"&lt;&gt;"&amp;"",операции!$AB:$AB,"&lt;="&amp;X$9,операции!$O:$O,$F830)</f>
        <v>4471.3</v>
      </c>
      <c r="Y891" s="170">
        <f>X891-Z891-AA891</f>
        <v>0</v>
      </c>
      <c r="Z891" s="169">
        <f>SUMIFS(операции!$V:$V,операции!$T:$T,"&lt;="&amp;X$9,операции!$X:$X,"",операции!$AB:$AB,"&lt;&gt;"&amp;"",операции!$AB:$AB,"&lt;="&amp;X$9,операции!$L:$L,Z$9,операции!$O:$O,$F830)+SUMIFS(операции!$V:$V,операции!$T:$T,"&lt;="&amp;X$9,операции!$X:$X,"&gt;"&amp;X$9,операции!$AB:$AB,"&lt;&gt;"&amp;"",операции!$AB:$AB,"&lt;="&amp;X$9,операции!$L:$L,Z$9,операции!$O:$O,$F830)</f>
        <v>4471.3</v>
      </c>
      <c r="AA891" s="243">
        <f>SUMIFS(операции!$V:$V,операции!$T:$T,"&lt;="&amp;X$9,операции!$X:$X,"",операции!$AB:$AB,"&lt;&gt;"&amp;"",операции!$AB:$AB,"&lt;="&amp;X$9,операции!$L:$L,AA$9,операции!$O:$O,$F830)+SUMIFS(операции!$V:$V,операции!$T:$T,"&lt;="&amp;X$9,операции!$X:$X,"&gt;"&amp;X$9,операции!$AB:$AB,"&lt;&gt;"&amp;"",операции!$AB:$AB,"&lt;="&amp;X$9,операции!$L:$L,AA$9,операции!$O:$O,$F830)</f>
        <v>0</v>
      </c>
      <c r="AB891" s="266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s="192" customFormat="1" ht="11.25">
      <c r="A892" s="37"/>
      <c r="B892" s="37"/>
      <c r="C892" s="37"/>
      <c r="D892" s="191"/>
      <c r="E892" s="191" t="s">
        <v>255</v>
      </c>
      <c r="F892" s="191" t="str">
        <f t="shared" si="1450"/>
        <v>Гуливерт</v>
      </c>
      <c r="G892" s="191" t="s">
        <v>262</v>
      </c>
      <c r="H892" s="315"/>
      <c r="I892" s="316">
        <f>IF(I891=0,0,(SUMIFS(операции!$AF:$AF,операции!$T:$T,"&lt;="&amp;I$9,операции!$X:$X,"",операции!$AB:$AB,"&lt;&gt;"&amp;"",операции!$AB:$AB,"&lt;="&amp;I$9,операции!$O:$O,$F830)+SUMIFS(операции!$AF:$AF,операции!$T:$T,"&lt;="&amp;I$9,операции!$X:$X,"&gt;"&amp;I$9,операции!$AB:$AB,"&lt;&gt;"&amp;"",операции!$AB:$AB,"&lt;="&amp;I$9,операции!$O:$O,$F830))/I891)</f>
        <v>41968.33156352739</v>
      </c>
      <c r="J892" s="317"/>
      <c r="K892" s="316">
        <f>IF(K891=0,0,(SUMIFS(операции!$AF:$AF,операции!$T:$T,"&lt;="&amp;I$9,операции!$X:$X,"",операции!$AB:$AB,"&lt;&gt;"&amp;"",операции!$AB:$AB,"&lt;="&amp;I$9,операции!$L:$L,K$9,операции!$O:$O,$F830)+SUMIFS(операции!$AF:$AF,операции!$T:$T,"&lt;="&amp;I$9,операции!$X:$X,"&gt;"&amp;I$9,операции!$AB:$AB,"&lt;&gt;"&amp;"",операции!$AB:$AB,"&lt;="&amp;I$9,операции!$L:$L,K$9,операции!$O:$O,$F830))/K891)</f>
        <v>41968.33156352739</v>
      </c>
      <c r="L892" s="318">
        <f>IF(L891=0,0,(SUMIFS(операции!$AF:$AF,операции!$T:$T,"&lt;="&amp;I$9,операции!$X:$X,"",операции!$AB:$AB,"&lt;&gt;"&amp;"",операции!$AB:$AB,"&lt;="&amp;I$9,операции!$L:$L,L$9,операции!$O:$O,$F830)+SUMIFS(операции!$AF:$AF,операции!$T:$T,"&lt;="&amp;I$9,операции!$X:$X,"&gt;"&amp;I$9,операции!$AB:$AB,"&lt;&gt;"&amp;"",операции!$AB:$AB,"&lt;="&amp;I$9,операции!$L:$L,L$9,операции!$O:$O,$F830))/L891)</f>
        <v>0</v>
      </c>
      <c r="M892" s="274"/>
      <c r="N892" s="193">
        <f>IF(N891=0,0,(SUMIFS(операции!$AF:$AF,операции!$T:$T,"&lt;="&amp;N$9,операции!$X:$X,"",операции!$AB:$AB,"&lt;&gt;"&amp;"",операции!$AB:$AB,"&lt;="&amp;N$9,операции!$O:$O,$F830)+SUMIFS(операции!$AF:$AF,операции!$T:$T,"&lt;="&amp;N$9,операции!$X:$X,"&gt;"&amp;N$9,операции!$AB:$AB,"&lt;&gt;"&amp;"",операции!$AB:$AB,"&lt;="&amp;N$9,операции!$O:$O,$F830))/N891)</f>
        <v>42010.709156000281</v>
      </c>
      <c r="O892" s="196"/>
      <c r="P892" s="193">
        <f>IF(P891=0,0,(SUMIFS(операции!$AF:$AF,операции!$T:$T,"&lt;="&amp;N$9,операции!$X:$X,"",операции!$AB:$AB,"&lt;&gt;"&amp;"",операции!$AB:$AB,"&lt;="&amp;N$9,операции!$L:$L,P$9,операции!$O:$O,$F830)+SUMIFS(операции!$AF:$AF,операции!$T:$T,"&lt;="&amp;N$9,операции!$X:$X,"&gt;"&amp;N$9,операции!$AB:$AB,"&lt;&gt;"&amp;"",операции!$AB:$AB,"&lt;="&amp;N$9,операции!$L:$L,P$9,операции!$O:$O,$F830))/P891)</f>
        <v>42010.709156000281</v>
      </c>
      <c r="Q892" s="237">
        <f>IF(Q891=0,0,(SUMIFS(операции!$AF:$AF,операции!$T:$T,"&lt;="&amp;N$9,операции!$X:$X,"",операции!$AB:$AB,"&lt;&gt;"&amp;"",операции!$AB:$AB,"&lt;="&amp;N$9,операции!$L:$L,Q$9,операции!$O:$O,$F830)+SUMIFS(операции!$AF:$AF,операции!$T:$T,"&lt;="&amp;N$9,операции!$X:$X,"&gt;"&amp;N$9,операции!$AB:$AB,"&lt;&gt;"&amp;"",операции!$AB:$AB,"&lt;="&amp;N$9,операции!$L:$L,Q$9,операции!$O:$O,$F830))/Q891)</f>
        <v>0</v>
      </c>
      <c r="R892" s="238"/>
      <c r="S892" s="193">
        <f>IF(S891=0,0,(SUMIFS(операции!$AF:$AF,операции!$T:$T,"&lt;="&amp;S$9,операции!$X:$X,"",операции!$AB:$AB,"&lt;&gt;"&amp;"",операции!$AB:$AB,"&lt;="&amp;S$9,операции!$O:$O,$F830)+SUMIFS(операции!$AF:$AF,операции!$T:$T,"&lt;="&amp;S$9,операции!$X:$X,"&gt;"&amp;S$9,операции!$AB:$AB,"&lt;&gt;"&amp;"",операции!$AB:$AB,"&lt;="&amp;S$9,операции!$O:$O,$F830))/S891)</f>
        <v>41938.061662873675</v>
      </c>
      <c r="T892" s="196"/>
      <c r="U892" s="193">
        <f>IF(U891=0,0,(SUMIFS(операции!$AF:$AF,операции!$T:$T,"&lt;="&amp;S$9,операции!$X:$X,"",операции!$AB:$AB,"&lt;&gt;"&amp;"",операции!$AB:$AB,"&lt;="&amp;S$9,операции!$L:$L,U$9,операции!$O:$O,$F830)+SUMIFS(операции!$AF:$AF,операции!$T:$T,"&lt;="&amp;S$9,операции!$X:$X,"&gt;"&amp;S$9,операции!$AB:$AB,"&lt;&gt;"&amp;"",операции!$AB:$AB,"&lt;="&amp;S$9,операции!$L:$L,U$9,операции!$O:$O,$F830))/U891)</f>
        <v>41938.061662873675</v>
      </c>
      <c r="V892" s="237">
        <f>IF(V891=0,0,(SUMIFS(операции!$AF:$AF,операции!$T:$T,"&lt;="&amp;S$9,операции!$X:$X,"",операции!$AB:$AB,"&lt;&gt;"&amp;"",операции!$AB:$AB,"&lt;="&amp;S$9,операции!$L:$L,V$9,операции!$O:$O,$F830)+SUMIFS(операции!$AF:$AF,операции!$T:$T,"&lt;="&amp;S$9,операции!$X:$X,"&gt;"&amp;S$9,операции!$AB:$AB,"&lt;&gt;"&amp;"",операции!$AB:$AB,"&lt;="&amp;S$9,операции!$L:$L,V$9,операции!$O:$O,$F830))/V891)</f>
        <v>0</v>
      </c>
      <c r="W892" s="238"/>
      <c r="X892" s="193">
        <f>IF(X891=0,0,(SUMIFS(операции!$AF:$AF,операции!$T:$T,"&lt;="&amp;X$9,операции!$X:$X,"",операции!$AB:$AB,"&lt;&gt;"&amp;"",операции!$AB:$AB,"&lt;="&amp;X$9,операции!$O:$O,$F830)+SUMIFS(операции!$AF:$AF,операции!$T:$T,"&lt;="&amp;X$9,операции!$X:$X,"&gt;"&amp;X$9,операции!$AB:$AB,"&lt;&gt;"&amp;"",операции!$AB:$AB,"&lt;="&amp;X$9,операции!$O:$O,$F830))/X891)</f>
        <v>41968.33156352739</v>
      </c>
      <c r="Y892" s="196"/>
      <c r="Z892" s="193">
        <f>IF(Z891=0,0,(SUMIFS(операции!$AF:$AF,операции!$T:$T,"&lt;="&amp;X$9,операции!$X:$X,"",операции!$AB:$AB,"&lt;&gt;"&amp;"",операции!$AB:$AB,"&lt;="&amp;X$9,операции!$L:$L,Z$9,операции!$O:$O,$F830)+SUMIFS(операции!$AF:$AF,операции!$T:$T,"&lt;="&amp;X$9,операции!$X:$X,"&gt;"&amp;X$9,операции!$AB:$AB,"&lt;&gt;"&amp;"",операции!$AB:$AB,"&lt;="&amp;X$9,операции!$L:$L,Z$9,операции!$O:$O,$F830))/Z891)</f>
        <v>41968.33156352739</v>
      </c>
      <c r="AA892" s="237">
        <f>IF(AA891=0,0,(SUMIFS(операции!$AF:$AF,операции!$T:$T,"&lt;="&amp;X$9,операции!$X:$X,"",операции!$AB:$AB,"&lt;&gt;"&amp;"",операции!$AB:$AB,"&lt;="&amp;X$9,операции!$L:$L,AA$9,операции!$O:$O,$F830)+SUMIFS(операции!$AF:$AF,операции!$T:$T,"&lt;="&amp;X$9,операции!$X:$X,"&gt;"&amp;X$9,операции!$AB:$AB,"&lt;&gt;"&amp;"",операции!$AB:$AB,"&lt;="&amp;X$9,операции!$L:$L,AA$9,операции!$O:$O,$F830))/AA891)</f>
        <v>0</v>
      </c>
      <c r="AB892" s="265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</row>
    <row r="893" spans="1:42" s="192" customFormat="1" ht="11.25">
      <c r="A893" s="37"/>
      <c r="B893" s="37"/>
      <c r="C893" s="37"/>
      <c r="D893" s="191"/>
      <c r="E893" s="191" t="s">
        <v>283</v>
      </c>
      <c r="F893" s="191" t="str">
        <f t="shared" si="1450"/>
        <v>Гуливерт</v>
      </c>
      <c r="G893" s="191" t="s">
        <v>219</v>
      </c>
      <c r="H893" s="315"/>
      <c r="I893" s="329">
        <f>IF(I891=0,0,I$9-I892)</f>
        <v>400.66843647260976</v>
      </c>
      <c r="J893" s="317"/>
      <c r="K893" s="329">
        <f>IF(K891=0,0,I$9-K892)</f>
        <v>400.66843647260976</v>
      </c>
      <c r="L893" s="330">
        <f>IF(L891=0,0,I$9-L892)</f>
        <v>0</v>
      </c>
      <c r="M893" s="274"/>
      <c r="N893" s="156">
        <f>IF(N891=0,0,N$9-N892)</f>
        <v>297.29084399971907</v>
      </c>
      <c r="O893" s="196"/>
      <c r="P893" s="156">
        <f>IF(P891=0,0,N$9-P892)</f>
        <v>297.29084399971907</v>
      </c>
      <c r="Q893" s="245">
        <f>IF(Q891=0,0,N$9-Q892)</f>
        <v>0</v>
      </c>
      <c r="R893" s="238"/>
      <c r="S893" s="156">
        <f>IF(S891=0,0,S$9-S892)</f>
        <v>399.93833712632477</v>
      </c>
      <c r="T893" s="196"/>
      <c r="U893" s="156">
        <f>IF(U891=0,0,S$9-U892)</f>
        <v>399.93833712632477</v>
      </c>
      <c r="V893" s="245">
        <f>IF(V891=0,0,S$9-V892)</f>
        <v>0</v>
      </c>
      <c r="W893" s="238"/>
      <c r="X893" s="156">
        <f>IF(X891=0,0,X$9-X892)</f>
        <v>400.66843647260976</v>
      </c>
      <c r="Y893" s="196"/>
      <c r="Z893" s="156">
        <f>IF(Z891=0,0,X$9-Z892)</f>
        <v>400.66843647260976</v>
      </c>
      <c r="AA893" s="245">
        <f>IF(AA891=0,0,X$9-AA892)</f>
        <v>0</v>
      </c>
      <c r="AB893" s="265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</row>
    <row r="894" spans="1:42" s="192" customFormat="1" ht="11.25">
      <c r="A894" s="37"/>
      <c r="B894" s="37"/>
      <c r="C894" s="37"/>
      <c r="D894" s="191"/>
      <c r="E894" s="191" t="s">
        <v>259</v>
      </c>
      <c r="F894" s="191" t="str">
        <f t="shared" si="1450"/>
        <v>Гуливерт</v>
      </c>
      <c r="G894" s="191" t="s">
        <v>262</v>
      </c>
      <c r="H894" s="315"/>
      <c r="I894" s="316">
        <f>IF(I891=0,0,(SUMIFS(операции!$AH:$AH,операции!$T:$T,"&lt;="&amp;I$9,операции!$X:$X,"",операции!$AB:$AB,"&lt;&gt;"&amp;"",операции!$AB:$AB,"&lt;="&amp;I$9,операции!$O:$O,$F830)+SUMIFS(операции!$AH:$AH,операции!$T:$T,"&lt;="&amp;I$9,операции!$X:$X,"&gt;"&amp;I$9,операции!$AB:$AB,"&lt;&gt;"&amp;"",операции!$AB:$AB,"&lt;="&amp;I$9,операции!$O:$O,$F830))/I891)</f>
        <v>42006.027200143129</v>
      </c>
      <c r="J894" s="317"/>
      <c r="K894" s="316">
        <f>IF(K891=0,0,(SUMIFS(операции!$AH:$AH,операции!$T:$T,"&lt;="&amp;I$9,операции!$X:$X,"",операции!$AB:$AB,"&lt;&gt;"&amp;"",операции!$AB:$AB,"&lt;="&amp;I$9,операции!$L:$L,K$9,операции!$O:$O,$F830)+SUMIFS(операции!$AH:$AH,операции!$T:$T,"&lt;="&amp;I$9,операции!$X:$X,"&gt;"&amp;I$9,операции!$AB:$AB,"&lt;&gt;"&amp;"",операции!$AB:$AB,"&lt;="&amp;I$9,операции!$L:$L,K$9,операции!$O:$O,$F830))/K891)</f>
        <v>42006.027200143129</v>
      </c>
      <c r="L894" s="318">
        <f>IF(L891=0,0,(SUMIFS(операции!$AH:$AH,операции!$T:$T,"&lt;="&amp;I$9,операции!$X:$X,"",операции!$AB:$AB,"&lt;&gt;"&amp;"",операции!$AB:$AB,"&lt;="&amp;I$9,операции!$L:$L,L$9,операции!$O:$O,$F830)+SUMIFS(операции!$AH:$AH,операции!$T:$T,"&lt;="&amp;I$9,операции!$X:$X,"&gt;"&amp;I$9,операции!$AB:$AB,"&lt;&gt;"&amp;"",операции!$AB:$AB,"&lt;="&amp;I$9,операции!$L:$L,L$9,операции!$O:$O,$F830))/L891)</f>
        <v>0</v>
      </c>
      <c r="M894" s="274"/>
      <c r="N894" s="193">
        <f>IF(N891=0,0,(SUMIFS(операции!$AH:$AH,операции!$T:$T,"&lt;="&amp;N$9,операции!$X:$X,"",операции!$AB:$AB,"&lt;&gt;"&amp;"",операции!$AB:$AB,"&lt;="&amp;N$9,операции!$O:$O,$F830)+SUMIFS(операции!$AH:$AH,операции!$T:$T,"&lt;="&amp;N$9,операции!$X:$X,"&gt;"&amp;N$9,операции!$AB:$AB,"&lt;&gt;"&amp;"",операции!$AB:$AB,"&lt;="&amp;N$9,операции!$O:$O,$F830))/N891)</f>
        <v>42042.33569125113</v>
      </c>
      <c r="O894" s="196"/>
      <c r="P894" s="193">
        <f>IF(P891=0,0,(SUMIFS(операции!$AH:$AH,операции!$T:$T,"&lt;="&amp;N$9,операции!$X:$X,"",операции!$AB:$AB,"&lt;&gt;"&amp;"",операции!$AB:$AB,"&lt;="&amp;N$9,операции!$L:$L,P$9,операции!$O:$O,$F830)+SUMIFS(операции!$AH:$AH,операции!$T:$T,"&lt;="&amp;N$9,операции!$X:$X,"&gt;"&amp;N$9,операции!$AB:$AB,"&lt;&gt;"&amp;"",операции!$AB:$AB,"&lt;="&amp;N$9,операции!$L:$L,P$9,операции!$O:$O,$F830))/P891)</f>
        <v>42042.33569125113</v>
      </c>
      <c r="Q894" s="237">
        <f>IF(Q891=0,0,(SUMIFS(операции!$AH:$AH,операции!$T:$T,"&lt;="&amp;N$9,операции!$X:$X,"",операции!$AB:$AB,"&lt;&gt;"&amp;"",операции!$AB:$AB,"&lt;="&amp;N$9,операции!$L:$L,Q$9,операции!$O:$O,$F830)+SUMIFS(операции!$AH:$AH,операции!$T:$T,"&lt;="&amp;N$9,операции!$X:$X,"&gt;"&amp;N$9,операции!$AB:$AB,"&lt;&gt;"&amp;"",операции!$AB:$AB,"&lt;="&amp;N$9,операции!$L:$L,Q$9,операции!$O:$O,$F830))/Q891)</f>
        <v>0</v>
      </c>
      <c r="R894" s="238"/>
      <c r="S894" s="193">
        <f>IF(S891=0,0,(SUMIFS(операции!$AH:$AH,операции!$T:$T,"&lt;="&amp;S$9,операции!$X:$X,"",операции!$AB:$AB,"&lt;&gt;"&amp;"",операции!$AB:$AB,"&lt;="&amp;S$9,операции!$O:$O,$F830)+SUMIFS(операции!$AH:$AH,операции!$T:$T,"&lt;="&amp;S$9,операции!$X:$X,"&gt;"&amp;S$9,операции!$AB:$AB,"&lt;&gt;"&amp;"",операции!$AB:$AB,"&lt;="&amp;S$9,операции!$O:$O,$F830))/S891)</f>
        <v>41968.063174137547</v>
      </c>
      <c r="T894" s="196"/>
      <c r="U894" s="193">
        <f>IF(U891=0,0,(SUMIFS(операции!$AH:$AH,операции!$T:$T,"&lt;="&amp;S$9,операции!$X:$X,"",операции!$AB:$AB,"&lt;&gt;"&amp;"",операции!$AB:$AB,"&lt;="&amp;S$9,операции!$L:$L,U$9,операции!$O:$O,$F830)+SUMIFS(операции!$AH:$AH,операции!$T:$T,"&lt;="&amp;S$9,операции!$X:$X,"&gt;"&amp;S$9,операции!$AB:$AB,"&lt;&gt;"&amp;"",операции!$AB:$AB,"&lt;="&amp;S$9,операции!$L:$L,U$9,операции!$O:$O,$F830))/U891)</f>
        <v>41968.063174137547</v>
      </c>
      <c r="V894" s="237">
        <f>IF(V891=0,0,(SUMIFS(операции!$AH:$AH,операции!$T:$T,"&lt;="&amp;S$9,операции!$X:$X,"",операции!$AB:$AB,"&lt;&gt;"&amp;"",операции!$AB:$AB,"&lt;="&amp;S$9,операции!$L:$L,V$9,операции!$O:$O,$F830)+SUMIFS(операции!$AH:$AH,операции!$T:$T,"&lt;="&amp;S$9,операции!$X:$X,"&gt;"&amp;S$9,операции!$AB:$AB,"&lt;&gt;"&amp;"",операции!$AB:$AB,"&lt;="&amp;S$9,операции!$L:$L,V$9,операции!$O:$O,$F830))/V891)</f>
        <v>0</v>
      </c>
      <c r="W894" s="238"/>
      <c r="X894" s="193">
        <f>IF(X891=0,0,(SUMIFS(операции!$AH:$AH,операции!$T:$T,"&lt;="&amp;X$9,операции!$X:$X,"",операции!$AB:$AB,"&lt;&gt;"&amp;"",операции!$AB:$AB,"&lt;="&amp;X$9,операции!$O:$O,$F830)+SUMIFS(операции!$AH:$AH,операции!$T:$T,"&lt;="&amp;X$9,операции!$X:$X,"&gt;"&amp;X$9,операции!$AB:$AB,"&lt;&gt;"&amp;"",операции!$AB:$AB,"&lt;="&amp;X$9,операции!$O:$O,$F830))/X891)</f>
        <v>42006.027200143129</v>
      </c>
      <c r="Y894" s="196"/>
      <c r="Z894" s="193">
        <f>IF(Z891=0,0,(SUMIFS(операции!$AH:$AH,операции!$T:$T,"&lt;="&amp;X$9,операции!$X:$X,"",операции!$AB:$AB,"&lt;&gt;"&amp;"",операции!$AB:$AB,"&lt;="&amp;X$9,операции!$L:$L,Z$9,операции!$O:$O,$F830)+SUMIFS(операции!$AH:$AH,операции!$T:$T,"&lt;="&amp;X$9,операции!$X:$X,"&gt;"&amp;X$9,операции!$AB:$AB,"&lt;&gt;"&amp;"",операции!$AB:$AB,"&lt;="&amp;X$9,операции!$L:$L,Z$9,операции!$O:$O,$F830))/Z891)</f>
        <v>42006.027200143129</v>
      </c>
      <c r="AA894" s="237">
        <f>IF(AA891=0,0,(SUMIFS(операции!$AH:$AH,операции!$T:$T,"&lt;="&amp;X$9,операции!$X:$X,"",операции!$AB:$AB,"&lt;&gt;"&amp;"",операции!$AB:$AB,"&lt;="&amp;X$9,операции!$L:$L,AA$9,операции!$O:$O,$F830)+SUMIFS(операции!$AH:$AH,операции!$T:$T,"&lt;="&amp;X$9,операции!$X:$X,"&gt;"&amp;X$9,операции!$AB:$AB,"&lt;&gt;"&amp;"",операции!$AB:$AB,"&lt;="&amp;X$9,операции!$L:$L,AA$9,операции!$O:$O,$F830))/AA891)</f>
        <v>0</v>
      </c>
      <c r="AB894" s="265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</row>
    <row r="895" spans="1:42" s="192" customFormat="1" ht="11.25">
      <c r="A895" s="37"/>
      <c r="B895" s="37"/>
      <c r="C895" s="37"/>
      <c r="D895" s="191"/>
      <c r="E895" s="191" t="s">
        <v>284</v>
      </c>
      <c r="F895" s="191" t="str">
        <f t="shared" si="1450"/>
        <v>Гуливерт</v>
      </c>
      <c r="G895" s="191" t="s">
        <v>219</v>
      </c>
      <c r="H895" s="315"/>
      <c r="I895" s="329">
        <f>I894-I892</f>
        <v>37.695636615739204</v>
      </c>
      <c r="J895" s="317"/>
      <c r="K895" s="329">
        <f>K894-K892</f>
        <v>37.695636615739204</v>
      </c>
      <c r="L895" s="330">
        <f>L894-L892</f>
        <v>0</v>
      </c>
      <c r="M895" s="274"/>
      <c r="N895" s="156">
        <f>N894-N892</f>
        <v>31.626535250848974</v>
      </c>
      <c r="O895" s="196"/>
      <c r="P895" s="156">
        <f>P894-P892</f>
        <v>31.626535250848974</v>
      </c>
      <c r="Q895" s="245">
        <f>Q894-Q892</f>
        <v>0</v>
      </c>
      <c r="R895" s="238"/>
      <c r="S895" s="156">
        <f>S894-S892</f>
        <v>30.001511263872089</v>
      </c>
      <c r="T895" s="196"/>
      <c r="U895" s="156">
        <f>U894-U892</f>
        <v>30.001511263872089</v>
      </c>
      <c r="V895" s="245">
        <f>V894-V892</f>
        <v>0</v>
      </c>
      <c r="W895" s="238"/>
      <c r="X895" s="156">
        <f>X894-X892</f>
        <v>37.695636615739204</v>
      </c>
      <c r="Y895" s="196"/>
      <c r="Z895" s="156">
        <f>Z894-Z892</f>
        <v>37.695636615739204</v>
      </c>
      <c r="AA895" s="245">
        <f>AA894-AA892</f>
        <v>0</v>
      </c>
      <c r="AB895" s="265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</row>
    <row r="896" spans="1:42" s="192" customFormat="1" ht="11.25">
      <c r="A896" s="37"/>
      <c r="B896" s="37"/>
      <c r="C896" s="37"/>
      <c r="D896" s="191"/>
      <c r="E896" s="191" t="s">
        <v>285</v>
      </c>
      <c r="F896" s="191" t="str">
        <f t="shared" si="1450"/>
        <v>Гуливерт</v>
      </c>
      <c r="G896" s="191" t="s">
        <v>219</v>
      </c>
      <c r="H896" s="315"/>
      <c r="I896" s="329">
        <f>I893-I895</f>
        <v>362.97279985687055</v>
      </c>
      <c r="J896" s="317"/>
      <c r="K896" s="329">
        <f>K893-K895</f>
        <v>362.97279985687055</v>
      </c>
      <c r="L896" s="330">
        <f>L893-L895</f>
        <v>0</v>
      </c>
      <c r="M896" s="274"/>
      <c r="N896" s="156">
        <f>N893-N895</f>
        <v>265.6643087488701</v>
      </c>
      <c r="O896" s="196"/>
      <c r="P896" s="156">
        <f>P893-P895</f>
        <v>265.6643087488701</v>
      </c>
      <c r="Q896" s="245">
        <f>Q893-Q895</f>
        <v>0</v>
      </c>
      <c r="R896" s="238"/>
      <c r="S896" s="156">
        <f>S893-S895</f>
        <v>369.93682586245268</v>
      </c>
      <c r="T896" s="196"/>
      <c r="U896" s="156">
        <f>U893-U895</f>
        <v>369.93682586245268</v>
      </c>
      <c r="V896" s="245">
        <f>V893-V895</f>
        <v>0</v>
      </c>
      <c r="W896" s="238"/>
      <c r="X896" s="156">
        <f>X893-X895</f>
        <v>362.97279985687055</v>
      </c>
      <c r="Y896" s="196"/>
      <c r="Z896" s="156">
        <f>Z893-Z895</f>
        <v>362.97279985687055</v>
      </c>
      <c r="AA896" s="245">
        <f>AA893-AA895</f>
        <v>0</v>
      </c>
      <c r="AB896" s="265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</row>
    <row r="897" spans="1:42" s="5" customFormat="1">
      <c r="A897" s="1"/>
      <c r="B897" s="1"/>
      <c r="C897" s="1"/>
      <c r="D897" s="168"/>
      <c r="E897" s="168" t="s">
        <v>286</v>
      </c>
      <c r="F897" s="168" t="str">
        <f t="shared" si="1450"/>
        <v>Гуливерт</v>
      </c>
      <c r="G897" s="168" t="s">
        <v>261</v>
      </c>
      <c r="H897" s="326"/>
      <c r="I897" s="327">
        <f>SUMIFS(операции!$V:$V,операции!$T:$T,"&lt;="&amp;I$9,операции!$X:$X,"",операции!$AB:$AB,"",операции!$O:$O,$F830)+SUMIFS(операции!$V:$V,операции!$T:$T,"&lt;="&amp;I$9,операции!$X:$X,"&gt;"&amp;I$9,операции!$AB:$AB,"",операции!$O:$O,$F830)+SUMIFS(операции!$V:$V,операции!$T:$T,"&lt;="&amp;I$9,операции!$X:$X,"",операции!$AB:$AB,"&gt;"&amp;I$9,операции!$O:$O,$F830)+SUMIFS(операции!$V:$V,операции!$T:$T,"&lt;="&amp;I$9,операции!$X:$X,"&gt;"&amp;I$9,операции!$AB:$AB,"&gt;"&amp;I$9,операции!$O:$O,$F830)</f>
        <v>24509.08</v>
      </c>
      <c r="J897" s="313">
        <f>I897-K897-L897</f>
        <v>0</v>
      </c>
      <c r="K897" s="327">
        <f>SUMIFS(операции!$V:$V,операции!$T:$T,"&lt;="&amp;I$9,операции!$X:$X,"",операции!$AB:$AB,"",операции!$L:$L,K$9,операции!$O:$O,$F830)+SUMIFS(операции!$V:$V,операции!$T:$T,"&lt;="&amp;I$9,операции!$X:$X,"&gt;"&amp;I$9,операции!$AB:$AB,"",операции!$L:$L,K$9,операции!$O:$O,$F830)+SUMIFS(операции!$V:$V,операции!$T:$T,"&lt;="&amp;I$9,операции!$X:$X,"",операции!$AB:$AB,"&gt;"&amp;I$9,операции!$L:$L,K$9,операции!$O:$O,$F830)+SUMIFS(операции!$V:$V,операции!$T:$T,"&lt;="&amp;I$9,операции!$X:$X,"&gt;"&amp;I$9,операции!$AB:$AB,"&gt;"&amp;I$9,операции!$L:$L,K$9,операции!$O:$O,$F830)</f>
        <v>1992.54</v>
      </c>
      <c r="L897" s="328">
        <f>SUMIFS(операции!$V:$V,операции!$T:$T,"&lt;="&amp;I$9,операции!$X:$X,"",операции!$AB:$AB,"",операции!$L:$L,L$9,операции!$O:$O,$F830)+SUMIFS(операции!$V:$V,операции!$T:$T,"&lt;="&amp;I$9,операции!$X:$X,"&gt;"&amp;I$9,операции!$AB:$AB,"",операции!$L:$L,L$9,операции!$O:$O,$F830)+SUMIFS(операции!$V:$V,операции!$T:$T,"&lt;="&amp;I$9,операции!$X:$X,"",операции!$AB:$AB,"&gt;"&amp;I$9,операции!$L:$L,L$9,операции!$O:$O,$F830)+SUMIFS(операции!$V:$V,операции!$T:$T,"&lt;="&amp;I$9,операции!$X:$X,"&gt;"&amp;I$9,операции!$AB:$AB,"&gt;"&amp;I$9,операции!$L:$L,L$9,операции!$O:$O,$F830)</f>
        <v>22516.54</v>
      </c>
      <c r="M897" s="277"/>
      <c r="N897" s="169">
        <f>SUMIFS(операции!$V:$V,операции!$T:$T,"&lt;="&amp;N$9,операции!$X:$X,"",операции!$AB:$AB,"",операции!$O:$O,$F830)+SUMIFS(операции!$V:$V,операции!$T:$T,"&lt;="&amp;N$9,операции!$X:$X,"&gt;"&amp;N$9,операции!$AB:$AB,"",операции!$O:$O,$F830)+SUMIFS(операции!$V:$V,операции!$T:$T,"&lt;="&amp;N$9,операции!$X:$X,"",операции!$AB:$AB,"&gt;"&amp;N$9,операции!$O:$O,$F830)+SUMIFS(операции!$V:$V,операции!$T:$T,"&lt;="&amp;N$9,операции!$X:$X,"&gt;"&amp;N$9,операции!$AB:$AB,"&gt;"&amp;N$9,операции!$O:$O,$F830)</f>
        <v>4941.0999999999995</v>
      </c>
      <c r="O897" s="170">
        <f>N897-P897-Q897</f>
        <v>0</v>
      </c>
      <c r="P897" s="169">
        <f>SUMIFS(операции!$V:$V,операции!$T:$T,"&lt;="&amp;N$9,операции!$X:$X,"",операции!$AB:$AB,"",операции!$L:$L,P$9,операции!$O:$O,$F830)+SUMIFS(операции!$V:$V,операции!$T:$T,"&lt;="&amp;N$9,операции!$X:$X,"&gt;"&amp;N$9,операции!$AB:$AB,"",операции!$L:$L,P$9,операции!$O:$O,$F830)+SUMIFS(операции!$V:$V,операции!$T:$T,"&lt;="&amp;N$9,операции!$X:$X,"",операции!$AB:$AB,"&gt;"&amp;N$9,операции!$L:$L,P$9,операции!$O:$O,$F830)+SUMIFS(операции!$V:$V,операции!$T:$T,"&lt;="&amp;N$9,операции!$X:$X,"&gt;"&amp;N$9,операции!$AB:$AB,"&gt;"&amp;N$9,операции!$L:$L,P$9,операции!$O:$O,$F830)</f>
        <v>4941.0999999999995</v>
      </c>
      <c r="Q897" s="243">
        <f>SUMIFS(операции!$V:$V,операции!$T:$T,"&lt;="&amp;N$9,операции!$X:$X,"",операции!$AB:$AB,"",операции!$L:$L,Q$9,операции!$O:$O,$F830)+SUMIFS(операции!$V:$V,операции!$T:$T,"&lt;="&amp;N$9,операции!$X:$X,"&gt;"&amp;N$9,операции!$AB:$AB,"",операции!$L:$L,Q$9,операции!$O:$O,$F830)+SUMIFS(операции!$V:$V,операции!$T:$T,"&lt;="&amp;N$9,операции!$X:$X,"",операции!$AB:$AB,"&gt;"&amp;N$9,операции!$L:$L,Q$9,операции!$O:$O,$F830)+SUMIFS(операции!$V:$V,операции!$T:$T,"&lt;="&amp;N$9,операции!$X:$X,"&gt;"&amp;N$9,операции!$AB:$AB,"&gt;"&amp;N$9,операции!$L:$L,Q$9,операции!$O:$O,$F830)</f>
        <v>0</v>
      </c>
      <c r="R897" s="244"/>
      <c r="S897" s="169">
        <f>SUMIFS(операции!$V:$V,операции!$T:$T,"&lt;="&amp;S$9,операции!$X:$X,"",операции!$AB:$AB,"",операции!$O:$O,$F830)+SUMIFS(операции!$V:$V,операции!$T:$T,"&lt;="&amp;S$9,операции!$X:$X,"&gt;"&amp;S$9,операции!$AB:$AB,"",операции!$O:$O,$F830)+SUMIFS(операции!$V:$V,операции!$T:$T,"&lt;="&amp;S$9,операции!$X:$X,"",операции!$AB:$AB,"&gt;"&amp;S$9,операции!$O:$O,$F830)+SUMIFS(операции!$V:$V,операции!$T:$T,"&lt;="&amp;S$9,операции!$X:$X,"&gt;"&amp;S$9,операции!$AB:$AB,"&gt;"&amp;S$9,операции!$O:$O,$F830)</f>
        <v>9958.5400000000009</v>
      </c>
      <c r="T897" s="170">
        <f>S897-U897-V897</f>
        <v>0</v>
      </c>
      <c r="U897" s="169">
        <f>SUMIFS(операции!$V:$V,операции!$T:$T,"&lt;="&amp;S$9,операции!$X:$X,"",операции!$AB:$AB,"",операции!$L:$L,U$9,операции!$O:$O,$F830)+SUMIFS(операции!$V:$V,операции!$T:$T,"&lt;="&amp;S$9,операции!$X:$X,"&gt;"&amp;S$9,операции!$AB:$AB,"",операции!$L:$L,U$9,операции!$O:$O,$F830)+SUMIFS(операции!$V:$V,операции!$T:$T,"&lt;="&amp;S$9,операции!$X:$X,"",операции!$AB:$AB,"&gt;"&amp;S$9,операции!$L:$L,U$9,операции!$O:$O,$F830)+SUMIFS(операции!$V:$V,операции!$T:$T,"&lt;="&amp;S$9,операции!$X:$X,"&gt;"&amp;S$9,операции!$AB:$AB,"&gt;"&amp;S$9,операции!$L:$L,U$9,операции!$O:$O,$F830)</f>
        <v>1992.54</v>
      </c>
      <c r="V897" s="243">
        <f>SUMIFS(операции!$V:$V,операции!$T:$T,"&lt;="&amp;S$9,операции!$X:$X,"",операции!$AB:$AB,"",операции!$L:$L,V$9,операции!$O:$O,$F830)+SUMIFS(операции!$V:$V,операции!$T:$T,"&lt;="&amp;S$9,операции!$X:$X,"&gt;"&amp;S$9,операции!$AB:$AB,"",операции!$L:$L,V$9,операции!$O:$O,$F830)+SUMIFS(операции!$V:$V,операции!$T:$T,"&lt;="&amp;S$9,операции!$X:$X,"",операции!$AB:$AB,"&gt;"&amp;S$9,операции!$L:$L,V$9,операции!$O:$O,$F830)+SUMIFS(операции!$V:$V,операции!$T:$T,"&lt;="&amp;S$9,операции!$X:$X,"&gt;"&amp;S$9,операции!$AB:$AB,"&gt;"&amp;S$9,операции!$L:$L,V$9,операции!$O:$O,$F830)</f>
        <v>7966</v>
      </c>
      <c r="W897" s="244"/>
      <c r="X897" s="169">
        <f>SUMIFS(операции!$V:$V,операции!$T:$T,"&lt;="&amp;X$9,операции!$X:$X,"",операции!$AB:$AB,"",операции!$O:$O,$F830)+SUMIFS(операции!$V:$V,операции!$T:$T,"&lt;="&amp;X$9,операции!$X:$X,"&gt;"&amp;X$9,операции!$AB:$AB,"",операции!$O:$O,$F830)+SUMIFS(операции!$V:$V,операции!$T:$T,"&lt;="&amp;X$9,операции!$X:$X,"",операции!$AB:$AB,"&gt;"&amp;X$9,операции!$O:$O,$F830)+SUMIFS(операции!$V:$V,операции!$T:$T,"&lt;="&amp;X$9,операции!$X:$X,"&gt;"&amp;X$9,операции!$AB:$AB,"&gt;"&amp;X$9,операции!$O:$O,$F830)</f>
        <v>24509.08</v>
      </c>
      <c r="Y897" s="170">
        <f>X897-Z897-AA897</f>
        <v>0</v>
      </c>
      <c r="Z897" s="169">
        <f>SUMIFS(операции!$V:$V,операции!$T:$T,"&lt;="&amp;X$9,операции!$X:$X,"",операции!$AB:$AB,"",операции!$L:$L,Z$9,операции!$O:$O,$F830)+SUMIFS(операции!$V:$V,операции!$T:$T,"&lt;="&amp;X$9,операции!$X:$X,"&gt;"&amp;X$9,операции!$AB:$AB,"",операции!$L:$L,Z$9,операции!$O:$O,$F830)+SUMIFS(операции!$V:$V,операции!$T:$T,"&lt;="&amp;X$9,операции!$X:$X,"",операции!$AB:$AB,"&gt;"&amp;X$9,операции!$L:$L,Z$9,операции!$O:$O,$F830)+SUMIFS(операции!$V:$V,операции!$T:$T,"&lt;="&amp;X$9,операции!$X:$X,"&gt;"&amp;X$9,операции!$AB:$AB,"&gt;"&amp;X$9,операции!$L:$L,Z$9,операции!$O:$O,$F830)</f>
        <v>1992.54</v>
      </c>
      <c r="AA897" s="243">
        <f>SUMIFS(операции!$V:$V,операции!$T:$T,"&lt;="&amp;X$9,операции!$X:$X,"",операции!$AB:$AB,"",операции!$L:$L,AA$9,операции!$O:$O,$F830)+SUMIFS(операции!$V:$V,операции!$T:$T,"&lt;="&amp;X$9,операции!$X:$X,"&gt;"&amp;X$9,операции!$AB:$AB,"",операции!$L:$L,AA$9,операции!$O:$O,$F830)+SUMIFS(операции!$V:$V,операции!$T:$T,"&lt;="&amp;X$9,операции!$X:$X,"",операции!$AB:$AB,"&gt;"&amp;X$9,операции!$L:$L,AA$9,операции!$O:$O,$F830)+SUMIFS(операции!$V:$V,операции!$T:$T,"&lt;="&amp;X$9,операции!$X:$X,"&gt;"&amp;X$9,операции!$AB:$AB,"&gt;"&amp;X$9,операции!$L:$L,AA$9,операции!$O:$O,$F830)</f>
        <v>22516.54</v>
      </c>
      <c r="AB897" s="266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s="192" customFormat="1" ht="11.25">
      <c r="A898" s="37"/>
      <c r="B898" s="37"/>
      <c r="C898" s="37"/>
      <c r="D898" s="191"/>
      <c r="E898" s="191" t="s">
        <v>255</v>
      </c>
      <c r="F898" s="191" t="str">
        <f t="shared" si="1450"/>
        <v>Гуливерт</v>
      </c>
      <c r="G898" s="191" t="s">
        <v>262</v>
      </c>
      <c r="H898" s="315"/>
      <c r="I898" s="316">
        <f>IF(I897=0,0,(SUMIFS(операции!$AF:$AF,операции!$T:$T,"&lt;="&amp;I$9,операции!$X:$X,"",операции!$AB:$AB,"",операции!$O:$O,$F830)+SUMIFS(операции!$AF:$AF,операции!$T:$T,"&lt;="&amp;I$9,операции!$X:$X,"&gt;"&amp;I$9,операции!$AB:$AB,"",операции!$O:$O,$F830)+SUMIFS(операции!$AF:$AF,операции!$T:$T,"&lt;="&amp;I$9,операции!$X:$X,"",операции!$AB:$AB,"&gt;"&amp;I$9,операции!$O:$O,$F830)+SUMIFS(операции!$AF:$AF,операции!$T:$T,"&lt;="&amp;I$9,операции!$X:$X,"&gt;"&amp;I$9,операции!$AB:$AB,"&gt;"&amp;I$9,операции!$O:$O,$F830))/I897)</f>
        <v>42336.546238373689</v>
      </c>
      <c r="J898" s="317"/>
      <c r="K898" s="316">
        <f>IF(K897=0,0,(SUMIFS(операции!$AF:$AF,операции!$T:$T,"&lt;="&amp;I$9,операции!$X:$X,"",операции!$AB:$AB,"",операции!$L:$L,K$9,операции!$O:$O,$F830)+SUMIFS(операции!$AF:$AF,операции!$T:$T,"&lt;="&amp;I$9,операции!$X:$X,"&gt;"&amp;I$9,операции!$AB:$AB,"",операции!$L:$L,K$9,операции!$O:$O,$F830)+SUMIFS(операции!$AF:$AF,операции!$T:$T,"&lt;="&amp;I$9,операции!$X:$X,"",операции!$AB:$AB,"&gt;"&amp;I$9,операции!$L:$L,K$9,операции!$O:$O,$F830)+SUMIFS(операции!$AF:$AF,операции!$T:$T,"&lt;="&amp;I$9,операции!$X:$X,"&gt;"&amp;I$9,операции!$AB:$AB,"&gt;"&amp;I$9,операции!$L:$L,K$9,операции!$O:$O,$F830))/K897)</f>
        <v>42036.407750910905</v>
      </c>
      <c r="L898" s="318">
        <f>IF(L897=0,0,(SUMIFS(операции!$AF:$AF,операции!$T:$T,"&lt;="&amp;I$9,операции!$X:$X,"",операции!$AB:$AB,"",операции!$L:$L,L$9,операции!$O:$O,$F830)+SUMIFS(операции!$AF:$AF,операции!$T:$T,"&lt;="&amp;I$9,операции!$X:$X,"&gt;"&amp;I$9,операции!$AB:$AB,"",операции!$L:$L,L$9,операции!$O:$O,$F830)+SUMIFS(операции!$AF:$AF,операции!$T:$T,"&lt;="&amp;I$9,операции!$X:$X,"",операции!$AB:$AB,"&gt;"&amp;I$9,операции!$L:$L,L$9,операции!$O:$O,$F830)+SUMIFS(операции!$AF:$AF,операции!$T:$T,"&lt;="&amp;I$9,операции!$X:$X,"&gt;"&amp;I$9,операции!$AB:$AB,"&gt;"&amp;I$9,операции!$L:$L,L$9,операции!$O:$O,$F830))/L897)</f>
        <v>42363.106177947411</v>
      </c>
      <c r="M898" s="274"/>
      <c r="N898" s="193">
        <f>IF(N897=0,0,(SUMIFS(операции!$AF:$AF,операции!$T:$T,"&lt;="&amp;N$9,операции!$X:$X,"",операции!$AB:$AB,"",операции!$O:$O,$F830)+SUMIFS(операции!$AF:$AF,операции!$T:$T,"&lt;="&amp;N$9,операции!$X:$X,"&gt;"&amp;N$9,операции!$AB:$AB,"",операции!$O:$O,$F830)+SUMIFS(операции!$AF:$AF,операции!$T:$T,"&lt;="&amp;N$9,операции!$X:$X,"",операции!$AB:$AB,"&gt;"&amp;N$9,операции!$O:$O,$F830)+SUMIFS(операции!$AF:$AF,операции!$T:$T,"&lt;="&amp;N$9,операции!$X:$X,"&gt;"&amp;N$9,операции!$AB:$AB,"&gt;"&amp;N$9,операции!$O:$O,$F830))/N897)</f>
        <v>41953.422169152625</v>
      </c>
      <c r="O898" s="196"/>
      <c r="P898" s="193">
        <f>IF(P897=0,0,(SUMIFS(операции!$AF:$AF,операции!$T:$T,"&lt;="&amp;N$9,операции!$X:$X,"",операции!$AB:$AB,"",операции!$L:$L,P$9,операции!$O:$O,$F830)+SUMIFS(операции!$AF:$AF,операции!$T:$T,"&lt;="&amp;N$9,операции!$X:$X,"&gt;"&amp;N$9,операции!$AB:$AB,"",операции!$L:$L,P$9,операции!$O:$O,$F830)+SUMIFS(операции!$AF:$AF,операции!$T:$T,"&lt;="&amp;N$9,операции!$X:$X,"",операции!$AB:$AB,"&gt;"&amp;N$9,операции!$L:$L,P$9,операции!$O:$O,$F830)+SUMIFS(операции!$AF:$AF,операции!$T:$T,"&lt;="&amp;N$9,операции!$X:$X,"&gt;"&amp;N$9,операции!$AB:$AB,"&gt;"&amp;N$9,операции!$L:$L,P$9,операции!$O:$O,$F830))/P897)</f>
        <v>41953.422169152625</v>
      </c>
      <c r="Q898" s="237">
        <f>IF(Q897=0,0,(SUMIFS(операции!$AF:$AF,операции!$T:$T,"&lt;="&amp;N$9,операции!$X:$X,"",операции!$AB:$AB,"",операции!$L:$L,Q$9,операции!$O:$O,$F830)+SUMIFS(операции!$AF:$AF,операции!$T:$T,"&lt;="&amp;N$9,операции!$X:$X,"&gt;"&amp;N$9,операции!$AB:$AB,"",операции!$L:$L,Q$9,операции!$O:$O,$F830)+SUMIFS(операции!$AF:$AF,операции!$T:$T,"&lt;="&amp;N$9,операции!$X:$X,"",операции!$AB:$AB,"&gt;"&amp;N$9,операции!$L:$L,Q$9,операции!$O:$O,$F830)+SUMIFS(операции!$AF:$AF,операции!$T:$T,"&lt;="&amp;N$9,операции!$X:$X,"&gt;"&amp;N$9,операции!$AB:$AB,"&gt;"&amp;N$9,операции!$L:$L,Q$9,операции!$O:$O,$F830))/Q897)</f>
        <v>0</v>
      </c>
      <c r="R898" s="238"/>
      <c r="S898" s="193">
        <f>IF(S897=0,0,(SUMIFS(операции!$AF:$AF,операции!$T:$T,"&lt;="&amp;S$9,операции!$X:$X,"",операции!$AB:$AB,"",операции!$O:$O,$F830)+SUMIFS(операции!$AF:$AF,операции!$T:$T,"&lt;="&amp;S$9,операции!$X:$X,"&gt;"&amp;S$9,операции!$AB:$AB,"",операции!$O:$O,$F830)+SUMIFS(операции!$AF:$AF,операции!$T:$T,"&lt;="&amp;S$9,операции!$X:$X,"",операции!$AB:$AB,"&gt;"&amp;S$9,операции!$O:$O,$F830)+SUMIFS(операции!$AF:$AF,операции!$T:$T,"&lt;="&amp;S$9,операции!$X:$X,"&gt;"&amp;S$9,операции!$AB:$AB,"&gt;"&amp;S$9,операции!$O:$O,$F830))/S897)</f>
        <v>42275.261624695981</v>
      </c>
      <c r="T898" s="196"/>
      <c r="U898" s="193">
        <f>IF(U897=0,0,(SUMIFS(операции!$AF:$AF,операции!$T:$T,"&lt;="&amp;S$9,операции!$X:$X,"",операции!$AB:$AB,"",операции!$L:$L,U$9,операции!$O:$O,$F830)+SUMIFS(операции!$AF:$AF,операции!$T:$T,"&lt;="&amp;S$9,операции!$X:$X,"&gt;"&amp;S$9,операции!$AB:$AB,"",операции!$L:$L,U$9,операции!$O:$O,$F830)+SUMIFS(операции!$AF:$AF,операции!$T:$T,"&lt;="&amp;S$9,операции!$X:$X,"",операции!$AB:$AB,"&gt;"&amp;S$9,операции!$L:$L,U$9,операции!$O:$O,$F830)+SUMIFS(операции!$AF:$AF,операции!$T:$T,"&lt;="&amp;S$9,операции!$X:$X,"&gt;"&amp;S$9,операции!$AB:$AB,"&gt;"&amp;S$9,операции!$L:$L,U$9,операции!$O:$O,$F830))/U897)</f>
        <v>42036.407750910905</v>
      </c>
      <c r="V898" s="237">
        <f>IF(V897=0,0,(SUMIFS(операции!$AF:$AF,операции!$T:$T,"&lt;="&amp;S$9,операции!$X:$X,"",операции!$AB:$AB,"",операции!$L:$L,V$9,операции!$O:$O,$F830)+SUMIFS(операции!$AF:$AF,операции!$T:$T,"&lt;="&amp;S$9,операции!$X:$X,"&gt;"&amp;S$9,операции!$AB:$AB,"",операции!$L:$L,V$9,операции!$O:$O,$F830)+SUMIFS(операции!$AF:$AF,операции!$T:$T,"&lt;="&amp;S$9,операции!$X:$X,"",операции!$AB:$AB,"&gt;"&amp;S$9,операции!$L:$L,V$9,операции!$O:$O,$F830)+SUMIFS(операции!$AF:$AF,операции!$T:$T,"&lt;="&amp;S$9,операции!$X:$X,"&gt;"&amp;S$9,операции!$AB:$AB,"&gt;"&amp;S$9,операции!$L:$L,V$9,операции!$O:$O,$F830))/V897)</f>
        <v>42335.006276675871</v>
      </c>
      <c r="W898" s="238"/>
      <c r="X898" s="193">
        <f>IF(X897=0,0,(SUMIFS(операции!$AF:$AF,операции!$T:$T,"&lt;="&amp;X$9,операции!$X:$X,"",операции!$AB:$AB,"",операции!$O:$O,$F830)+SUMIFS(операции!$AF:$AF,операции!$T:$T,"&lt;="&amp;X$9,операции!$X:$X,"&gt;"&amp;X$9,операции!$AB:$AB,"",операции!$O:$O,$F830)+SUMIFS(операции!$AF:$AF,операции!$T:$T,"&lt;="&amp;X$9,операции!$X:$X,"",операции!$AB:$AB,"&gt;"&amp;X$9,операции!$O:$O,$F830)+SUMIFS(операции!$AF:$AF,операции!$T:$T,"&lt;="&amp;X$9,операции!$X:$X,"&gt;"&amp;X$9,операции!$AB:$AB,"&gt;"&amp;X$9,операции!$O:$O,$F830))/X897)</f>
        <v>42336.546238373689</v>
      </c>
      <c r="Y898" s="196"/>
      <c r="Z898" s="193">
        <f>IF(Z897=0,0,(SUMIFS(операции!$AF:$AF,операции!$T:$T,"&lt;="&amp;X$9,операции!$X:$X,"",операции!$AB:$AB,"",операции!$L:$L,Z$9,операции!$O:$O,$F830)+SUMIFS(операции!$AF:$AF,операции!$T:$T,"&lt;="&amp;X$9,операции!$X:$X,"&gt;"&amp;X$9,операции!$AB:$AB,"",операции!$L:$L,Z$9,операции!$O:$O,$F830)+SUMIFS(операции!$AF:$AF,операции!$T:$T,"&lt;="&amp;X$9,операции!$X:$X,"",операции!$AB:$AB,"&gt;"&amp;X$9,операции!$L:$L,Z$9,операции!$O:$O,$F830)+SUMIFS(операции!$AF:$AF,операции!$T:$T,"&lt;="&amp;X$9,операции!$X:$X,"&gt;"&amp;X$9,операции!$AB:$AB,"&gt;"&amp;X$9,операции!$L:$L,Z$9,операции!$O:$O,$F830))/Z897)</f>
        <v>42036.407750910905</v>
      </c>
      <c r="AA898" s="237">
        <f>IF(AA897=0,0,(SUMIFS(операции!$AF:$AF,операции!$T:$T,"&lt;="&amp;X$9,операции!$X:$X,"",операции!$AB:$AB,"",операции!$L:$L,AA$9,операции!$O:$O,$F830)+SUMIFS(операции!$AF:$AF,операции!$T:$T,"&lt;="&amp;X$9,операции!$X:$X,"&gt;"&amp;X$9,операции!$AB:$AB,"",операции!$L:$L,AA$9,операции!$O:$O,$F830)+SUMIFS(операции!$AF:$AF,операции!$T:$T,"&lt;="&amp;X$9,операции!$X:$X,"",операции!$AB:$AB,"&gt;"&amp;X$9,операции!$L:$L,AA$9,операции!$O:$O,$F830)+SUMIFS(операции!$AF:$AF,операции!$T:$T,"&lt;="&amp;X$9,операции!$X:$X,"&gt;"&amp;X$9,операции!$AB:$AB,"&gt;"&amp;X$9,операции!$L:$L,AA$9,операции!$O:$O,$F830))/AA897)</f>
        <v>42363.106177947411</v>
      </c>
      <c r="AB898" s="265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</row>
    <row r="899" spans="1:42" s="192" customFormat="1" ht="11.25">
      <c r="A899" s="37"/>
      <c r="B899" s="37"/>
      <c r="C899" s="37"/>
      <c r="D899" s="191"/>
      <c r="E899" s="191" t="s">
        <v>287</v>
      </c>
      <c r="F899" s="191" t="str">
        <f t="shared" ref="F899:F902" si="1583">F898</f>
        <v>Гуливерт</v>
      </c>
      <c r="G899" s="191" t="s">
        <v>219</v>
      </c>
      <c r="H899" s="315"/>
      <c r="I899" s="329">
        <f>IF(I897=0,0,I$9-I898)</f>
        <v>32.453761626311461</v>
      </c>
      <c r="J899" s="317"/>
      <c r="K899" s="329">
        <f>IF(K897=0,0,I$9-K898)</f>
        <v>332.59224908909528</v>
      </c>
      <c r="L899" s="330">
        <f>IF(L897=0,0,I$9-L898)</f>
        <v>5.8938220525888028</v>
      </c>
      <c r="M899" s="274"/>
      <c r="N899" s="156">
        <f>IF(N897=0,0,N$9-N898)</f>
        <v>354.57783084737457</v>
      </c>
      <c r="O899" s="196"/>
      <c r="P899" s="156">
        <f>IF(P897=0,0,N$9-P898)</f>
        <v>354.57783084737457</v>
      </c>
      <c r="Q899" s="245">
        <f>IF(Q897=0,0,N$9-Q898)</f>
        <v>0</v>
      </c>
      <c r="R899" s="238"/>
      <c r="S899" s="156">
        <f>IF(S897=0,0,S$9-S898)</f>
        <v>62.738375304019428</v>
      </c>
      <c r="T899" s="196"/>
      <c r="U899" s="156">
        <f>IF(U897=0,0,S$9-U898)</f>
        <v>301.59224908909528</v>
      </c>
      <c r="V899" s="245">
        <f>IF(V897=0,0,S$9-V898)</f>
        <v>2.9937233241289505</v>
      </c>
      <c r="W899" s="238"/>
      <c r="X899" s="156">
        <f>IF(X897=0,0,X$9-X898)</f>
        <v>32.453761626311461</v>
      </c>
      <c r="Y899" s="196"/>
      <c r="Z899" s="156">
        <f>IF(Z897=0,0,X$9-Z898)</f>
        <v>332.59224908909528</v>
      </c>
      <c r="AA899" s="245">
        <f>IF(AA897=0,0,X$9-AA898)</f>
        <v>5.8938220525888028</v>
      </c>
      <c r="AB899" s="265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</row>
    <row r="900" spans="1:42" s="192" customFormat="1" ht="11.25">
      <c r="A900" s="37"/>
      <c r="B900" s="37"/>
      <c r="C900" s="37"/>
      <c r="D900" s="191"/>
      <c r="E900" s="191" t="s">
        <v>311</v>
      </c>
      <c r="F900" s="191" t="str">
        <f t="shared" si="1583"/>
        <v>Гуливерт</v>
      </c>
      <c r="G900" s="191" t="s">
        <v>262</v>
      </c>
      <c r="H900" s="315"/>
      <c r="I900" s="316">
        <f>I$9</f>
        <v>42369</v>
      </c>
      <c r="J900" s="317"/>
      <c r="K900" s="316">
        <f>I$9</f>
        <v>42369</v>
      </c>
      <c r="L900" s="318">
        <f>I$9</f>
        <v>42369</v>
      </c>
      <c r="M900" s="274"/>
      <c r="N900" s="193">
        <f>N$9</f>
        <v>42308</v>
      </c>
      <c r="O900" s="196"/>
      <c r="P900" s="193">
        <f>N$9</f>
        <v>42308</v>
      </c>
      <c r="Q900" s="237">
        <f>N$9</f>
        <v>42308</v>
      </c>
      <c r="R900" s="238"/>
      <c r="S900" s="193">
        <f>S$9</f>
        <v>42338</v>
      </c>
      <c r="T900" s="196"/>
      <c r="U900" s="193">
        <f>S$9</f>
        <v>42338</v>
      </c>
      <c r="V900" s="237">
        <f>S$9</f>
        <v>42338</v>
      </c>
      <c r="W900" s="238"/>
      <c r="X900" s="193">
        <f>X$9</f>
        <v>42369</v>
      </c>
      <c r="Y900" s="196"/>
      <c r="Z900" s="193">
        <f>X$9</f>
        <v>42369</v>
      </c>
      <c r="AA900" s="237">
        <f>X$9</f>
        <v>42369</v>
      </c>
      <c r="AB900" s="265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</row>
    <row r="901" spans="1:42" s="192" customFormat="1" ht="11.25">
      <c r="A901" s="37"/>
      <c r="B901" s="37"/>
      <c r="C901" s="37"/>
      <c r="D901" s="191"/>
      <c r="E901" s="191" t="s">
        <v>288</v>
      </c>
      <c r="F901" s="191" t="str">
        <f t="shared" si="1583"/>
        <v>Гуливерт</v>
      </c>
      <c r="G901" s="191" t="s">
        <v>219</v>
      </c>
      <c r="H901" s="315"/>
      <c r="I901" s="329">
        <f>IF(I897=0,0,I900-I898)</f>
        <v>32.453761626311461</v>
      </c>
      <c r="J901" s="317"/>
      <c r="K901" s="329">
        <f>IF(K897=0,0,K900-K898)</f>
        <v>332.59224908909528</v>
      </c>
      <c r="L901" s="330">
        <f>IF(L897=0,0,L900-L898)</f>
        <v>5.8938220525888028</v>
      </c>
      <c r="M901" s="274"/>
      <c r="N901" s="156">
        <f>IF(N897=0,0,N900-N898)</f>
        <v>354.57783084737457</v>
      </c>
      <c r="O901" s="196"/>
      <c r="P901" s="156">
        <f>IF(P897=0,0,P900-P898)</f>
        <v>354.57783084737457</v>
      </c>
      <c r="Q901" s="245">
        <f>IF(Q897=0,0,Q900-Q898)</f>
        <v>0</v>
      </c>
      <c r="R901" s="238"/>
      <c r="S901" s="156">
        <f>IF(S897=0,0,S900-S898)</f>
        <v>62.738375304019428</v>
      </c>
      <c r="T901" s="196"/>
      <c r="U901" s="156">
        <f>IF(U897=0,0,U900-U898)</f>
        <v>301.59224908909528</v>
      </c>
      <c r="V901" s="245">
        <f>IF(V897=0,0,V900-V898)</f>
        <v>2.9937233241289505</v>
      </c>
      <c r="W901" s="238"/>
      <c r="X901" s="156">
        <f>IF(X897=0,0,X900-X898)</f>
        <v>32.453761626311461</v>
      </c>
      <c r="Y901" s="196"/>
      <c r="Z901" s="156">
        <f>IF(Z897=0,0,Z900-Z898)</f>
        <v>332.59224908909528</v>
      </c>
      <c r="AA901" s="245">
        <f>IF(AA897=0,0,AA900-AA898)</f>
        <v>5.8938220525888028</v>
      </c>
      <c r="AB901" s="265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</row>
    <row r="902" spans="1:42" s="192" customFormat="1" ht="12" thickBot="1">
      <c r="A902" s="37"/>
      <c r="B902" s="37"/>
      <c r="C902" s="37"/>
      <c r="D902" s="297"/>
      <c r="E902" s="297" t="s">
        <v>289</v>
      </c>
      <c r="F902" s="297" t="str">
        <f t="shared" si="1583"/>
        <v>Гуливерт</v>
      </c>
      <c r="G902" s="297" t="s">
        <v>219</v>
      </c>
      <c r="H902" s="377"/>
      <c r="I902" s="378">
        <f>I899-I901</f>
        <v>0</v>
      </c>
      <c r="J902" s="379"/>
      <c r="K902" s="378">
        <f>K899-K901</f>
        <v>0</v>
      </c>
      <c r="L902" s="380">
        <f>L899-L901</f>
        <v>0</v>
      </c>
      <c r="M902" s="300"/>
      <c r="N902" s="298">
        <f>N899-N901</f>
        <v>0</v>
      </c>
      <c r="O902" s="299"/>
      <c r="P902" s="298">
        <f>P899-P901</f>
        <v>0</v>
      </c>
      <c r="Q902" s="301">
        <f>Q899-Q901</f>
        <v>0</v>
      </c>
      <c r="R902" s="302"/>
      <c r="S902" s="298">
        <f>S899-S901</f>
        <v>0</v>
      </c>
      <c r="T902" s="299"/>
      <c r="U902" s="298">
        <f>U899-U901</f>
        <v>0</v>
      </c>
      <c r="V902" s="301">
        <f>V899-V901</f>
        <v>0</v>
      </c>
      <c r="W902" s="302"/>
      <c r="X902" s="298">
        <f>X899-X901</f>
        <v>0</v>
      </c>
      <c r="Y902" s="299"/>
      <c r="Z902" s="298">
        <f>Z899-Z901</f>
        <v>0</v>
      </c>
      <c r="AA902" s="301">
        <f>AA899-AA901</f>
        <v>0</v>
      </c>
      <c r="AB902" s="265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</row>
    <row r="903" spans="1:42" s="111" customFormat="1" ht="11.25">
      <c r="A903" s="108"/>
      <c r="B903" s="108"/>
      <c r="C903" s="108" t="s">
        <v>271</v>
      </c>
      <c r="D903" s="291"/>
      <c r="E903" s="291"/>
      <c r="F903" s="291" t="str">
        <f>F904</f>
        <v>Детство</v>
      </c>
      <c r="G903" s="291"/>
      <c r="H903" s="373"/>
      <c r="I903" s="374">
        <f>I904-K904-L904</f>
        <v>0</v>
      </c>
      <c r="J903" s="375">
        <f>N903+N921+N959+SUM(O:O)+S903+S921+S959+SUM(T:T)+X903+X921+X959+SUM(Y:Y)</f>
        <v>3.9141951901910943E-9</v>
      </c>
      <c r="K903" s="373"/>
      <c r="L903" s="376"/>
      <c r="M903" s="293"/>
      <c r="N903" s="292">
        <f>N904-P904-Q904</f>
        <v>0</v>
      </c>
      <c r="O903" s="294"/>
      <c r="P903" s="291"/>
      <c r="Q903" s="295"/>
      <c r="R903" s="296"/>
      <c r="S903" s="292">
        <f>S904-U904-V904</f>
        <v>1.0186340659856796E-10</v>
      </c>
      <c r="T903" s="294"/>
      <c r="U903" s="291"/>
      <c r="V903" s="295"/>
      <c r="W903" s="296"/>
      <c r="X903" s="292">
        <f>X904-Z904-AA904</f>
        <v>0</v>
      </c>
      <c r="Y903" s="294"/>
      <c r="Z903" s="291"/>
      <c r="AA903" s="295"/>
      <c r="AB903" s="263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</row>
    <row r="904" spans="1:42" s="93" customFormat="1" ht="15">
      <c r="A904" s="92"/>
      <c r="B904" s="92"/>
      <c r="C904" s="92"/>
      <c r="D904" s="151" t="s">
        <v>256</v>
      </c>
      <c r="E904" s="151"/>
      <c r="F904" s="286" t="str">
        <f>микс!$H$29</f>
        <v>Детство</v>
      </c>
      <c r="G904" s="151" t="s">
        <v>261</v>
      </c>
      <c r="H904" s="311"/>
      <c r="I904" s="312">
        <f>SUMIFS(операции!$V:$V,операции!$T:$T,"&lt;"&amp;I$8,операции!$X:$X,"",операции!$O:$O,$F904)+SUMIFS(операции!$V:$V,операции!$T:$T,"&lt;"&amp;I$8,операции!$X:$X,"&gt;="&amp;I$8,операции!$O:$O,$F904)</f>
        <v>475160.10000000003</v>
      </c>
      <c r="J904" s="313">
        <f>I904-I909-I915</f>
        <v>0</v>
      </c>
      <c r="K904" s="312">
        <f>SUMIFS(операции!$V:$V,операции!$T:$T,"&lt;"&amp;I$8,операции!$X:$X,"",операции!$L:$L,K$9,операции!$O:$O,$F904)+SUMIFS(операции!$V:$V,операции!$T:$T,"&lt;"&amp;I$8,операции!$X:$X,"&gt;="&amp;I$8,операции!$L:$L,K$9,операции!$O:$O,$F904)</f>
        <v>475160.10000000003</v>
      </c>
      <c r="L904" s="314">
        <f>SUMIFS(операции!$V:$V,операции!$T:$T,"&lt;"&amp;I$8,операции!$X:$X,"",операции!$L:$L,L$9,операции!$O:$O,$F904)+SUMIFS(операции!$V:$V,операции!$T:$T,"&lt;"&amp;I$8,операции!$X:$X,"&gt;="&amp;I$8,операции!$L:$L,L$9,операции!$O:$O,$F904)</f>
        <v>0</v>
      </c>
      <c r="M904" s="273"/>
      <c r="N904" s="152">
        <f>SUMIFS(операции!$V:$V,операции!$T:$T,"&lt;"&amp;N$8,операции!$X:$X,"",операции!$O:$O,$F904)+SUMIFS(операции!$V:$V,операции!$T:$T,"&lt;"&amp;N$8,операции!$X:$X,"&gt;="&amp;N$8,операции!$O:$O,$F904)</f>
        <v>475160.10000000003</v>
      </c>
      <c r="O904" s="170">
        <f>N904-N909-N915</f>
        <v>0</v>
      </c>
      <c r="P904" s="152">
        <f>SUMIFS(операции!$V:$V,операции!$T:$T,"&lt;"&amp;N$8,операции!$X:$X,"",операции!$L:$L,P$9,операции!$O:$O,$F904)+SUMIFS(операции!$V:$V,операции!$T:$T,"&lt;"&amp;N$8,операции!$X:$X,"&gt;="&amp;N$8,операции!$L:$L,P$9,операции!$O:$O,$F904)</f>
        <v>475160.10000000003</v>
      </c>
      <c r="Q904" s="235">
        <f>SUMIFS(операции!$V:$V,операции!$T:$T,"&lt;"&amp;N$8,операции!$X:$X,"",операции!$L:$L,Q$9,операции!$O:$O,$F904)+SUMIFS(операции!$V:$V,операции!$T:$T,"&lt;"&amp;N$8,операции!$X:$X,"&gt;="&amp;N$8,операции!$L:$L,Q$9,операции!$O:$O,$F904)</f>
        <v>0</v>
      </c>
      <c r="R904" s="236"/>
      <c r="S904" s="152">
        <f>SUMIFS(операции!$V:$V,операции!$T:$T,"&lt;"&amp;S$8,операции!$X:$X,"",операции!$O:$O,$F904)+SUMIFS(операции!$V:$V,операции!$T:$T,"&lt;"&amp;S$8,операции!$X:$X,"&gt;="&amp;S$8,операции!$O:$O,$F904)</f>
        <v>366530.57000000007</v>
      </c>
      <c r="T904" s="170">
        <f>S904-S909-S915</f>
        <v>0</v>
      </c>
      <c r="U904" s="152">
        <f>SUMIFS(операции!$V:$V,операции!$T:$T,"&lt;"&amp;S$8,операции!$X:$X,"",операции!$L:$L,U$9,операции!$O:$O,$F904)+SUMIFS(операции!$V:$V,операции!$T:$T,"&lt;"&amp;S$8,операции!$X:$X,"&gt;="&amp;S$8,операции!$L:$L,U$9,операции!$O:$O,$F904)</f>
        <v>325722.58999999997</v>
      </c>
      <c r="V904" s="235">
        <f>SUMIFS(операции!$V:$V,операции!$T:$T,"&lt;"&amp;S$8,операции!$X:$X,"",операции!$L:$L,V$9,операции!$O:$O,$F904)+SUMIFS(операции!$V:$V,операции!$T:$T,"&lt;"&amp;S$8,операции!$X:$X,"&gt;="&amp;S$8,операции!$L:$L,V$9,операции!$O:$O,$F904)</f>
        <v>40807.979999999996</v>
      </c>
      <c r="W904" s="236"/>
      <c r="X904" s="152">
        <f>SUMIFS(операции!$V:$V,операции!$T:$T,"&lt;"&amp;X$8,операции!$X:$X,"",операции!$O:$O,$F904)+SUMIFS(операции!$V:$V,операции!$T:$T,"&lt;"&amp;X$8,операции!$X:$X,"&gt;="&amp;X$8,операции!$O:$O,$F904)</f>
        <v>602478.65999999992</v>
      </c>
      <c r="Y904" s="170">
        <f>X904-X909-X915</f>
        <v>0</v>
      </c>
      <c r="Z904" s="152">
        <f>SUMIFS(операции!$V:$V,операции!$T:$T,"&lt;"&amp;X$8,операции!$X:$X,"",операции!$L:$L,Z$9,операции!$O:$O,$F904)+SUMIFS(операции!$V:$V,операции!$T:$T,"&lt;"&amp;X$8,операции!$X:$X,"&gt;="&amp;X$8,операции!$L:$L,Z$9,операции!$O:$O,$F904)</f>
        <v>214434.44</v>
      </c>
      <c r="AA904" s="235">
        <f>SUMIFS(операции!$V:$V,операции!$T:$T,"&lt;"&amp;X$8,операции!$X:$X,"",операции!$L:$L,AA$9,операции!$O:$O,$F904)+SUMIFS(операции!$V:$V,операции!$T:$T,"&lt;"&amp;X$8,операции!$X:$X,"&gt;="&amp;X$8,операции!$L:$L,AA$9,операции!$O:$O,$F904)</f>
        <v>388044.22</v>
      </c>
      <c r="AB904" s="264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</row>
    <row r="905" spans="1:42" s="192" customFormat="1" ht="11.25">
      <c r="A905" s="37"/>
      <c r="B905" s="37"/>
      <c r="C905" s="37"/>
      <c r="D905" s="191" t="s">
        <v>255</v>
      </c>
      <c r="E905" s="191"/>
      <c r="F905" s="191" t="str">
        <f>F904</f>
        <v>Детство</v>
      </c>
      <c r="G905" s="191" t="s">
        <v>262</v>
      </c>
      <c r="H905" s="315"/>
      <c r="I905" s="316">
        <f>IF(I904=0,0,(SUMIFS(операции!$AF:$AF,операции!$T:$T,"&lt;"&amp;I$8,операции!$X:$X,"",операции!$O:$O,$F904)+SUMIFS(операции!$AF:$AF,операции!$T:$T,"&lt;"&amp;I$8,операции!$X:$X,"&gt;="&amp;I$8,операции!$O:$O,$F904))/I904)</f>
        <v>42182.713902808762</v>
      </c>
      <c r="J905" s="317"/>
      <c r="K905" s="316">
        <f>IF(K904=0,0,(SUMIFS(операции!$AF:$AF,операции!$T:$T,"&lt;"&amp;I$8,операции!$X:$X,"",операции!$L:$L,K$9,операции!$O:$O,$F904)+SUMIFS(операции!$AF:$AF,операции!$T:$T,"&lt;"&amp;I$8,операции!$X:$X,"&gt;="&amp;I$8,операции!$L:$L,K$9,операции!$O:$O,$F904))/K904)</f>
        <v>42182.713902808762</v>
      </c>
      <c r="L905" s="318">
        <f>IF(L904=0,0,(SUMIFS(операции!$AF:$AF,операции!$T:$T,"&lt;"&amp;I$8,операции!$X:$X,"",операции!$L:$L,L$9,операции!$O:$O,$F904)+SUMIFS(операции!$AF:$AF,операции!$T:$T,"&lt;"&amp;I$8,операции!$X:$X,"&gt;="&amp;I$8,операции!$L:$L,L$9,операции!$O:$O,$F904))/L904)</f>
        <v>0</v>
      </c>
      <c r="M905" s="274"/>
      <c r="N905" s="193">
        <f>IF(N904=0,0,(SUMIFS(операции!$AF:$AF,операции!$T:$T,"&lt;"&amp;N$8,операции!$X:$X,"",операции!$O:$O,$F904)+SUMIFS(операции!$AF:$AF,операции!$T:$T,"&lt;"&amp;N$8,операции!$X:$X,"&gt;="&amp;N$8,операции!$O:$O,$F904))/N904)</f>
        <v>42182.713902808762</v>
      </c>
      <c r="O905" s="196"/>
      <c r="P905" s="193">
        <f>IF(P904=0,0,(SUMIFS(операции!$AF:$AF,операции!$T:$T,"&lt;"&amp;N$8,операции!$X:$X,"",операции!$L:$L,P$9,операции!$O:$O,$F904)+SUMIFS(операции!$AF:$AF,операции!$T:$T,"&lt;"&amp;N$8,операции!$X:$X,"&gt;="&amp;N$8,операции!$L:$L,P$9,операции!$O:$O,$F904))/P904)</f>
        <v>42182.713902808762</v>
      </c>
      <c r="Q905" s="237">
        <f>IF(Q904=0,0,(SUMIFS(операции!$AF:$AF,операции!$T:$T,"&lt;"&amp;N$8,операции!$X:$X,"",операции!$L:$L,Q$9,операции!$O:$O,$F904)+SUMIFS(операции!$AF:$AF,операции!$T:$T,"&lt;"&amp;N$8,операции!$X:$X,"&gt;="&amp;N$8,операции!$L:$L,Q$9,операции!$O:$O,$F904))/Q904)</f>
        <v>0</v>
      </c>
      <c r="R905" s="238"/>
      <c r="S905" s="193">
        <f>IF(S904=0,0,(SUMIFS(операции!$AF:$AF,операции!$T:$T,"&lt;"&amp;S$8,операции!$X:$X,"",операции!$O:$O,$F904)+SUMIFS(операции!$AF:$AF,операции!$T:$T,"&lt;"&amp;S$8,операции!$X:$X,"&gt;="&amp;S$8,операции!$O:$O,$F904))/S904)</f>
        <v>42204.320046292451</v>
      </c>
      <c r="T905" s="196"/>
      <c r="U905" s="193">
        <f>IF(U904=0,0,(SUMIFS(операции!$AF:$AF,операции!$T:$T,"&lt;"&amp;S$8,операции!$X:$X,"",операции!$L:$L,U$9,операции!$O:$O,$F904)+SUMIFS(операции!$AF:$AF,операции!$T:$T,"&lt;"&amp;S$8,операции!$X:$X,"&gt;="&amp;S$8,операции!$L:$L,U$9,операции!$O:$O,$F904))/U904)</f>
        <v>42191.563580561</v>
      </c>
      <c r="V905" s="237">
        <f>IF(V904=0,0,(SUMIFS(операции!$AF:$AF,операции!$T:$T,"&lt;"&amp;S$8,операции!$X:$X,"",операции!$L:$L,V$9,операции!$O:$O,$F904)+SUMIFS(операции!$AF:$AF,операции!$T:$T,"&lt;"&amp;S$8,операции!$X:$X,"&gt;="&amp;S$8,операции!$L:$L,V$9,операции!$O:$O,$F904))/V904)</f>
        <v>42306.140059370744</v>
      </c>
      <c r="W905" s="238"/>
      <c r="X905" s="193">
        <f>IF(X904=0,0,(SUMIFS(операции!$AF:$AF,операции!$T:$T,"&lt;"&amp;X$8,операции!$X:$X,"",операции!$O:$O,$F904)+SUMIFS(операции!$AF:$AF,операции!$T:$T,"&lt;"&amp;X$8,операции!$X:$X,"&gt;="&amp;X$8,операции!$O:$O,$F904))/X904)</f>
        <v>42288.332669127238</v>
      </c>
      <c r="Y905" s="196"/>
      <c r="Z905" s="193">
        <f>IF(Z904=0,0,(SUMIFS(операции!$AF:$AF,операции!$T:$T,"&lt;"&amp;X$8,операции!$X:$X,"",операции!$L:$L,Z$9,операции!$O:$O,$F904)+SUMIFS(операции!$AF:$AF,операции!$T:$T,"&lt;"&amp;X$8,операции!$X:$X,"&gt;="&amp;X$8,операции!$L:$L,Z$9,операции!$O:$O,$F904))/Z904)</f>
        <v>42201.52333365853</v>
      </c>
      <c r="AA905" s="237">
        <f>IF(AA904=0,0,(SUMIFS(операции!$AF:$AF,операции!$T:$T,"&lt;"&amp;X$8,операции!$X:$X,"",операции!$L:$L,AA$9,операции!$O:$O,$F904)+SUMIFS(операции!$AF:$AF,операции!$T:$T,"&lt;"&amp;X$8,операции!$X:$X,"&gt;="&amp;X$8,операции!$L:$L,AA$9,операции!$O:$O,$F904))/AA904)</f>
        <v>42336.303777260233</v>
      </c>
      <c r="AB905" s="265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</row>
    <row r="906" spans="1:42" s="50" customFormat="1" ht="11.25">
      <c r="A906" s="48"/>
      <c r="B906" s="48"/>
      <c r="C906" s="48"/>
      <c r="D906" s="154" t="s">
        <v>257</v>
      </c>
      <c r="E906" s="154"/>
      <c r="F906" s="154" t="str">
        <f t="shared" ref="F906:F972" si="1584">F905</f>
        <v>Детство</v>
      </c>
      <c r="G906" s="154" t="s">
        <v>219</v>
      </c>
      <c r="H906" s="319"/>
      <c r="I906" s="320">
        <f>IF(I904=0,0,I$8-I905)</f>
        <v>95.286097191237786</v>
      </c>
      <c r="J906" s="321">
        <f>I906-IF(I904=0,0,(I909*I911+I915*I917)/I904)</f>
        <v>-7.773337529215496E-12</v>
      </c>
      <c r="K906" s="320">
        <f>IF(K904=0,0,I$8-K905)</f>
        <v>95.286097191237786</v>
      </c>
      <c r="L906" s="322">
        <f>IF(L904=0,0,I$8-L905)</f>
        <v>0</v>
      </c>
      <c r="M906" s="275"/>
      <c r="N906" s="155">
        <f>IF(N904=0,0,N$8-N905)</f>
        <v>95.286097191237786</v>
      </c>
      <c r="O906" s="173">
        <f>N906-IF(N904=0,0,(N909*N911+N915*N917)/N904)</f>
        <v>-7.773337529215496E-12</v>
      </c>
      <c r="P906" s="155">
        <f>IF(P904=0,0,N$8-P905)</f>
        <v>95.286097191237786</v>
      </c>
      <c r="Q906" s="239">
        <f>IF(Q904=0,0,N$8-Q905)</f>
        <v>0</v>
      </c>
      <c r="R906" s="240"/>
      <c r="S906" s="155">
        <f>IF(S904=0,0,S$8-S905)</f>
        <v>104.67995370754943</v>
      </c>
      <c r="T906" s="173">
        <f>S906-IF(S904=0,0,(S909*S911+S915*S917)/S904)</f>
        <v>3.1263880373444408E-12</v>
      </c>
      <c r="U906" s="155">
        <f>IF(U904=0,0,S$8-U905)</f>
        <v>117.43641943900002</v>
      </c>
      <c r="V906" s="239">
        <f>IF(V904=0,0,S$8-V905)</f>
        <v>2.8599406292560161</v>
      </c>
      <c r="W906" s="240"/>
      <c r="X906" s="155">
        <f>IF(X904=0,0,X$8-X905)</f>
        <v>50.66733087276225</v>
      </c>
      <c r="Y906" s="173">
        <f>X906-IF(X904=0,0,(X909*X911+X915*X917)/X904)</f>
        <v>-8.3488771451811772E-12</v>
      </c>
      <c r="Z906" s="155">
        <f>IF(Z904=0,0,X$8-Z905)</f>
        <v>137.47666634147026</v>
      </c>
      <c r="AA906" s="239">
        <f>IF(AA904=0,0,X$8-AA905)</f>
        <v>2.6962227397671086</v>
      </c>
      <c r="AB906" s="230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</row>
    <row r="907" spans="1:42" s="93" customFormat="1" ht="15">
      <c r="A907" s="92"/>
      <c r="B907" s="92"/>
      <c r="C907" s="92"/>
      <c r="D907" s="198" t="s">
        <v>267</v>
      </c>
      <c r="E907" s="198"/>
      <c r="F907" s="198" t="str">
        <f t="shared" si="1584"/>
        <v>Детство</v>
      </c>
      <c r="G907" s="198" t="s">
        <v>219</v>
      </c>
      <c r="H907" s="323"/>
      <c r="I907" s="324">
        <f>IF(I904=0,0,(I909*I913+I915*I919)/I904)</f>
        <v>36.702874841558668</v>
      </c>
      <c r="J907" s="321"/>
      <c r="K907" s="324">
        <f t="shared" ref="K907" si="1585">IF(K904=0,0,(K909*K913+K915*K919)/K904)</f>
        <v>36.702874841558668</v>
      </c>
      <c r="L907" s="325">
        <f>IF(L904=0,0,(L909*L913+L915*L919)/L904)</f>
        <v>0</v>
      </c>
      <c r="M907" s="276"/>
      <c r="N907" s="199">
        <f>IF(N904=0,0,(N909*N913+N915*N919)/N904)</f>
        <v>36.702874841558668</v>
      </c>
      <c r="O907" s="173"/>
      <c r="P907" s="199">
        <f t="shared" ref="P907" si="1586">IF(P904=0,0,(P909*P913+P915*P919)/P904)</f>
        <v>36.702874841558668</v>
      </c>
      <c r="Q907" s="241">
        <f>IF(Q904=0,0,(Q909*Q913+Q915*Q919)/Q904)</f>
        <v>0</v>
      </c>
      <c r="R907" s="242"/>
      <c r="S907" s="199">
        <f>IF(S904=0,0,(S909*S913+S915*S919)/S904)</f>
        <v>41.048790637034152</v>
      </c>
      <c r="T907" s="173"/>
      <c r="U907" s="199">
        <f t="shared" ref="U907" si="1587">IF(U904=0,0,(U909*U913+U915*U919)/U904)</f>
        <v>45.833260229208847</v>
      </c>
      <c r="V907" s="241">
        <f>IF(V904=0,0,(V909*V913+V915*V919)/V904)</f>
        <v>2.8599406292705685</v>
      </c>
      <c r="W907" s="242"/>
      <c r="X907" s="199">
        <f>IF(X904=0,0,(X909*X913+X915*X919)/X904)</f>
        <v>21.82387326383262</v>
      </c>
      <c r="Y907" s="173"/>
      <c r="Z907" s="199">
        <f t="shared" ref="Z907" si="1588">IF(Z904=0,0,(Z909*Z913+Z915*Z919)/Z904)</f>
        <v>56.437595891787588</v>
      </c>
      <c r="AA907" s="241">
        <f>IF(AA904=0,0,(AA909*AA913+AA915*AA919)/AA904)</f>
        <v>2.6962227397671086</v>
      </c>
      <c r="AB907" s="264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</row>
    <row r="908" spans="1:42" s="50" customFormat="1" ht="11.25">
      <c r="A908" s="48"/>
      <c r="B908" s="48"/>
      <c r="C908" s="48"/>
      <c r="D908" s="154" t="s">
        <v>270</v>
      </c>
      <c r="E908" s="154"/>
      <c r="F908" s="154" t="str">
        <f t="shared" si="1584"/>
        <v>Детство</v>
      </c>
      <c r="G908" s="154" t="s">
        <v>219</v>
      </c>
      <c r="H908" s="319"/>
      <c r="I908" s="320">
        <f>I906-I907</f>
        <v>58.583222349679119</v>
      </c>
      <c r="J908" s="321"/>
      <c r="K908" s="320">
        <f t="shared" ref="K908" si="1589">K906-K907</f>
        <v>58.583222349679119</v>
      </c>
      <c r="L908" s="322">
        <f t="shared" ref="L908" si="1590">L906-L907</f>
        <v>0</v>
      </c>
      <c r="M908" s="275"/>
      <c r="N908" s="155">
        <f>N906-N907</f>
        <v>58.583222349679119</v>
      </c>
      <c r="O908" s="173"/>
      <c r="P908" s="155">
        <f t="shared" ref="P908" si="1591">P906-P907</f>
        <v>58.583222349679119</v>
      </c>
      <c r="Q908" s="239">
        <f t="shared" ref="Q908" si="1592">Q906-Q907</f>
        <v>0</v>
      </c>
      <c r="R908" s="240"/>
      <c r="S908" s="155">
        <f>S906-S907</f>
        <v>63.631163070515278</v>
      </c>
      <c r="T908" s="173"/>
      <c r="U908" s="155">
        <f t="shared" ref="U908" si="1593">U906-U907</f>
        <v>71.603159209791173</v>
      </c>
      <c r="V908" s="239">
        <f t="shared" ref="V908" si="1594">V906-V907</f>
        <v>-1.4552359317576702E-11</v>
      </c>
      <c r="W908" s="240"/>
      <c r="X908" s="155">
        <f>X906-X907</f>
        <v>28.843457608929629</v>
      </c>
      <c r="Y908" s="173"/>
      <c r="Z908" s="155">
        <f t="shared" ref="Z908" si="1595">Z906-Z907</f>
        <v>81.039070449682669</v>
      </c>
      <c r="AA908" s="239">
        <f t="shared" ref="AA908" si="1596">AA906-AA907</f>
        <v>0</v>
      </c>
      <c r="AB908" s="230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</row>
    <row r="909" spans="1:42" s="5" customFormat="1">
      <c r="A909" s="1"/>
      <c r="B909" s="1"/>
      <c r="C909" s="1"/>
      <c r="D909" s="168"/>
      <c r="E909" s="168" t="s">
        <v>258</v>
      </c>
      <c r="F909" s="168" t="str">
        <f t="shared" si="1584"/>
        <v>Детство</v>
      </c>
      <c r="G909" s="168" t="s">
        <v>261</v>
      </c>
      <c r="H909" s="326"/>
      <c r="I909" s="327">
        <f>SUMIFS(операции!$V:$V,операции!$T:$T,"&lt;"&amp;I$8,операции!$X:$X,"",операции!$AB:$AB,"&lt;&gt;"&amp;"",операции!$AB:$AB,"&lt;"&amp;I$8,операции!$O:$O,$F904)+SUMIFS(операции!$V:$V,операции!$T:$T,"&lt;"&amp;I$8,операции!$X:$X,"&gt;="&amp;I$8,операции!$AB:$AB,"&lt;&gt;"&amp;"",операции!$AB:$AB,"&lt;"&amp;I$8,операции!$O:$O,$F904)</f>
        <v>236944.96</v>
      </c>
      <c r="J909" s="313">
        <f>I909-K909-L909</f>
        <v>0</v>
      </c>
      <c r="K909" s="327">
        <f>SUMIFS(операции!$V:$V,операции!$T:$T,"&lt;"&amp;I$8,операции!$X:$X,"",операции!$AB:$AB,"&lt;&gt;"&amp;"",операции!$AB:$AB,"&lt;"&amp;I$8,операции!$L:$L,K$9,операции!$O:$O,$F904)+SUMIFS(операции!$V:$V,операции!$T:$T,"&lt;"&amp;I$8,операции!$X:$X,"&gt;="&amp;I$8,операции!$AB:$AB,"&lt;&gt;"&amp;"",операции!$AB:$AB,"&lt;"&amp;I$8,операции!$L:$L,K$9,операции!$O:$O,$F904)</f>
        <v>236944.96</v>
      </c>
      <c r="L909" s="328">
        <f>SUMIFS(операции!$V:$V,операции!$T:$T,"&lt;"&amp;I$8,операции!$X:$X,"",операции!$AB:$AB,"&lt;&gt;"&amp;"",операции!$AB:$AB,"&lt;"&amp;I$8,операции!$L:$L,L$9,операции!$O:$O,$F904)+SUMIFS(операции!$V:$V,операции!$T:$T,"&lt;"&amp;I$8,операции!$X:$X,"&gt;="&amp;I$8,операции!$AB:$AB,"&lt;&gt;"&amp;"",операции!$AB:$AB,"&lt;"&amp;I$8,операции!$L:$L,L$9,операции!$O:$O,$F904)</f>
        <v>0</v>
      </c>
      <c r="M909" s="277"/>
      <c r="N909" s="169">
        <f>SUMIFS(операции!$V:$V,операции!$T:$T,"&lt;"&amp;N$8,операции!$X:$X,"",операции!$AB:$AB,"&lt;&gt;"&amp;"",операции!$AB:$AB,"&lt;"&amp;N$8,операции!$O:$O,$F904)+SUMIFS(операции!$V:$V,операции!$T:$T,"&lt;"&amp;N$8,операции!$X:$X,"&gt;="&amp;N$8,операции!$AB:$AB,"&lt;&gt;"&amp;"",операции!$AB:$AB,"&lt;"&amp;N$8,операции!$O:$O,$F904)</f>
        <v>236944.96</v>
      </c>
      <c r="O909" s="170">
        <f>N909-P909-Q909</f>
        <v>0</v>
      </c>
      <c r="P909" s="169">
        <f>SUMIFS(операции!$V:$V,операции!$T:$T,"&lt;"&amp;N$8,операции!$X:$X,"",операции!$AB:$AB,"&lt;&gt;"&amp;"",операции!$AB:$AB,"&lt;"&amp;N$8,операции!$L:$L,P$9,операции!$O:$O,$F904)+SUMIFS(операции!$V:$V,операции!$T:$T,"&lt;"&amp;N$8,операции!$X:$X,"&gt;="&amp;N$8,операции!$AB:$AB,"&lt;&gt;"&amp;"",операции!$AB:$AB,"&lt;"&amp;N$8,операции!$L:$L,P$9,операции!$O:$O,$F904)</f>
        <v>236944.96</v>
      </c>
      <c r="Q909" s="243">
        <f>SUMIFS(операции!$V:$V,операции!$T:$T,"&lt;"&amp;N$8,операции!$X:$X,"",операции!$AB:$AB,"&lt;&gt;"&amp;"",операции!$AB:$AB,"&lt;"&amp;N$8,операции!$L:$L,Q$9,операции!$O:$O,$F904)+SUMIFS(операции!$V:$V,операции!$T:$T,"&lt;"&amp;N$8,операции!$X:$X,"&gt;="&amp;N$8,операции!$AB:$AB,"&lt;&gt;"&amp;"",операции!$AB:$AB,"&lt;"&amp;N$8,операции!$L:$L,Q$9,операции!$O:$O,$F904)</f>
        <v>0</v>
      </c>
      <c r="R909" s="244"/>
      <c r="S909" s="169">
        <f>SUMIFS(операции!$V:$V,операции!$T:$T,"&lt;"&amp;S$8,операции!$X:$X,"",операции!$AB:$AB,"&lt;&gt;"&amp;"",операции!$AB:$AB,"&lt;"&amp;S$8,операции!$O:$O,$F904)+SUMIFS(операции!$V:$V,операции!$T:$T,"&lt;"&amp;S$8,операции!$X:$X,"&gt;="&amp;S$8,операции!$AB:$AB,"&lt;&gt;"&amp;"",операции!$AB:$AB,"&lt;"&amp;S$8,операции!$O:$O,$F904)</f>
        <v>217478.16999999998</v>
      </c>
      <c r="T909" s="170">
        <f>S909-U909-V909</f>
        <v>0</v>
      </c>
      <c r="U909" s="169">
        <f>SUMIFS(операции!$V:$V,операции!$T:$T,"&lt;"&amp;S$8,операции!$X:$X,"",операции!$AB:$AB,"&lt;&gt;"&amp;"",операции!$AB:$AB,"&lt;"&amp;S$8,операции!$L:$L,U$9,операции!$O:$O,$F904)+SUMIFS(операции!$V:$V,операции!$T:$T,"&lt;"&amp;S$8,операции!$X:$X,"&gt;="&amp;S$8,операции!$AB:$AB,"&lt;&gt;"&amp;"",операции!$AB:$AB,"&lt;"&amp;S$8,операции!$L:$L,U$9,операции!$O:$O,$F904)</f>
        <v>217478.16999999998</v>
      </c>
      <c r="V909" s="243">
        <f>SUMIFS(операции!$V:$V,операции!$T:$T,"&lt;"&amp;S$8,операции!$X:$X,"",операции!$AB:$AB,"&lt;&gt;"&amp;"",операции!$AB:$AB,"&lt;"&amp;S$8,операции!$L:$L,V$9,операции!$O:$O,$F904)+SUMIFS(операции!$V:$V,операции!$T:$T,"&lt;"&amp;S$8,операции!$X:$X,"&gt;="&amp;S$8,операции!$AB:$AB,"&lt;&gt;"&amp;"",операции!$AB:$AB,"&lt;"&amp;S$8,операции!$L:$L,V$9,операции!$O:$O,$F904)</f>
        <v>0</v>
      </c>
      <c r="W909" s="244"/>
      <c r="X909" s="169">
        <f>SUMIFS(операции!$V:$V,операции!$T:$T,"&lt;"&amp;X$8,операции!$X:$X,"",операции!$AB:$AB,"&lt;&gt;"&amp;"",операции!$AB:$AB,"&lt;"&amp;X$8,операции!$O:$O,$F904)+SUMIFS(операции!$V:$V,операции!$T:$T,"&lt;"&amp;X$8,операции!$X:$X,"&gt;="&amp;X$8,операции!$AB:$AB,"&lt;&gt;"&amp;"",операции!$AB:$AB,"&lt;"&amp;X$8,операции!$O:$O,$F904)</f>
        <v>169498.41000000003</v>
      </c>
      <c r="Y909" s="170">
        <f>X909-Z909-AA909</f>
        <v>0</v>
      </c>
      <c r="Z909" s="169">
        <f>SUMIFS(операции!$V:$V,операции!$T:$T,"&lt;"&amp;X$8,операции!$X:$X,"",операции!$AB:$AB,"&lt;&gt;"&amp;"",операции!$AB:$AB,"&lt;"&amp;X$8,операции!$L:$L,Z$9,операции!$O:$O,$F904)+SUMIFS(операции!$V:$V,операции!$T:$T,"&lt;"&amp;X$8,операции!$X:$X,"&gt;="&amp;X$8,операции!$AB:$AB,"&lt;&gt;"&amp;"",операции!$AB:$AB,"&lt;"&amp;X$8,операции!$L:$L,Z$9,операции!$O:$O,$F904)</f>
        <v>169498.41000000003</v>
      </c>
      <c r="AA909" s="243">
        <f>SUMIFS(операции!$V:$V,операции!$T:$T,"&lt;"&amp;X$8,операции!$X:$X,"",операции!$AB:$AB,"&lt;&gt;"&amp;"",операции!$AB:$AB,"&lt;"&amp;X$8,операции!$L:$L,AA$9,операции!$O:$O,$F904)+SUMIFS(операции!$V:$V,операции!$T:$T,"&lt;"&amp;X$8,операции!$X:$X,"&gt;="&amp;X$8,операции!$AB:$AB,"&lt;&gt;"&amp;"",операции!$AB:$AB,"&lt;"&amp;X$8,операции!$L:$L,AA$9,операции!$O:$O,$F904)</f>
        <v>0</v>
      </c>
      <c r="AB909" s="266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s="192" customFormat="1" ht="11.25">
      <c r="A910" s="37"/>
      <c r="B910" s="37"/>
      <c r="C910" s="37"/>
      <c r="D910" s="191"/>
      <c r="E910" s="191" t="s">
        <v>255</v>
      </c>
      <c r="F910" s="191" t="str">
        <f t="shared" si="1584"/>
        <v>Детство</v>
      </c>
      <c r="G910" s="191" t="s">
        <v>262</v>
      </c>
      <c r="H910" s="315"/>
      <c r="I910" s="316">
        <f>IF(I909=0,0,(SUMIFS(операции!$AF:$AF,операции!$T:$T,"&lt;"&amp;I$8,операции!$X:$X,"",операции!$AB:$AB,"&lt;&gt;"&amp;"",операции!$AB:$AB,"&lt;"&amp;I$8,операции!$O:$O,$F904)+SUMIFS(операции!$AF:$AF,операции!$T:$T,"&lt;"&amp;I$8,операции!$X:$X,"&gt;="&amp;I$8,операции!$AB:$AB,"&lt;&gt;"&amp;"",операции!$AB:$AB,"&lt;"&amp;I$8,операции!$O:$O,$F904))/I909)</f>
        <v>42137.558072009633</v>
      </c>
      <c r="J910" s="317"/>
      <c r="K910" s="316">
        <f>IF(K909=0,0,(SUMIFS(операции!$AF:$AF,операции!$T:$T,"&lt;"&amp;I$8,операции!$X:$X,"",операции!$AB:$AB,"&lt;&gt;"&amp;"",операции!$AB:$AB,"&lt;"&amp;I$8,операции!$L:$L,K$9,операции!$O:$O,$F904)+SUMIFS(операции!$AF:$AF,операции!$T:$T,"&lt;"&amp;I$8,операции!$X:$X,"&gt;="&amp;I$8,операции!$AB:$AB,"&lt;&gt;"&amp;"",операции!$AB:$AB,"&lt;"&amp;I$8,операции!$L:$L,K$9,операции!$O:$O,$F904))/K909)</f>
        <v>42137.558072009633</v>
      </c>
      <c r="L910" s="318">
        <f>IF(L909=0,0,(SUMIFS(операции!$AF:$AF,операции!$T:$T,"&lt;"&amp;I$8,операции!$X:$X,"",операции!$AB:$AB,"&lt;&gt;"&amp;"",операции!$AB:$AB,"&lt;"&amp;I$8,операции!$L:$L,L$9,операции!$O:$O,$F904)+SUMIFS(операции!$AF:$AF,операции!$T:$T,"&lt;"&amp;I$8,операции!$X:$X,"&gt;="&amp;I$8,операции!$AB:$AB,"&lt;&gt;"&amp;"",операции!$AB:$AB,"&lt;"&amp;I$8,операции!$L:$L,L$9,операции!$O:$O,$F904))/L909)</f>
        <v>0</v>
      </c>
      <c r="M910" s="274"/>
      <c r="N910" s="193">
        <f>IF(N909=0,0,(SUMIFS(операции!$AF:$AF,операции!$T:$T,"&lt;"&amp;N$8,операции!$X:$X,"",операции!$AB:$AB,"&lt;&gt;"&amp;"",операции!$AB:$AB,"&lt;"&amp;N$8,операции!$O:$O,$F904)+SUMIFS(операции!$AF:$AF,операции!$T:$T,"&lt;"&amp;N$8,операции!$X:$X,"&gt;="&amp;N$8,операции!$AB:$AB,"&lt;&gt;"&amp;"",операции!$AB:$AB,"&lt;"&amp;N$8,операции!$O:$O,$F904))/N909)</f>
        <v>42137.558072009633</v>
      </c>
      <c r="O910" s="196"/>
      <c r="P910" s="193">
        <f>IF(P909=0,0,(SUMIFS(операции!$AF:$AF,операции!$T:$T,"&lt;"&amp;N$8,операции!$X:$X,"",операции!$AB:$AB,"&lt;&gt;"&amp;"",операции!$AB:$AB,"&lt;"&amp;N$8,операции!$L:$L,P$9,операции!$O:$O,$F904)+SUMIFS(операции!$AF:$AF,операции!$T:$T,"&lt;"&amp;N$8,операции!$X:$X,"&gt;="&amp;N$8,операции!$AB:$AB,"&lt;&gt;"&amp;"",операции!$AB:$AB,"&lt;"&amp;N$8,операции!$L:$L,P$9,операции!$O:$O,$F904))/P909)</f>
        <v>42137.558072009633</v>
      </c>
      <c r="Q910" s="237">
        <f>IF(Q909=0,0,(SUMIFS(операции!$AF:$AF,операции!$T:$T,"&lt;"&amp;N$8,операции!$X:$X,"",операции!$AB:$AB,"&lt;&gt;"&amp;"",операции!$AB:$AB,"&lt;"&amp;N$8,операции!$L:$L,Q$9,операции!$O:$O,$F904)+SUMIFS(операции!$AF:$AF,операции!$T:$T,"&lt;"&amp;N$8,операции!$X:$X,"&gt;="&amp;N$8,операции!$AB:$AB,"&lt;&gt;"&amp;"",операции!$AB:$AB,"&lt;"&amp;N$8,операции!$L:$L,Q$9,операции!$O:$O,$F904))/Q909)</f>
        <v>0</v>
      </c>
      <c r="R910" s="238"/>
      <c r="S910" s="193">
        <f>IF(S909=0,0,(SUMIFS(операции!$AF:$AF,операции!$T:$T,"&lt;"&amp;S$8,операции!$X:$X,"",операции!$AB:$AB,"&lt;&gt;"&amp;"",операции!$AB:$AB,"&lt;"&amp;S$8,операции!$O:$O,$F904)+SUMIFS(операции!$AF:$AF,операции!$T:$T,"&lt;"&amp;S$8,операции!$X:$X,"&gt;="&amp;S$8,операции!$AB:$AB,"&lt;&gt;"&amp;"",операции!$AB:$AB,"&lt;"&amp;S$8,операции!$O:$O,$F904))/S909)</f>
        <v>42175.54094118964</v>
      </c>
      <c r="T910" s="196"/>
      <c r="U910" s="193">
        <f>IF(U909=0,0,(SUMIFS(операции!$AF:$AF,операции!$T:$T,"&lt;"&amp;S$8,операции!$X:$X,"",операции!$AB:$AB,"&lt;&gt;"&amp;"",операции!$AB:$AB,"&lt;"&amp;S$8,операции!$L:$L,U$9,операции!$O:$O,$F904)+SUMIFS(операции!$AF:$AF,операции!$T:$T,"&lt;"&amp;S$8,операции!$X:$X,"&gt;="&amp;S$8,операции!$AB:$AB,"&lt;&gt;"&amp;"",операции!$AB:$AB,"&lt;"&amp;S$8,операции!$L:$L,U$9,операции!$O:$O,$F904))/U909)</f>
        <v>42175.54094118964</v>
      </c>
      <c r="V910" s="237">
        <f>IF(V909=0,0,(SUMIFS(операции!$AF:$AF,операции!$T:$T,"&lt;"&amp;S$8,операции!$X:$X,"",операции!$AB:$AB,"&lt;&gt;"&amp;"",операции!$AB:$AB,"&lt;"&amp;S$8,операции!$L:$L,V$9,операции!$O:$O,$F904)+SUMIFS(операции!$AF:$AF,операции!$T:$T,"&lt;"&amp;S$8,операции!$X:$X,"&gt;="&amp;S$8,операции!$AB:$AB,"&lt;&gt;"&amp;"",операции!$AB:$AB,"&lt;"&amp;S$8,операции!$L:$L,V$9,операции!$O:$O,$F904))/V909)</f>
        <v>0</v>
      </c>
      <c r="W910" s="238"/>
      <c r="X910" s="193">
        <f>IF(X909=0,0,(SUMIFS(операции!$AF:$AF,операции!$T:$T,"&lt;"&amp;X$8,операции!$X:$X,"",операции!$AB:$AB,"&lt;&gt;"&amp;"",операции!$AB:$AB,"&lt;"&amp;X$8,операции!$O:$O,$F904)+SUMIFS(операции!$AF:$AF,операции!$T:$T,"&lt;"&amp;X$8,операции!$X:$X,"&gt;="&amp;X$8,операции!$AB:$AB,"&lt;&gt;"&amp;"",операции!$AB:$AB,"&lt;"&amp;X$8,операции!$O:$O,$F904))/X909)</f>
        <v>42208.204766168594</v>
      </c>
      <c r="Y910" s="196"/>
      <c r="Z910" s="193">
        <f>IF(Z909=0,0,(SUMIFS(операции!$AF:$AF,операции!$T:$T,"&lt;"&amp;X$8,операции!$X:$X,"",операции!$AB:$AB,"&lt;&gt;"&amp;"",операции!$AB:$AB,"&lt;"&amp;X$8,операции!$L:$L,Z$9,операции!$O:$O,$F904)+SUMIFS(операции!$AF:$AF,операции!$T:$T,"&lt;"&amp;X$8,операции!$X:$X,"&gt;="&amp;X$8,операции!$AB:$AB,"&lt;&gt;"&amp;"",операции!$AB:$AB,"&lt;"&amp;X$8,операции!$L:$L,Z$9,операции!$O:$O,$F904))/Z909)</f>
        <v>42208.204766168594</v>
      </c>
      <c r="AA910" s="237">
        <f>IF(AA909=0,0,(SUMIFS(операции!$AF:$AF,операции!$T:$T,"&lt;"&amp;X$8,операции!$X:$X,"",операции!$AB:$AB,"&lt;&gt;"&amp;"",операции!$AB:$AB,"&lt;"&amp;X$8,операции!$L:$L,AA$9,операции!$O:$O,$F904)+SUMIFS(операции!$AF:$AF,операции!$T:$T,"&lt;"&amp;X$8,операции!$X:$X,"&gt;="&amp;X$8,операции!$AB:$AB,"&lt;&gt;"&amp;"",операции!$AB:$AB,"&lt;"&amp;X$8,операции!$L:$L,AA$9,операции!$O:$O,$F904))/AA909)</f>
        <v>0</v>
      </c>
      <c r="AB910" s="265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</row>
    <row r="911" spans="1:42" s="192" customFormat="1" ht="11.25">
      <c r="A911" s="37"/>
      <c r="B911" s="37"/>
      <c r="C911" s="37"/>
      <c r="D911" s="191"/>
      <c r="E911" s="191" t="s">
        <v>260</v>
      </c>
      <c r="F911" s="191" t="str">
        <f t="shared" si="1584"/>
        <v>Детство</v>
      </c>
      <c r="G911" s="191" t="s">
        <v>219</v>
      </c>
      <c r="H911" s="315"/>
      <c r="I911" s="329">
        <f>IF(I909=0,0,I$8-I910)</f>
        <v>140.44192799036682</v>
      </c>
      <c r="J911" s="317"/>
      <c r="K911" s="329">
        <f>IF(K909=0,0,I$8-K910)</f>
        <v>140.44192799036682</v>
      </c>
      <c r="L911" s="330">
        <f>IF(L909=0,0,I$8-L910)</f>
        <v>0</v>
      </c>
      <c r="M911" s="274"/>
      <c r="N911" s="156">
        <f>IF(N909=0,0,N$8-N910)</f>
        <v>140.44192799036682</v>
      </c>
      <c r="O911" s="196"/>
      <c r="P911" s="156">
        <f>IF(P909=0,0,N$8-P910)</f>
        <v>140.44192799036682</v>
      </c>
      <c r="Q911" s="245">
        <f>IF(Q909=0,0,N$8-Q910)</f>
        <v>0</v>
      </c>
      <c r="R911" s="238"/>
      <c r="S911" s="156">
        <f>IF(S909=0,0,S$8-S910)</f>
        <v>133.45905881036015</v>
      </c>
      <c r="T911" s="196"/>
      <c r="U911" s="156">
        <f>IF(U909=0,0,S$8-U910)</f>
        <v>133.45905881036015</v>
      </c>
      <c r="V911" s="245">
        <f>IF(V909=0,0,S$8-V910)</f>
        <v>0</v>
      </c>
      <c r="W911" s="238"/>
      <c r="X911" s="156">
        <f>IF(X909=0,0,X$8-X910)</f>
        <v>130.79523383140622</v>
      </c>
      <c r="Y911" s="196"/>
      <c r="Z911" s="156">
        <f>IF(Z909=0,0,X$8-Z910)</f>
        <v>130.79523383140622</v>
      </c>
      <c r="AA911" s="245">
        <f>IF(AA909=0,0,X$8-AA910)</f>
        <v>0</v>
      </c>
      <c r="AB911" s="265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</row>
    <row r="912" spans="1:42" s="192" customFormat="1" ht="11.25">
      <c r="A912" s="37"/>
      <c r="B912" s="37"/>
      <c r="C912" s="37"/>
      <c r="D912" s="191"/>
      <c r="E912" s="191" t="s">
        <v>259</v>
      </c>
      <c r="F912" s="191" t="str">
        <f t="shared" si="1584"/>
        <v>Детство</v>
      </c>
      <c r="G912" s="191" t="s">
        <v>262</v>
      </c>
      <c r="H912" s="315"/>
      <c r="I912" s="316">
        <f>IF(I909=0,0,(SUMIFS(операции!$AH:$AH,операции!$T:$T,"&lt;"&amp;I$8,операции!$X:$X,"",операции!$AB:$AB,"&lt;&gt;"&amp;"",операции!$AB:$AB,"&lt;"&amp;I$8,операции!$O:$O,$F904)+SUMIFS(операции!$AH:$AH,операции!$T:$T,"&lt;"&amp;I$8,операции!$X:$X,"&gt;="&amp;I$8,операции!$AB:$AB,"&lt;&gt;"&amp;"",операции!$AB:$AB,"&lt;"&amp;I$8,операции!$O:$O,$F904))/I909)</f>
        <v>42160.51951090245</v>
      </c>
      <c r="J912" s="317"/>
      <c r="K912" s="316">
        <f>IF(K909=0,0,(SUMIFS(операции!$AH:$AH,операции!$T:$T,"&lt;"&amp;I$8,операции!$X:$X,"",операции!$AB:$AB,"&lt;&gt;"&amp;"",операции!$AB:$AB,"&lt;"&amp;I$8,операции!$L:$L,K$9,операции!$O:$O,$F904)+SUMIFS(операции!$AH:$AH,операции!$T:$T,"&lt;"&amp;I$8,операции!$X:$X,"&gt;="&amp;I$8,операции!$AB:$AB,"&lt;&gt;"&amp;"",операции!$AB:$AB,"&lt;"&amp;I$8,операции!$L:$L,K$9,операции!$O:$O,$F904))/K909)</f>
        <v>42160.51951090245</v>
      </c>
      <c r="L912" s="318">
        <f>IF(L909=0,0,(SUMIFS(операции!$AH:$AH,операции!$T:$T,"&lt;"&amp;I$8,операции!$X:$X,"",операции!$AB:$AB,"&lt;&gt;"&amp;"",операции!$AB:$AB,"&lt;"&amp;I$8,операции!$L:$L,L$9,операции!$O:$O,$F904)+SUMIFS(операции!$AH:$AH,операции!$T:$T,"&lt;"&amp;I$8,операции!$X:$X,"&gt;="&amp;I$8,операции!$AB:$AB,"&lt;&gt;"&amp;"",операции!$AB:$AB,"&lt;"&amp;I$8,операции!$L:$L,L$9,операции!$O:$O,$F904))/L909)</f>
        <v>0</v>
      </c>
      <c r="M912" s="274"/>
      <c r="N912" s="193">
        <f>IF(N909=0,0,(SUMIFS(операции!$AH:$AH,операции!$T:$T,"&lt;"&amp;N$8,операции!$X:$X,"",операции!$AB:$AB,"&lt;&gt;"&amp;"",операции!$AB:$AB,"&lt;"&amp;N$8,операции!$O:$O,$F904)+SUMIFS(операции!$AH:$AH,операции!$T:$T,"&lt;"&amp;N$8,операции!$X:$X,"&gt;="&amp;N$8,операции!$AB:$AB,"&lt;&gt;"&amp;"",операции!$AB:$AB,"&lt;"&amp;N$8,операции!$O:$O,$F904))/N909)</f>
        <v>42160.51951090245</v>
      </c>
      <c r="O912" s="196"/>
      <c r="P912" s="193">
        <f>IF(P909=0,0,(SUMIFS(операции!$AH:$AH,операции!$T:$T,"&lt;"&amp;N$8,операции!$X:$X,"",операции!$AB:$AB,"&lt;&gt;"&amp;"",операции!$AB:$AB,"&lt;"&amp;N$8,операции!$L:$L,P$9,операции!$O:$O,$F904)+SUMIFS(операции!$AH:$AH,операции!$T:$T,"&lt;"&amp;N$8,операции!$X:$X,"&gt;="&amp;N$8,операции!$AB:$AB,"&lt;&gt;"&amp;"",операции!$AB:$AB,"&lt;"&amp;N$8,операции!$L:$L,P$9,операции!$O:$O,$F904))/P909)</f>
        <v>42160.51951090245</v>
      </c>
      <c r="Q912" s="237">
        <f>IF(Q909=0,0,(SUMIFS(операции!$AH:$AH,операции!$T:$T,"&lt;"&amp;N$8,операции!$X:$X,"",операции!$AB:$AB,"&lt;&gt;"&amp;"",операции!$AB:$AB,"&lt;"&amp;N$8,операции!$L:$L,Q$9,операции!$O:$O,$F904)+SUMIFS(операции!$AH:$AH,операции!$T:$T,"&lt;"&amp;N$8,операции!$X:$X,"&gt;="&amp;N$8,операции!$AB:$AB,"&lt;&gt;"&amp;"",операции!$AB:$AB,"&lt;"&amp;N$8,операции!$L:$L,Q$9,операции!$O:$O,$F904))/Q909)</f>
        <v>0</v>
      </c>
      <c r="R912" s="238"/>
      <c r="S912" s="193">
        <f>IF(S909=0,0,(SUMIFS(операции!$AH:$AH,операции!$T:$T,"&lt;"&amp;S$8,операции!$X:$X,"",операции!$AB:$AB,"&lt;&gt;"&amp;"",операции!$AB:$AB,"&lt;"&amp;S$8,операции!$O:$O,$F904)+SUMIFS(операции!$AH:$AH,операции!$T:$T,"&lt;"&amp;S$8,операции!$X:$X,"&gt;="&amp;S$8,операции!$AB:$AB,"&lt;&gt;"&amp;"",операции!$AB:$AB,"&lt;"&amp;S$8,операции!$O:$O,$F904))/S909)</f>
        <v>42201.758126160443</v>
      </c>
      <c r="T912" s="196"/>
      <c r="U912" s="193">
        <f>IF(U909=0,0,(SUMIFS(операции!$AH:$AH,операции!$T:$T,"&lt;"&amp;S$8,операции!$X:$X,"",операции!$AB:$AB,"&lt;&gt;"&amp;"",операции!$AB:$AB,"&lt;"&amp;S$8,операции!$L:$L,U$9,операции!$O:$O,$F904)+SUMIFS(операции!$AH:$AH,операции!$T:$T,"&lt;"&amp;S$8,операции!$X:$X,"&gt;="&amp;S$8,операции!$AB:$AB,"&lt;&gt;"&amp;"",операции!$AB:$AB,"&lt;"&amp;S$8,операции!$L:$L,U$9,операции!$O:$O,$F904))/U909)</f>
        <v>42201.758126160443</v>
      </c>
      <c r="V912" s="237">
        <f>IF(V909=0,0,(SUMIFS(операции!$AH:$AH,операции!$T:$T,"&lt;"&amp;S$8,операции!$X:$X,"",операции!$AB:$AB,"&lt;&gt;"&amp;"",операции!$AB:$AB,"&lt;"&amp;S$8,операции!$L:$L,V$9,операции!$O:$O,$F904)+SUMIFS(операции!$AH:$AH,операции!$T:$T,"&lt;"&amp;S$8,операции!$X:$X,"&gt;="&amp;S$8,операции!$AB:$AB,"&lt;&gt;"&amp;"",операции!$AB:$AB,"&lt;"&amp;S$8,операции!$L:$L,V$9,операции!$O:$O,$F904))/V909)</f>
        <v>0</v>
      </c>
      <c r="W912" s="238"/>
      <c r="X912" s="193">
        <f>IF(X909=0,0,(SUMIFS(операции!$AH:$AH,операции!$T:$T,"&lt;"&amp;X$8,операции!$X:$X,"",операции!$AB:$AB,"&lt;&gt;"&amp;"",операции!$AB:$AB,"&lt;"&amp;X$8,операции!$O:$O,$F904)+SUMIFS(операции!$AH:$AH,операции!$T:$T,"&lt;"&amp;X$8,операции!$X:$X,"&gt;="&amp;X$8,операции!$AB:$AB,"&lt;&gt;"&amp;"",операции!$AB:$AB,"&lt;"&amp;X$8,операции!$O:$O,$F904))/X909)</f>
        <v>42236.476515030437</v>
      </c>
      <c r="Y912" s="196"/>
      <c r="Z912" s="193">
        <f>IF(Z909=0,0,(SUMIFS(операции!$AH:$AH,операции!$T:$T,"&lt;"&amp;X$8,операции!$X:$X,"",операции!$AB:$AB,"&lt;&gt;"&amp;"",операции!$AB:$AB,"&lt;"&amp;X$8,операции!$L:$L,Z$9,операции!$O:$O,$F904)+SUMIFS(операции!$AH:$AH,операции!$T:$T,"&lt;"&amp;X$8,операции!$X:$X,"&gt;="&amp;X$8,операции!$AB:$AB,"&lt;&gt;"&amp;"",операции!$AB:$AB,"&lt;"&amp;X$8,операции!$L:$L,Z$9,операции!$O:$O,$F904))/Z909)</f>
        <v>42236.476515030437</v>
      </c>
      <c r="AA912" s="237">
        <f>IF(AA909=0,0,(SUMIFS(операции!$AH:$AH,операции!$T:$T,"&lt;"&amp;X$8,операции!$X:$X,"",операции!$AB:$AB,"&lt;&gt;"&amp;"",операции!$AB:$AB,"&lt;"&amp;X$8,операции!$L:$L,AA$9,операции!$O:$O,$F904)+SUMIFS(операции!$AH:$AH,операции!$T:$T,"&lt;"&amp;X$8,операции!$X:$X,"&gt;="&amp;X$8,операции!$AB:$AB,"&lt;&gt;"&amp;"",операции!$AB:$AB,"&lt;"&amp;X$8,операции!$L:$L,AA$9,операции!$O:$O,$F904))/AA909)</f>
        <v>0</v>
      </c>
      <c r="AB912" s="265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</row>
    <row r="913" spans="1:42" s="192" customFormat="1" ht="11.25">
      <c r="A913" s="37"/>
      <c r="B913" s="37"/>
      <c r="C913" s="37"/>
      <c r="D913" s="191"/>
      <c r="E913" s="191" t="s">
        <v>265</v>
      </c>
      <c r="F913" s="191" t="str">
        <f t="shared" si="1584"/>
        <v>Детство</v>
      </c>
      <c r="G913" s="191" t="s">
        <v>219</v>
      </c>
      <c r="H913" s="315"/>
      <c r="I913" s="329">
        <f>I912-I910</f>
        <v>22.961438892816659</v>
      </c>
      <c r="J913" s="317"/>
      <c r="K913" s="329">
        <f t="shared" ref="K913" si="1597">K912-K910</f>
        <v>22.961438892816659</v>
      </c>
      <c r="L913" s="330">
        <f>L912-L910</f>
        <v>0</v>
      </c>
      <c r="M913" s="274"/>
      <c r="N913" s="156">
        <f>N912-N910</f>
        <v>22.961438892816659</v>
      </c>
      <c r="O913" s="196"/>
      <c r="P913" s="156">
        <f t="shared" ref="P913" si="1598">P912-P910</f>
        <v>22.961438892816659</v>
      </c>
      <c r="Q913" s="245">
        <f>Q912-Q910</f>
        <v>0</v>
      </c>
      <c r="R913" s="238"/>
      <c r="S913" s="156">
        <f>S912-S910</f>
        <v>26.217184970802919</v>
      </c>
      <c r="T913" s="196"/>
      <c r="U913" s="156">
        <f t="shared" ref="U913" si="1599">U912-U910</f>
        <v>26.217184970802919</v>
      </c>
      <c r="V913" s="245">
        <f>V912-V910</f>
        <v>0</v>
      </c>
      <c r="W913" s="238"/>
      <c r="X913" s="156">
        <f>X912-X910</f>
        <v>28.271748861843662</v>
      </c>
      <c r="Y913" s="196"/>
      <c r="Z913" s="156">
        <f t="shared" ref="Z913" si="1600">Z912-Z910</f>
        <v>28.271748861843662</v>
      </c>
      <c r="AA913" s="245">
        <f>AA912-AA910</f>
        <v>0</v>
      </c>
      <c r="AB913" s="265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</row>
    <row r="914" spans="1:42" s="192" customFormat="1" ht="11.25">
      <c r="A914" s="37"/>
      <c r="B914" s="37"/>
      <c r="C914" s="37"/>
      <c r="D914" s="191"/>
      <c r="E914" s="191" t="s">
        <v>268</v>
      </c>
      <c r="F914" s="191" t="str">
        <f t="shared" si="1584"/>
        <v>Детство</v>
      </c>
      <c r="G914" s="191" t="s">
        <v>219</v>
      </c>
      <c r="H914" s="315"/>
      <c r="I914" s="329">
        <f>I911-I913</f>
        <v>117.48048909755016</v>
      </c>
      <c r="J914" s="317"/>
      <c r="K914" s="329">
        <f t="shared" ref="K914" si="1601">K911-K913</f>
        <v>117.48048909755016</v>
      </c>
      <c r="L914" s="330">
        <f t="shared" ref="L914" si="1602">L911-L913</f>
        <v>0</v>
      </c>
      <c r="M914" s="274"/>
      <c r="N914" s="156">
        <f>N911-N913</f>
        <v>117.48048909755016</v>
      </c>
      <c r="O914" s="196"/>
      <c r="P914" s="156">
        <f t="shared" ref="P914" si="1603">P911-P913</f>
        <v>117.48048909755016</v>
      </c>
      <c r="Q914" s="245">
        <f t="shared" ref="Q914" si="1604">Q911-Q913</f>
        <v>0</v>
      </c>
      <c r="R914" s="238"/>
      <c r="S914" s="156">
        <f>S911-S913</f>
        <v>107.24187383955723</v>
      </c>
      <c r="T914" s="196"/>
      <c r="U914" s="156">
        <f t="shared" ref="U914" si="1605">U911-U913</f>
        <v>107.24187383955723</v>
      </c>
      <c r="V914" s="245">
        <f t="shared" ref="V914" si="1606">V911-V913</f>
        <v>0</v>
      </c>
      <c r="W914" s="238"/>
      <c r="X914" s="156">
        <f>X911-X913</f>
        <v>102.52348496956256</v>
      </c>
      <c r="Y914" s="196"/>
      <c r="Z914" s="156">
        <f t="shared" ref="Z914" si="1607">Z911-Z913</f>
        <v>102.52348496956256</v>
      </c>
      <c r="AA914" s="245">
        <f t="shared" ref="AA914" si="1608">AA911-AA913</f>
        <v>0</v>
      </c>
      <c r="AB914" s="265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</row>
    <row r="915" spans="1:42" s="5" customFormat="1">
      <c r="A915" s="1"/>
      <c r="B915" s="1"/>
      <c r="C915" s="1"/>
      <c r="D915" s="168"/>
      <c r="E915" s="168" t="s">
        <v>276</v>
      </c>
      <c r="F915" s="168" t="str">
        <f t="shared" si="1584"/>
        <v>Детство</v>
      </c>
      <c r="G915" s="168" t="s">
        <v>261</v>
      </c>
      <c r="H915" s="326"/>
      <c r="I915" s="327">
        <f>SUMIFS(операции!$V:$V,операции!$T:$T,"&lt;"&amp;I$8,операции!$X:$X,"",операции!$AB:$AB,"",операции!$O:$O,$F904)+SUMIFS(операции!$V:$V,операции!$T:$T,"&lt;"&amp;I$8,операции!$X:$X,"&gt;="&amp;I$8,операции!$AB:$AB,"",операции!$O:$O,$F904)+SUMIFS(операции!$V:$V,операции!$T:$T,"&lt;"&amp;I$8,операции!$X:$X,"",операции!$AB:$AB,"&gt;="&amp;I$8,операции!$O:$O,$F904)+SUMIFS(операции!$V:$V,операции!$T:$T,"&lt;"&amp;I$8,операции!$X:$X,"&gt;="&amp;I$8,операции!$AB:$AB,"&gt;="&amp;I$8,операции!$O:$O,$F904)</f>
        <v>238215.14</v>
      </c>
      <c r="J915" s="313">
        <f>I915-K915-L915</f>
        <v>0</v>
      </c>
      <c r="K915" s="327">
        <f>SUMIFS(операции!$V:$V,операции!$T:$T,"&lt;"&amp;I$8,операции!$X:$X,"",операции!$AB:$AB,"",операции!$L:$L,K$9,операции!$O:$O,$F904)+SUMIFS(операции!$V:$V,операции!$T:$T,"&lt;"&amp;I$8,операции!$X:$X,"&gt;="&amp;I$8,операции!$AB:$AB,"",операции!$L:$L,K$9,операции!$O:$O,$F904)+SUMIFS(операции!$V:$V,операции!$T:$T,"&lt;"&amp;I$8,операции!$X:$X,"",операции!$AB:$AB,"&gt;="&amp;I$8,операции!$L:$L,K$9,операции!$O:$O,$F904)+SUMIFS(операции!$V:$V,операции!$T:$T,"&lt;"&amp;I$8,операции!$X:$X,"&gt;="&amp;I$8,операции!$AB:$AB,"&gt;="&amp;I$8,операции!$L:$L,K$9,операции!$O:$O,$F904)</f>
        <v>238215.14</v>
      </c>
      <c r="L915" s="328">
        <f>SUMIFS(операции!$V:$V,операции!$T:$T,"&lt;"&amp;I$8,операции!$X:$X,"",операции!$AB:$AB,"",операции!$L:$L,L$9,операции!$O:$O,$F904)+SUMIFS(операции!$V:$V,операции!$T:$T,"&lt;"&amp;I$8,операции!$X:$X,"&gt;="&amp;I$8,операции!$AB:$AB,"",операции!$L:$L,L$9,операции!$O:$O,$F904)+SUMIFS(операции!$V:$V,операции!$T:$T,"&lt;"&amp;I$8,операции!$X:$X,"",операции!$AB:$AB,"&gt;="&amp;I$8,операции!$L:$L,L$9,операции!$O:$O,$F904)+SUMIFS(операции!$V:$V,операции!$T:$T,"&lt;"&amp;I$8,операции!$X:$X,"&gt;="&amp;I$8,операции!$AB:$AB,"&gt;="&amp;I$8,операции!$L:$L,L$9,операции!$O:$O,$F904)</f>
        <v>0</v>
      </c>
      <c r="M915" s="277"/>
      <c r="N915" s="169">
        <f>SUMIFS(операции!$V:$V,операции!$T:$T,"&lt;"&amp;N$8,операции!$X:$X,"",операции!$AB:$AB,"",операции!$O:$O,$F904)+SUMIFS(операции!$V:$V,операции!$T:$T,"&lt;"&amp;N$8,операции!$X:$X,"&gt;="&amp;N$8,операции!$AB:$AB,"",операции!$O:$O,$F904)+SUMIFS(операции!$V:$V,операции!$T:$T,"&lt;"&amp;N$8,операции!$X:$X,"",операции!$AB:$AB,"&gt;="&amp;N$8,операции!$O:$O,$F904)+SUMIFS(операции!$V:$V,операции!$T:$T,"&lt;"&amp;N$8,операции!$X:$X,"&gt;="&amp;N$8,операции!$AB:$AB,"&gt;="&amp;N$8,операции!$O:$O,$F904)</f>
        <v>238215.14</v>
      </c>
      <c r="O915" s="170">
        <f>N915-P915-Q915</f>
        <v>0</v>
      </c>
      <c r="P915" s="169">
        <f>SUMIFS(операции!$V:$V,операции!$T:$T,"&lt;"&amp;N$8,операции!$X:$X,"",операции!$AB:$AB,"",операции!$L:$L,P$9,операции!$O:$O,$F904)+SUMIFS(операции!$V:$V,операции!$T:$T,"&lt;"&amp;N$8,операции!$X:$X,"&gt;="&amp;N$8,операции!$AB:$AB,"",операции!$L:$L,P$9,операции!$O:$O,$F904)+SUMIFS(операции!$V:$V,операции!$T:$T,"&lt;"&amp;N$8,операции!$X:$X,"",операции!$AB:$AB,"&gt;="&amp;N$8,операции!$L:$L,P$9,операции!$O:$O,$F904)+SUMIFS(операции!$V:$V,операции!$T:$T,"&lt;"&amp;N$8,операции!$X:$X,"&gt;="&amp;N$8,операции!$AB:$AB,"&gt;="&amp;N$8,операции!$L:$L,P$9,операции!$O:$O,$F904)</f>
        <v>238215.14</v>
      </c>
      <c r="Q915" s="243">
        <f>SUMIFS(операции!$V:$V,операции!$T:$T,"&lt;"&amp;N$8,операции!$X:$X,"",операции!$AB:$AB,"",операции!$L:$L,Q$9,операции!$O:$O,$F904)+SUMIFS(операции!$V:$V,операции!$T:$T,"&lt;"&amp;N$8,операции!$X:$X,"&gt;="&amp;N$8,операции!$AB:$AB,"",операции!$L:$L,Q$9,операции!$O:$O,$F904)+SUMIFS(операции!$V:$V,операции!$T:$T,"&lt;"&amp;N$8,операции!$X:$X,"",операции!$AB:$AB,"&gt;="&amp;N$8,операции!$L:$L,Q$9,операции!$O:$O,$F904)+SUMIFS(операции!$V:$V,операции!$T:$T,"&lt;"&amp;N$8,операции!$X:$X,"&gt;="&amp;N$8,операции!$AB:$AB,"&gt;="&amp;N$8,операции!$L:$L,Q$9,операции!$O:$O,$F904)</f>
        <v>0</v>
      </c>
      <c r="R915" s="244"/>
      <c r="S915" s="169">
        <f>SUMIFS(операции!$V:$V,операции!$T:$T,"&lt;"&amp;S$8,операции!$X:$X,"",операции!$AB:$AB,"",операции!$O:$O,$F904)+SUMIFS(операции!$V:$V,операции!$T:$T,"&lt;"&amp;S$8,операции!$X:$X,"&gt;="&amp;S$8,операции!$AB:$AB,"",операции!$O:$O,$F904)+SUMIFS(операции!$V:$V,операции!$T:$T,"&lt;"&amp;S$8,операции!$X:$X,"",операции!$AB:$AB,"&gt;="&amp;S$8,операции!$O:$O,$F904)+SUMIFS(операции!$V:$V,операции!$T:$T,"&lt;"&amp;S$8,операции!$X:$X,"&gt;="&amp;S$8,операции!$AB:$AB,"&gt;="&amp;S$8,операции!$O:$O,$F904)</f>
        <v>149052.4</v>
      </c>
      <c r="T915" s="170">
        <f>S915-U915-V915</f>
        <v>0</v>
      </c>
      <c r="U915" s="169">
        <f>SUMIFS(операции!$V:$V,операции!$T:$T,"&lt;"&amp;S$8,операции!$X:$X,"",операции!$AB:$AB,"",операции!$L:$L,U$9,операции!$O:$O,$F904)+SUMIFS(операции!$V:$V,операции!$T:$T,"&lt;"&amp;S$8,операции!$X:$X,"&gt;="&amp;S$8,операции!$AB:$AB,"",операции!$L:$L,U$9,операции!$O:$O,$F904)+SUMIFS(операции!$V:$V,операции!$T:$T,"&lt;"&amp;S$8,операции!$X:$X,"",операции!$AB:$AB,"&gt;="&amp;S$8,операции!$L:$L,U$9,операции!$O:$O,$F904)+SUMIFS(операции!$V:$V,операции!$T:$T,"&lt;"&amp;S$8,операции!$X:$X,"&gt;="&amp;S$8,операции!$AB:$AB,"&gt;="&amp;S$8,операции!$L:$L,U$9,операции!$O:$O,$F904)</f>
        <v>108244.42</v>
      </c>
      <c r="V915" s="243">
        <f>SUMIFS(операции!$V:$V,операции!$T:$T,"&lt;"&amp;S$8,операции!$X:$X,"",операции!$AB:$AB,"",операции!$L:$L,V$9,операции!$O:$O,$F904)+SUMIFS(операции!$V:$V,операции!$T:$T,"&lt;"&amp;S$8,операции!$X:$X,"&gt;="&amp;S$8,операции!$AB:$AB,"",операции!$L:$L,V$9,операции!$O:$O,$F904)+SUMIFS(операции!$V:$V,операции!$T:$T,"&lt;"&amp;S$8,операции!$X:$X,"",операции!$AB:$AB,"&gt;="&amp;S$8,операции!$L:$L,V$9,операции!$O:$O,$F904)+SUMIFS(операции!$V:$V,операции!$T:$T,"&lt;"&amp;S$8,операции!$X:$X,"&gt;="&amp;S$8,операции!$AB:$AB,"&gt;="&amp;S$8,операции!$L:$L,V$9,операции!$O:$O,$F904)</f>
        <v>40807.980000000003</v>
      </c>
      <c r="W915" s="244"/>
      <c r="X915" s="169">
        <f>SUMIFS(операции!$V:$V,операции!$T:$T,"&lt;"&amp;X$8,операции!$X:$X,"",операции!$AB:$AB,"",операции!$O:$O,$F904)+SUMIFS(операции!$V:$V,операции!$T:$T,"&lt;"&amp;X$8,операции!$X:$X,"&gt;="&amp;X$8,операции!$AB:$AB,"",операции!$O:$O,$F904)+SUMIFS(операции!$V:$V,операции!$T:$T,"&lt;"&amp;X$8,операции!$X:$X,"",операции!$AB:$AB,"&gt;="&amp;X$8,операции!$O:$O,$F904)+SUMIFS(операции!$V:$V,операции!$T:$T,"&lt;"&amp;X$8,операции!$X:$X,"&gt;="&amp;X$8,операции!$AB:$AB,"&gt;="&amp;X$8,операции!$O:$O,$F904)</f>
        <v>432980.25</v>
      </c>
      <c r="Y915" s="170">
        <f>X915-Z915-AA915</f>
        <v>0</v>
      </c>
      <c r="Z915" s="169">
        <f>SUMIFS(операции!$V:$V,операции!$T:$T,"&lt;"&amp;X$8,операции!$X:$X,"",операции!$AB:$AB,"",операции!$L:$L,Z$9,операции!$O:$O,$F904)+SUMIFS(операции!$V:$V,операции!$T:$T,"&lt;"&amp;X$8,операции!$X:$X,"&gt;="&amp;X$8,операции!$AB:$AB,"",операции!$L:$L,Z$9,операции!$O:$O,$F904)+SUMIFS(операции!$V:$V,операции!$T:$T,"&lt;"&amp;X$8,операции!$X:$X,"",операции!$AB:$AB,"&gt;="&amp;X$8,операции!$L:$L,Z$9,операции!$O:$O,$F904)+SUMIFS(операции!$V:$V,операции!$T:$T,"&lt;"&amp;X$8,операции!$X:$X,"&gt;="&amp;X$8,операции!$AB:$AB,"&gt;="&amp;X$8,операции!$L:$L,Z$9,операции!$O:$O,$F904)</f>
        <v>44936.03</v>
      </c>
      <c r="AA915" s="243">
        <f>SUMIFS(операции!$V:$V,операции!$T:$T,"&lt;"&amp;X$8,операции!$X:$X,"",операции!$AB:$AB,"",операции!$L:$L,AA$9,операции!$O:$O,$F904)+SUMIFS(операции!$V:$V,операции!$T:$T,"&lt;"&amp;X$8,операции!$X:$X,"&gt;="&amp;X$8,операции!$AB:$AB,"",операции!$L:$L,AA$9,операции!$O:$O,$F904)+SUMIFS(операции!$V:$V,операции!$T:$T,"&lt;"&amp;X$8,операции!$X:$X,"",операции!$AB:$AB,"&gt;="&amp;X$8,операции!$L:$L,AA$9,операции!$O:$O,$F904)+SUMIFS(операции!$V:$V,операции!$T:$T,"&lt;"&amp;X$8,операции!$X:$X,"&gt;="&amp;X$8,операции!$AB:$AB,"&gt;="&amp;X$8,операции!$L:$L,AA$9,операции!$O:$O,$F904)</f>
        <v>388044.22</v>
      </c>
      <c r="AB915" s="266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s="192" customFormat="1" ht="11.25">
      <c r="A916" s="37"/>
      <c r="B916" s="37"/>
      <c r="C916" s="37"/>
      <c r="D916" s="191"/>
      <c r="E916" s="191" t="s">
        <v>255</v>
      </c>
      <c r="F916" s="191" t="str">
        <f t="shared" si="1584"/>
        <v>Детство</v>
      </c>
      <c r="G916" s="191" t="s">
        <v>262</v>
      </c>
      <c r="H916" s="315"/>
      <c r="I916" s="316">
        <f>IF(I915=0,0,(SUMIFS(операции!$AF:$AF,операции!$T:$T,"&lt;"&amp;I$8,операции!$X:$X,"",операции!$AB:$AB,"",операции!$O:$O,$F904)+SUMIFS(операции!$AF:$AF,операции!$T:$T,"&lt;"&amp;I$8,операции!$X:$X,"&gt;="&amp;I$8,операции!$AB:$AB,"",операции!$O:$O,$F904)+SUMIFS(операции!$AF:$AF,операции!$T:$T,"&lt;"&amp;I$8,операции!$X:$X,"",операции!$AB:$AB,"&gt;="&amp;I$8,операции!$O:$O,$F904)+SUMIFS(операции!$AF:$AF,операции!$T:$T,"&lt;"&amp;I$8,операции!$X:$X,"&gt;="&amp;I$8,операции!$AB:$AB,"&gt;="&amp;I$8,операции!$O:$O,$F904))/I915)</f>
        <v>42227.628959519527</v>
      </c>
      <c r="J916" s="317"/>
      <c r="K916" s="316">
        <f>IF(K915=0,0,(SUMIFS(операции!$AF:$AF,операции!$T:$T,"&lt;"&amp;I$8,операции!$X:$X,"",операции!$AB:$AB,"",операции!$L:$L,K$9,операции!$O:$O,$F904)+SUMIFS(операции!$AF:$AF,операции!$T:$T,"&lt;"&amp;I$8,операции!$X:$X,"&gt;="&amp;I$8,операции!$AB:$AB,"",операции!$L:$L,K$9,операции!$O:$O,$F904)+SUMIFS(операции!$AF:$AF,операции!$T:$T,"&lt;"&amp;I$8,операции!$X:$X,"",операции!$AB:$AB,"&gt;="&amp;I$8,операции!$L:$L,K$9,операции!$O:$O,$F904)+SUMIFS(операции!$AF:$AF,операции!$T:$T,"&lt;"&amp;I$8,операции!$X:$X,"&gt;="&amp;I$8,операции!$AB:$AB,"&gt;="&amp;I$8,операции!$L:$L,K$9,операции!$O:$O,$F904))/K915)</f>
        <v>42227.628959519527</v>
      </c>
      <c r="L916" s="318">
        <f>IF(L915=0,0,(SUMIFS(операции!$AF:$AF,операции!$T:$T,"&lt;"&amp;I$8,операции!$X:$X,"",операции!$AB:$AB,"",операции!$L:$L,L$9,операции!$O:$O,$F904)+SUMIFS(операции!$AF:$AF,операции!$T:$T,"&lt;"&amp;I$8,операции!$X:$X,"&gt;="&amp;I$8,операции!$AB:$AB,"",операции!$L:$L,L$9,операции!$O:$O,$F904)+SUMIFS(операции!$AF:$AF,операции!$T:$T,"&lt;"&amp;I$8,операции!$X:$X,"",операции!$AB:$AB,"&gt;="&amp;I$8,операции!$L:$L,L$9,операции!$O:$O,$F904)+SUMIFS(операции!$AF:$AF,операции!$T:$T,"&lt;"&amp;I$8,операции!$X:$X,"&gt;="&amp;I$8,операции!$AB:$AB,"&gt;="&amp;I$8,операции!$L:$L,L$9,операции!$O:$O,$F904))/L915)</f>
        <v>0</v>
      </c>
      <c r="M916" s="274"/>
      <c r="N916" s="193">
        <f>IF(N915=0,0,(SUMIFS(операции!$AF:$AF,операции!$T:$T,"&lt;"&amp;N$8,операции!$X:$X,"",операции!$AB:$AB,"",операции!$O:$O,$F904)+SUMIFS(операции!$AF:$AF,операции!$T:$T,"&lt;"&amp;N$8,операции!$X:$X,"&gt;="&amp;N$8,операции!$AB:$AB,"",операции!$O:$O,$F904)+SUMIFS(операции!$AF:$AF,операции!$T:$T,"&lt;"&amp;N$8,операции!$X:$X,"",операции!$AB:$AB,"&gt;="&amp;N$8,операции!$O:$O,$F904)+SUMIFS(операции!$AF:$AF,операции!$T:$T,"&lt;"&amp;N$8,операции!$X:$X,"&gt;="&amp;N$8,операции!$AB:$AB,"&gt;="&amp;N$8,операции!$O:$O,$F904))/N915)</f>
        <v>42227.628959519527</v>
      </c>
      <c r="O916" s="196"/>
      <c r="P916" s="193">
        <f>IF(P915=0,0,(SUMIFS(операции!$AF:$AF,операции!$T:$T,"&lt;"&amp;N$8,операции!$X:$X,"",операции!$AB:$AB,"",операции!$L:$L,P$9,операции!$O:$O,$F904)+SUMIFS(операции!$AF:$AF,операции!$T:$T,"&lt;"&amp;N$8,операции!$X:$X,"&gt;="&amp;N$8,операции!$AB:$AB,"",операции!$L:$L,P$9,операции!$O:$O,$F904)+SUMIFS(операции!$AF:$AF,операции!$T:$T,"&lt;"&amp;N$8,операции!$X:$X,"",операции!$AB:$AB,"&gt;="&amp;N$8,операции!$L:$L,P$9,операции!$O:$O,$F904)+SUMIFS(операции!$AF:$AF,операции!$T:$T,"&lt;"&amp;N$8,операции!$X:$X,"&gt;="&amp;N$8,операции!$AB:$AB,"&gt;="&amp;N$8,операции!$L:$L,P$9,операции!$O:$O,$F904))/P915)</f>
        <v>42227.628959519527</v>
      </c>
      <c r="Q916" s="237">
        <f>IF(Q915=0,0,(SUMIFS(операции!$AF:$AF,операции!$T:$T,"&lt;"&amp;N$8,операции!$X:$X,"",операции!$AB:$AB,"",операции!$L:$L,Q$9,операции!$O:$O,$F904)+SUMIFS(операции!$AF:$AF,операции!$T:$T,"&lt;"&amp;N$8,операции!$X:$X,"&gt;="&amp;N$8,операции!$AB:$AB,"",операции!$L:$L,Q$9,операции!$O:$O,$F904)+SUMIFS(операции!$AF:$AF,операции!$T:$T,"&lt;"&amp;N$8,операции!$X:$X,"",операции!$AB:$AB,"&gt;="&amp;N$8,операции!$L:$L,Q$9,операции!$O:$O,$F904)+SUMIFS(операции!$AF:$AF,операции!$T:$T,"&lt;"&amp;N$8,операции!$X:$X,"&gt;="&amp;N$8,операции!$AB:$AB,"&gt;="&amp;N$8,операции!$L:$L,Q$9,операции!$O:$O,$F904))/Q915)</f>
        <v>0</v>
      </c>
      <c r="R916" s="238"/>
      <c r="S916" s="193">
        <f>IF(S915=0,0,(SUMIFS(операции!$AF:$AF,операции!$T:$T,"&lt;"&amp;S$8,операции!$X:$X,"",операции!$AB:$AB,"",операции!$O:$O,$F904)+SUMIFS(операции!$AF:$AF,операции!$T:$T,"&lt;"&amp;S$8,операции!$X:$X,"&gt;="&amp;S$8,операции!$AB:$AB,"",операции!$O:$O,$F904)+SUMIFS(операции!$AF:$AF,операции!$T:$T,"&lt;"&amp;S$8,операции!$X:$X,"",операции!$AB:$AB,"&gt;="&amp;S$8,операции!$O:$O,$F904)+SUMIFS(операции!$AF:$AF,операции!$T:$T,"&lt;"&amp;S$8,операции!$X:$X,"&gt;="&amp;S$8,операции!$AB:$AB,"&gt;="&amp;S$8,операции!$O:$O,$F904))/S915)</f>
        <v>42246.310830151</v>
      </c>
      <c r="T916" s="196"/>
      <c r="U916" s="193">
        <f>IF(U915=0,0,(SUMIFS(операции!$AF:$AF,операции!$T:$T,"&lt;"&amp;S$8,операции!$X:$X,"",операции!$AB:$AB,"",операции!$L:$L,U$9,операции!$O:$O,$F904)+SUMIFS(операции!$AF:$AF,операции!$T:$T,"&lt;"&amp;S$8,операции!$X:$X,"&gt;="&amp;S$8,операции!$AB:$AB,"",операции!$L:$L,U$9,операции!$O:$O,$F904)+SUMIFS(операции!$AF:$AF,операции!$T:$T,"&lt;"&amp;S$8,операции!$X:$X,"",операции!$AB:$AB,"&gt;="&amp;S$8,операции!$L:$L,U$9,операции!$O:$O,$F904)+SUMIFS(операции!$AF:$AF,операции!$T:$T,"&lt;"&amp;S$8,операции!$X:$X,"&gt;="&amp;S$8,операции!$AB:$AB,"&gt;="&amp;S$8,операции!$L:$L,U$9,операции!$O:$O,$F904))/U915)</f>
        <v>42223.755302675185</v>
      </c>
      <c r="V916" s="237">
        <f>IF(V915=0,0,(SUMIFS(операции!$AF:$AF,операции!$T:$T,"&lt;"&amp;S$8,операции!$X:$X,"",операции!$AB:$AB,"",операции!$L:$L,V$9,операции!$O:$O,$F904)+SUMIFS(операции!$AF:$AF,операции!$T:$T,"&lt;"&amp;S$8,операции!$X:$X,"&gt;="&amp;S$8,операции!$AB:$AB,"",операции!$L:$L,V$9,операции!$O:$O,$F904)+SUMIFS(операции!$AF:$AF,операции!$T:$T,"&lt;"&amp;S$8,операции!$X:$X,"",операции!$AB:$AB,"&gt;="&amp;S$8,операции!$L:$L,V$9,операции!$O:$O,$F904)+SUMIFS(операции!$AF:$AF,операции!$T:$T,"&lt;"&amp;S$8,операции!$X:$X,"&gt;="&amp;S$8,операции!$AB:$AB,"&gt;="&amp;S$8,операции!$L:$L,V$9,операции!$O:$O,$F904))/V915)</f>
        <v>42306.140059370729</v>
      </c>
      <c r="W916" s="238"/>
      <c r="X916" s="193">
        <f>IF(X915=0,0,(SUMIFS(операции!$AF:$AF,операции!$T:$T,"&lt;"&amp;X$8,операции!$X:$X,"",операции!$AB:$AB,"",операции!$O:$O,$F904)+SUMIFS(операции!$AF:$AF,операции!$T:$T,"&lt;"&amp;X$8,операции!$X:$X,"&gt;="&amp;X$8,операции!$AB:$AB,"",операции!$O:$O,$F904)+SUMIFS(операции!$AF:$AF,операции!$T:$T,"&lt;"&amp;X$8,операции!$X:$X,"",операции!$AB:$AB,"&gt;="&amp;X$8,операции!$O:$O,$F904)+SUMIFS(операции!$AF:$AF,операции!$T:$T,"&lt;"&amp;X$8,операции!$X:$X,"&gt;="&amp;X$8,операции!$AB:$AB,"&gt;="&amp;X$8,операции!$O:$O,$F904))/X915)</f>
        <v>42319.700271109359</v>
      </c>
      <c r="Y916" s="196"/>
      <c r="Z916" s="193">
        <f>IF(Z915=0,0,(SUMIFS(операции!$AF:$AF,операции!$T:$T,"&lt;"&amp;X$8,операции!$X:$X,"",операции!$AB:$AB,"",операции!$L:$L,Z$9,операции!$O:$O,$F904)+SUMIFS(операции!$AF:$AF,операции!$T:$T,"&lt;"&amp;X$8,операции!$X:$X,"&gt;="&amp;X$8,операции!$AB:$AB,"",операции!$L:$L,Z$9,операции!$O:$O,$F904)+SUMIFS(операции!$AF:$AF,операции!$T:$T,"&lt;"&amp;X$8,операции!$X:$X,"",операции!$AB:$AB,"&gt;="&amp;X$8,операции!$L:$L,Z$9,операции!$O:$O,$F904)+SUMIFS(операции!$AF:$AF,операции!$T:$T,"&lt;"&amp;X$8,операции!$X:$X,"&gt;="&amp;X$8,операции!$AB:$AB,"&gt;="&amp;X$8,операции!$L:$L,Z$9,операции!$O:$O,$F904))/Z915)</f>
        <v>42176.32101411718</v>
      </c>
      <c r="AA916" s="237">
        <f>IF(AA915=0,0,(SUMIFS(операции!$AF:$AF,операции!$T:$T,"&lt;"&amp;X$8,операции!$X:$X,"",операции!$AB:$AB,"",операции!$L:$L,AA$9,операции!$O:$O,$F904)+SUMIFS(операции!$AF:$AF,операции!$T:$T,"&lt;"&amp;X$8,операции!$X:$X,"&gt;="&amp;X$8,операции!$AB:$AB,"",операции!$L:$L,AA$9,операции!$O:$O,$F904)+SUMIFS(операции!$AF:$AF,операции!$T:$T,"&lt;"&amp;X$8,операции!$X:$X,"",операции!$AB:$AB,"&gt;="&amp;X$8,операции!$L:$L,AA$9,операции!$O:$O,$F904)+SUMIFS(операции!$AF:$AF,операции!$T:$T,"&lt;"&amp;X$8,операции!$X:$X,"&gt;="&amp;X$8,операции!$AB:$AB,"&gt;="&amp;X$8,операции!$L:$L,AA$9,операции!$O:$O,$F904))/AA915)</f>
        <v>42336.303777260233</v>
      </c>
      <c r="AB916" s="265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</row>
    <row r="917" spans="1:42" s="192" customFormat="1" ht="11.25">
      <c r="A917" s="37"/>
      <c r="B917" s="37"/>
      <c r="C917" s="37"/>
      <c r="D917" s="191"/>
      <c r="E917" s="191" t="s">
        <v>263</v>
      </c>
      <c r="F917" s="191" t="str">
        <f t="shared" si="1584"/>
        <v>Детство</v>
      </c>
      <c r="G917" s="191" t="s">
        <v>219</v>
      </c>
      <c r="H917" s="315"/>
      <c r="I917" s="329">
        <f>IF(I915=0,0,I$8-I916)</f>
        <v>50.371040480473312</v>
      </c>
      <c r="J917" s="317"/>
      <c r="K917" s="329">
        <f>IF(K915=0,0,I$8-K916)</f>
        <v>50.371040480473312</v>
      </c>
      <c r="L917" s="330">
        <f>IF(L915=0,0,I$8-L916)</f>
        <v>0</v>
      </c>
      <c r="M917" s="274"/>
      <c r="N917" s="156">
        <f>IF(N915=0,0,N$8-N916)</f>
        <v>50.371040480473312</v>
      </c>
      <c r="O917" s="196"/>
      <c r="P917" s="156">
        <f>IF(P915=0,0,N$8-P916)</f>
        <v>50.371040480473312</v>
      </c>
      <c r="Q917" s="245">
        <f>IF(Q915=0,0,N$8-Q916)</f>
        <v>0</v>
      </c>
      <c r="R917" s="238"/>
      <c r="S917" s="156">
        <f>IF(S915=0,0,S$8-S916)</f>
        <v>62.689169848999882</v>
      </c>
      <c r="T917" s="196"/>
      <c r="U917" s="156">
        <f>IF(U915=0,0,S$8-U916)</f>
        <v>85.244697324815206</v>
      </c>
      <c r="V917" s="245">
        <f>IF(V915=0,0,S$8-V916)</f>
        <v>2.859940629270568</v>
      </c>
      <c r="W917" s="238"/>
      <c r="X917" s="156">
        <f>IF(X915=0,0,X$8-X916)</f>
        <v>19.299728890640836</v>
      </c>
      <c r="Y917" s="196"/>
      <c r="Z917" s="156">
        <f>IF(Z915=0,0,X$8-Z916)</f>
        <v>162.67898588281969</v>
      </c>
      <c r="AA917" s="245">
        <f>IF(AA915=0,0,X$8-AA916)</f>
        <v>2.6962227397671086</v>
      </c>
      <c r="AB917" s="265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</row>
    <row r="918" spans="1:42" s="192" customFormat="1" ht="11.25">
      <c r="A918" s="37"/>
      <c r="B918" s="37"/>
      <c r="C918" s="37"/>
      <c r="D918" s="191"/>
      <c r="E918" s="191" t="s">
        <v>311</v>
      </c>
      <c r="F918" s="191" t="str">
        <f t="shared" si="1584"/>
        <v>Детство</v>
      </c>
      <c r="G918" s="191" t="s">
        <v>262</v>
      </c>
      <c r="H918" s="315"/>
      <c r="I918" s="316">
        <f>I$8</f>
        <v>42278</v>
      </c>
      <c r="J918" s="317"/>
      <c r="K918" s="316">
        <f>I$8</f>
        <v>42278</v>
      </c>
      <c r="L918" s="318">
        <f>I$8</f>
        <v>42278</v>
      </c>
      <c r="M918" s="274"/>
      <c r="N918" s="193">
        <f>N$8</f>
        <v>42278</v>
      </c>
      <c r="O918" s="196"/>
      <c r="P918" s="193">
        <f>N$8</f>
        <v>42278</v>
      </c>
      <c r="Q918" s="237">
        <f>N$8</f>
        <v>42278</v>
      </c>
      <c r="R918" s="238"/>
      <c r="S918" s="193">
        <f>S$8</f>
        <v>42309</v>
      </c>
      <c r="T918" s="196"/>
      <c r="U918" s="193">
        <f>S$8</f>
        <v>42309</v>
      </c>
      <c r="V918" s="237">
        <f>S$8</f>
        <v>42309</v>
      </c>
      <c r="W918" s="238"/>
      <c r="X918" s="193">
        <f>X$8</f>
        <v>42339</v>
      </c>
      <c r="Y918" s="196"/>
      <c r="Z918" s="193">
        <f>X$8</f>
        <v>42339</v>
      </c>
      <c r="AA918" s="237">
        <f>X$8</f>
        <v>42339</v>
      </c>
      <c r="AB918" s="265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</row>
    <row r="919" spans="1:42" s="192" customFormat="1" ht="11.25">
      <c r="A919" s="37"/>
      <c r="B919" s="37"/>
      <c r="C919" s="37"/>
      <c r="D919" s="191"/>
      <c r="E919" s="191" t="s">
        <v>264</v>
      </c>
      <c r="F919" s="191" t="str">
        <f t="shared" si="1584"/>
        <v>Детство</v>
      </c>
      <c r="G919" s="191" t="s">
        <v>219</v>
      </c>
      <c r="H919" s="315"/>
      <c r="I919" s="329">
        <f>IF(I915=0,0,I918-I916)</f>
        <v>50.371040480473312</v>
      </c>
      <c r="J919" s="317"/>
      <c r="K919" s="329">
        <f>IF(K915=0,0,K918-K916)</f>
        <v>50.371040480473312</v>
      </c>
      <c r="L919" s="330">
        <f>IF(L915=0,0,L918-L916)</f>
        <v>0</v>
      </c>
      <c r="M919" s="274"/>
      <c r="N919" s="156">
        <f>IF(N915=0,0,N918-N916)</f>
        <v>50.371040480473312</v>
      </c>
      <c r="O919" s="196"/>
      <c r="P919" s="156">
        <f>IF(P915=0,0,P918-P916)</f>
        <v>50.371040480473312</v>
      </c>
      <c r="Q919" s="245">
        <f>IF(Q915=0,0,Q918-Q916)</f>
        <v>0</v>
      </c>
      <c r="R919" s="238"/>
      <c r="S919" s="156">
        <f>IF(S915=0,0,S918-S916)</f>
        <v>62.689169848999882</v>
      </c>
      <c r="T919" s="196"/>
      <c r="U919" s="156">
        <f>IF(U915=0,0,U918-U916)</f>
        <v>85.244697324815206</v>
      </c>
      <c r="V919" s="245">
        <f>IF(V915=0,0,V918-V916)</f>
        <v>2.859940629270568</v>
      </c>
      <c r="W919" s="238"/>
      <c r="X919" s="156">
        <f>IF(X915=0,0,X918-X916)</f>
        <v>19.299728890640836</v>
      </c>
      <c r="Y919" s="196"/>
      <c r="Z919" s="156">
        <f>IF(Z915=0,0,Z918-Z916)</f>
        <v>162.67898588281969</v>
      </c>
      <c r="AA919" s="245">
        <f>IF(AA915=0,0,AA918-AA916)</f>
        <v>2.6962227397671086</v>
      </c>
      <c r="AB919" s="265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</row>
    <row r="920" spans="1:42" s="192" customFormat="1" ht="11.25">
      <c r="A920" s="37"/>
      <c r="B920" s="37"/>
      <c r="C920" s="37"/>
      <c r="D920" s="207"/>
      <c r="E920" s="207" t="s">
        <v>269</v>
      </c>
      <c r="F920" s="207" t="str">
        <f t="shared" si="1584"/>
        <v>Детство</v>
      </c>
      <c r="G920" s="207" t="s">
        <v>219</v>
      </c>
      <c r="H920" s="331"/>
      <c r="I920" s="332">
        <f>I917-I919</f>
        <v>0</v>
      </c>
      <c r="J920" s="333"/>
      <c r="K920" s="332">
        <f t="shared" ref="K920" si="1609">K917-K919</f>
        <v>0</v>
      </c>
      <c r="L920" s="334">
        <f>L917-L919</f>
        <v>0</v>
      </c>
      <c r="M920" s="278"/>
      <c r="N920" s="162">
        <f>N917-N919</f>
        <v>0</v>
      </c>
      <c r="O920" s="208"/>
      <c r="P920" s="162">
        <f t="shared" ref="P920" si="1610">P917-P919</f>
        <v>0</v>
      </c>
      <c r="Q920" s="246">
        <f>Q917-Q919</f>
        <v>0</v>
      </c>
      <c r="R920" s="247"/>
      <c r="S920" s="162">
        <f>S917-S919</f>
        <v>0</v>
      </c>
      <c r="T920" s="208"/>
      <c r="U920" s="162">
        <f t="shared" ref="U920" si="1611">U917-U919</f>
        <v>0</v>
      </c>
      <c r="V920" s="246">
        <f>V917-V919</f>
        <v>0</v>
      </c>
      <c r="W920" s="247"/>
      <c r="X920" s="162">
        <f>X917-X919</f>
        <v>0</v>
      </c>
      <c r="Y920" s="208"/>
      <c r="Z920" s="162">
        <f t="shared" ref="Z920" si="1612">Z917-Z919</f>
        <v>0</v>
      </c>
      <c r="AA920" s="246">
        <f>AA917-AA919</f>
        <v>0</v>
      </c>
      <c r="AB920" s="265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</row>
    <row r="921" spans="1:42" s="111" customFormat="1" ht="11.25">
      <c r="A921" s="108"/>
      <c r="B921" s="108"/>
      <c r="C921" s="108" t="s">
        <v>272</v>
      </c>
      <c r="D921" s="109"/>
      <c r="E921" s="109"/>
      <c r="F921" s="109" t="str">
        <f t="shared" si="1584"/>
        <v>Детство</v>
      </c>
      <c r="G921" s="109"/>
      <c r="H921" s="307"/>
      <c r="I921" s="308">
        <f>I922-K922-L922</f>
        <v>0</v>
      </c>
      <c r="J921" s="335"/>
      <c r="K921" s="308"/>
      <c r="L921" s="336"/>
      <c r="M921" s="272"/>
      <c r="N921" s="110">
        <f>N922-P922-Q922</f>
        <v>0</v>
      </c>
      <c r="O921" s="105"/>
      <c r="P921" s="110"/>
      <c r="Q921" s="248"/>
      <c r="R921" s="234"/>
      <c r="S921" s="110">
        <f>S922-U922-V922</f>
        <v>0</v>
      </c>
      <c r="T921" s="105"/>
      <c r="U921" s="110"/>
      <c r="V921" s="248"/>
      <c r="W921" s="234"/>
      <c r="X921" s="110">
        <f>X922-Z922-AA922</f>
        <v>0</v>
      </c>
      <c r="Y921" s="105"/>
      <c r="Z921" s="110"/>
      <c r="AA921" s="248"/>
      <c r="AB921" s="263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</row>
    <row r="922" spans="1:42" s="5" customFormat="1">
      <c r="A922" s="1"/>
      <c r="B922" s="1"/>
      <c r="C922" s="1"/>
      <c r="D922" s="168" t="s">
        <v>273</v>
      </c>
      <c r="E922" s="168"/>
      <c r="F922" s="168" t="str">
        <f t="shared" si="1584"/>
        <v>Детство</v>
      </c>
      <c r="G922" s="168" t="s">
        <v>261</v>
      </c>
      <c r="H922" s="326"/>
      <c r="I922" s="327">
        <f>SUMIFS(операции!$V:$V,операции!$T:$T,"&gt;="&amp;I$8,операции!$T:$T,"&lt;="&amp;I$9,операции!$O:$O,$F904)</f>
        <v>805586.04999999993</v>
      </c>
      <c r="J922" s="313"/>
      <c r="K922" s="327">
        <f>SUMIFS(операции!$V:$V,операции!$T:$T,"&gt;="&amp;I$8,операции!$T:$T,"&lt;="&amp;I$9,операции!$L:$L,K$9,операции!$O:$O,$F904)</f>
        <v>49335.82</v>
      </c>
      <c r="L922" s="328">
        <f>SUMIFS(операции!$V:$V,операции!$T:$T,"&gt;="&amp;I$8,операции!$T:$T,"&lt;="&amp;I$9,операции!$L:$L,L$9,операции!$O:$O,$F904)</f>
        <v>756250.22999999986</v>
      </c>
      <c r="M922" s="277"/>
      <c r="N922" s="169">
        <f>SUMIFS(операции!$V:$V,операции!$T:$T,"&gt;="&amp;N$8,операции!$T:$T,"&lt;="&amp;N$9,операции!$O:$O,$F904)</f>
        <v>191712.94000000003</v>
      </c>
      <c r="O922" s="170"/>
      <c r="P922" s="169">
        <f>SUMIFS(операции!$V:$V,операции!$T:$T,"&gt;="&amp;N$8,операции!$T:$T,"&lt;="&amp;N$9,операции!$L:$L,P$9,операции!$O:$O,$F904)</f>
        <v>47760.82</v>
      </c>
      <c r="Q922" s="243">
        <f>SUMIFS(операции!$V:$V,операции!$T:$T,"&gt;="&amp;N$8,операции!$T:$T,"&lt;="&amp;N$9,операции!$L:$L,Q$9,операции!$O:$O,$F904)</f>
        <v>143952.12</v>
      </c>
      <c r="R922" s="244"/>
      <c r="S922" s="169">
        <f>SUMIFS(операции!$V:$V,операции!$T:$T,"&gt;="&amp;S$8,операции!$T:$T,"&lt;="&amp;S$9,операции!$O:$O,$F904)</f>
        <v>579752.10999999987</v>
      </c>
      <c r="T922" s="170"/>
      <c r="U922" s="169">
        <f>SUMIFS(операции!$V:$V,операции!$T:$T,"&gt;="&amp;S$8,операции!$T:$T,"&lt;="&amp;S$9,операции!$L:$L,U$9,операции!$O:$O,$F904)</f>
        <v>1575</v>
      </c>
      <c r="V922" s="243">
        <f>SUMIFS(операции!$V:$V,операции!$T:$T,"&gt;="&amp;S$8,операции!$T:$T,"&lt;="&amp;S$9,операции!$L:$L,V$9,операции!$O:$O,$F904)</f>
        <v>578177.10999999987</v>
      </c>
      <c r="W922" s="244"/>
      <c r="X922" s="169">
        <f>SUMIFS(операции!$V:$V,операции!$T:$T,"&gt;="&amp;X$8,операции!$T:$T,"&lt;="&amp;X$9,операции!$O:$O,$F904)</f>
        <v>34121</v>
      </c>
      <c r="Y922" s="170"/>
      <c r="Z922" s="169">
        <f>SUMIFS(операции!$V:$V,операции!$T:$T,"&gt;="&amp;X$8,операции!$T:$T,"&lt;="&amp;X$9,операции!$L:$L,Z$9,операции!$O:$O,$F904)</f>
        <v>0</v>
      </c>
      <c r="AA922" s="243">
        <f>SUMIFS(операции!$V:$V,операции!$T:$T,"&gt;="&amp;X$8,операции!$T:$T,"&lt;="&amp;X$9,операции!$L:$L,AA$9,операции!$O:$O,$F904)</f>
        <v>34121</v>
      </c>
      <c r="AB922" s="266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s="192" customFormat="1" ht="11.25">
      <c r="A923" s="37"/>
      <c r="B923" s="37"/>
      <c r="C923" s="37"/>
      <c r="D923" s="207" t="s">
        <v>255</v>
      </c>
      <c r="E923" s="207"/>
      <c r="F923" s="207" t="str">
        <f t="shared" si="1584"/>
        <v>Детство</v>
      </c>
      <c r="G923" s="207" t="s">
        <v>262</v>
      </c>
      <c r="H923" s="331"/>
      <c r="I923" s="337">
        <f>IF(I922=0,0,SUMIFS(операции!$AF:$AF,операции!$T:$T,"&gt;="&amp;I$8,операции!$T:$T,"&lt;="&amp;I$9,операции!$O:$O,$F904)/I922)</f>
        <v>42325.348124349977</v>
      </c>
      <c r="J923" s="333"/>
      <c r="K923" s="337">
        <f>IF(K922=0,0,SUMIFS(операции!$AF:$AF,операции!$T:$T,"&gt;="&amp;I$8,операции!$T:$T,"&lt;="&amp;I$9,операции!$L:$L,K$9,операции!$O:$O,$F904)/K922)</f>
        <v>42289.300678087442</v>
      </c>
      <c r="L923" s="338">
        <f>IF(L922=0,0,SUMIFS(операции!$AF:$AF,операции!$T:$T,"&gt;="&amp;I$8,операции!$T:$T,"&lt;="&amp;I$9,операции!$L:$L,L$9,операции!$O:$O,$F904)/L922)</f>
        <v>42327.699767033468</v>
      </c>
      <c r="M923" s="278"/>
      <c r="N923" s="217">
        <f>IF(N922=0,0,SUMIFS(операции!$AF:$AF,операции!$T:$T,"&gt;="&amp;N$8,операции!$T:$T,"&lt;="&amp;N$9,операции!$O:$O,$F904)/N922)</f>
        <v>42297.664727586984</v>
      </c>
      <c r="O923" s="208"/>
      <c r="P923" s="217">
        <f>IF(P922=0,0,SUMIFS(операции!$AF:$AF,операции!$T:$T,"&gt;="&amp;N$8,операции!$T:$T,"&lt;="&amp;N$9,операции!$L:$L,P$9,операции!$O:$O,$F904)/P922)</f>
        <v>42288.53014207042</v>
      </c>
      <c r="Q923" s="249">
        <f>IF(Q922=0,0,SUMIFS(операции!$AF:$AF,операции!$T:$T,"&gt;="&amp;N$8,операции!$T:$T,"&lt;="&amp;N$9,операции!$L:$L,Q$9,операции!$O:$O,$F904)/Q922)</f>
        <v>42300.695424839876</v>
      </c>
      <c r="R923" s="247"/>
      <c r="S923" s="217">
        <f>IF(S922=0,0,SUMIFS(операции!$AF:$AF,операции!$T:$T,"&gt;="&amp;S$8,операции!$T:$T,"&lt;="&amp;S$9,операции!$O:$O,$F904)/S922)</f>
        <v>42332.165566952412</v>
      </c>
      <c r="T923" s="208"/>
      <c r="U923" s="217">
        <f>IF(U922=0,0,SUMIFS(операции!$AF:$AF,операции!$T:$T,"&gt;="&amp;S$8,операции!$T:$T,"&lt;="&amp;S$9,операции!$L:$L,U$9,операции!$O:$O,$F904)/U922)</f>
        <v>42312.666666666664</v>
      </c>
      <c r="V923" s="249">
        <f>IF(V922=0,0,SUMIFS(операции!$AF:$AF,операции!$T:$T,"&gt;="&amp;S$8,операции!$T:$T,"&lt;="&amp;S$9,операции!$L:$L,V$9,операции!$O:$O,$F904)/V922)</f>
        <v>42332.218683493033</v>
      </c>
      <c r="W923" s="247"/>
      <c r="X923" s="217">
        <f>IF(X922=0,0,SUMIFS(операции!$AF:$AF,операции!$T:$T,"&gt;="&amp;X$8,операции!$T:$T,"&lt;="&amp;X$9,операции!$O:$O,$F904)/X922)</f>
        <v>42365.055010111078</v>
      </c>
      <c r="Y923" s="208"/>
      <c r="Z923" s="217">
        <f>IF(Z922=0,0,SUMIFS(операции!$AF:$AF,операции!$T:$T,"&gt;="&amp;X$8,операции!$T:$T,"&lt;="&amp;X$9,операции!$L:$L,Z$9,операции!$O:$O,$F904)/Z922)</f>
        <v>0</v>
      </c>
      <c r="AA923" s="249">
        <f>IF(AA922=0,0,SUMIFS(операции!$AF:$AF,операции!$T:$T,"&gt;="&amp;X$8,операции!$T:$T,"&lt;="&amp;X$9,операции!$L:$L,AA$9,операции!$O:$O,$F904)/AA922)</f>
        <v>42365.055010111078</v>
      </c>
      <c r="AB923" s="265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</row>
    <row r="924" spans="1:42" s="93" customFormat="1" ht="15">
      <c r="A924" s="92"/>
      <c r="B924" s="92"/>
      <c r="C924" s="92"/>
      <c r="D924" s="212" t="s">
        <v>274</v>
      </c>
      <c r="E924" s="212"/>
      <c r="F924" s="212" t="str">
        <f t="shared" si="1584"/>
        <v>Детство</v>
      </c>
      <c r="G924" s="212" t="s">
        <v>261</v>
      </c>
      <c r="H924" s="339"/>
      <c r="I924" s="340">
        <f>SUMIFS(операции!$Z:$Z,операции!$X:$X,"&gt;="&amp;I$8,операции!$X:$X,"&lt;="&amp;I$9,операции!$O:$O,$F904)</f>
        <v>1154032</v>
      </c>
      <c r="J924" s="341">
        <f>I924-I937-I947</f>
        <v>0</v>
      </c>
      <c r="K924" s="340">
        <f>SUMIFS(операции!$Z:$Z,операции!$X:$X,"&gt;="&amp;I$8,операции!$X:$X,"&lt;="&amp;I$9,операции!$L:$L,K$9,операции!$O:$O,$F904)</f>
        <v>362140</v>
      </c>
      <c r="L924" s="342">
        <f>SUMIFS(операции!$Z:$Z,операции!$X:$X,"&gt;="&amp;I$8,операции!$X:$X,"&lt;="&amp;I$9,операции!$L:$L,L$9,операции!$O:$O,$F904)</f>
        <v>791892</v>
      </c>
      <c r="M924" s="279"/>
      <c r="N924" s="213">
        <f>SUMIFS(операции!$Z:$Z,операции!$X:$X,"&gt;="&amp;N$8,операции!$X:$X,"&lt;="&amp;N$9,операции!$O:$O,$F904)</f>
        <v>329969</v>
      </c>
      <c r="O924" s="216">
        <f>N924-N937-N947</f>
        <v>0</v>
      </c>
      <c r="P924" s="213">
        <f>SUMIFS(операции!$Z:$Z,операции!$X:$X,"&gt;="&amp;N$8,операции!$X:$X,"&lt;="&amp;N$9,операции!$L:$L,P$9,операции!$O:$O,$F904)</f>
        <v>212298</v>
      </c>
      <c r="Q924" s="250">
        <f>SUMIFS(операции!$Z:$Z,операции!$X:$X,"&gt;="&amp;N$8,операции!$X:$X,"&lt;="&amp;N$9,операции!$L:$L,Q$9,операции!$O:$O,$F904)</f>
        <v>117671</v>
      </c>
      <c r="R924" s="251"/>
      <c r="S924" s="213">
        <f>SUMIFS(операции!$Z:$Z,операции!$X:$X,"&gt;="&amp;S$8,операции!$X:$X,"&lt;="&amp;S$9,операции!$O:$O,$F904)</f>
        <v>392803</v>
      </c>
      <c r="T924" s="216">
        <f>S924-S937-S947</f>
        <v>0</v>
      </c>
      <c r="U924" s="213">
        <f>SUMIFS(операции!$Z:$Z,операции!$X:$X,"&gt;="&amp;S$8,операции!$X:$X,"&lt;="&amp;S$9,операции!$L:$L,U$9,операции!$O:$O,$F904)</f>
        <v>129937</v>
      </c>
      <c r="V924" s="250">
        <f>SUMIFS(операции!$Z:$Z,операции!$X:$X,"&gt;="&amp;S$8,операции!$X:$X,"&lt;="&amp;S$9,операции!$L:$L,V$9,операции!$O:$O,$F904)</f>
        <v>262866</v>
      </c>
      <c r="W924" s="251"/>
      <c r="X924" s="213">
        <f>SUMIFS(операции!$Z:$Z,операции!$X:$X,"&gt;="&amp;X$8,операции!$X:$X,"&lt;="&amp;X$9,операции!$O:$O,$F904)</f>
        <v>431260</v>
      </c>
      <c r="Y924" s="216">
        <f>X924-X937-X947</f>
        <v>0</v>
      </c>
      <c r="Z924" s="213">
        <f>SUMIFS(операции!$Z:$Z,операции!$X:$X,"&gt;="&amp;X$8,операции!$X:$X,"&lt;="&amp;X$9,операции!$L:$L,Z$9,операции!$O:$O,$F904)</f>
        <v>19905</v>
      </c>
      <c r="AA924" s="250">
        <f>SUMIFS(операции!$Z:$Z,операции!$X:$X,"&gt;="&amp;X$8,операции!$X:$X,"&lt;="&amp;X$9,операции!$L:$L,AA$9,операции!$O:$O,$F904)</f>
        <v>411355</v>
      </c>
      <c r="AB924" s="264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</row>
    <row r="925" spans="1:42" s="407" customFormat="1" ht="11.25">
      <c r="A925" s="404"/>
      <c r="B925" s="404"/>
      <c r="C925" s="404"/>
      <c r="D925" s="405" t="s">
        <v>332</v>
      </c>
      <c r="E925" s="405"/>
      <c r="F925" s="405" t="str">
        <f>F923</f>
        <v>Детство</v>
      </c>
      <c r="G925" s="405" t="s">
        <v>218</v>
      </c>
      <c r="H925" s="408"/>
      <c r="I925" s="408">
        <f>IF(I$31=0,0,I924/I$31)</f>
        <v>0.31107862038031409</v>
      </c>
      <c r="J925" s="409"/>
      <c r="K925" s="408">
        <f t="shared" ref="K925" si="1613">IF(K$31=0,0,K924/K$31)</f>
        <v>0.27816824055169703</v>
      </c>
      <c r="L925" s="410">
        <f t="shared" ref="L925" si="1614">IF(L$31=0,0,L924/L$31)</f>
        <v>0.32887218831995652</v>
      </c>
      <c r="M925" s="411"/>
      <c r="N925" s="412">
        <f t="shared" ref="N925" si="1615">IF(N$31=0,0,N924/N$31)</f>
        <v>0.42576480349108325</v>
      </c>
      <c r="O925" s="413"/>
      <c r="P925" s="412">
        <f t="shared" ref="P925" si="1616">IF(P$31=0,0,P924/P$31)</f>
        <v>0.42419216905505958</v>
      </c>
      <c r="Q925" s="414">
        <f t="shared" ref="Q925" si="1617">IF(Q$31=0,0,Q924/Q$31)</f>
        <v>0.42863179213702113</v>
      </c>
      <c r="R925" s="415"/>
      <c r="S925" s="412">
        <f t="shared" ref="S925" si="1618">IF(S$31=0,0,S924/S$31)</f>
        <v>0.22133549708541467</v>
      </c>
      <c r="T925" s="413"/>
      <c r="U925" s="412">
        <f t="shared" ref="U925" si="1619">IF(U$31=0,0,U924/U$31)</f>
        <v>0.20632944557804225</v>
      </c>
      <c r="V925" s="414">
        <f t="shared" ref="V925" si="1620">IF(V$31=0,0,V924/V$31)</f>
        <v>0.22958932345799779</v>
      </c>
      <c r="W925" s="415"/>
      <c r="X925" s="412">
        <f t="shared" ref="X925" si="1621">IF(X$31=0,0,X924/X$31)</f>
        <v>0.37175086502804122</v>
      </c>
      <c r="Y925" s="413"/>
      <c r="Z925" s="412">
        <f t="shared" ref="Z925" si="1622">IF(Z$31=0,0,Z924/Z$31)</f>
        <v>0.11596744405539404</v>
      </c>
      <c r="AA925" s="414">
        <f t="shared" ref="AA925" si="1623">IF(AA$31=0,0,AA924/AA$31)</f>
        <v>0.41616798272015865</v>
      </c>
      <c r="AB925" s="406"/>
      <c r="AC925" s="404"/>
      <c r="AD925" s="404"/>
      <c r="AE925" s="404"/>
      <c r="AF925" s="404"/>
      <c r="AG925" s="404"/>
      <c r="AH925" s="404"/>
      <c r="AI925" s="404"/>
      <c r="AJ925" s="404"/>
      <c r="AK925" s="404"/>
      <c r="AL925" s="404"/>
      <c r="AM925" s="404"/>
      <c r="AN925" s="404"/>
      <c r="AO925" s="404"/>
      <c r="AP925" s="404"/>
    </row>
    <row r="926" spans="1:42" s="192" customFormat="1" ht="11.25">
      <c r="A926" s="37"/>
      <c r="B926" s="37"/>
      <c r="C926" s="37"/>
      <c r="D926" s="191" t="s">
        <v>331</v>
      </c>
      <c r="E926" s="191"/>
      <c r="F926" s="191" t="str">
        <f>F924</f>
        <v>Детство</v>
      </c>
      <c r="G926" s="191" t="s">
        <v>334</v>
      </c>
      <c r="H926" s="315"/>
      <c r="I926" s="329">
        <f>SUMIFS(операции!$R:$R,операции!$X:$X,"&gt;="&amp;I$8,операции!$X:$X,"&lt;="&amp;I$9,операции!$O:$O,$F904)</f>
        <v>306</v>
      </c>
      <c r="J926" s="317">
        <f>I926-K926-L926</f>
        <v>0</v>
      </c>
      <c r="K926" s="329">
        <f>SUMIFS(операции!$R:$R,операции!$X:$X,"&gt;="&amp;I$8,операции!$X:$X,"&lt;="&amp;I$9,операции!$L:$L,K$9,операции!$O:$O,$F904)</f>
        <v>81</v>
      </c>
      <c r="L926" s="330">
        <f>SUMIFS(операции!$R:$R,операции!$X:$X,"&gt;="&amp;I$8,операции!$X:$X,"&lt;="&amp;I$9,операции!$L:$L,L$9,операции!$O:$O,$F904)</f>
        <v>225</v>
      </c>
      <c r="M926" s="402"/>
      <c r="N926" s="156">
        <f>SUMIFS(операции!$R:$R,операции!$X:$X,"&gt;="&amp;N$8,операции!$X:$X,"&lt;="&amp;N$9,операции!$O:$O,$F904)</f>
        <v>81</v>
      </c>
      <c r="O926" s="196">
        <f t="shared" ref="O926" si="1624">N926-P926-Q926</f>
        <v>0</v>
      </c>
      <c r="P926" s="156">
        <f>SUMIFS(операции!$R:$R,операции!$X:$X,"&gt;="&amp;N$8,операции!$X:$X,"&lt;="&amp;N$9,операции!$L:$L,P$9,операции!$O:$O,$F904)</f>
        <v>35</v>
      </c>
      <c r="Q926" s="245">
        <f>SUMIFS(операции!$R:$R,операции!$X:$X,"&gt;="&amp;N$8,операции!$X:$X,"&lt;="&amp;N$9,операции!$L:$L,Q$9,операции!$O:$O,$F904)</f>
        <v>46</v>
      </c>
      <c r="R926" s="403"/>
      <c r="S926" s="156">
        <f>SUMIFS(операции!$R:$R,операции!$X:$X,"&gt;="&amp;S$8,операции!$X:$X,"&lt;="&amp;S$9,операции!$O:$O,$F904)</f>
        <v>135</v>
      </c>
      <c r="T926" s="196">
        <f t="shared" ref="T926" si="1625">S926-U926-V926</f>
        <v>0</v>
      </c>
      <c r="U926" s="156">
        <f>SUMIFS(операции!$R:$R,операции!$X:$X,"&gt;="&amp;S$8,операции!$X:$X,"&lt;="&amp;S$9,операции!$L:$L,U$9,операции!$O:$O,$F904)</f>
        <v>39</v>
      </c>
      <c r="V926" s="245">
        <f>SUMIFS(операции!$R:$R,операции!$X:$X,"&gt;="&amp;S$8,операции!$X:$X,"&lt;="&amp;S$9,операции!$L:$L,V$9,операции!$O:$O,$F904)</f>
        <v>96</v>
      </c>
      <c r="W926" s="403"/>
      <c r="X926" s="156">
        <f>SUMIFS(операции!$R:$R,операции!$X:$X,"&gt;="&amp;X$8,операции!$X:$X,"&lt;="&amp;X$9,операции!$O:$O,$F904)</f>
        <v>90</v>
      </c>
      <c r="Y926" s="196">
        <f t="shared" ref="Y926" si="1626">X926-Z926-AA926</f>
        <v>0</v>
      </c>
      <c r="Z926" s="156">
        <f>SUMIFS(операции!$R:$R,операции!$X:$X,"&gt;="&amp;X$8,операции!$X:$X,"&lt;="&amp;X$9,операции!$L:$L,Z$9,операции!$O:$O,$F904)</f>
        <v>7</v>
      </c>
      <c r="AA926" s="245">
        <f>SUMIFS(операции!$R:$R,операции!$X:$X,"&gt;="&amp;X$8,операции!$X:$X,"&lt;="&amp;X$9,операции!$L:$L,AA$9,операции!$O:$O,$F904)</f>
        <v>83</v>
      </c>
      <c r="AB926" s="265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</row>
    <row r="927" spans="1:42" s="192" customFormat="1" ht="11.25">
      <c r="A927" s="37"/>
      <c r="B927" s="37"/>
      <c r="C927" s="37"/>
      <c r="D927" s="191" t="s">
        <v>333</v>
      </c>
      <c r="E927" s="191"/>
      <c r="F927" s="191" t="str">
        <f t="shared" si="1584"/>
        <v>Детство</v>
      </c>
      <c r="G927" s="191" t="s">
        <v>261</v>
      </c>
      <c r="H927" s="315"/>
      <c r="I927" s="329">
        <f>IF(I926=0,0,I924/I926)</f>
        <v>3771.3464052287582</v>
      </c>
      <c r="J927" s="317"/>
      <c r="K927" s="329">
        <f t="shared" ref="K927" si="1627">IF(K926=0,0,K924/K926)</f>
        <v>4470.8641975308637</v>
      </c>
      <c r="L927" s="330">
        <f t="shared" ref="L927" si="1628">IF(L926=0,0,L924/L926)</f>
        <v>3519.52</v>
      </c>
      <c r="M927" s="402"/>
      <c r="N927" s="156">
        <f>IF(N926=0,0,N924/N926)</f>
        <v>4073.6913580246915</v>
      </c>
      <c r="O927" s="196"/>
      <c r="P927" s="156">
        <f>IF(P926=0,0,P924/P926)</f>
        <v>6065.6571428571433</v>
      </c>
      <c r="Q927" s="245">
        <f>IF(Q926=0,0,Q924/Q926)</f>
        <v>2558.0652173913045</v>
      </c>
      <c r="R927" s="403"/>
      <c r="S927" s="156">
        <f>IF(S926=0,0,S924/S926)</f>
        <v>2909.6518518518519</v>
      </c>
      <c r="T927" s="196"/>
      <c r="U927" s="156">
        <f>IF(U926=0,0,U924/U926)</f>
        <v>3331.7179487179487</v>
      </c>
      <c r="V927" s="245">
        <f>IF(V926=0,0,V924/V926)</f>
        <v>2738.1875</v>
      </c>
      <c r="W927" s="403"/>
      <c r="X927" s="156">
        <f>IF(X926=0,0,X924/X926)</f>
        <v>4791.7777777777774</v>
      </c>
      <c r="Y927" s="196"/>
      <c r="Z927" s="156">
        <f>IF(Z926=0,0,Z924/Z926)</f>
        <v>2843.5714285714284</v>
      </c>
      <c r="AA927" s="245">
        <f>IF(AA926=0,0,AA924/AA926)</f>
        <v>4956.0843373493972</v>
      </c>
      <c r="AB927" s="265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</row>
    <row r="928" spans="1:42" s="192" customFormat="1" ht="11.25">
      <c r="A928" s="37"/>
      <c r="B928" s="37"/>
      <c r="C928" s="37"/>
      <c r="D928" s="191" t="s">
        <v>290</v>
      </c>
      <c r="E928" s="191"/>
      <c r="F928" s="191" t="str">
        <f>F924</f>
        <v>Детство</v>
      </c>
      <c r="G928" s="191" t="s">
        <v>262</v>
      </c>
      <c r="H928" s="315"/>
      <c r="I928" s="316">
        <f>IF(I924=0,0,SUMIFS(операции!$AG:$AG,операции!$X:$X,"&gt;="&amp;I$8,операции!$X:$X,"&lt;="&amp;I$9,операции!$O:$O,$F904)/I924)</f>
        <v>42325.049652869246</v>
      </c>
      <c r="J928" s="317"/>
      <c r="K928" s="316">
        <f>IF(K924=0,0,SUMIFS(операции!$AG:$AG,операции!$X:$X,"&gt;="&amp;I$8,операции!$X:$X,"&lt;="&amp;I$9,операции!$L:$L,K$9,операции!$O:$O,$F904)/K924)</f>
        <v>42311.568672336667</v>
      </c>
      <c r="L928" s="318">
        <f>IF(L924=0,0,SUMIFS(операции!$AG:$AG,операции!$X:$X,"&gt;="&amp;I$8,операции!$X:$X,"&lt;="&amp;I$9,операции!$L:$L,L$9,операции!$O:$O,$F904)/L924)</f>
        <v>42331.21463785466</v>
      </c>
      <c r="M928" s="274"/>
      <c r="N928" s="193">
        <f>IF(N924=0,0,SUMIFS(операции!$AG:$AG,операции!$X:$X,"&gt;="&amp;N$8,операции!$X:$X,"&lt;="&amp;N$9,операции!$O:$O,$F904)/N924)</f>
        <v>42301.910921935094</v>
      </c>
      <c r="O928" s="196"/>
      <c r="P928" s="193">
        <f>IF(P924=0,0,SUMIFS(операции!$AG:$AG,операции!$X:$X,"&gt;="&amp;N$8,операции!$X:$X,"&lt;="&amp;N$9,операции!$L:$L,P$9,операции!$O:$O,$F904)/P924)</f>
        <v>42302.075883899044</v>
      </c>
      <c r="Q928" s="237">
        <f>IF(Q924=0,0,SUMIFS(операции!$AG:$AG,операции!$X:$X,"&gt;="&amp;N$8,операции!$X:$X,"&lt;="&amp;N$9,операции!$L:$L,Q$9,операции!$O:$O,$F904)/Q924)</f>
        <v>42301.613303192804</v>
      </c>
      <c r="R928" s="238"/>
      <c r="S928" s="193">
        <f>IF(S924=0,0,SUMIFS(операции!$AG:$AG,операции!$X:$X,"&gt;="&amp;S$8,операции!$X:$X,"&lt;="&amp;S$9,операции!$O:$O,$F904)/S924)</f>
        <v>42324.712761867908</v>
      </c>
      <c r="T928" s="196"/>
      <c r="U928" s="193">
        <f>IF(U924=0,0,SUMIFS(операции!$AG:$AG,операции!$X:$X,"&gt;="&amp;S$8,операции!$X:$X,"&lt;="&amp;S$9,операции!$L:$L,U$9,операции!$O:$O,$F904)/U924)</f>
        <v>42322.735094699739</v>
      </c>
      <c r="V928" s="237">
        <f>IF(V924=0,0,SUMIFS(операции!$AG:$AG,операции!$X:$X,"&gt;="&amp;S$8,операции!$X:$X,"&lt;="&amp;S$9,операции!$L:$L,V$9,операции!$O:$O,$F904)/V924)</f>
        <v>42325.690340325491</v>
      </c>
      <c r="W928" s="238"/>
      <c r="X928" s="193">
        <f>IF(X924=0,0,SUMIFS(операции!$AG:$AG,операции!$X:$X,"&gt;="&amp;X$8,операции!$X:$X,"&lt;="&amp;X$9,операции!$O:$O,$F904)/X924)</f>
        <v>42343.060587580578</v>
      </c>
      <c r="Y928" s="196"/>
      <c r="Z928" s="193">
        <f>IF(Z924=0,0,SUMIFS(операции!$AG:$AG,операции!$X:$X,"&gt;="&amp;X$8,операции!$X:$X,"&lt;="&amp;X$9,операции!$L:$L,Z$9,операции!$O:$O,$F904)/Z924)</f>
        <v>42339.921778447628</v>
      </c>
      <c r="AA928" s="237">
        <f>IF(AA924=0,0,SUMIFS(операции!$AG:$AG,операции!$X:$X,"&gt;="&amp;X$8,операции!$X:$X,"&lt;="&amp;X$9,операции!$L:$L,AA$9,операции!$O:$O,$F904)/AA924)</f>
        <v>42343.212470980056</v>
      </c>
      <c r="AB928" s="265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</row>
    <row r="929" spans="1:42" s="93" customFormat="1" ht="15">
      <c r="A929" s="92"/>
      <c r="B929" s="92"/>
      <c r="C929" s="92"/>
      <c r="D929" s="151" t="s">
        <v>275</v>
      </c>
      <c r="E929" s="151"/>
      <c r="F929" s="151" t="str">
        <f t="shared" si="1584"/>
        <v>Детство</v>
      </c>
      <c r="G929" s="151" t="s">
        <v>261</v>
      </c>
      <c r="H929" s="311"/>
      <c r="I929" s="312">
        <f>SUMIFS(операции!$V:$V,операции!$X:$X,"&gt;="&amp;I$8,операции!$X:$X,"&lt;="&amp;I$9,операции!$O:$O,$F904)</f>
        <v>1048368.4699999999</v>
      </c>
      <c r="J929" s="313">
        <f>I929-I939-I949</f>
        <v>0</v>
      </c>
      <c r="K929" s="312">
        <f>SUMIFS(операции!$V:$V,операции!$X:$X,"&gt;="&amp;I$8,операции!$X:$X,"&lt;="&amp;I$9,операции!$L:$L,K$9,операции!$O:$O,$F904)</f>
        <v>326239.24</v>
      </c>
      <c r="L929" s="314">
        <f>SUMIFS(операции!$V:$V,операции!$X:$X,"&gt;="&amp;I$8,операции!$X:$X,"&lt;="&amp;I$9,операции!$L:$L,L$9,операции!$O:$O,$F904)</f>
        <v>722129.22999999986</v>
      </c>
      <c r="M929" s="273"/>
      <c r="N929" s="152">
        <f>SUMIFS(операции!$V:$V,операции!$X:$X,"&gt;="&amp;N$8,операции!$X:$X,"&lt;="&amp;N$9,операции!$O:$O,$F904)</f>
        <v>300342.47000000003</v>
      </c>
      <c r="O929" s="170">
        <f>N929-N939-N949</f>
        <v>0</v>
      </c>
      <c r="P929" s="152">
        <f>SUMIFS(операции!$V:$V,операции!$X:$X,"&gt;="&amp;N$8,операции!$X:$X,"&lt;="&amp;N$9,операции!$L:$L,P$9,операции!$O:$O,$F904)</f>
        <v>197198.33</v>
      </c>
      <c r="Q929" s="235">
        <f>SUMIFS(операции!$V:$V,операции!$X:$X,"&gt;="&amp;N$8,операции!$X:$X,"&lt;="&amp;N$9,операции!$L:$L,Q$9,операции!$O:$O,$F904)</f>
        <v>103144.14</v>
      </c>
      <c r="R929" s="236"/>
      <c r="S929" s="152">
        <f>SUMIFS(операции!$V:$V,операции!$X:$X,"&gt;="&amp;S$8,операции!$X:$X,"&lt;="&amp;S$9,операции!$O:$O,$F904)</f>
        <v>343804.02000000025</v>
      </c>
      <c r="T929" s="170">
        <f>S929-S939-S949</f>
        <v>0</v>
      </c>
      <c r="U929" s="152">
        <f>SUMIFS(операции!$V:$V,операции!$X:$X,"&gt;="&amp;S$8,операции!$X:$X,"&lt;="&amp;S$9,операции!$L:$L,U$9,операции!$O:$O,$F904)</f>
        <v>112863.15</v>
      </c>
      <c r="V929" s="235">
        <f>SUMIFS(операции!$V:$V,операции!$X:$X,"&gt;="&amp;S$8,операции!$X:$X,"&lt;="&amp;S$9,операции!$L:$L,V$9,операции!$O:$O,$F904)</f>
        <v>230940.87000000005</v>
      </c>
      <c r="W929" s="236"/>
      <c r="X929" s="152">
        <f>SUMIFS(операции!$V:$V,операции!$X:$X,"&gt;="&amp;X$8,операции!$X:$X,"&lt;="&amp;X$9,операции!$O:$O,$F904)</f>
        <v>404221.98</v>
      </c>
      <c r="Y929" s="170">
        <f>X929-X939-X949</f>
        <v>0</v>
      </c>
      <c r="Z929" s="152">
        <f>SUMIFS(операции!$V:$V,операции!$X:$X,"&gt;="&amp;X$8,операции!$X:$X,"&lt;="&amp;X$9,операции!$L:$L,Z$9,операции!$O:$O,$F904)</f>
        <v>16177.76</v>
      </c>
      <c r="AA929" s="235">
        <f>SUMIFS(операции!$V:$V,операции!$X:$X,"&gt;="&amp;X$8,операции!$X:$X,"&lt;="&amp;X$9,операции!$L:$L,AA$9,операции!$O:$O,$F904)</f>
        <v>388044.22</v>
      </c>
      <c r="AB929" s="264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</row>
    <row r="930" spans="1:42" s="192" customFormat="1" ht="11.25">
      <c r="A930" s="37"/>
      <c r="B930" s="37"/>
      <c r="C930" s="37"/>
      <c r="D930" s="191" t="s">
        <v>291</v>
      </c>
      <c r="E930" s="191"/>
      <c r="F930" s="191" t="str">
        <f t="shared" si="1584"/>
        <v>Детство</v>
      </c>
      <c r="G930" s="191" t="s">
        <v>262</v>
      </c>
      <c r="H930" s="315"/>
      <c r="I930" s="316">
        <f>IF(I929=0,0,SUMIFS(операции!$AF:$AF,операции!$X:$X,"&gt;="&amp;I$8,операции!$X:$X,"&lt;="&amp;I$9,операции!$O:$O,$F904)/I929)</f>
        <v>42284.019271249163</v>
      </c>
      <c r="J930" s="317"/>
      <c r="K930" s="316">
        <f>IF(K929=0,0,SUMIFS(операции!$AF:$AF,операции!$X:$X,"&gt;="&amp;I$8,операции!$X:$X,"&lt;="&amp;I$9,операции!$L:$L,K$9,операции!$O:$O,$F904)/K929)</f>
        <v>42191.239615013816</v>
      </c>
      <c r="L930" s="318">
        <f>IF(L929=0,0,SUMIFS(операции!$AF:$AF,операции!$X:$X,"&gt;="&amp;I$8,операции!$X:$X,"&lt;="&amp;I$9,операции!$L:$L,L$9,операции!$O:$O,$F904)/L929)</f>
        <v>42325.934711422786</v>
      </c>
      <c r="M930" s="274"/>
      <c r="N930" s="193">
        <f>IF(N929=0,0,SUMIFS(операции!$AF:$AF,операции!$X:$X,"&gt;="&amp;N$8,операции!$X:$X,"&lt;="&amp;N$9,операции!$O:$O,$F904)/N929)</f>
        <v>42229.721069284671</v>
      </c>
      <c r="O930" s="196"/>
      <c r="P930" s="193">
        <f>IF(P929=0,0,SUMIFS(операции!$AF:$AF,операции!$X:$X,"&gt;="&amp;N$8,операции!$X:$X,"&lt;="&amp;N$9,операции!$L:$L,P$9,операции!$O:$O,$F904)/P929)</f>
        <v>42193.724799292162</v>
      </c>
      <c r="Q930" s="237">
        <f>IF(Q929=0,0,SUMIFS(операции!$AF:$AF,операции!$X:$X,"&gt;="&amp;N$8,операции!$X:$X,"&lt;="&amp;N$9,операции!$L:$L,Q$9,операции!$O:$O,$F904)/Q929)</f>
        <v>42298.541307921121</v>
      </c>
      <c r="R930" s="238"/>
      <c r="S930" s="193">
        <f>IF(S929=0,0,SUMIFS(операции!$AF:$AF,операции!$X:$X,"&gt;="&amp;S$8,операции!$X:$X,"&lt;="&amp;S$9,операции!$O:$O,$F904)/S929)</f>
        <v>42272.68137007238</v>
      </c>
      <c r="T930" s="196"/>
      <c r="U930" s="193">
        <f>IF(U929=0,0,SUMIFS(операции!$AF:$AF,операции!$X:$X,"&gt;="&amp;S$8,операции!$X:$X,"&lt;="&amp;S$9,операции!$L:$L,U$9,операции!$O:$O,$F904)/U929)</f>
        <v>42174.330526925754</v>
      </c>
      <c r="V930" s="237">
        <f>IF(V929=0,0,SUMIFS(операции!$AF:$AF,операции!$X:$X,"&gt;="&amp;S$8,операции!$X:$X,"&lt;="&amp;S$9,операции!$L:$L,V$9,операции!$O:$O,$F904)/V929)</f>
        <v>42320.746426563637</v>
      </c>
      <c r="W930" s="238"/>
      <c r="X930" s="193">
        <f>IF(X929=0,0,SUMIFS(операции!$AF:$AF,операции!$X:$X,"&gt;="&amp;X$8,операции!$X:$X,"&lt;="&amp;X$9,операции!$O:$O,$F904)/X929)</f>
        <v>42334.006835254229</v>
      </c>
      <c r="Y930" s="196"/>
      <c r="Z930" s="193">
        <f>IF(Z929=0,0,SUMIFS(операции!$AF:$AF,операции!$X:$X,"&gt;="&amp;X$8,операции!$X:$X,"&lt;="&amp;X$9,операции!$L:$L,Z$9,операции!$O:$O,$F904)/Z929)</f>
        <v>42278.91174983434</v>
      </c>
      <c r="AA930" s="237">
        <f>IF(AA929=0,0,SUMIFS(операции!$AF:$AF,операции!$X:$X,"&gt;="&amp;X$8,операции!$X:$X,"&lt;="&amp;X$9,операции!$L:$L,AA$9,операции!$O:$O,$F904)/AA929)</f>
        <v>42336.303777260233</v>
      </c>
      <c r="AB930" s="265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</row>
    <row r="931" spans="1:42" s="192" customFormat="1" ht="11.25">
      <c r="A931" s="37"/>
      <c r="B931" s="37"/>
      <c r="C931" s="37"/>
      <c r="D931" s="191" t="s">
        <v>308</v>
      </c>
      <c r="E931" s="191"/>
      <c r="F931" s="191" t="str">
        <f t="shared" si="1584"/>
        <v>Детство</v>
      </c>
      <c r="G931" s="191" t="s">
        <v>262</v>
      </c>
      <c r="H931" s="315"/>
      <c r="I931" s="316">
        <f>IF(I929=0,0,(I939*I941+I949*I951)/I929)</f>
        <v>42321.668371817796</v>
      </c>
      <c r="J931" s="317"/>
      <c r="K931" s="316">
        <f t="shared" ref="K931:L931" si="1629">IF(K929=0,0,(K939*K941+K949*K951)/K929)</f>
        <v>42248.152337989748</v>
      </c>
      <c r="L931" s="318">
        <f t="shared" si="1629"/>
        <v>42354.881007461794</v>
      </c>
      <c r="M931" s="274"/>
      <c r="N931" s="193">
        <f>IF(N929=0,0,(N939*N941+N949*N951)/N929)</f>
        <v>42267.227771317186</v>
      </c>
      <c r="O931" s="196"/>
      <c r="P931" s="193">
        <f t="shared" ref="P931:Q931" si="1630">IF(P929=0,0,(P939*P941+P949*P951)/P929)</f>
        <v>42237.962516974665</v>
      </c>
      <c r="Q931" s="237">
        <f t="shared" si="1630"/>
        <v>42323.179173727178</v>
      </c>
      <c r="R931" s="238"/>
      <c r="S931" s="193">
        <f>IF(S929=0,0,(S939*S941+S949*S951)/S929)</f>
        <v>42301.727839918763</v>
      </c>
      <c r="T931" s="196"/>
      <c r="U931" s="193">
        <f t="shared" ref="U931:V931" si="1631">IF(U929=0,0,(U939*U941+U949*U951)/U929)</f>
        <v>42223.139830759639</v>
      </c>
      <c r="V931" s="237">
        <f t="shared" si="1631"/>
        <v>42340.134598609584</v>
      </c>
      <c r="W931" s="238"/>
      <c r="X931" s="193">
        <f>IF(X929=0,0,(X939*X941+X949*X951)/X929)</f>
        <v>42360.400588730976</v>
      </c>
      <c r="Y931" s="196"/>
      <c r="Z931" s="193">
        <f t="shared" ref="Z931:AA931" si="1632">IF(Z929=0,0,(Z939*Z941+Z949*Z951)/Z929)</f>
        <v>42318.158533072565</v>
      </c>
      <c r="AA931" s="237">
        <f t="shared" si="1632"/>
        <v>42362.161681418685</v>
      </c>
      <c r="AB931" s="265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</row>
    <row r="932" spans="1:42" s="93" customFormat="1" ht="15">
      <c r="A932" s="92"/>
      <c r="B932" s="92"/>
      <c r="C932" s="92"/>
      <c r="D932" s="151" t="s">
        <v>278</v>
      </c>
      <c r="E932" s="151"/>
      <c r="F932" s="151" t="str">
        <f t="shared" si="1584"/>
        <v>Детство</v>
      </c>
      <c r="G932" s="151" t="s">
        <v>261</v>
      </c>
      <c r="H932" s="311"/>
      <c r="I932" s="312">
        <f>I924-I929</f>
        <v>105663.53000000014</v>
      </c>
      <c r="J932" s="313">
        <f>I932-K932-L932</f>
        <v>0</v>
      </c>
      <c r="K932" s="312">
        <f t="shared" ref="K932:L932" si="1633">K924-K929</f>
        <v>35900.760000000009</v>
      </c>
      <c r="L932" s="314">
        <f t="shared" si="1633"/>
        <v>69762.770000000135</v>
      </c>
      <c r="M932" s="273"/>
      <c r="N932" s="152">
        <f>N924-N929</f>
        <v>29626.52999999997</v>
      </c>
      <c r="O932" s="170">
        <f>N932-P932-Q932</f>
        <v>-4.3655745685100555E-11</v>
      </c>
      <c r="P932" s="152">
        <f t="shared" ref="P932:Q932" si="1634">P924-P929</f>
        <v>15099.670000000013</v>
      </c>
      <c r="Q932" s="235">
        <f t="shared" si="1634"/>
        <v>14526.86</v>
      </c>
      <c r="R932" s="236"/>
      <c r="S932" s="152">
        <f>S924-S929</f>
        <v>48998.979999999749</v>
      </c>
      <c r="T932" s="170">
        <f>S932-U932-V932</f>
        <v>-2.0372681319713593E-10</v>
      </c>
      <c r="U932" s="152">
        <f t="shared" ref="U932:V932" si="1635">U924-U929</f>
        <v>17073.850000000006</v>
      </c>
      <c r="V932" s="235">
        <f t="shared" si="1635"/>
        <v>31925.129999999946</v>
      </c>
      <c r="W932" s="236"/>
      <c r="X932" s="152">
        <f>X924-X929</f>
        <v>27038.020000000019</v>
      </c>
      <c r="Y932" s="170">
        <f>X932-Z932-AA932</f>
        <v>0</v>
      </c>
      <c r="Z932" s="152">
        <f t="shared" ref="Z932:AA932" si="1636">Z924-Z929</f>
        <v>3727.24</v>
      </c>
      <c r="AA932" s="235">
        <f t="shared" si="1636"/>
        <v>23310.780000000028</v>
      </c>
      <c r="AB932" s="264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</row>
    <row r="933" spans="1:42" s="211" customFormat="1">
      <c r="A933" s="210"/>
      <c r="B933" s="210"/>
      <c r="C933" s="210"/>
      <c r="D933" s="218" t="s">
        <v>277</v>
      </c>
      <c r="E933" s="218"/>
      <c r="F933" s="218" t="str">
        <f t="shared" si="1584"/>
        <v>Детство</v>
      </c>
      <c r="G933" s="218" t="s">
        <v>218</v>
      </c>
      <c r="H933" s="343"/>
      <c r="I933" s="344">
        <f>IF(I924=0,0,(I932/I924))</f>
        <v>9.1560312019077592E-2</v>
      </c>
      <c r="J933" s="345"/>
      <c r="K933" s="344">
        <f t="shared" ref="K933" si="1637">IF(K924=0,0,(K932/K924))</f>
        <v>9.9135030651129427E-2</v>
      </c>
      <c r="L933" s="346">
        <f t="shared" ref="L933" si="1638">IF(L924=0,0,(L932/L924))</f>
        <v>8.8096318689922529E-2</v>
      </c>
      <c r="M933" s="280"/>
      <c r="N933" s="219">
        <f>IF(N924=0,0,(N932/N924))</f>
        <v>8.9785798059817651E-2</v>
      </c>
      <c r="O933" s="220"/>
      <c r="P933" s="219">
        <f t="shared" ref="P933" si="1639">IF(P924=0,0,(P932/P924))</f>
        <v>7.112488106341093E-2</v>
      </c>
      <c r="Q933" s="252">
        <f t="shared" ref="Q933" si="1640">IF(Q924=0,0,(Q932/Q924))</f>
        <v>0.12345318727638926</v>
      </c>
      <c r="R933" s="253"/>
      <c r="S933" s="219">
        <f>IF(S924=0,0,(S932/S924))</f>
        <v>0.1247418680610885</v>
      </c>
      <c r="T933" s="220"/>
      <c r="U933" s="219">
        <f t="shared" ref="U933" si="1641">IF(U924=0,0,(U932/U924))</f>
        <v>0.13140098663198324</v>
      </c>
      <c r="V933" s="252">
        <f t="shared" ref="V933" si="1642">IF(V924=0,0,(V932/V924))</f>
        <v>0.12145020656912626</v>
      </c>
      <c r="W933" s="253"/>
      <c r="X933" s="219">
        <f>IF(X924=0,0,(X932/X924))</f>
        <v>6.2695404164541155E-2</v>
      </c>
      <c r="Y933" s="220"/>
      <c r="Z933" s="219">
        <f t="shared" ref="Z933" si="1643">IF(Z924=0,0,(Z932/Z924))</f>
        <v>0.18725144436071336</v>
      </c>
      <c r="AA933" s="252">
        <f t="shared" ref="AA933" si="1644">IF(AA924=0,0,(AA932/AA924))</f>
        <v>5.6668279223541777E-2</v>
      </c>
      <c r="AB933" s="267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0"/>
    </row>
    <row r="934" spans="1:42" s="93" customFormat="1" ht="15">
      <c r="A934" s="92"/>
      <c r="B934" s="92"/>
      <c r="C934" s="92"/>
      <c r="D934" s="198" t="s">
        <v>220</v>
      </c>
      <c r="E934" s="198"/>
      <c r="F934" s="198" t="str">
        <f t="shared" si="1584"/>
        <v>Детство</v>
      </c>
      <c r="G934" s="198" t="s">
        <v>219</v>
      </c>
      <c r="H934" s="323"/>
      <c r="I934" s="324">
        <f>I928-I930</f>
        <v>41.030381620083062</v>
      </c>
      <c r="J934" s="321">
        <f>I934-SUMIFS(ПОбТЗ!$I:$I,ПОбТЗ!$E:$E,$D934,ПОбТЗ!$F:$F,$F934)</f>
        <v>0</v>
      </c>
      <c r="K934" s="324">
        <f t="shared" ref="K934:L934" si="1645">K928-K930</f>
        <v>120.32905732285144</v>
      </c>
      <c r="L934" s="325">
        <f t="shared" si="1645"/>
        <v>5.2799264318746282</v>
      </c>
      <c r="M934" s="276"/>
      <c r="N934" s="199">
        <f>N928-N930</f>
        <v>72.189852650422836</v>
      </c>
      <c r="O934" s="173">
        <f>N934-SUMIFS(ПОбТЗ_3!$J:$J,ПОбТЗ_3!$D:$D,$D934,ПОбТЗ_3!$E:$E,$F934)</f>
        <v>0</v>
      </c>
      <c r="P934" s="199">
        <f t="shared" ref="P934:Q934" si="1646">P928-P930</f>
        <v>108.35108460688207</v>
      </c>
      <c r="Q934" s="241">
        <f t="shared" si="1646"/>
        <v>3.0719952716826811</v>
      </c>
      <c r="R934" s="242"/>
      <c r="S934" s="199">
        <f>S928-S930</f>
        <v>52.03139179552818</v>
      </c>
      <c r="T934" s="173">
        <f>S934-SUMIFS(ПОбТЗ_3!$K:$K,ПОбТЗ_3!$D:$D,$D934,ПОбТЗ_3!$E:$E,$F934)</f>
        <v>0</v>
      </c>
      <c r="U934" s="199">
        <f t="shared" ref="U934:V934" si="1647">U928-U930</f>
        <v>148.40456777398504</v>
      </c>
      <c r="V934" s="241">
        <f t="shared" si="1647"/>
        <v>4.9439137618537643</v>
      </c>
      <c r="W934" s="242"/>
      <c r="X934" s="199">
        <f>X928-X930</f>
        <v>9.0537523263483308</v>
      </c>
      <c r="Y934" s="173">
        <f>X934-SUMIFS(ПОбТЗ_3!$L:$L,ПОбТЗ_3!$D:$D,$D934,ПОбТЗ_3!$E:$E,$F934)</f>
        <v>0</v>
      </c>
      <c r="Z934" s="199">
        <f t="shared" ref="Z934:AA934" si="1648">Z928-Z930</f>
        <v>61.010028613287432</v>
      </c>
      <c r="AA934" s="241">
        <f t="shared" si="1648"/>
        <v>6.9086937198226224</v>
      </c>
      <c r="AB934" s="264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</row>
    <row r="935" spans="1:42" s="5" customFormat="1">
      <c r="A935" s="1"/>
      <c r="B935" s="1"/>
      <c r="C935" s="1"/>
      <c r="D935" s="227" t="s">
        <v>309</v>
      </c>
      <c r="E935" s="227"/>
      <c r="F935" s="227" t="str">
        <f t="shared" si="1584"/>
        <v>Детство</v>
      </c>
      <c r="G935" s="227" t="s">
        <v>219</v>
      </c>
      <c r="H935" s="347"/>
      <c r="I935" s="348">
        <f>I931-I930</f>
        <v>37.649100568633003</v>
      </c>
      <c r="J935" s="321"/>
      <c r="K935" s="348">
        <f t="shared" ref="K935:L935" si="1649">K931-K930</f>
        <v>56.912722975932411</v>
      </c>
      <c r="L935" s="349">
        <f t="shared" si="1649"/>
        <v>28.946296039008303</v>
      </c>
      <c r="M935" s="281"/>
      <c r="N935" s="228">
        <f>N931-N930</f>
        <v>37.506702032515022</v>
      </c>
      <c r="O935" s="173"/>
      <c r="P935" s="228">
        <f t="shared" ref="P935:Q935" si="1650">P931-P930</f>
        <v>44.237717682502989</v>
      </c>
      <c r="Q935" s="254">
        <f t="shared" si="1650"/>
        <v>24.637865806056652</v>
      </c>
      <c r="R935" s="255"/>
      <c r="S935" s="228">
        <f>S931-S930</f>
        <v>29.046469846383843</v>
      </c>
      <c r="T935" s="173"/>
      <c r="U935" s="228">
        <f t="shared" ref="U935:V935" si="1651">U931-U930</f>
        <v>48.809303833884769</v>
      </c>
      <c r="V935" s="254">
        <f t="shared" si="1651"/>
        <v>19.388172045946703</v>
      </c>
      <c r="W935" s="255"/>
      <c r="X935" s="228">
        <f>X931-X930</f>
        <v>26.393753476746497</v>
      </c>
      <c r="Y935" s="173"/>
      <c r="Z935" s="228">
        <f t="shared" ref="Z935:AA935" si="1652">Z931-Z930</f>
        <v>39.246783238224452</v>
      </c>
      <c r="AA935" s="254">
        <f t="shared" si="1652"/>
        <v>25.857904158452584</v>
      </c>
      <c r="AB935" s="266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s="5" customFormat="1">
      <c r="A936" s="1"/>
      <c r="B936" s="1"/>
      <c r="C936" s="1"/>
      <c r="D936" s="225" t="s">
        <v>310</v>
      </c>
      <c r="E936" s="225"/>
      <c r="F936" s="225" t="str">
        <f t="shared" si="1584"/>
        <v>Детство</v>
      </c>
      <c r="G936" s="225" t="s">
        <v>219</v>
      </c>
      <c r="H936" s="350"/>
      <c r="I936" s="351">
        <f>I934-I935</f>
        <v>3.3812810514500597</v>
      </c>
      <c r="J936" s="352"/>
      <c r="K936" s="351">
        <f t="shared" ref="K936" si="1653">K934-K935</f>
        <v>63.416334346919029</v>
      </c>
      <c r="L936" s="353">
        <f t="shared" ref="L936" si="1654">L934-L935</f>
        <v>-23.666369607133674</v>
      </c>
      <c r="M936" s="282"/>
      <c r="N936" s="226">
        <f>N934-N935</f>
        <v>34.683150617907813</v>
      </c>
      <c r="O936" s="181"/>
      <c r="P936" s="226">
        <f t="shared" ref="P936" si="1655">P934-P935</f>
        <v>64.113366924379079</v>
      </c>
      <c r="Q936" s="256">
        <f t="shared" ref="Q936" si="1656">Q934-Q935</f>
        <v>-21.565870534373971</v>
      </c>
      <c r="R936" s="257"/>
      <c r="S936" s="226">
        <f>S934-S935</f>
        <v>22.984921949144336</v>
      </c>
      <c r="T936" s="181"/>
      <c r="U936" s="226">
        <f t="shared" ref="U936" si="1657">U934-U935</f>
        <v>99.595263940100267</v>
      </c>
      <c r="V936" s="256">
        <f t="shared" ref="V936" si="1658">V934-V935</f>
        <v>-14.444258284092939</v>
      </c>
      <c r="W936" s="257"/>
      <c r="X936" s="226">
        <f>X934-X935</f>
        <v>-17.340001150398166</v>
      </c>
      <c r="Y936" s="181"/>
      <c r="Z936" s="226">
        <f t="shared" ref="Z936" si="1659">Z934-Z935</f>
        <v>21.763245375062979</v>
      </c>
      <c r="AA936" s="256">
        <f t="shared" ref="AA936" si="1660">AA934-AA935</f>
        <v>-18.949210438629962</v>
      </c>
      <c r="AB936" s="266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s="5" customFormat="1">
      <c r="A937" s="1"/>
      <c r="B937" s="1"/>
      <c r="C937" s="1"/>
      <c r="D937" s="223"/>
      <c r="E937" s="223" t="s">
        <v>293</v>
      </c>
      <c r="F937" s="223" t="str">
        <f t="shared" si="1584"/>
        <v>Детство</v>
      </c>
      <c r="G937" s="223" t="s">
        <v>261</v>
      </c>
      <c r="H937" s="354"/>
      <c r="I937" s="355">
        <f>SUMIFS(операции!$Z:$Z,операции!$X:$X,"&gt;="&amp;I$8,операции!$X:$X,"&lt;="&amp;I$9,операции!$AB:$AB,"&lt;&gt;"&amp;"",операции!$O:$O,$F904)</f>
        <v>753759</v>
      </c>
      <c r="J937" s="341">
        <f>I937-K937-L937</f>
        <v>0</v>
      </c>
      <c r="K937" s="355">
        <f>SUMIFS(операции!$Z:$Z,операции!$X:$X,"&gt;="&amp;I$8,операции!$X:$X,"&lt;="&amp;I$9,операции!$AB:$AB,"&lt;&gt;"&amp;"",операции!$L:$L,K$9,операции!$O:$O,$F904)</f>
        <v>277508</v>
      </c>
      <c r="L937" s="356">
        <f>SUMIFS(операции!$Z:$Z,операции!$X:$X,"&gt;="&amp;I$8,операции!$X:$X,"&lt;="&amp;I$9,операции!$AB:$AB,"&lt;&gt;"&amp;"",операции!$L:$L,L$9,операции!$O:$O,$F904)</f>
        <v>476251</v>
      </c>
      <c r="M937" s="283"/>
      <c r="N937" s="224">
        <f>SUMIFS(операции!$Z:$Z,операции!$X:$X,"&gt;="&amp;N$8,операции!$X:$X,"&lt;="&amp;N$9,операции!$AB:$AB,"&lt;&gt;"&amp;"",операции!$O:$O,$F904)</f>
        <v>256368</v>
      </c>
      <c r="O937" s="216">
        <f>N937-P937-Q937</f>
        <v>0</v>
      </c>
      <c r="P937" s="224">
        <f>SUMIFS(операции!$Z:$Z,операции!$X:$X,"&gt;="&amp;N$8,операции!$X:$X,"&lt;="&amp;N$9,операции!$AB:$AB,"&lt;&gt;"&amp;"",операции!$L:$L,P$9,операции!$O:$O,$F904)</f>
        <v>159733</v>
      </c>
      <c r="Q937" s="258">
        <f>SUMIFS(операции!$Z:$Z,операции!$X:$X,"&gt;="&amp;N$8,операции!$X:$X,"&lt;="&amp;N$9,операции!$AB:$AB,"&lt;&gt;"&amp;"",операции!$L:$L,Q$9,операции!$O:$O,$F904)</f>
        <v>96635</v>
      </c>
      <c r="R937" s="259"/>
      <c r="S937" s="224">
        <f>SUMIFS(операции!$Z:$Z,операции!$X:$X,"&gt;="&amp;S$8,операции!$X:$X,"&lt;="&amp;S$9,операции!$AB:$AB,"&lt;&gt;"&amp;"",операции!$O:$O,$F904)</f>
        <v>265051</v>
      </c>
      <c r="T937" s="216">
        <f>S937-U937-V937</f>
        <v>0</v>
      </c>
      <c r="U937" s="224">
        <f>SUMIFS(операции!$Z:$Z,операции!$X:$X,"&gt;="&amp;S$8,операции!$X:$X,"&lt;="&amp;S$9,операции!$AB:$AB,"&lt;&gt;"&amp;"",операции!$L:$L,U$9,операции!$O:$O,$F904)</f>
        <v>101464</v>
      </c>
      <c r="V937" s="258">
        <f>SUMIFS(операции!$Z:$Z,операции!$X:$X,"&gt;="&amp;S$8,операции!$X:$X,"&lt;="&amp;S$9,операции!$AB:$AB,"&lt;&gt;"&amp;"",операции!$L:$L,V$9,операции!$O:$O,$F904)</f>
        <v>163587</v>
      </c>
      <c r="W937" s="259"/>
      <c r="X937" s="224">
        <f>SUMIFS(операции!$Z:$Z,операции!$X:$X,"&gt;="&amp;X$8,операции!$X:$X,"&lt;="&amp;X$9,операции!$AB:$AB,"&lt;&gt;"&amp;"",операции!$O:$O,$F904)</f>
        <v>232340</v>
      </c>
      <c r="Y937" s="216">
        <f>X937-Z937-AA937</f>
        <v>0</v>
      </c>
      <c r="Z937" s="224">
        <f>SUMIFS(операции!$Z:$Z,операции!$X:$X,"&gt;="&amp;X$8,операции!$X:$X,"&lt;="&amp;X$9,операции!$AB:$AB,"&lt;&gt;"&amp;"",операции!$L:$L,Z$9,операции!$O:$O,$F904)</f>
        <v>16311</v>
      </c>
      <c r="AA937" s="258">
        <f>SUMIFS(операции!$Z:$Z,операции!$X:$X,"&gt;="&amp;X$8,операции!$X:$X,"&lt;="&amp;X$9,операции!$AB:$AB,"&lt;&gt;"&amp;"",операции!$L:$L,AA$9,операции!$O:$O,$F904)</f>
        <v>216029</v>
      </c>
      <c r="AB937" s="266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s="192" customFormat="1" ht="11.25">
      <c r="A938" s="37"/>
      <c r="B938" s="37"/>
      <c r="C938" s="37"/>
      <c r="D938" s="191"/>
      <c r="E938" s="191" t="s">
        <v>295</v>
      </c>
      <c r="F938" s="191" t="str">
        <f t="shared" si="1584"/>
        <v>Детство</v>
      </c>
      <c r="G938" s="191" t="s">
        <v>262</v>
      </c>
      <c r="H938" s="315"/>
      <c r="I938" s="316">
        <f>IF(I937=0,0,SUMIFS(операции!$AG:$AG,операции!$X:$X,"&gt;="&amp;I$8,операции!$X:$X,"&lt;="&amp;I$9,операции!$AB:$AB,"&lt;&gt;"&amp;"",операции!$O:$O,$F904)/I937)</f>
        <v>42322.106008684474</v>
      </c>
      <c r="J938" s="317"/>
      <c r="K938" s="316">
        <f>IF(K937=0,0,SUMIFS(операции!$AG:$AG,операции!$X:$X,"&gt;="&amp;I$8,операции!$X:$X,"&lt;="&amp;I$9,операции!$AB:$AB,"&lt;&gt;"&amp;"",операции!$L:$L,K$9,операции!$O:$O,$F904)/K937)</f>
        <v>42311.864414719574</v>
      </c>
      <c r="L938" s="318">
        <f>IF(L937=0,0,SUMIFS(операции!$AG:$AG,операции!$X:$X,"&gt;="&amp;I$8,операции!$X:$X,"&lt;="&amp;I$9,операции!$AB:$AB,"&lt;&gt;"&amp;"",операции!$L:$L,L$9,операции!$O:$O,$F904)/L937)</f>
        <v>42328.073711131314</v>
      </c>
      <c r="M938" s="274"/>
      <c r="N938" s="193">
        <f>IF(N937=0,0,SUMIFS(операции!$AG:$AG,операции!$X:$X,"&gt;="&amp;N$8,операции!$X:$X,"&lt;="&amp;N$9,операции!$AB:$AB,"&lt;&gt;"&amp;"",операции!$O:$O,$F904)/N937)</f>
        <v>42301.539494008612</v>
      </c>
      <c r="O938" s="196"/>
      <c r="P938" s="193">
        <f>IF(P937=0,0,SUMIFS(операции!$AG:$AG,операции!$X:$X,"&gt;="&amp;N$8,операции!$X:$X,"&lt;="&amp;N$9,операции!$AB:$AB,"&lt;&gt;"&amp;"",операции!$L:$L,P$9,операции!$O:$O,$F904)/P937)</f>
        <v>42301.793812174066</v>
      </c>
      <c r="Q938" s="237">
        <f>IF(Q937=0,0,SUMIFS(операции!$AG:$AG,операции!$X:$X,"&gt;="&amp;N$8,операции!$X:$X,"&lt;="&amp;N$9,операции!$AB:$AB,"&lt;&gt;"&amp;"",операции!$L:$L,Q$9,операции!$O:$O,$F904)/Q937)</f>
        <v>42301.119118331866</v>
      </c>
      <c r="R938" s="238"/>
      <c r="S938" s="193">
        <f>IF(S937=0,0,SUMIFS(операции!$AG:$AG,операции!$X:$X,"&gt;="&amp;S$8,операции!$X:$X,"&lt;="&amp;S$9,операции!$AB:$AB,"&lt;&gt;"&amp;"",операции!$O:$O,$F904)/S937)</f>
        <v>42323.283300195057</v>
      </c>
      <c r="T938" s="196"/>
      <c r="U938" s="193">
        <f>IF(U937=0,0,SUMIFS(операции!$AG:$AG,операции!$X:$X,"&gt;="&amp;S$8,операции!$X:$X,"&lt;="&amp;S$9,операции!$AB:$AB,"&lt;&gt;"&amp;"",операции!$L:$L,U$9,операции!$O:$O,$F904)/U937)</f>
        <v>42323.175333123079</v>
      </c>
      <c r="V938" s="237">
        <f>IF(V937=0,0,SUMIFS(операции!$AG:$AG,операции!$X:$X,"&gt;="&amp;S$8,операции!$X:$X,"&lt;="&amp;S$9,операции!$AB:$AB,"&lt;&gt;"&amp;"",операции!$L:$L,V$9,операции!$O:$O,$F904)/V937)</f>
        <v>42323.350266219197</v>
      </c>
      <c r="W938" s="238"/>
      <c r="X938" s="193">
        <f>IF(X937=0,0,SUMIFS(операции!$AG:$AG,операции!$X:$X,"&gt;="&amp;X$8,операции!$X:$X,"&lt;="&amp;X$9,операции!$AB:$AB,"&lt;&gt;"&amp;"",операции!$O:$O,$F904)/X937)</f>
        <v>42343.456417319445</v>
      </c>
      <c r="Y938" s="196"/>
      <c r="Z938" s="193">
        <f>IF(Z937=0,0,SUMIFS(операции!$AG:$AG,операции!$X:$X,"&gt;="&amp;X$8,операции!$X:$X,"&lt;="&amp;X$9,операции!$AB:$AB,"&lt;&gt;"&amp;"",операции!$L:$L,Z$9,операции!$O:$O,$F904)/Z937)</f>
        <v>42340.124885046898</v>
      </c>
      <c r="AA938" s="237">
        <f>IF(AA937=0,0,SUMIFS(операции!$AG:$AG,операции!$X:$X,"&gt;="&amp;X$8,операции!$X:$X,"&lt;="&amp;X$9,операции!$AB:$AB,"&lt;&gt;"&amp;"",операции!$L:$L,AA$9,операции!$O:$O,$F904)/AA937)</f>
        <v>42343.7079605053</v>
      </c>
      <c r="AB938" s="265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</row>
    <row r="939" spans="1:42" s="93" customFormat="1" ht="15">
      <c r="A939" s="92"/>
      <c r="B939" s="92"/>
      <c r="C939" s="92"/>
      <c r="D939" s="151"/>
      <c r="E939" s="151" t="s">
        <v>292</v>
      </c>
      <c r="F939" s="151" t="str">
        <f t="shared" si="1584"/>
        <v>Детство</v>
      </c>
      <c r="G939" s="151" t="s">
        <v>261</v>
      </c>
      <c r="H939" s="311"/>
      <c r="I939" s="312">
        <f>SUMIFS(операции!$V:$V,операции!$X:$X,"&gt;="&amp;I$8,операции!$X:$X,"&lt;="&amp;I$9,операции!$AB:$AB,"&lt;&gt;"&amp;"",операции!$O:$O,$F904)</f>
        <v>681528.91000000015</v>
      </c>
      <c r="J939" s="313">
        <f>I939-K939-L939</f>
        <v>0</v>
      </c>
      <c r="K939" s="312">
        <f>SUMIFS(операции!$V:$V,операции!$X:$X,"&gt;="&amp;I$8,операции!$X:$X,"&lt;="&amp;I$9,операции!$AB:$AB,"&lt;&gt;"&amp;"",операции!$L:$L,K$9,операции!$O:$O,$F904)</f>
        <v>250801.72000000009</v>
      </c>
      <c r="L939" s="314">
        <f>SUMIFS(операции!$V:$V,операции!$X:$X,"&gt;="&amp;I$8,операции!$X:$X,"&lt;="&amp;I$9,операции!$AB:$AB,"&lt;&gt;"&amp;"",операции!$L:$L,L$9,операции!$O:$O,$F904)</f>
        <v>430727.18999999989</v>
      </c>
      <c r="M939" s="273"/>
      <c r="N939" s="152">
        <f>SUMIFS(операции!$V:$V,операции!$X:$X,"&gt;="&amp;N$8,операции!$X:$X,"&lt;="&amp;N$9,операции!$AB:$AB,"&lt;&gt;"&amp;"",операции!$O:$O,$F904)</f>
        <v>233037.82</v>
      </c>
      <c r="O939" s="170">
        <f>N939-P939-Q939</f>
        <v>0</v>
      </c>
      <c r="P939" s="152">
        <f>SUMIFS(операции!$V:$V,операции!$X:$X,"&gt;="&amp;N$8,операции!$X:$X,"&lt;="&amp;N$9,операции!$AB:$AB,"&lt;&gt;"&amp;"",операции!$L:$L,P$9,операции!$O:$O,$F904)</f>
        <v>148256.68</v>
      </c>
      <c r="Q939" s="235">
        <f>SUMIFS(операции!$V:$V,операции!$X:$X,"&gt;="&amp;N$8,операции!$X:$X,"&lt;="&amp;N$9,операции!$AB:$AB,"&lt;&gt;"&amp;"",операции!$L:$L,Q$9,операции!$O:$O,$F904)</f>
        <v>84781.14</v>
      </c>
      <c r="R939" s="236"/>
      <c r="S939" s="152">
        <f>SUMIFS(операции!$V:$V,операции!$X:$X,"&gt;="&amp;S$8,операции!$X:$X,"&lt;="&amp;S$9,операции!$AB:$AB,"&lt;&gt;"&amp;"",операции!$O:$O,$F904)</f>
        <v>232692.33000000016</v>
      </c>
      <c r="T939" s="170">
        <f>S939-U939-V939</f>
        <v>0</v>
      </c>
      <c r="U939" s="152">
        <f>SUMIFS(операции!$V:$V,операции!$X:$X,"&gt;="&amp;S$8,операции!$X:$X,"&lt;="&amp;S$9,операции!$AB:$AB,"&lt;&gt;"&amp;"",операции!$L:$L,U$9,операции!$O:$O,$F904)</f>
        <v>89817.279999999999</v>
      </c>
      <c r="V939" s="235">
        <f>SUMIFS(операции!$V:$V,операции!$X:$X,"&gt;="&amp;S$8,операции!$X:$X,"&lt;="&amp;S$9,операции!$AB:$AB,"&lt;&gt;"&amp;"",операции!$L:$L,V$9,операции!$O:$O,$F904)</f>
        <v>142875.04999999999</v>
      </c>
      <c r="W939" s="236"/>
      <c r="X939" s="152">
        <f>SUMIFS(операции!$V:$V,операции!$X:$X,"&gt;="&amp;X$8,операции!$X:$X,"&lt;="&amp;X$9,операции!$AB:$AB,"&lt;&gt;"&amp;"",операции!$O:$O,$F904)</f>
        <v>215798.76</v>
      </c>
      <c r="Y939" s="170">
        <f>X939-Z939-AA939</f>
        <v>0</v>
      </c>
      <c r="Z939" s="152">
        <f>SUMIFS(операции!$V:$V,операции!$X:$X,"&gt;="&amp;X$8,операции!$X:$X,"&lt;="&amp;X$9,операции!$AB:$AB,"&lt;&gt;"&amp;"",операции!$L:$L,Z$9,операции!$O:$O,$F904)</f>
        <v>12727.76</v>
      </c>
      <c r="AA939" s="235">
        <f>SUMIFS(операции!$V:$V,операции!$X:$X,"&gt;="&amp;X$8,операции!$X:$X,"&lt;="&amp;X$9,операции!$AB:$AB,"&lt;&gt;"&amp;"",операции!$L:$L,AA$9,операции!$O:$O,$F904)</f>
        <v>203071</v>
      </c>
      <c r="AB939" s="264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</row>
    <row r="940" spans="1:42" s="192" customFormat="1" ht="11.25">
      <c r="A940" s="37"/>
      <c r="B940" s="37"/>
      <c r="C940" s="37"/>
      <c r="D940" s="191"/>
      <c r="E940" s="191" t="s">
        <v>294</v>
      </c>
      <c r="F940" s="191" t="str">
        <f t="shared" si="1584"/>
        <v>Детство</v>
      </c>
      <c r="G940" s="191" t="s">
        <v>262</v>
      </c>
      <c r="H940" s="315"/>
      <c r="I940" s="316">
        <f>IF(I939=0,0,SUMIFS(операции!$AF:$AF,операции!$X:$X,"&gt;="&amp;I$8,операции!$X:$X,"&lt;="&amp;I$9,операции!$AB:$AB,"&lt;&gt;"&amp;"",операции!$O:$O,$F904)/I939)</f>
        <v>42272.387745767068</v>
      </c>
      <c r="J940" s="317"/>
      <c r="K940" s="316">
        <f>IF(K939=0,0,SUMIFS(операции!$AF:$AF,операции!$X:$X,"&gt;="&amp;I$8,операции!$X:$X,"&lt;="&amp;I$9,операции!$AB:$AB,"&lt;&gt;"&amp;"",операции!$L:$L,K$9,операции!$O:$O,$F904)/K939)</f>
        <v>42185.730427087969</v>
      </c>
      <c r="L940" s="318">
        <f>IF(L939=0,0,SUMIFS(операции!$AF:$AF,операции!$X:$X,"&gt;="&amp;I$8,операции!$X:$X,"&lt;="&amp;I$9,операции!$AB:$AB,"&lt;&gt;"&amp;"",операции!$L:$L,L$9,операции!$O:$O,$F904)/L939)</f>
        <v>42322.846145143536</v>
      </c>
      <c r="M940" s="274"/>
      <c r="N940" s="193">
        <f>IF(N939=0,0,SUMIFS(операции!$AF:$AF,операции!$X:$X,"&gt;="&amp;N$8,операции!$X:$X,"&lt;="&amp;N$9,операции!$AB:$AB,"&lt;&gt;"&amp;"",операции!$O:$O,$F904)/N939)</f>
        <v>42229.775476401206</v>
      </c>
      <c r="O940" s="196"/>
      <c r="P940" s="193">
        <f>IF(P939=0,0,SUMIFS(операции!$AF:$AF,операции!$X:$X,"&gt;="&amp;N$8,операции!$X:$X,"&lt;="&amp;N$9,операции!$AB:$AB,"&lt;&gt;"&amp;"",операции!$L:$L,P$9,операции!$O:$O,$F904)/P939)</f>
        <v>42190.715991009645</v>
      </c>
      <c r="Q940" s="237">
        <f>IF(Q939=0,0,SUMIFS(операции!$AF:$AF,операции!$X:$X,"&gt;="&amp;N$8,операции!$X:$X,"&lt;="&amp;N$9,операции!$AB:$AB,"&lt;&gt;"&amp;"",операции!$L:$L,Q$9,операции!$O:$O,$F904)/Q939)</f>
        <v>42298.07875265654</v>
      </c>
      <c r="R940" s="238"/>
      <c r="S940" s="193">
        <f>IF(S939=0,0,SUMIFS(операции!$AF:$AF,операции!$X:$X,"&gt;="&amp;S$8,операции!$X:$X,"&lt;="&amp;S$9,операции!$AB:$AB,"&lt;&gt;"&amp;"",операции!$O:$O,$F904)/S939)</f>
        <v>42258.94976001139</v>
      </c>
      <c r="T940" s="196"/>
      <c r="U940" s="193">
        <f>IF(U939=0,0,SUMIFS(операции!$AF:$AF,операции!$X:$X,"&gt;="&amp;S$8,операции!$X:$X,"&lt;="&amp;S$9,операции!$AB:$AB,"&lt;&gt;"&amp;"",операции!$L:$L,U$9,операции!$O:$O,$F904)/U939)</f>
        <v>42164.760874188127</v>
      </c>
      <c r="V940" s="237">
        <f>IF(V939=0,0,SUMIFS(операции!$AF:$AF,операции!$X:$X,"&gt;="&amp;S$8,операции!$X:$X,"&lt;="&amp;S$9,операции!$AB:$AB,"&lt;&gt;"&amp;"",операции!$L:$L,V$9,операции!$O:$O,$F904)/V939)</f>
        <v>42318.160864615631</v>
      </c>
      <c r="W940" s="238"/>
      <c r="X940" s="193">
        <f>IF(X939=0,0,SUMIFS(операции!$AF:$AF,операции!$X:$X,"&gt;="&amp;X$8,операции!$X:$X,"&lt;="&amp;X$9,операции!$AB:$AB,"&lt;&gt;"&amp;"",операции!$O:$O,$F904)/X939)</f>
        <v>42332.894055322657</v>
      </c>
      <c r="Y940" s="196"/>
      <c r="Z940" s="193">
        <f>IF(Z939=0,0,SUMIFS(операции!$AF:$AF,операции!$X:$X,"&gt;="&amp;X$8,операции!$X:$X,"&lt;="&amp;X$9,операции!$AB:$AB,"&lt;&gt;"&amp;"",операции!$L:$L,Z$9,операции!$O:$O,$F904)/Z939)</f>
        <v>42275.635096042039</v>
      </c>
      <c r="AA940" s="237">
        <f>IF(AA939=0,0,SUMIFS(операции!$AF:$AF,операции!$X:$X,"&gt;="&amp;X$8,операции!$X:$X,"&lt;="&amp;X$9,операции!$AB:$AB,"&lt;&gt;"&amp;"",операции!$L:$L,AA$9,операции!$O:$O,$F904)/AA939)</f>
        <v>42336.482840976802</v>
      </c>
      <c r="AB940" s="265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</row>
    <row r="941" spans="1:42" s="192" customFormat="1" ht="11.25">
      <c r="A941" s="37"/>
      <c r="B941" s="37"/>
      <c r="C941" s="37"/>
      <c r="D941" s="191"/>
      <c r="E941" s="191" t="s">
        <v>299</v>
      </c>
      <c r="F941" s="191" t="str">
        <f t="shared" si="1584"/>
        <v>Детство</v>
      </c>
      <c r="G941" s="191" t="s">
        <v>262</v>
      </c>
      <c r="H941" s="315"/>
      <c r="I941" s="316">
        <f>IF(I939=0,0,SUMIFS(операции!$AH:$AH,операции!$X:$X,"&gt;="&amp;I$8,операции!$X:$X,"&lt;="&amp;I$9,операции!$AB:$AB,"&lt;&gt;"&amp;"",операции!$O:$O,$F904)/I939)</f>
        <v>42296.191662903926</v>
      </c>
      <c r="J941" s="317"/>
      <c r="K941" s="316">
        <f>IF(K939=0,0,SUMIFS(операции!$AH:$AH,операции!$X:$X,"&gt;="&amp;I$8,операции!$X:$X,"&lt;="&amp;I$9,операции!$AB:$AB,"&lt;&gt;"&amp;"",операции!$L:$L,K$9,операции!$O:$O,$F904)/K939)</f>
        <v>42211.803113910042</v>
      </c>
      <c r="L941" s="318">
        <f>IF(L939=0,0,SUMIFS(операции!$AH:$AH,операции!$X:$X,"&gt;="&amp;I$8,операции!$X:$X,"&lt;="&amp;I$9,операции!$AB:$AB,"&lt;&gt;"&amp;"",операции!$L:$L,L$9,операции!$O:$O,$F904)/L939)</f>
        <v>42345.329014172537</v>
      </c>
      <c r="M941" s="274"/>
      <c r="N941" s="193">
        <f>IF(N939=0,0,SUMIFS(операции!$AH:$AH,операции!$X:$X,"&gt;="&amp;N$8,операции!$X:$X,"&lt;="&amp;N$9,операции!$AB:$AB,"&lt;&gt;"&amp;"",операции!$O:$O,$F904)/N939)</f>
        <v>42255.452169480464</v>
      </c>
      <c r="O941" s="196"/>
      <c r="P941" s="193">
        <f>IF(P939=0,0,SUMIFS(операции!$AH:$AH,операции!$X:$X,"&gt;="&amp;N$8,операции!$X:$X,"&lt;="&amp;N$9,операции!$AB:$AB,"&lt;&gt;"&amp;"",операции!$L:$L,P$9,операции!$O:$O,$F904)/P939)</f>
        <v>42214.842142357433</v>
      </c>
      <c r="Q941" s="237">
        <f>IF(Q939=0,0,SUMIFS(операции!$AH:$AH,операции!$X:$X,"&gt;="&amp;N$8,операции!$X:$X,"&lt;="&amp;N$9,операции!$AB:$AB,"&lt;&gt;"&amp;"",операции!$L:$L,Q$9,операции!$O:$O,$F904)/Q939)</f>
        <v>42326.466876241582</v>
      </c>
      <c r="R941" s="238"/>
      <c r="S941" s="193">
        <f>IF(S939=0,0,SUMIFS(операции!$AH:$AH,операции!$X:$X,"&gt;="&amp;S$8,операции!$X:$X,"&lt;="&amp;S$9,операции!$AB:$AB,"&lt;&gt;"&amp;"",операции!$O:$O,$F904)/S939)</f>
        <v>42284.407711633605</v>
      </c>
      <c r="T941" s="196"/>
      <c r="U941" s="193">
        <f>IF(U939=0,0,SUMIFS(операции!$AH:$AH,операции!$X:$X,"&gt;="&amp;S$8,операции!$X:$X,"&lt;="&amp;S$9,операции!$AB:$AB,"&lt;&gt;"&amp;"",операции!$L:$L,U$9,операции!$O:$O,$F904)/U939)</f>
        <v>42193.668302246515</v>
      </c>
      <c r="V941" s="237">
        <f>IF(V939=0,0,SUMIFS(операции!$AH:$AH,операции!$X:$X,"&gt;="&amp;S$8,операции!$X:$X,"&lt;="&amp;S$9,операции!$AB:$AB,"&lt;&gt;"&amp;"",операции!$L:$L,V$9,операции!$O:$O,$F904)/V939)</f>
        <v>42341.45032992115</v>
      </c>
      <c r="W941" s="238"/>
      <c r="X941" s="193">
        <f>IF(X939=0,0,SUMIFS(операции!$AH:$AH,операции!$X:$X,"&gt;="&amp;X$8,операции!$X:$X,"&lt;="&amp;X$9,операции!$AB:$AB,"&lt;&gt;"&amp;"",операции!$O:$O,$F904)/X939)</f>
        <v>42352.892071251932</v>
      </c>
      <c r="Y941" s="196"/>
      <c r="Z941" s="193">
        <f>IF(Z939=0,0,SUMIFS(операции!$AH:$AH,операции!$X:$X,"&gt;="&amp;X$8,операции!$X:$X,"&lt;="&amp;X$9,операции!$AB:$AB,"&lt;&gt;"&amp;"",операции!$L:$L,Z$9,операции!$O:$O,$F904)/Z939)</f>
        <v>42304.377391622722</v>
      </c>
      <c r="AA941" s="237">
        <f>IF(AA939=0,0,SUMIFS(операции!$AH:$AH,операции!$X:$X,"&gt;="&amp;X$8,операции!$X:$X,"&lt;="&amp;X$9,операции!$AB:$AB,"&lt;&gt;"&amp;"",операции!$L:$L,AA$9,операции!$O:$O,$F904)/AA939)</f>
        <v>42355.932796903544</v>
      </c>
      <c r="AB941" s="265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</row>
    <row r="942" spans="1:42" s="5" customFormat="1">
      <c r="A942" s="1"/>
      <c r="B942" s="1"/>
      <c r="C942" s="1"/>
      <c r="D942" s="168"/>
      <c r="E942" s="168" t="s">
        <v>296</v>
      </c>
      <c r="F942" s="168" t="str">
        <f t="shared" si="1584"/>
        <v>Детство</v>
      </c>
      <c r="G942" s="168" t="s">
        <v>261</v>
      </c>
      <c r="H942" s="326"/>
      <c r="I942" s="327">
        <f>I937-I939</f>
        <v>72230.089999999851</v>
      </c>
      <c r="J942" s="313">
        <f>I942-K942-L942</f>
        <v>-1.7462298274040222E-10</v>
      </c>
      <c r="K942" s="327">
        <f t="shared" ref="K942:L942" si="1661">K937-K939</f>
        <v>26706.279999999912</v>
      </c>
      <c r="L942" s="328">
        <f t="shared" si="1661"/>
        <v>45523.810000000114</v>
      </c>
      <c r="M942" s="277"/>
      <c r="N942" s="169">
        <f>N937-N939</f>
        <v>23330.179999999993</v>
      </c>
      <c r="O942" s="170">
        <f>N942-P942-Q942</f>
        <v>-1.4551915228366852E-11</v>
      </c>
      <c r="P942" s="169">
        <f t="shared" ref="P942:Q942" si="1662">P937-P939</f>
        <v>11476.320000000007</v>
      </c>
      <c r="Q942" s="243">
        <f t="shared" si="1662"/>
        <v>11853.86</v>
      </c>
      <c r="R942" s="244"/>
      <c r="S942" s="169">
        <f>S937-S939</f>
        <v>32358.669999999838</v>
      </c>
      <c r="T942" s="170">
        <f>S942-U942-V942</f>
        <v>-1.7462298274040222E-10</v>
      </c>
      <c r="U942" s="169">
        <f t="shared" ref="U942:V942" si="1663">U937-U939</f>
        <v>11646.720000000001</v>
      </c>
      <c r="V942" s="243">
        <f t="shared" si="1663"/>
        <v>20711.950000000012</v>
      </c>
      <c r="W942" s="244"/>
      <c r="X942" s="169">
        <f>X937-X939</f>
        <v>16541.239999999991</v>
      </c>
      <c r="Y942" s="170">
        <f>X942-Z942-AA942</f>
        <v>0</v>
      </c>
      <c r="Z942" s="169">
        <f t="shared" ref="Z942:AA942" si="1664">Z937-Z939</f>
        <v>3583.24</v>
      </c>
      <c r="AA942" s="243">
        <f t="shared" si="1664"/>
        <v>12958</v>
      </c>
      <c r="AB942" s="266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s="211" customFormat="1">
      <c r="A943" s="210"/>
      <c r="B943" s="210"/>
      <c r="C943" s="210"/>
      <c r="D943" s="218"/>
      <c r="E943" s="218" t="s">
        <v>297</v>
      </c>
      <c r="F943" s="218" t="str">
        <f t="shared" si="1584"/>
        <v>Детство</v>
      </c>
      <c r="G943" s="218" t="s">
        <v>218</v>
      </c>
      <c r="H943" s="343"/>
      <c r="I943" s="344">
        <f>IF(I937=0,0,(I942/I937))</f>
        <v>9.5826504227478349E-2</v>
      </c>
      <c r="J943" s="345"/>
      <c r="K943" s="344">
        <f t="shared" ref="K943" si="1665">IF(K937=0,0,(K942/K937))</f>
        <v>9.6236072473586023E-2</v>
      </c>
      <c r="L943" s="346">
        <f t="shared" ref="L943" si="1666">IF(L937=0,0,(L942/L937))</f>
        <v>9.5587851784038488E-2</v>
      </c>
      <c r="M943" s="280"/>
      <c r="N943" s="219">
        <f>IF(N937=0,0,(N942/N937))</f>
        <v>9.1002699244835519E-2</v>
      </c>
      <c r="O943" s="220"/>
      <c r="P943" s="219">
        <f t="shared" ref="P943" si="1667">IF(P937=0,0,(P942/P937))</f>
        <v>7.1846894505205608E-2</v>
      </c>
      <c r="Q943" s="252">
        <f t="shared" ref="Q943" si="1668">IF(Q937=0,0,(Q942/Q937))</f>
        <v>0.12266632172608269</v>
      </c>
      <c r="R943" s="253"/>
      <c r="S943" s="219">
        <f>IF(S937=0,0,(S942/S937))</f>
        <v>0.12208469313452822</v>
      </c>
      <c r="T943" s="220"/>
      <c r="U943" s="219">
        <f t="shared" ref="U943" si="1669">IF(U937=0,0,(U942/U937))</f>
        <v>0.11478672238429395</v>
      </c>
      <c r="V943" s="252">
        <f t="shared" ref="V943" si="1670">IF(V937=0,0,(V942/V937))</f>
        <v>0.12661122216313039</v>
      </c>
      <c r="W943" s="253"/>
      <c r="X943" s="219">
        <f>IF(X937=0,0,(X942/X937))</f>
        <v>7.1194112077128308E-2</v>
      </c>
      <c r="Y943" s="220"/>
      <c r="Z943" s="219">
        <f t="shared" ref="Z943" si="1671">IF(Z937=0,0,(Z942/Z937))</f>
        <v>0.21968242290478818</v>
      </c>
      <c r="AA943" s="252">
        <f t="shared" ref="AA943" si="1672">IF(AA937=0,0,(AA942/AA937))</f>
        <v>5.9982687509547328E-2</v>
      </c>
      <c r="AB943" s="267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</row>
    <row r="944" spans="1:42" s="5" customFormat="1">
      <c r="A944" s="1"/>
      <c r="B944" s="1"/>
      <c r="C944" s="1"/>
      <c r="D944" s="227"/>
      <c r="E944" s="227" t="s">
        <v>298</v>
      </c>
      <c r="F944" s="227" t="str">
        <f t="shared" si="1584"/>
        <v>Детство</v>
      </c>
      <c r="G944" s="227" t="s">
        <v>219</v>
      </c>
      <c r="H944" s="347"/>
      <c r="I944" s="348">
        <f>I938-I940</f>
        <v>49.718262917405809</v>
      </c>
      <c r="J944" s="321"/>
      <c r="K944" s="348">
        <f t="shared" ref="K944:L944" si="1673">K938-K940</f>
        <v>126.13398763160512</v>
      </c>
      <c r="L944" s="349">
        <f t="shared" si="1673"/>
        <v>5.2275659877777798</v>
      </c>
      <c r="M944" s="281"/>
      <c r="N944" s="228">
        <f>N938-N940</f>
        <v>71.764017607405549</v>
      </c>
      <c r="O944" s="173"/>
      <c r="P944" s="228">
        <f t="shared" ref="P944:Q944" si="1674">P938-P940</f>
        <v>111.07782116442104</v>
      </c>
      <c r="Q944" s="254">
        <f t="shared" si="1674"/>
        <v>3.0403656753260293</v>
      </c>
      <c r="R944" s="255"/>
      <c r="S944" s="228">
        <f>S938-S940</f>
        <v>64.333540183666628</v>
      </c>
      <c r="T944" s="173"/>
      <c r="U944" s="228">
        <f t="shared" ref="U944:V944" si="1675">U938-U940</f>
        <v>158.41445893495256</v>
      </c>
      <c r="V944" s="254">
        <f t="shared" si="1675"/>
        <v>5.1894016035657842</v>
      </c>
      <c r="W944" s="255"/>
      <c r="X944" s="228">
        <f>X938-X940</f>
        <v>10.562361996788241</v>
      </c>
      <c r="Y944" s="173"/>
      <c r="Z944" s="228">
        <f t="shared" ref="Z944:AA944" si="1676">Z938-Z940</f>
        <v>64.489789004859631</v>
      </c>
      <c r="AA944" s="254">
        <f t="shared" si="1676"/>
        <v>7.225119528498908</v>
      </c>
      <c r="AB944" s="266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s="5" customFormat="1">
      <c r="A945" s="1"/>
      <c r="B945" s="1"/>
      <c r="C945" s="1"/>
      <c r="D945" s="227"/>
      <c r="E945" s="227" t="s">
        <v>300</v>
      </c>
      <c r="F945" s="227" t="str">
        <f t="shared" si="1584"/>
        <v>Детство</v>
      </c>
      <c r="G945" s="227" t="s">
        <v>219</v>
      </c>
      <c r="H945" s="347"/>
      <c r="I945" s="348">
        <f>I941-I940</f>
        <v>23.803917136858217</v>
      </c>
      <c r="J945" s="321"/>
      <c r="K945" s="348">
        <f t="shared" ref="K945:L945" si="1677">K941-K940</f>
        <v>26.072686822073592</v>
      </c>
      <c r="L945" s="349">
        <f t="shared" si="1677"/>
        <v>22.482869029001449</v>
      </c>
      <c r="M945" s="281"/>
      <c r="N945" s="228">
        <f>N941-N940</f>
        <v>25.676693079258257</v>
      </c>
      <c r="O945" s="173"/>
      <c r="P945" s="228">
        <f t="shared" ref="P945:Q945" si="1678">P941-P940</f>
        <v>24.126151347787527</v>
      </c>
      <c r="Q945" s="254">
        <f t="shared" si="1678"/>
        <v>28.388123585042194</v>
      </c>
      <c r="R945" s="255"/>
      <c r="S945" s="228">
        <f>S941-S940</f>
        <v>25.45795162221475</v>
      </c>
      <c r="T945" s="173"/>
      <c r="U945" s="228">
        <f t="shared" ref="U945:V945" si="1679">U941-U940</f>
        <v>28.907428058388177</v>
      </c>
      <c r="V945" s="254">
        <f t="shared" si="1679"/>
        <v>23.289465305519116</v>
      </c>
      <c r="W945" s="255"/>
      <c r="X945" s="228">
        <f>X941-X940</f>
        <v>19.998015929275425</v>
      </c>
      <c r="Y945" s="173"/>
      <c r="Z945" s="228">
        <f t="shared" ref="Z945:AA945" si="1680">Z941-Z940</f>
        <v>28.742295580683276</v>
      </c>
      <c r="AA945" s="254">
        <f t="shared" si="1680"/>
        <v>19.449955926742405</v>
      </c>
      <c r="AB945" s="266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s="93" customFormat="1" ht="15">
      <c r="A946" s="92"/>
      <c r="B946" s="92"/>
      <c r="C946" s="92"/>
      <c r="D946" s="221"/>
      <c r="E946" s="221" t="s">
        <v>301</v>
      </c>
      <c r="F946" s="221" t="str">
        <f t="shared" si="1584"/>
        <v>Детство</v>
      </c>
      <c r="G946" s="221" t="s">
        <v>219</v>
      </c>
      <c r="H946" s="357"/>
      <c r="I946" s="358">
        <f>I944-I945</f>
        <v>25.914345780547592</v>
      </c>
      <c r="J946" s="352"/>
      <c r="K946" s="358">
        <f t="shared" ref="K946" si="1681">K944-K945</f>
        <v>100.06130080953153</v>
      </c>
      <c r="L946" s="359">
        <f t="shared" ref="L946" si="1682">L944-L945</f>
        <v>-17.255303041223669</v>
      </c>
      <c r="M946" s="284"/>
      <c r="N946" s="222">
        <f>N944-N945</f>
        <v>46.087324528147292</v>
      </c>
      <c r="O946" s="181"/>
      <c r="P946" s="222">
        <f t="shared" ref="P946" si="1683">P944-P945</f>
        <v>86.951669816633512</v>
      </c>
      <c r="Q946" s="260">
        <f t="shared" ref="Q946" si="1684">Q944-Q945</f>
        <v>-25.347757909716165</v>
      </c>
      <c r="R946" s="261"/>
      <c r="S946" s="222">
        <f>S944-S945</f>
        <v>38.875588561451877</v>
      </c>
      <c r="T946" s="181"/>
      <c r="U946" s="222">
        <f t="shared" ref="U946" si="1685">U944-U945</f>
        <v>129.50703087656439</v>
      </c>
      <c r="V946" s="260">
        <f t="shared" ref="V946" si="1686">V944-V945</f>
        <v>-18.100063701953331</v>
      </c>
      <c r="W946" s="261"/>
      <c r="X946" s="222">
        <f>X944-X945</f>
        <v>-9.4356539324871846</v>
      </c>
      <c r="Y946" s="181"/>
      <c r="Z946" s="222">
        <f t="shared" ref="Z946" si="1687">Z944-Z945</f>
        <v>35.747493424176355</v>
      </c>
      <c r="AA946" s="260">
        <f t="shared" ref="AA946" si="1688">AA944-AA945</f>
        <v>-12.224836398243497</v>
      </c>
      <c r="AB946" s="264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</row>
    <row r="947" spans="1:42" s="5" customFormat="1">
      <c r="A947" s="1"/>
      <c r="B947" s="1"/>
      <c r="C947" s="1"/>
      <c r="D947" s="223"/>
      <c r="E947" s="223" t="s">
        <v>302</v>
      </c>
      <c r="F947" s="223" t="str">
        <f t="shared" si="1584"/>
        <v>Детство</v>
      </c>
      <c r="G947" s="223" t="s">
        <v>261</v>
      </c>
      <c r="H947" s="354"/>
      <c r="I947" s="355">
        <f>SUMIFS(операции!$Z:$Z,операции!$X:$X,"&gt;="&amp;I$8,операции!$X:$X,"&lt;="&amp;I$9,операции!$AB:$AB,"",операции!$O:$O,$F904)</f>
        <v>400273</v>
      </c>
      <c r="J947" s="341">
        <f>I947-K947-L947</f>
        <v>0</v>
      </c>
      <c r="K947" s="355">
        <f>SUMIFS(операции!$Z:$Z,операции!$X:$X,"&gt;="&amp;I$8,операции!$X:$X,"&lt;="&amp;I$9,операции!$AB:$AB,"",операции!$L:$L,K$9,операции!$O:$O,$F904)</f>
        <v>84632</v>
      </c>
      <c r="L947" s="356">
        <f>SUMIFS(операции!$Z:$Z,операции!$X:$X,"&gt;="&amp;I$8,операции!$X:$X,"&lt;="&amp;I$9,операции!$AB:$AB,"",операции!$L:$L,L$9,операции!$O:$O,$F904)</f>
        <v>315641</v>
      </c>
      <c r="M947" s="283"/>
      <c r="N947" s="224">
        <f>SUMIFS(операции!$Z:$Z,операции!$X:$X,"&gt;="&amp;N$8,операции!$X:$X,"&lt;="&amp;N$9,операции!$AB:$AB,"",операции!$O:$O,$F904)</f>
        <v>73601</v>
      </c>
      <c r="O947" s="216">
        <f>N947-P947-Q947</f>
        <v>0</v>
      </c>
      <c r="P947" s="224">
        <f>SUMIFS(операции!$Z:$Z,операции!$X:$X,"&gt;="&amp;N$8,операции!$X:$X,"&lt;="&amp;N$9,операции!$AB:$AB,"",операции!$L:$L,P$9,операции!$O:$O,$F904)</f>
        <v>52565</v>
      </c>
      <c r="Q947" s="258">
        <f>SUMIFS(операции!$Z:$Z,операции!$X:$X,"&gt;="&amp;N$8,операции!$X:$X,"&lt;="&amp;N$9,операции!$AB:$AB,"",операции!$L:$L,Q$9,операции!$O:$O,$F904)</f>
        <v>21036</v>
      </c>
      <c r="R947" s="259"/>
      <c r="S947" s="224">
        <f>SUMIFS(операции!$Z:$Z,операции!$X:$X,"&gt;="&amp;S$8,операции!$X:$X,"&lt;="&amp;S$9,операции!$AB:$AB,"",операции!$O:$O,$F904)</f>
        <v>127752</v>
      </c>
      <c r="T947" s="216">
        <f>S947-U947-V947</f>
        <v>0</v>
      </c>
      <c r="U947" s="224">
        <f>SUMIFS(операции!$Z:$Z,операции!$X:$X,"&gt;="&amp;S$8,операции!$X:$X,"&lt;="&amp;S$9,операции!$AB:$AB,"",операции!$L:$L,U$9,операции!$O:$O,$F904)</f>
        <v>28473</v>
      </c>
      <c r="V947" s="258">
        <f>SUMIFS(операции!$Z:$Z,операции!$X:$X,"&gt;="&amp;S$8,операции!$X:$X,"&lt;="&amp;S$9,операции!$AB:$AB,"",операции!$L:$L,V$9,операции!$O:$O,$F904)</f>
        <v>99279</v>
      </c>
      <c r="W947" s="259"/>
      <c r="X947" s="224">
        <f>SUMIFS(операции!$Z:$Z,операции!$X:$X,"&gt;="&amp;X$8,операции!$X:$X,"&lt;="&amp;X$9,операции!$AB:$AB,"",операции!$O:$O,$F904)</f>
        <v>198920</v>
      </c>
      <c r="Y947" s="216">
        <f>X947-Z947-AA947</f>
        <v>0</v>
      </c>
      <c r="Z947" s="224">
        <f>SUMIFS(операции!$Z:$Z,операции!$X:$X,"&gt;="&amp;X$8,операции!$X:$X,"&lt;="&amp;X$9,операции!$AB:$AB,"",операции!$L:$L,Z$9,операции!$O:$O,$F904)</f>
        <v>3594</v>
      </c>
      <c r="AA947" s="258">
        <f>SUMIFS(операции!$Z:$Z,операции!$X:$X,"&gt;="&amp;X$8,операции!$X:$X,"&lt;="&amp;X$9,операции!$AB:$AB,"",операции!$L:$L,AA$9,операции!$O:$O,$F904)</f>
        <v>195326</v>
      </c>
      <c r="AB947" s="266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s="192" customFormat="1" ht="11.25">
      <c r="A948" s="37"/>
      <c r="B948" s="37"/>
      <c r="C948" s="37"/>
      <c r="D948" s="191"/>
      <c r="E948" s="191" t="s">
        <v>303</v>
      </c>
      <c r="F948" s="191" t="str">
        <f t="shared" si="1584"/>
        <v>Детство</v>
      </c>
      <c r="G948" s="191" t="s">
        <v>262</v>
      </c>
      <c r="H948" s="315"/>
      <c r="I948" s="316">
        <f>IF(I947=0,0,SUMIFS(операции!$AG:$AG,операции!$X:$X,"&gt;="&amp;I$8,операции!$X:$X,"&lt;="&amp;I$9,операции!$AB:$AB,"",операции!$O:$O,$F904)/I947)</f>
        <v>42330.592865369385</v>
      </c>
      <c r="J948" s="317"/>
      <c r="K948" s="316">
        <f>IF(K947=0,0,SUMIFS(операции!$AG:$AG,операции!$X:$X,"&gt;="&amp;I$8,операции!$X:$X,"&lt;="&amp;I$9,операции!$AB:$AB,"",операции!$L:$L,K$9,операции!$O:$O,$F904)/K947)</f>
        <v>42310.59893420928</v>
      </c>
      <c r="L948" s="318">
        <f>IF(L947=0,0,SUMIFS(операции!$AG:$AG,операции!$X:$X,"&gt;="&amp;I$8,операции!$X:$X,"&lt;="&amp;I$9,операции!$AB:$AB,"",операции!$L:$L,L$9,операции!$O:$O,$F904)/L947)</f>
        <v>42335.953786105099</v>
      </c>
      <c r="M948" s="274"/>
      <c r="N948" s="193">
        <f>IF(N947=0,0,SUMIFS(операции!$AG:$AG,операции!$X:$X,"&gt;="&amp;N$8,операции!$X:$X,"&lt;="&amp;N$9,операции!$AB:$AB,"",операции!$O:$O,$F904)/N947)</f>
        <v>42303.204684718956</v>
      </c>
      <c r="O948" s="196"/>
      <c r="P948" s="193">
        <f>IF(P947=0,0,SUMIFS(операции!$AG:$AG,операции!$X:$X,"&gt;="&amp;N$8,операции!$X:$X,"&lt;="&amp;N$9,операции!$AB:$AB,"",операции!$L:$L,P$9,операции!$O:$O,$F904)/P947)</f>
        <v>42302.933035289643</v>
      </c>
      <c r="Q948" s="237">
        <f>IF(Q947=0,0,SUMIFS(операции!$AG:$AG,операции!$X:$X,"&gt;="&amp;N$8,операции!$X:$X,"&lt;="&amp;N$9,операции!$AB:$AB,"",операции!$L:$L,Q$9,операции!$O:$O,$F904)/Q947)</f>
        <v>42303.883485453509</v>
      </c>
      <c r="R948" s="238"/>
      <c r="S948" s="193">
        <f>IF(S947=0,0,SUMIFS(операции!$AG:$AG,операции!$X:$X,"&gt;="&amp;S$8,операции!$X:$X,"&lt;="&amp;S$9,операции!$AB:$AB,"",операции!$O:$O,$F904)/S947)</f>
        <v>42327.678509925478</v>
      </c>
      <c r="T948" s="196"/>
      <c r="U948" s="193">
        <f>IF(U947=0,0,SUMIFS(операции!$AG:$AG,операции!$X:$X,"&gt;="&amp;S$8,операции!$X:$X,"&lt;="&amp;S$9,операции!$AB:$AB,"",операции!$L:$L,U$9,операции!$O:$O,$F904)/U947)</f>
        <v>42321.166297896256</v>
      </c>
      <c r="V948" s="237">
        <f>IF(V947=0,0,SUMIFS(операции!$AG:$AG,операции!$X:$X,"&gt;="&amp;S$8,операции!$X:$X,"&lt;="&amp;S$9,операции!$AB:$AB,"",операции!$L:$L,V$9,операции!$O:$O,$F904)/V947)</f>
        <v>42329.546198088217</v>
      </c>
      <c r="W948" s="238"/>
      <c r="X948" s="193">
        <f>IF(X947=0,0,SUMIFS(операции!$AG:$AG,операции!$X:$X,"&gt;="&amp;X$8,операции!$X:$X,"&lt;="&amp;X$9,операции!$AB:$AB,"",операции!$O:$O,$F904)/X947)</f>
        <v>42342.598255580131</v>
      </c>
      <c r="Y948" s="196"/>
      <c r="Z948" s="193">
        <f>IF(Z947=0,0,SUMIFS(операции!$AG:$AG,операции!$X:$X,"&gt;="&amp;X$8,операции!$X:$X,"&lt;="&amp;X$9,операции!$AB:$AB,"",операции!$L:$L,Z$9,операции!$O:$O,$F904)/Z947)</f>
        <v>42339</v>
      </c>
      <c r="AA948" s="237">
        <f>IF(AA947=0,0,SUMIFS(операции!$AG:$AG,операции!$X:$X,"&gt;="&amp;X$8,операции!$X:$X,"&lt;="&amp;X$9,операции!$AB:$AB,"",операции!$L:$L,AA$9,операции!$O:$O,$F904)/AA947)</f>
        <v>42342.664463512279</v>
      </c>
      <c r="AB948" s="265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</row>
    <row r="949" spans="1:42" s="5" customFormat="1">
      <c r="A949" s="1"/>
      <c r="B949" s="1"/>
      <c r="C949" s="1"/>
      <c r="D949" s="168"/>
      <c r="E949" s="168" t="s">
        <v>304</v>
      </c>
      <c r="F949" s="168" t="str">
        <f t="shared" si="1584"/>
        <v>Детство</v>
      </c>
      <c r="G949" s="168" t="s">
        <v>261</v>
      </c>
      <c r="H949" s="326"/>
      <c r="I949" s="327">
        <f>SUMIFS(операции!$V:$V,операции!$X:$X,"&gt;="&amp;I$8,операции!$X:$X,"&lt;="&amp;I$9,операции!$AB:$AB,"",операции!$O:$O,$F904)</f>
        <v>366839.56</v>
      </c>
      <c r="J949" s="313">
        <f>I949-K949-L949</f>
        <v>0</v>
      </c>
      <c r="K949" s="327">
        <f>SUMIFS(операции!$V:$V,операции!$X:$X,"&gt;="&amp;I$8,операции!$X:$X,"&lt;="&amp;I$9,операции!$AB:$AB,"",операции!$L:$L,K$9,операции!$O:$O,$F904)</f>
        <v>75437.52</v>
      </c>
      <c r="L949" s="328">
        <f>SUMIFS(операции!$V:$V,операции!$X:$X,"&gt;="&amp;I$8,операции!$X:$X,"&lt;="&amp;I$9,операции!$AB:$AB,"",операции!$L:$L,L$9,операции!$O:$O,$F904)</f>
        <v>291402.04000000004</v>
      </c>
      <c r="M949" s="277"/>
      <c r="N949" s="169">
        <f>SUMIFS(операции!$V:$V,операции!$X:$X,"&gt;="&amp;N$8,операции!$X:$X,"&lt;="&amp;N$9,операции!$AB:$AB,"",операции!$O:$O,$F904)</f>
        <v>67304.649999999994</v>
      </c>
      <c r="O949" s="170">
        <f>N949-P949-Q949</f>
        <v>0</v>
      </c>
      <c r="P949" s="169">
        <f>SUMIFS(операции!$V:$V,операции!$X:$X,"&gt;="&amp;N$8,операции!$X:$X,"&lt;="&amp;N$9,операции!$AB:$AB,"",операции!$L:$L,P$9,операции!$O:$O,$F904)</f>
        <v>48941.65</v>
      </c>
      <c r="Q949" s="243">
        <f>SUMIFS(операции!$V:$V,операции!$X:$X,"&gt;="&amp;N$8,операции!$X:$X,"&lt;="&amp;N$9,операции!$AB:$AB,"",операции!$L:$L,Q$9,операции!$O:$O,$F904)</f>
        <v>18363</v>
      </c>
      <c r="R949" s="244"/>
      <c r="S949" s="169">
        <f>SUMIFS(операции!$V:$V,операции!$X:$X,"&gt;="&amp;S$8,операции!$X:$X,"&lt;="&amp;S$9,операции!$AB:$AB,"",операции!$O:$O,$F904)</f>
        <v>111111.69</v>
      </c>
      <c r="T949" s="170">
        <f>S949-U949-V949</f>
        <v>0</v>
      </c>
      <c r="U949" s="169">
        <f>SUMIFS(операции!$V:$V,операции!$X:$X,"&gt;="&amp;S$8,операции!$X:$X,"&lt;="&amp;S$9,операции!$AB:$AB,"",операции!$L:$L,U$9,операции!$O:$O,$F904)</f>
        <v>23045.87</v>
      </c>
      <c r="V949" s="243">
        <f>SUMIFS(операции!$V:$V,операции!$X:$X,"&gt;="&amp;S$8,операции!$X:$X,"&lt;="&amp;S$9,операции!$AB:$AB,"",операции!$L:$L,V$9,операции!$O:$O,$F904)</f>
        <v>88065.82</v>
      </c>
      <c r="W949" s="244"/>
      <c r="X949" s="169">
        <f>SUMIFS(операции!$V:$V,операции!$X:$X,"&gt;="&amp;X$8,операции!$X:$X,"&lt;="&amp;X$9,операции!$AB:$AB,"",операции!$O:$O,$F904)</f>
        <v>188423.22</v>
      </c>
      <c r="Y949" s="170">
        <f>X949-Z949-AA949</f>
        <v>0</v>
      </c>
      <c r="Z949" s="169">
        <f>SUMIFS(операции!$V:$V,операции!$X:$X,"&gt;="&amp;X$8,операции!$X:$X,"&lt;="&amp;X$9,операции!$AB:$AB,"",операции!$L:$L,Z$9,операции!$O:$O,$F904)</f>
        <v>3450</v>
      </c>
      <c r="AA949" s="243">
        <f>SUMIFS(операции!$V:$V,операции!$X:$X,"&gt;="&amp;X$8,операции!$X:$X,"&lt;="&amp;X$9,операции!$AB:$AB,"",операции!$L:$L,AA$9,операции!$O:$O,$F904)</f>
        <v>184973.22</v>
      </c>
      <c r="AB949" s="266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s="192" customFormat="1" ht="11.25">
      <c r="A950" s="37"/>
      <c r="B950" s="37"/>
      <c r="C950" s="37"/>
      <c r="D950" s="191"/>
      <c r="E950" s="191" t="s">
        <v>305</v>
      </c>
      <c r="F950" s="191" t="str">
        <f t="shared" si="1584"/>
        <v>Детство</v>
      </c>
      <c r="G950" s="191" t="s">
        <v>262</v>
      </c>
      <c r="H950" s="315"/>
      <c r="I950" s="316">
        <f>IF(I949=0,0,SUMIFS(операции!$AF:$AF,операции!$X:$X,"&gt;="&amp;I$8,операции!$X:$X,"&lt;="&amp;I$9,операции!$AB:$AB,"",операции!$O:$O,$F904)/I949)</f>
        <v>42305.628775097211</v>
      </c>
      <c r="J950" s="317"/>
      <c r="K950" s="316">
        <f>IF(K949=0,0,SUMIFS(операции!$AF:$AF,операции!$X:$X,"&gt;="&amp;I$8,операции!$X:$X,"&lt;="&amp;I$9,операции!$AB:$AB,"",операции!$L:$L,K$9,операции!$O:$O,$F904)/K949)</f>
        <v>42209.555617549464</v>
      </c>
      <c r="L950" s="318">
        <f>IF(L949=0,0,SUMIFS(операции!$AF:$AF,операции!$X:$X,"&gt;="&amp;I$8,операции!$X:$X,"&lt;="&amp;I$9,операции!$AB:$AB,"",операции!$L:$L,L$9,операции!$O:$O,$F904)/L949)</f>
        <v>42330.499983081783</v>
      </c>
      <c r="M950" s="274"/>
      <c r="N950" s="193">
        <f>IF(N949=0,0,SUMIFS(операции!$AF:$AF,операции!$X:$X,"&gt;="&amp;N$8,операции!$X:$X,"&lt;="&amp;N$9,операции!$AB:$AB,"",операции!$O:$O,$F904)/N949)</f>
        <v>42229.532688306084</v>
      </c>
      <c r="O950" s="196"/>
      <c r="P950" s="193">
        <f>IF(P949=0,0,SUMIFS(операции!$AF:$AF,операции!$X:$X,"&gt;="&amp;N$8,операции!$X:$X,"&lt;="&amp;N$9,операции!$AB:$AB,"",операции!$L:$L,P$9,операции!$O:$O,$F904)/P949)</f>
        <v>42202.839243262126</v>
      </c>
      <c r="Q950" s="237">
        <f>IF(Q949=0,0,SUMIFS(операции!$AF:$AF,операции!$X:$X,"&gt;="&amp;N$8,операции!$X:$X,"&lt;="&amp;N$9,операции!$AB:$AB,"",операции!$L:$L,Q$9,операции!$O:$O,$F904)/Q949)</f>
        <v>42300.67690464521</v>
      </c>
      <c r="R950" s="238"/>
      <c r="S950" s="193">
        <f>IF(S949=0,0,SUMIFS(операции!$AF:$AF,операции!$X:$X,"&gt;="&amp;S$8,операции!$X:$X,"&lt;="&amp;S$9,операции!$AB:$AB,"",операции!$O:$O,$F904)/S949)</f>
        <v>42301.43838330602</v>
      </c>
      <c r="T950" s="196"/>
      <c r="U950" s="193">
        <f>IF(U949=0,0,SUMIFS(операции!$AF:$AF,операции!$X:$X,"&gt;="&amp;S$8,операции!$X:$X,"&lt;="&amp;S$9,операции!$AB:$AB,"",операции!$L:$L,U$9,операции!$O:$O,$F904)/U949)</f>
        <v>42211.626588191291</v>
      </c>
      <c r="V950" s="237">
        <f>IF(V949=0,0,SUMIFS(операции!$AF:$AF,операции!$X:$X,"&gt;="&amp;S$8,операции!$X:$X,"&lt;="&amp;S$9,операции!$AB:$AB,"",операции!$L:$L,V$9,операции!$O:$O,$F904)/V949)</f>
        <v>42324.941156058041</v>
      </c>
      <c r="W950" s="238"/>
      <c r="X950" s="193">
        <f>IF(X949=0,0,SUMIFS(операции!$AF:$AF,операции!$X:$X,"&gt;="&amp;X$8,операции!$X:$X,"&lt;="&amp;X$9,операции!$AB:$AB,"",операции!$O:$O,$F904)/X949)</f>
        <v>42335.281288208527</v>
      </c>
      <c r="Y950" s="196"/>
      <c r="Z950" s="193">
        <f>IF(Z949=0,0,SUMIFS(операции!$AF:$AF,операции!$X:$X,"&gt;="&amp;X$8,операции!$X:$X,"&lt;="&amp;X$9,операции!$AB:$AB,"",операции!$L:$L,Z$9,операции!$O:$O,$F904)/Z949)</f>
        <v>42291</v>
      </c>
      <c r="AA950" s="237">
        <f>IF(AA949=0,0,SUMIFS(операции!$AF:$AF,операции!$X:$X,"&gt;="&amp;X$8,операции!$X:$X,"&lt;="&amp;X$9,операции!$AB:$AB,"",операции!$L:$L,AA$9,операции!$O:$O,$F904)/AA949)</f>
        <v>42336.10719394948</v>
      </c>
      <c r="AB950" s="265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</row>
    <row r="951" spans="1:42" s="192" customFormat="1" ht="11.25">
      <c r="A951" s="37"/>
      <c r="B951" s="37"/>
      <c r="C951" s="37"/>
      <c r="D951" s="191"/>
      <c r="E951" s="191" t="s">
        <v>307</v>
      </c>
      <c r="F951" s="191" t="str">
        <f t="shared" si="1584"/>
        <v>Детство</v>
      </c>
      <c r="G951" s="191" t="s">
        <v>262</v>
      </c>
      <c r="H951" s="315"/>
      <c r="I951" s="316">
        <f>I$9</f>
        <v>42369</v>
      </c>
      <c r="J951" s="317"/>
      <c r="K951" s="316">
        <f>I$9</f>
        <v>42369</v>
      </c>
      <c r="L951" s="318">
        <f>I$9</f>
        <v>42369</v>
      </c>
      <c r="M951" s="274"/>
      <c r="N951" s="193">
        <f>N$9</f>
        <v>42308</v>
      </c>
      <c r="O951" s="196"/>
      <c r="P951" s="193">
        <f>N$9</f>
        <v>42308</v>
      </c>
      <c r="Q951" s="237">
        <f>N$9</f>
        <v>42308</v>
      </c>
      <c r="R951" s="238"/>
      <c r="S951" s="193">
        <f>S$9</f>
        <v>42338</v>
      </c>
      <c r="T951" s="196"/>
      <c r="U951" s="193">
        <f>S$9</f>
        <v>42338</v>
      </c>
      <c r="V951" s="237">
        <f>S$9</f>
        <v>42338</v>
      </c>
      <c r="W951" s="238"/>
      <c r="X951" s="193">
        <f>X$9</f>
        <v>42369</v>
      </c>
      <c r="Y951" s="196"/>
      <c r="Z951" s="193">
        <f>X$9</f>
        <v>42369</v>
      </c>
      <c r="AA951" s="237">
        <f>X$9</f>
        <v>42369</v>
      </c>
      <c r="AB951" s="265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</row>
    <row r="952" spans="1:42" s="5" customFormat="1">
      <c r="A952" s="1"/>
      <c r="B952" s="1"/>
      <c r="C952" s="1"/>
      <c r="D952" s="168"/>
      <c r="E952" s="168" t="s">
        <v>380</v>
      </c>
      <c r="F952" s="168" t="str">
        <f t="shared" si="1584"/>
        <v>Детство</v>
      </c>
      <c r="G952" s="168" t="s">
        <v>261</v>
      </c>
      <c r="H952" s="326"/>
      <c r="I952" s="327">
        <f>I947-I949</f>
        <v>33433.440000000002</v>
      </c>
      <c r="J952" s="313">
        <f>I952-K952-L952</f>
        <v>4.3655745685100555E-11</v>
      </c>
      <c r="K952" s="327">
        <f t="shared" ref="K952:L952" si="1689">K947-K949</f>
        <v>9194.4799999999959</v>
      </c>
      <c r="L952" s="328">
        <f t="shared" si="1689"/>
        <v>24238.959999999963</v>
      </c>
      <c r="M952" s="277"/>
      <c r="N952" s="169">
        <f>N947-N949</f>
        <v>6296.3500000000058</v>
      </c>
      <c r="O952" s="170">
        <f>N952-P952-Q952</f>
        <v>7.2759576141834259E-12</v>
      </c>
      <c r="P952" s="169">
        <f t="shared" ref="P952:Q952" si="1690">P947-P949</f>
        <v>3623.3499999999985</v>
      </c>
      <c r="Q952" s="243">
        <f t="shared" si="1690"/>
        <v>2673</v>
      </c>
      <c r="R952" s="244"/>
      <c r="S952" s="169">
        <f>S947-S949</f>
        <v>16640.309999999998</v>
      </c>
      <c r="T952" s="170">
        <f>S952-U952-V952</f>
        <v>0</v>
      </c>
      <c r="U952" s="169">
        <f t="shared" ref="U952:V952" si="1691">U947-U949</f>
        <v>5427.130000000001</v>
      </c>
      <c r="V952" s="243">
        <f t="shared" si="1691"/>
        <v>11213.179999999993</v>
      </c>
      <c r="W952" s="244"/>
      <c r="X952" s="169">
        <f>X947-X949</f>
        <v>10496.779999999999</v>
      </c>
      <c r="Y952" s="170">
        <f>X952-Z952-AA952</f>
        <v>0</v>
      </c>
      <c r="Z952" s="169">
        <f t="shared" ref="Z952:AA952" si="1692">Z947-Z949</f>
        <v>144</v>
      </c>
      <c r="AA952" s="243">
        <f t="shared" si="1692"/>
        <v>10352.779999999999</v>
      </c>
      <c r="AB952" s="266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s="211" customFormat="1">
      <c r="A953" s="210"/>
      <c r="B953" s="210"/>
      <c r="C953" s="210"/>
      <c r="D953" s="218"/>
      <c r="E953" s="218" t="s">
        <v>381</v>
      </c>
      <c r="F953" s="218" t="str">
        <f t="shared" si="1584"/>
        <v>Детство</v>
      </c>
      <c r="G953" s="218" t="s">
        <v>218</v>
      </c>
      <c r="H953" s="343"/>
      <c r="I953" s="344">
        <f>IF(I947=0,0,(I952/I947))</f>
        <v>8.3526593100209115E-2</v>
      </c>
      <c r="J953" s="345"/>
      <c r="K953" s="344">
        <f t="shared" ref="K953" si="1693">IF(K947=0,0,(K952/K947))</f>
        <v>0.10864070328008314</v>
      </c>
      <c r="L953" s="346">
        <f t="shared" ref="L953" si="1694">IF(L947=0,0,(L952/L947))</f>
        <v>7.6792812087149526E-2</v>
      </c>
      <c r="M953" s="280"/>
      <c r="N953" s="219">
        <f>IF(N947=0,0,(N952/N947))</f>
        <v>8.5547071371312969E-2</v>
      </c>
      <c r="O953" s="220"/>
      <c r="P953" s="219">
        <f t="shared" ref="P953" si="1695">IF(P947=0,0,(P952/P947))</f>
        <v>6.8930847522115452E-2</v>
      </c>
      <c r="Q953" s="252">
        <f t="shared" ref="Q953" si="1696">IF(Q947=0,0,(Q952/Q947))</f>
        <v>0.12706788362806617</v>
      </c>
      <c r="R953" s="253"/>
      <c r="S953" s="219">
        <f>IF(S947=0,0,(S952/S947))</f>
        <v>0.13025479053165506</v>
      </c>
      <c r="T953" s="220"/>
      <c r="U953" s="219">
        <f t="shared" ref="U953" si="1697">IF(U947=0,0,(U952/U947))</f>
        <v>0.19060618831875817</v>
      </c>
      <c r="V953" s="252">
        <f t="shared" ref="V953" si="1698">IF(V947=0,0,(V952/V947))</f>
        <v>0.11294614168152371</v>
      </c>
      <c r="W953" s="253"/>
      <c r="X953" s="219">
        <f>IF(X947=0,0,(X952/X947))</f>
        <v>5.2768851799718471E-2</v>
      </c>
      <c r="Y953" s="220"/>
      <c r="Z953" s="219">
        <f t="shared" ref="Z953" si="1699">IF(Z947=0,0,(Z952/Z947))</f>
        <v>4.006677796327212E-2</v>
      </c>
      <c r="AA953" s="252">
        <f t="shared" ref="AA953" si="1700">IF(AA947=0,0,(AA952/AA947))</f>
        <v>5.3002570062357285E-2</v>
      </c>
      <c r="AB953" s="267"/>
      <c r="AC953" s="210"/>
      <c r="AD953" s="210"/>
      <c r="AE953" s="210"/>
      <c r="AF953" s="210"/>
      <c r="AG953" s="210"/>
      <c r="AH953" s="210"/>
      <c r="AI953" s="210"/>
      <c r="AJ953" s="210"/>
      <c r="AK953" s="210"/>
      <c r="AL953" s="210"/>
      <c r="AM953" s="210"/>
      <c r="AN953" s="210"/>
      <c r="AO953" s="210"/>
      <c r="AP953" s="210"/>
    </row>
    <row r="954" spans="1:42" s="5" customFormat="1">
      <c r="A954" s="1"/>
      <c r="B954" s="1"/>
      <c r="C954" s="1"/>
      <c r="D954" s="227"/>
      <c r="E954" s="227" t="s">
        <v>306</v>
      </c>
      <c r="F954" s="227" t="str">
        <f t="shared" si="1584"/>
        <v>Детство</v>
      </c>
      <c r="G954" s="227" t="s">
        <v>219</v>
      </c>
      <c r="H954" s="347"/>
      <c r="I954" s="348">
        <f>I948-I950</f>
        <v>24.964090272173053</v>
      </c>
      <c r="J954" s="321"/>
      <c r="K954" s="348">
        <f t="shared" ref="K954:L954" si="1701">K948-K950</f>
        <v>101.0433166598159</v>
      </c>
      <c r="L954" s="349">
        <f t="shared" si="1701"/>
        <v>5.4538030233161408</v>
      </c>
      <c r="M954" s="281"/>
      <c r="N954" s="228">
        <f>N948-N950</f>
        <v>73.671996412871522</v>
      </c>
      <c r="O954" s="173"/>
      <c r="P954" s="228">
        <f t="shared" ref="P954:Q954" si="1702">P948-P950</f>
        <v>100.09379202751734</v>
      </c>
      <c r="Q954" s="254">
        <f t="shared" si="1702"/>
        <v>3.2065808082988951</v>
      </c>
      <c r="R954" s="255"/>
      <c r="S954" s="228">
        <f>S948-S950</f>
        <v>26.240126619457442</v>
      </c>
      <c r="T954" s="173"/>
      <c r="U954" s="228">
        <f t="shared" ref="U954:V954" si="1703">U948-U950</f>
        <v>109.53970970496448</v>
      </c>
      <c r="V954" s="254">
        <f t="shared" si="1703"/>
        <v>4.6050420301762642</v>
      </c>
      <c r="W954" s="255"/>
      <c r="X954" s="228">
        <f>X948-X950</f>
        <v>7.3169673716038233</v>
      </c>
      <c r="Y954" s="173"/>
      <c r="Z954" s="228">
        <f t="shared" ref="Z954:AA954" si="1704">Z948-Z950</f>
        <v>48</v>
      </c>
      <c r="AA954" s="254">
        <f t="shared" si="1704"/>
        <v>6.5572695627997746</v>
      </c>
      <c r="AB954" s="266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s="5" customFormat="1">
      <c r="A955" s="1"/>
      <c r="B955" s="1"/>
      <c r="C955" s="1"/>
      <c r="D955" s="227"/>
      <c r="E955" s="227" t="s">
        <v>382</v>
      </c>
      <c r="F955" s="227" t="str">
        <f t="shared" si="1584"/>
        <v>Детство</v>
      </c>
      <c r="G955" s="227" t="s">
        <v>219</v>
      </c>
      <c r="H955" s="347"/>
      <c r="I955" s="348">
        <f>I951-I950</f>
        <v>63.371224902788526</v>
      </c>
      <c r="J955" s="321"/>
      <c r="K955" s="348">
        <f t="shared" ref="K955:L955" si="1705">K951-K950</f>
        <v>159.44438245053607</v>
      </c>
      <c r="L955" s="349">
        <f t="shared" si="1705"/>
        <v>38.500016918216716</v>
      </c>
      <c r="M955" s="281"/>
      <c r="N955" s="228">
        <f>N951-N950</f>
        <v>78.46731169391569</v>
      </c>
      <c r="O955" s="173"/>
      <c r="P955" s="228">
        <f t="shared" ref="P955:Q955" si="1706">P951-P950</f>
        <v>105.16075673787418</v>
      </c>
      <c r="Q955" s="254">
        <f t="shared" si="1706"/>
        <v>7.3230953547899844</v>
      </c>
      <c r="R955" s="255"/>
      <c r="S955" s="228">
        <f>S951-S950</f>
        <v>36.561616693979886</v>
      </c>
      <c r="T955" s="173"/>
      <c r="U955" s="228">
        <f t="shared" ref="U955:V955" si="1707">U951-U950</f>
        <v>126.37341180870862</v>
      </c>
      <c r="V955" s="254">
        <f t="shared" si="1707"/>
        <v>13.058843941958912</v>
      </c>
      <c r="W955" s="255"/>
      <c r="X955" s="228">
        <f>X951-X950</f>
        <v>33.718711791472742</v>
      </c>
      <c r="Y955" s="173"/>
      <c r="Z955" s="228">
        <f t="shared" ref="Z955:AA955" si="1708">Z951-Z950</f>
        <v>78</v>
      </c>
      <c r="AA955" s="254">
        <f t="shared" si="1708"/>
        <v>32.892806050520448</v>
      </c>
      <c r="AB955" s="266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s="5" customFormat="1">
      <c r="A956" s="1"/>
      <c r="B956" s="1"/>
      <c r="C956" s="1"/>
      <c r="D956" s="225"/>
      <c r="E956" s="225" t="s">
        <v>383</v>
      </c>
      <c r="F956" s="225" t="str">
        <f t="shared" si="1584"/>
        <v>Детство</v>
      </c>
      <c r="G956" s="225" t="s">
        <v>219</v>
      </c>
      <c r="H956" s="350"/>
      <c r="I956" s="351">
        <f>I954-I955</f>
        <v>-38.407134630615474</v>
      </c>
      <c r="J956" s="352"/>
      <c r="K956" s="351">
        <f t="shared" ref="K956" si="1709">K954-K955</f>
        <v>-58.401065790720168</v>
      </c>
      <c r="L956" s="353">
        <f t="shared" ref="L956" si="1710">L954-L955</f>
        <v>-33.046213894900575</v>
      </c>
      <c r="M956" s="282"/>
      <c r="N956" s="226">
        <f>N954-N955</f>
        <v>-4.7953152810441679</v>
      </c>
      <c r="O956" s="181"/>
      <c r="P956" s="226">
        <f t="shared" ref="P956" si="1711">P954-P955</f>
        <v>-5.0669647103568423</v>
      </c>
      <c r="Q956" s="256">
        <f t="shared" ref="Q956" si="1712">Q954-Q955</f>
        <v>-4.1165145464910893</v>
      </c>
      <c r="R956" s="257"/>
      <c r="S956" s="226">
        <f>S954-S955</f>
        <v>-10.321490074522444</v>
      </c>
      <c r="T956" s="181"/>
      <c r="U956" s="226">
        <f t="shared" ref="U956" si="1713">U954-U955</f>
        <v>-16.833702103744145</v>
      </c>
      <c r="V956" s="256">
        <f t="shared" ref="V956" si="1714">V954-V955</f>
        <v>-8.4538019117826479</v>
      </c>
      <c r="W956" s="257"/>
      <c r="X956" s="226">
        <f>X954-X955</f>
        <v>-26.401744419868919</v>
      </c>
      <c r="Y956" s="181"/>
      <c r="Z956" s="226">
        <f t="shared" ref="Z956" si="1715">Z954-Z955</f>
        <v>-30</v>
      </c>
      <c r="AA956" s="256">
        <f t="shared" ref="AA956" si="1716">AA954-AA955</f>
        <v>-26.335536487720674</v>
      </c>
      <c r="AB956" s="266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s="5" customFormat="1">
      <c r="A957" s="1"/>
      <c r="B957" s="1"/>
      <c r="C957" s="1"/>
      <c r="D957" s="168" t="s">
        <v>312</v>
      </c>
      <c r="E957" s="168"/>
      <c r="F957" s="168" t="str">
        <f t="shared" si="1584"/>
        <v>Детство</v>
      </c>
      <c r="G957" s="168" t="s">
        <v>261</v>
      </c>
      <c r="H957" s="326"/>
      <c r="I957" s="327">
        <f>SUMIFS(операции!$AC:$AC,операции!$AB:$AB,"&gt;="&amp;I$8,операции!$AB:$AB,"&lt;="&amp;I$9,операции!$O:$O,$F904)</f>
        <v>603104.48</v>
      </c>
      <c r="J957" s="313">
        <f>I957-K957-L957</f>
        <v>0</v>
      </c>
      <c r="K957" s="327">
        <f>SUMIFS(операции!$AC:$AC,операции!$AB:$AB,"&gt;="&amp;I$8,операции!$AB:$AB,"&lt;="&amp;I$9,операции!$L:$L,K$9,операции!$O:$O,$F904)</f>
        <v>172377.29</v>
      </c>
      <c r="L957" s="328">
        <f>SUMIFS(операции!$AC:$AC,операции!$AB:$AB,"&gt;="&amp;I$8,операции!$AB:$AB,"&lt;="&amp;I$9,операции!$L:$L,L$9,операции!$O:$O,$F904)</f>
        <v>430727.18999999989</v>
      </c>
      <c r="M957" s="277"/>
      <c r="N957" s="169">
        <f>SUMIFS(операции!$AC:$AC,операции!$AB:$AB,"&gt;="&amp;N$8,операции!$AB:$AB,"&lt;="&amp;N$9,операции!$O:$O,$F904)</f>
        <v>130340.89000000001</v>
      </c>
      <c r="O957" s="170">
        <f>N957-P957-Q957</f>
        <v>0</v>
      </c>
      <c r="P957" s="169">
        <f>SUMIFS(операции!$AC:$AC,операции!$AB:$AB,"&gt;="&amp;N$8,операции!$AB:$AB,"&lt;="&amp;N$9,операции!$L:$L,P$9,операции!$O:$O,$F904)</f>
        <v>127630.89000000001</v>
      </c>
      <c r="Q957" s="243">
        <f>SUMIFS(операции!$AC:$AC,операции!$AB:$AB,"&gt;="&amp;N$8,операции!$AB:$AB,"&lt;="&amp;N$9,операции!$L:$L,Q$9,операции!$O:$O,$F904)</f>
        <v>2710</v>
      </c>
      <c r="R957" s="244"/>
      <c r="S957" s="169">
        <f>SUMIFS(операции!$AC:$AC,операции!$AB:$AB,"&gt;="&amp;S$8,операции!$AB:$AB,"&lt;="&amp;S$9,операции!$O:$O,$F904)</f>
        <v>172176.38</v>
      </c>
      <c r="T957" s="170">
        <f>S957-U957-V957</f>
        <v>0</v>
      </c>
      <c r="U957" s="169">
        <f>SUMIFS(операции!$AC:$AC,операции!$AB:$AB,"&gt;="&amp;S$8,операции!$AB:$AB,"&lt;="&amp;S$9,операции!$L:$L,U$9,операции!$O:$O,$F904)</f>
        <v>42471.520000000004</v>
      </c>
      <c r="V957" s="243">
        <f>SUMIFS(операции!$AC:$AC,операции!$AB:$AB,"&gt;="&amp;S$8,операции!$AB:$AB,"&lt;="&amp;S$9,операции!$L:$L,V$9,операции!$O:$O,$F904)</f>
        <v>129704.85999999999</v>
      </c>
      <c r="W957" s="244"/>
      <c r="X957" s="169">
        <f>SUMIFS(операции!$AC:$AC,операции!$AB:$AB,"&gt;="&amp;X$8,операции!$AB:$AB,"&lt;="&amp;X$9,операции!$O:$O,$F904)</f>
        <v>300587.21000000002</v>
      </c>
      <c r="Y957" s="170">
        <f>X957-Z957-AA957</f>
        <v>0</v>
      </c>
      <c r="Z957" s="169">
        <f>SUMIFS(операции!$AC:$AC,операции!$AB:$AB,"&gt;="&amp;X$8,операции!$AB:$AB,"&lt;="&amp;X$9,операции!$L:$L,Z$9,операции!$O:$O,$F904)</f>
        <v>2274.88</v>
      </c>
      <c r="AA957" s="243">
        <f>SUMIFS(операции!$AC:$AC,операции!$AB:$AB,"&gt;="&amp;X$8,операции!$AB:$AB,"&lt;="&amp;X$9,операции!$L:$L,AA$9,операции!$O:$O,$F904)</f>
        <v>298312.33</v>
      </c>
      <c r="AB957" s="266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s="192" customFormat="1" ht="11.25">
      <c r="A958" s="37"/>
      <c r="B958" s="37"/>
      <c r="C958" s="37"/>
      <c r="D958" s="207" t="s">
        <v>255</v>
      </c>
      <c r="E958" s="207"/>
      <c r="F958" s="207" t="str">
        <f t="shared" si="1584"/>
        <v>Детство</v>
      </c>
      <c r="G958" s="207" t="s">
        <v>262</v>
      </c>
      <c r="H958" s="331"/>
      <c r="I958" s="337">
        <f>IF(I957=0,0,SUMIFS(операции!$AH:$AH,операции!$AB:$AB,"&gt;="&amp;I$8,операции!$AB:$AB,"&lt;="&amp;I$9,операции!$O:$O,$F904)/I957)</f>
        <v>42332.662845266874</v>
      </c>
      <c r="J958" s="333"/>
      <c r="K958" s="337">
        <f>IF(K957=0,0,SUMIFS(операции!$AH:$AH,операции!$AB:$AB,"&gt;="&amp;I$8,операции!$AB:$AB,"&lt;="&amp;I$9,операции!$L:$L,K$9,операции!$O:$O,$F904)/K957)</f>
        <v>42301.013297111233</v>
      </c>
      <c r="L958" s="338">
        <f>IF(L957=0,0,SUMIFS(операции!$AH:$AH,операции!$AB:$AB,"&gt;="&amp;I$8,операции!$AB:$AB,"&lt;="&amp;I$9,операции!$L:$L,L$9,операции!$O:$O,$F904)/L957)</f>
        <v>42345.329014172537</v>
      </c>
      <c r="M958" s="278"/>
      <c r="N958" s="217">
        <f>IF(N957=0,0,SUMIFS(операции!$AH:$AH,операции!$AB:$AB,"&gt;="&amp;N$8,операции!$AB:$AB,"&lt;="&amp;N$9,операции!$O:$O,$F904)/N957)</f>
        <v>42292.710013872085</v>
      </c>
      <c r="O958" s="208"/>
      <c r="P958" s="217">
        <f>IF(P957=0,0,SUMIFS(операции!$AH:$AH,операции!$AB:$AB,"&gt;="&amp;N$8,операции!$AB:$AB,"&lt;="&amp;N$9,операции!$L:$L,P$9,операции!$O:$O,$F904)/P957)</f>
        <v>42292.432676133496</v>
      </c>
      <c r="Q958" s="249">
        <f>IF(Q957=0,0,SUMIFS(операции!$AH:$AH,операции!$AB:$AB,"&gt;="&amp;N$8,операции!$AB:$AB,"&lt;="&amp;N$9,операции!$L:$L,Q$9,операции!$O:$O,$F904)/Q957)</f>
        <v>42305.771586715869</v>
      </c>
      <c r="R958" s="247"/>
      <c r="S958" s="217">
        <f>IF(S957=0,0,SUMIFS(операции!$AH:$AH,операции!$AB:$AB,"&gt;="&amp;S$8,операции!$AB:$AB,"&lt;="&amp;S$9,операции!$O:$O,$F904)/S957)</f>
        <v>42324.119276465215</v>
      </c>
      <c r="T958" s="208"/>
      <c r="U958" s="217">
        <f>IF(U957=0,0,SUMIFS(операции!$AH:$AH,операции!$AB:$AB,"&gt;="&amp;S$8,операции!$AB:$AB,"&lt;="&amp;S$9,операции!$L:$L,U$9,операции!$O:$O,$F904)/U957)</f>
        <v>42324.702397512498</v>
      </c>
      <c r="V958" s="249">
        <f>IF(V957=0,0,SUMIFS(операции!$AH:$AH,операции!$AB:$AB,"&gt;="&amp;S$8,операции!$AB:$AB,"&lt;="&amp;S$9,операции!$L:$L,V$9,операции!$O:$O,$F904)/V957)</f>
        <v>42323.928334990691</v>
      </c>
      <c r="W958" s="247"/>
      <c r="X958" s="217">
        <f>IF(X957=0,0,SUMIFS(операции!$AH:$AH,операции!$AB:$AB,"&gt;="&amp;X$8,операции!$AB:$AB,"&lt;="&amp;X$9,операции!$O:$O,$F904)/X957)</f>
        <v>42354.88098405784</v>
      </c>
      <c r="Y958" s="208"/>
      <c r="Z958" s="217">
        <f>IF(Z957=0,0,SUMIFS(операции!$AH:$AH,операции!$AB:$AB,"&gt;="&amp;X$8,операции!$AB:$AB,"&lt;="&amp;X$9,операции!$L:$L,Z$9,операции!$O:$O,$F904)/Z957)</f>
        <v>42340.153907019274</v>
      </c>
      <c r="AA958" s="249">
        <f>IF(AA957=0,0,SUMIFS(операции!$AH:$AH,операции!$AB:$AB,"&gt;="&amp;X$8,операции!$AB:$AB,"&lt;="&amp;X$9,операции!$L:$L,AA$9,операции!$O:$O,$F904)/AA957)</f>
        <v>42354.993290287399</v>
      </c>
      <c r="AB958" s="265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</row>
    <row r="959" spans="1:42" s="111" customFormat="1" ht="11.25">
      <c r="A959" s="108"/>
      <c r="B959" s="108"/>
      <c r="C959" s="209" t="s">
        <v>279</v>
      </c>
      <c r="D959" s="109"/>
      <c r="E959" s="109"/>
      <c r="F959" s="109" t="str">
        <f t="shared" si="1584"/>
        <v>Детство</v>
      </c>
      <c r="G959" s="109"/>
      <c r="H959" s="307"/>
      <c r="I959" s="308">
        <f>I960-K960-L960+K959+L959</f>
        <v>0</v>
      </c>
      <c r="J959" s="309">
        <f>I904+I922-I929-I960</f>
        <v>0</v>
      </c>
      <c r="K959" s="308">
        <f>K904+K922-K929-K960</f>
        <v>0</v>
      </c>
      <c r="L959" s="336">
        <f>L904+L922-L929-L960</f>
        <v>0</v>
      </c>
      <c r="M959" s="272"/>
      <c r="N959" s="110">
        <f>N960-P960-Q960</f>
        <v>1.0186340659856796E-10</v>
      </c>
      <c r="O959" s="215">
        <f>N904+N922-N929-N960</f>
        <v>0</v>
      </c>
      <c r="P959" s="110">
        <f>P904+P922-P929-P960</f>
        <v>0</v>
      </c>
      <c r="Q959" s="248">
        <f>Q904+Q922-Q929-Q960</f>
        <v>0</v>
      </c>
      <c r="R959" s="234"/>
      <c r="S959" s="110">
        <f>S960-U960-V960</f>
        <v>0</v>
      </c>
      <c r="T959" s="215">
        <f>S904+S922-S929-S960</f>
        <v>0</v>
      </c>
      <c r="U959" s="110">
        <f>U904+U922-U929-U960</f>
        <v>0</v>
      </c>
      <c r="V959" s="248">
        <f>V904+V922-V929-V960</f>
        <v>0</v>
      </c>
      <c r="W959" s="234"/>
      <c r="X959" s="110">
        <f>X960-Z960-AA960</f>
        <v>0</v>
      </c>
      <c r="Y959" s="215">
        <f>X904+X922-X929-X960</f>
        <v>0</v>
      </c>
      <c r="Z959" s="110">
        <f>Z904+Z922-Z929-Z960</f>
        <v>0</v>
      </c>
      <c r="AA959" s="248">
        <f>AA904+AA922-AA929-AA960</f>
        <v>0</v>
      </c>
      <c r="AB959" s="263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</row>
    <row r="960" spans="1:42" s="93" customFormat="1" ht="15">
      <c r="A960" s="92"/>
      <c r="B960" s="92"/>
      <c r="C960" s="214"/>
      <c r="D960" s="151" t="s">
        <v>238</v>
      </c>
      <c r="E960" s="151"/>
      <c r="F960" s="151" t="str">
        <f t="shared" si="1584"/>
        <v>Детство</v>
      </c>
      <c r="G960" s="151" t="s">
        <v>261</v>
      </c>
      <c r="H960" s="311"/>
      <c r="I960" s="312">
        <f>SUMIFS(операции!$V:$V,операции!$T:$T,"&lt;="&amp;I$9,операции!$X:$X,"",операции!$O:$O,$F904)+SUMIFS(операции!$V:$V,операции!$T:$T,"&lt;="&amp;I$9,операции!$X:$X,"&gt;"&amp;I$9,операции!$O:$O,$F904)</f>
        <v>232377.68</v>
      </c>
      <c r="J960" s="313">
        <f>I960-I965-I971</f>
        <v>0</v>
      </c>
      <c r="K960" s="312">
        <f>SUMIFS(операции!$V:$V,операции!$T:$T,"&lt;="&amp;I$9,операции!$X:$X,"",операции!$L:$L,K$9,операции!$O:$O,$F904)+SUMIFS(операции!$V:$V,операции!$T:$T,"&lt;="&amp;I$9,операции!$X:$X,"&gt;"&amp;I$9,операции!$L:$L,K$9,операции!$O:$O,$F904)</f>
        <v>198256.68</v>
      </c>
      <c r="L960" s="314">
        <f>SUMIFS(операции!$V:$V,операции!$T:$T,"&lt;="&amp;I$9,операции!$X:$X,"",операции!$L:$L,L$9,операции!$O:$O,$F904)+SUMIFS(операции!$V:$V,операции!$T:$T,"&lt;="&amp;I$9,операции!$X:$X,"&gt;"&amp;I$9,операции!$L:$L,L$9,операции!$O:$O,$F904)</f>
        <v>34121</v>
      </c>
      <c r="M960" s="273"/>
      <c r="N960" s="152">
        <f>SUMIFS(операции!$V:$V,операции!$T:$T,"&lt;="&amp;N$9,операции!$X:$X,"",операции!$O:$O,$F904)+SUMIFS(операции!$V:$V,операции!$T:$T,"&lt;="&amp;N$9,операции!$X:$X,"&gt;"&amp;N$9,операции!$O:$O,$F904)</f>
        <v>366530.57000000007</v>
      </c>
      <c r="O960" s="170">
        <f>N960-N965-N971</f>
        <v>0</v>
      </c>
      <c r="P960" s="152">
        <f>SUMIFS(операции!$V:$V,операции!$T:$T,"&lt;="&amp;N$9,операции!$X:$X,"",операции!$L:$L,P$9,операции!$O:$O,$F904)+SUMIFS(операции!$V:$V,операции!$T:$T,"&lt;="&amp;N$9,операции!$X:$X,"&gt;"&amp;N$9,операции!$L:$L,P$9,операции!$O:$O,$F904)</f>
        <v>325722.58999999997</v>
      </c>
      <c r="Q960" s="235">
        <f>SUMIFS(операции!$V:$V,операции!$T:$T,"&lt;="&amp;N$9,операции!$X:$X,"",операции!$L:$L,Q$9,операции!$O:$O,$F904)+SUMIFS(операции!$V:$V,операции!$T:$T,"&lt;="&amp;N$9,операции!$X:$X,"&gt;"&amp;N$9,операции!$L:$L,Q$9,операции!$O:$O,$F904)</f>
        <v>40807.979999999996</v>
      </c>
      <c r="R960" s="236"/>
      <c r="S960" s="152">
        <f>SUMIFS(операции!$V:$V,операции!$T:$T,"&lt;="&amp;S$9,операции!$X:$X,"",операции!$O:$O,$F904)+SUMIFS(операции!$V:$V,операции!$T:$T,"&lt;="&amp;S$9,операции!$X:$X,"&gt;"&amp;S$9,операции!$O:$O,$F904)</f>
        <v>602478.65999999992</v>
      </c>
      <c r="T960" s="170">
        <f>S960-S965-S971</f>
        <v>0</v>
      </c>
      <c r="U960" s="152">
        <f>SUMIFS(операции!$V:$V,операции!$T:$T,"&lt;="&amp;S$9,операции!$X:$X,"",операции!$L:$L,U$9,операции!$O:$O,$F904)+SUMIFS(операции!$V:$V,операции!$T:$T,"&lt;="&amp;S$9,операции!$X:$X,"&gt;"&amp;S$9,операции!$L:$L,U$9,операции!$O:$O,$F904)</f>
        <v>214434.44</v>
      </c>
      <c r="V960" s="235">
        <f>SUMIFS(операции!$V:$V,операции!$T:$T,"&lt;="&amp;S$9,операции!$X:$X,"",операции!$L:$L,V$9,операции!$O:$O,$F904)+SUMIFS(операции!$V:$V,операции!$T:$T,"&lt;="&amp;S$9,операции!$X:$X,"&gt;"&amp;S$9,операции!$L:$L,V$9,операции!$O:$O,$F904)</f>
        <v>388044.22</v>
      </c>
      <c r="W960" s="236"/>
      <c r="X960" s="152">
        <f>SUMIFS(операции!$V:$V,операции!$T:$T,"&lt;="&amp;X$9,операции!$X:$X,"",операции!$O:$O,$F904)+SUMIFS(операции!$V:$V,операции!$T:$T,"&lt;="&amp;X$9,операции!$X:$X,"&gt;"&amp;X$9,операции!$O:$O,$F904)</f>
        <v>232377.68</v>
      </c>
      <c r="Y960" s="170">
        <f>X960-X965-X971</f>
        <v>0</v>
      </c>
      <c r="Z960" s="152">
        <f>SUMIFS(операции!$V:$V,операции!$T:$T,"&lt;="&amp;X$9,операции!$X:$X,"",операции!$L:$L,Z$9,операции!$O:$O,$F904)+SUMIFS(операции!$V:$V,операции!$T:$T,"&lt;="&amp;X$9,операции!$X:$X,"&gt;"&amp;X$9,операции!$L:$L,Z$9,операции!$O:$O,$F904)</f>
        <v>198256.68</v>
      </c>
      <c r="AA960" s="235">
        <f>SUMIFS(операции!$V:$V,операции!$T:$T,"&lt;="&amp;X$9,операции!$X:$X,"",операции!$L:$L,AA$9,операции!$O:$O,$F904)+SUMIFS(операции!$V:$V,операции!$T:$T,"&lt;="&amp;X$9,операции!$X:$X,"&gt;"&amp;X$9,операции!$L:$L,AA$9,операции!$O:$O,$F904)</f>
        <v>34121</v>
      </c>
      <c r="AB960" s="264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</row>
    <row r="961" spans="1:42" s="192" customFormat="1" ht="11.25">
      <c r="A961" s="37"/>
      <c r="B961" s="37"/>
      <c r="C961" s="37"/>
      <c r="D961" s="191" t="s">
        <v>255</v>
      </c>
      <c r="E961" s="191"/>
      <c r="F961" s="191" t="str">
        <f t="shared" si="1584"/>
        <v>Детство</v>
      </c>
      <c r="G961" s="191" t="s">
        <v>262</v>
      </c>
      <c r="H961" s="315"/>
      <c r="I961" s="316">
        <f>IF(I960=0,0,(SUMIFS(операции!$AF:$AF,операции!$T:$T,"&lt;="&amp;I$9,операции!$X:$X,"",операции!$O:$O,$F904)+SUMIFS(операции!$AF:$AF,операции!$T:$T,"&lt;="&amp;I$9,операции!$X:$X,"&gt;"&amp;I$9,операции!$O:$O,$F904))/I960)</f>
        <v>42220.147726106916</v>
      </c>
      <c r="J961" s="317"/>
      <c r="K961" s="316">
        <f>IF(K960=0,0,(SUMIFS(операции!$AF:$AF,операции!$T:$T,"&lt;="&amp;I$9,операции!$X:$X,"",операции!$L:$L,K$9,операции!$O:$O,$F904)+SUMIFS(операции!$AF:$AF,операции!$T:$T,"&lt;="&amp;I$9,операции!$X:$X,"&gt;"&amp;I$9,операции!$L:$L,K$9,операции!$O:$O,$F904))/K960)</f>
        <v>42195.208433077772</v>
      </c>
      <c r="L961" s="318">
        <f>IF(L960=0,0,(SUMIFS(операции!$AF:$AF,операции!$T:$T,"&lt;="&amp;I$9,операции!$X:$X,"",операции!$L:$L,L$9,операции!$O:$O,$F904)+SUMIFS(операции!$AF:$AF,операции!$T:$T,"&lt;="&amp;I$9,операции!$X:$X,"&gt;"&amp;I$9,операции!$L:$L,L$9,операции!$O:$O,$F904))/L960)</f>
        <v>42365.055010111078</v>
      </c>
      <c r="M961" s="274"/>
      <c r="N961" s="193">
        <f>IF(N960=0,0,(SUMIFS(операции!$AF:$AF,операции!$T:$T,"&lt;="&amp;N$9,операции!$X:$X,"",операции!$O:$O,$F904)+SUMIFS(операции!$AF:$AF,операции!$T:$T,"&lt;="&amp;N$9,операции!$X:$X,"&gt;"&amp;N$9,операции!$O:$O,$F904))/N960)</f>
        <v>42204.320046292451</v>
      </c>
      <c r="O961" s="196"/>
      <c r="P961" s="193">
        <f>IF(P960=0,0,(SUMIFS(операции!$AF:$AF,операции!$T:$T,"&lt;="&amp;N$9,операции!$X:$X,"",операции!$L:$L,P$9,операции!$O:$O,$F904)+SUMIFS(операции!$AF:$AF,операции!$T:$T,"&lt;="&amp;N$9,операции!$X:$X,"&gt;"&amp;N$9,операции!$L:$L,P$9,операции!$O:$O,$F904))/P960)</f>
        <v>42191.563580561</v>
      </c>
      <c r="Q961" s="237">
        <f>IF(Q960=0,0,(SUMIFS(операции!$AF:$AF,операции!$T:$T,"&lt;="&amp;N$9,операции!$X:$X,"",операции!$L:$L,Q$9,операции!$O:$O,$F904)+SUMIFS(операции!$AF:$AF,операции!$T:$T,"&lt;="&amp;N$9,операции!$X:$X,"&gt;"&amp;N$9,операции!$L:$L,Q$9,операции!$O:$O,$F904))/Q960)</f>
        <v>42306.140059370744</v>
      </c>
      <c r="R961" s="238"/>
      <c r="S961" s="193">
        <f>IF(S960=0,0,(SUMIFS(операции!$AF:$AF,операции!$T:$T,"&lt;="&amp;S$9,операции!$X:$X,"",операции!$O:$O,$F904)+SUMIFS(операции!$AF:$AF,операции!$T:$T,"&lt;="&amp;S$9,операции!$X:$X,"&gt;"&amp;S$9,операции!$O:$O,$F904))/S960)</f>
        <v>42288.332669127238</v>
      </c>
      <c r="T961" s="196"/>
      <c r="U961" s="193">
        <f>IF(U960=0,0,(SUMIFS(операции!$AF:$AF,операции!$T:$T,"&lt;="&amp;S$9,операции!$X:$X,"",операции!$L:$L,U$9,операции!$O:$O,$F904)+SUMIFS(операции!$AF:$AF,операции!$T:$T,"&lt;="&amp;S$9,операции!$X:$X,"&gt;"&amp;S$9,операции!$L:$L,U$9,операции!$O:$O,$F904))/U960)</f>
        <v>42201.52333365853</v>
      </c>
      <c r="V961" s="237">
        <f>IF(V960=0,0,(SUMIFS(операции!$AF:$AF,операции!$T:$T,"&lt;="&amp;S$9,операции!$X:$X,"",операции!$L:$L,V$9,операции!$O:$O,$F904)+SUMIFS(операции!$AF:$AF,операции!$T:$T,"&lt;="&amp;S$9,операции!$X:$X,"&gt;"&amp;S$9,операции!$L:$L,V$9,операции!$O:$O,$F904))/V960)</f>
        <v>42336.303777260233</v>
      </c>
      <c r="W961" s="238"/>
      <c r="X961" s="193">
        <f>IF(X960=0,0,(SUMIFS(операции!$AF:$AF,операции!$T:$T,"&lt;="&amp;X$9,операции!$X:$X,"",операции!$O:$O,$F904)+SUMIFS(операции!$AF:$AF,операции!$T:$T,"&lt;="&amp;X$9,операции!$X:$X,"&gt;"&amp;X$9,операции!$O:$O,$F904))/X960)</f>
        <v>42220.147726106916</v>
      </c>
      <c r="Y961" s="196"/>
      <c r="Z961" s="193">
        <f>IF(Z960=0,0,(SUMIFS(операции!$AF:$AF,операции!$T:$T,"&lt;="&amp;X$9,операции!$X:$X,"",операции!$L:$L,Z$9,операции!$O:$O,$F904)+SUMIFS(операции!$AF:$AF,операции!$T:$T,"&lt;="&amp;X$9,операции!$X:$X,"&gt;"&amp;X$9,операции!$L:$L,Z$9,операции!$O:$O,$F904))/Z960)</f>
        <v>42195.208433077772</v>
      </c>
      <c r="AA961" s="237">
        <f>IF(AA960=0,0,(SUMIFS(операции!$AF:$AF,операции!$T:$T,"&lt;="&amp;X$9,операции!$X:$X,"",операции!$L:$L,AA$9,операции!$O:$O,$F904)+SUMIFS(операции!$AF:$AF,операции!$T:$T,"&lt;="&amp;X$9,операции!$X:$X,"&gt;"&amp;X$9,операции!$L:$L,AA$9,операции!$O:$O,$F904))/AA960)</f>
        <v>42365.055010111078</v>
      </c>
      <c r="AB961" s="265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</row>
    <row r="962" spans="1:42" s="50" customFormat="1" ht="11.25">
      <c r="A962" s="48"/>
      <c r="B962" s="48"/>
      <c r="C962" s="48"/>
      <c r="D962" s="154" t="s">
        <v>239</v>
      </c>
      <c r="E962" s="154"/>
      <c r="F962" s="154" t="str">
        <f t="shared" si="1584"/>
        <v>Детство</v>
      </c>
      <c r="G962" s="154" t="s">
        <v>219</v>
      </c>
      <c r="H962" s="319"/>
      <c r="I962" s="320">
        <f>IF(I960=0,0,I$9-I961)</f>
        <v>148.8522738930842</v>
      </c>
      <c r="J962" s="321">
        <f>I962-SUMIFS(ПОбТЗ!$I:$I,ПОбТЗ!$E:$E,$D962,ПОбТЗ!$F:$F,$F962)</f>
        <v>0</v>
      </c>
      <c r="K962" s="320">
        <f>IF(K960=0,0,I$9-K961)</f>
        <v>173.7915669222275</v>
      </c>
      <c r="L962" s="322">
        <f>IF(L960=0,0,I$9-L961)</f>
        <v>3.9449898889215547</v>
      </c>
      <c r="M962" s="275"/>
      <c r="N962" s="155">
        <f>IF(N960=0,0,N$9-N961)</f>
        <v>103.67995370754943</v>
      </c>
      <c r="O962" s="173">
        <f>N962-SUMIFS(ПОбТЗ_3!$J:$J,ПОбТЗ_3!$D:$D,$D962,ПОбТЗ_3!$E:$E,$F962)</f>
        <v>0</v>
      </c>
      <c r="P962" s="155">
        <f>IF(P960=0,0,N$9-P961)</f>
        <v>116.43641943900002</v>
      </c>
      <c r="Q962" s="239">
        <f>IF(Q960=0,0,N$9-Q961)</f>
        <v>1.8599406292560161</v>
      </c>
      <c r="R962" s="240"/>
      <c r="S962" s="155">
        <f>IF(S960=0,0,S$9-S961)</f>
        <v>49.66733087276225</v>
      </c>
      <c r="T962" s="173">
        <f>S962-SUMIFS(ПОбТЗ_3!$K:$K,ПОбТЗ_3!$D:$D,$D962,ПОбТЗ_3!$E:$E,$F962)</f>
        <v>0</v>
      </c>
      <c r="U962" s="155">
        <f>IF(U960=0,0,S$9-U961)</f>
        <v>136.47666634147026</v>
      </c>
      <c r="V962" s="239">
        <f>IF(V960=0,0,S$9-V961)</f>
        <v>1.6962227397671086</v>
      </c>
      <c r="W962" s="240"/>
      <c r="X962" s="155">
        <f>IF(X960=0,0,X$9-X961)</f>
        <v>148.8522738930842</v>
      </c>
      <c r="Y962" s="173">
        <f>X962-SUMIFS(ПОбТЗ_3!$L:$L,ПОбТЗ_3!$D:$D,$D962,ПОбТЗ_3!$E:$E,$F962)</f>
        <v>0</v>
      </c>
      <c r="Z962" s="155">
        <f>IF(Z960=0,0,X$9-Z961)</f>
        <v>173.7915669222275</v>
      </c>
      <c r="AA962" s="239">
        <f>IF(AA960=0,0,X$9-AA961)</f>
        <v>3.9449898889215547</v>
      </c>
      <c r="AB962" s="230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</row>
    <row r="963" spans="1:42" s="93" customFormat="1" ht="15">
      <c r="A963" s="92"/>
      <c r="B963" s="92"/>
      <c r="C963" s="92"/>
      <c r="D963" s="198" t="s">
        <v>280</v>
      </c>
      <c r="E963" s="198"/>
      <c r="F963" s="198" t="str">
        <f t="shared" si="1584"/>
        <v>Детство</v>
      </c>
      <c r="G963" s="198" t="s">
        <v>219</v>
      </c>
      <c r="H963" s="323"/>
      <c r="I963" s="324">
        <f>IF(I960=0,0,(I965*I969+I971*I975)/I960)</f>
        <v>55.502020374771583</v>
      </c>
      <c r="J963" s="321"/>
      <c r="K963" s="324">
        <f>IF(K960=0,0,(K965*K969+K971*K975)/K960)</f>
        <v>64.375251971345037</v>
      </c>
      <c r="L963" s="325">
        <f>IF(L960=0,0,(L965*L969+L971*L975)/L960)</f>
        <v>3.9449898889215547</v>
      </c>
      <c r="M963" s="276"/>
      <c r="N963" s="199">
        <f>IF(N960=0,0,(N965*N969+N971*N975)/N960)</f>
        <v>40.642133151411592</v>
      </c>
      <c r="O963" s="173"/>
      <c r="P963" s="199">
        <f>IF(P960=0,0,(P965*P969+P971*P975)/P960)</f>
        <v>45.500939342284781</v>
      </c>
      <c r="Q963" s="241">
        <f>IF(Q960=0,0,(Q965*Q969+Q971*Q975)/Q960)</f>
        <v>1.8599406292705682</v>
      </c>
      <c r="R963" s="242"/>
      <c r="S963" s="199">
        <f>IF(S960=0,0,(S965*S969+S971*S975)/S960)</f>
        <v>21.105208390291708</v>
      </c>
      <c r="T963" s="173"/>
      <c r="U963" s="199">
        <f>IF(U960=0,0,(U965*U969+U971*U975)/U960)</f>
        <v>56.228039861515583</v>
      </c>
      <c r="V963" s="241">
        <f>IF(V960=0,0,(V965*V969+V971*V975)/V960)</f>
        <v>1.6962227397671086</v>
      </c>
      <c r="W963" s="242"/>
      <c r="X963" s="199">
        <f>IF(X960=0,0,(X965*X969+X971*X975)/X960)</f>
        <v>55.502020374771583</v>
      </c>
      <c r="Y963" s="173"/>
      <c r="Z963" s="199">
        <f>IF(Z960=0,0,(Z965*Z969+Z971*Z975)/Z960)</f>
        <v>64.375251971345037</v>
      </c>
      <c r="AA963" s="241">
        <f>IF(AA960=0,0,(AA965*AA969+AA971*AA975)/AA960)</f>
        <v>3.9449898889215547</v>
      </c>
      <c r="AB963" s="264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</row>
    <row r="964" spans="1:42" s="50" customFormat="1" ht="11.25">
      <c r="A964" s="48"/>
      <c r="B964" s="48"/>
      <c r="C964" s="48"/>
      <c r="D964" s="154" t="s">
        <v>281</v>
      </c>
      <c r="E964" s="154"/>
      <c r="F964" s="154" t="str">
        <f t="shared" si="1584"/>
        <v>Детство</v>
      </c>
      <c r="G964" s="154" t="s">
        <v>219</v>
      </c>
      <c r="H964" s="319"/>
      <c r="I964" s="320">
        <f>I962-I963</f>
        <v>93.350253518312627</v>
      </c>
      <c r="J964" s="321"/>
      <c r="K964" s="320">
        <f>K962-K963</f>
        <v>109.41631495088247</v>
      </c>
      <c r="L964" s="322">
        <f>L962-L963</f>
        <v>0</v>
      </c>
      <c r="M964" s="275"/>
      <c r="N964" s="155">
        <f>N962-N963</f>
        <v>63.037820556137838</v>
      </c>
      <c r="O964" s="173"/>
      <c r="P964" s="155">
        <f>P962-P963</f>
        <v>70.935480096715239</v>
      </c>
      <c r="Q964" s="239">
        <f>Q962-Q963</f>
        <v>-1.4552137272971777E-11</v>
      </c>
      <c r="R964" s="240"/>
      <c r="S964" s="155">
        <f>S962-S963</f>
        <v>28.562122482470542</v>
      </c>
      <c r="T964" s="173"/>
      <c r="U964" s="155">
        <f>U962-U963</f>
        <v>80.24862647995468</v>
      </c>
      <c r="V964" s="239">
        <f>V962-V963</f>
        <v>0</v>
      </c>
      <c r="W964" s="240"/>
      <c r="X964" s="155">
        <f>X962-X963</f>
        <v>93.350253518312627</v>
      </c>
      <c r="Y964" s="173"/>
      <c r="Z964" s="155">
        <f>Z962-Z963</f>
        <v>109.41631495088247</v>
      </c>
      <c r="AA964" s="239">
        <f>AA962-AA963</f>
        <v>0</v>
      </c>
      <c r="AB964" s="230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</row>
    <row r="965" spans="1:42" s="5" customFormat="1">
      <c r="A965" s="1"/>
      <c r="B965" s="1"/>
      <c r="C965" s="1"/>
      <c r="D965" s="168"/>
      <c r="E965" s="168" t="s">
        <v>282</v>
      </c>
      <c r="F965" s="168" t="str">
        <f t="shared" si="1584"/>
        <v>Детство</v>
      </c>
      <c r="G965" s="168" t="s">
        <v>261</v>
      </c>
      <c r="H965" s="326"/>
      <c r="I965" s="327">
        <f>SUMIFS(операции!$V:$V,операции!$T:$T,"&lt;="&amp;I$9,операции!$X:$X,"",операции!$AB:$AB,"&lt;&gt;"&amp;"",операции!$AB:$AB,"&lt;="&amp;I$9,операции!$O:$O,$F904)+SUMIFS(операции!$V:$V,операции!$T:$T,"&lt;="&amp;I$9,операции!$X:$X,"&gt;"&amp;I$9,операции!$AB:$AB,"&lt;&gt;"&amp;"",операции!$AB:$AB,"&lt;="&amp;I$9,операции!$O:$O,$F904)</f>
        <v>158520.53</v>
      </c>
      <c r="J965" s="313">
        <f>I965-K965-L965</f>
        <v>0</v>
      </c>
      <c r="K965" s="327">
        <f>SUMIFS(операции!$V:$V,операции!$T:$T,"&lt;="&amp;I$9,операции!$X:$X,"",операции!$AB:$AB,"&lt;&gt;"&amp;"",операции!$AB:$AB,"&lt;="&amp;I$9,операции!$L:$L,K$9,операции!$O:$O,$F904)+SUMIFS(операции!$V:$V,операции!$T:$T,"&lt;="&amp;I$9,операции!$X:$X,"&gt;"&amp;I$9,операции!$AB:$AB,"&lt;&gt;"&amp;"",операции!$AB:$AB,"&lt;="&amp;I$9,операции!$L:$L,K$9,операции!$O:$O,$F904)</f>
        <v>158520.53</v>
      </c>
      <c r="L965" s="328">
        <f>SUMIFS(операции!$V:$V,операции!$T:$T,"&lt;="&amp;I$9,операции!$X:$X,"",операции!$AB:$AB,"&lt;&gt;"&amp;"",операции!$AB:$AB,"&lt;="&amp;I$9,операции!$L:$L,L$9,операции!$O:$O,$F904)+SUMIFS(операции!$V:$V,операции!$T:$T,"&lt;="&amp;I$9,операции!$X:$X,"&gt;"&amp;I$9,операции!$AB:$AB,"&lt;&gt;"&amp;"",операции!$AB:$AB,"&lt;="&amp;I$9,операции!$L:$L,L$9,операции!$O:$O,$F904)</f>
        <v>0</v>
      </c>
      <c r="M965" s="277"/>
      <c r="N965" s="169">
        <f>SUMIFS(операции!$V:$V,операции!$T:$T,"&lt;="&amp;N$9,операции!$X:$X,"",операции!$AB:$AB,"&lt;&gt;"&amp;"",операции!$AB:$AB,"&lt;="&amp;N$9,операции!$O:$O,$F904)+SUMIFS(операции!$V:$V,операции!$T:$T,"&lt;="&amp;N$9,операции!$X:$X,"&gt;"&amp;N$9,операции!$AB:$AB,"&lt;&gt;"&amp;"",операции!$AB:$AB,"&lt;="&amp;N$9,операции!$O:$O,$F904)</f>
        <v>217478.16999999998</v>
      </c>
      <c r="O965" s="170">
        <f>N965-P965-Q965</f>
        <v>0</v>
      </c>
      <c r="P965" s="169">
        <f>SUMIFS(операции!$V:$V,операции!$T:$T,"&lt;="&amp;N$9,операции!$X:$X,"",операции!$AB:$AB,"&lt;&gt;"&amp;"",операции!$AB:$AB,"&lt;="&amp;N$9,операции!$L:$L,P$9,операции!$O:$O,$F904)+SUMIFS(операции!$V:$V,операции!$T:$T,"&lt;="&amp;N$9,операции!$X:$X,"&gt;"&amp;N$9,операции!$AB:$AB,"&lt;&gt;"&amp;"",операции!$AB:$AB,"&lt;="&amp;N$9,операции!$L:$L,P$9,операции!$O:$O,$F904)</f>
        <v>217478.16999999998</v>
      </c>
      <c r="Q965" s="243">
        <f>SUMIFS(операции!$V:$V,операции!$T:$T,"&lt;="&amp;N$9,операции!$X:$X,"",операции!$AB:$AB,"&lt;&gt;"&amp;"",операции!$AB:$AB,"&lt;="&amp;N$9,операции!$L:$L,Q$9,операции!$O:$O,$F904)+SUMIFS(операции!$V:$V,операции!$T:$T,"&lt;="&amp;N$9,операции!$X:$X,"&gt;"&amp;N$9,операции!$AB:$AB,"&lt;&gt;"&amp;"",операции!$AB:$AB,"&lt;="&amp;N$9,операции!$L:$L,Q$9,операции!$O:$O,$F904)</f>
        <v>0</v>
      </c>
      <c r="R965" s="244"/>
      <c r="S965" s="169">
        <f>SUMIFS(операции!$V:$V,операции!$T:$T,"&lt;="&amp;S$9,операции!$X:$X,"",операции!$AB:$AB,"&lt;&gt;"&amp;"",операции!$AB:$AB,"&lt;="&amp;S$9,операции!$O:$O,$F904)+SUMIFS(операции!$V:$V,операции!$T:$T,"&lt;="&amp;S$9,операции!$X:$X,"&gt;"&amp;S$9,операции!$AB:$AB,"&lt;&gt;"&amp;"",операции!$AB:$AB,"&lt;="&amp;S$9,операции!$O:$O,$F904)</f>
        <v>169498.41000000003</v>
      </c>
      <c r="T965" s="170">
        <f>S965-U965-V965</f>
        <v>0</v>
      </c>
      <c r="U965" s="169">
        <f>SUMIFS(операции!$V:$V,операции!$T:$T,"&lt;="&amp;S$9,операции!$X:$X,"",операции!$AB:$AB,"&lt;&gt;"&amp;"",операции!$AB:$AB,"&lt;="&amp;S$9,операции!$L:$L,U$9,операции!$O:$O,$F904)+SUMIFS(операции!$V:$V,операции!$T:$T,"&lt;="&amp;S$9,операции!$X:$X,"&gt;"&amp;S$9,операции!$AB:$AB,"&lt;&gt;"&amp;"",операции!$AB:$AB,"&lt;="&amp;S$9,операции!$L:$L,U$9,операции!$O:$O,$F904)</f>
        <v>169498.41000000003</v>
      </c>
      <c r="V965" s="243">
        <f>SUMIFS(операции!$V:$V,операции!$T:$T,"&lt;="&amp;S$9,операции!$X:$X,"",операции!$AB:$AB,"&lt;&gt;"&amp;"",операции!$AB:$AB,"&lt;="&amp;S$9,операции!$L:$L,V$9,операции!$O:$O,$F904)+SUMIFS(операции!$V:$V,операции!$T:$T,"&lt;="&amp;S$9,операции!$X:$X,"&gt;"&amp;S$9,операции!$AB:$AB,"&lt;&gt;"&amp;"",операции!$AB:$AB,"&lt;="&amp;S$9,операции!$L:$L,V$9,операции!$O:$O,$F904)</f>
        <v>0</v>
      </c>
      <c r="W965" s="244"/>
      <c r="X965" s="169">
        <f>SUMIFS(операции!$V:$V,операции!$T:$T,"&lt;="&amp;X$9,операции!$X:$X,"",операции!$AB:$AB,"&lt;&gt;"&amp;"",операции!$AB:$AB,"&lt;="&amp;X$9,операции!$O:$O,$F904)+SUMIFS(операции!$V:$V,операции!$T:$T,"&lt;="&amp;X$9,операции!$X:$X,"&gt;"&amp;X$9,операции!$AB:$AB,"&lt;&gt;"&amp;"",операции!$AB:$AB,"&lt;="&amp;X$9,операции!$O:$O,$F904)</f>
        <v>158520.53</v>
      </c>
      <c r="Y965" s="170">
        <f>X965-Z965-AA965</f>
        <v>0</v>
      </c>
      <c r="Z965" s="169">
        <f>SUMIFS(операции!$V:$V,операции!$T:$T,"&lt;="&amp;X$9,операции!$X:$X,"",операции!$AB:$AB,"&lt;&gt;"&amp;"",операции!$AB:$AB,"&lt;="&amp;X$9,операции!$L:$L,Z$9,операции!$O:$O,$F904)+SUMIFS(операции!$V:$V,операции!$T:$T,"&lt;="&amp;X$9,операции!$X:$X,"&gt;"&amp;X$9,операции!$AB:$AB,"&lt;&gt;"&amp;"",операции!$AB:$AB,"&lt;="&amp;X$9,операции!$L:$L,Z$9,операции!$O:$O,$F904)</f>
        <v>158520.53</v>
      </c>
      <c r="AA965" s="243">
        <f>SUMIFS(операции!$V:$V,операции!$T:$T,"&lt;="&amp;X$9,операции!$X:$X,"",операции!$AB:$AB,"&lt;&gt;"&amp;"",операции!$AB:$AB,"&lt;="&amp;X$9,операции!$L:$L,AA$9,операции!$O:$O,$F904)+SUMIFS(операции!$V:$V,операции!$T:$T,"&lt;="&amp;X$9,операции!$X:$X,"&gt;"&amp;X$9,операции!$AB:$AB,"&lt;&gt;"&amp;"",операции!$AB:$AB,"&lt;="&amp;X$9,операции!$L:$L,AA$9,операции!$O:$O,$F904)</f>
        <v>0</v>
      </c>
      <c r="AB965" s="266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s="192" customFormat="1" ht="11.25">
      <c r="A966" s="37"/>
      <c r="B966" s="37"/>
      <c r="C966" s="37"/>
      <c r="D966" s="191"/>
      <c r="E966" s="191" t="s">
        <v>255</v>
      </c>
      <c r="F966" s="191" t="str">
        <f t="shared" si="1584"/>
        <v>Детство</v>
      </c>
      <c r="G966" s="191" t="s">
        <v>262</v>
      </c>
      <c r="H966" s="315"/>
      <c r="I966" s="316">
        <f>IF(I965=0,0,(SUMIFS(операции!$AF:$AF,операции!$T:$T,"&lt;="&amp;I$9,операции!$X:$X,"",операции!$AB:$AB,"&lt;&gt;"&amp;"",операции!$AB:$AB,"&lt;="&amp;I$9,операции!$O:$O,$F904)+SUMIFS(операции!$AF:$AF,операции!$T:$T,"&lt;="&amp;I$9,операции!$X:$X,"&gt;"&amp;I$9,операции!$AB:$AB,"&lt;&gt;"&amp;"",операции!$AB:$AB,"&lt;="&amp;I$9,операции!$O:$O,$F904))/I965)</f>
        <v>42203.815072722755</v>
      </c>
      <c r="J966" s="317"/>
      <c r="K966" s="316">
        <f>IF(K965=0,0,(SUMIFS(операции!$AF:$AF,операции!$T:$T,"&lt;="&amp;I$9,операции!$X:$X,"",операции!$AB:$AB,"&lt;&gt;"&amp;"",операции!$AB:$AB,"&lt;="&amp;I$9,операции!$L:$L,K$9,операции!$O:$O,$F904)+SUMIFS(операции!$AF:$AF,операции!$T:$T,"&lt;="&amp;I$9,операции!$X:$X,"&gt;"&amp;I$9,операции!$AB:$AB,"&lt;&gt;"&amp;"",операции!$AB:$AB,"&lt;="&amp;I$9,операции!$L:$L,K$9,операции!$O:$O,$F904))/K965)</f>
        <v>42203.815072722755</v>
      </c>
      <c r="L966" s="318">
        <f>IF(L965=0,0,(SUMIFS(операции!$AF:$AF,операции!$T:$T,"&lt;="&amp;I$9,операции!$X:$X,"",операции!$AB:$AB,"&lt;&gt;"&amp;"",операции!$AB:$AB,"&lt;="&amp;I$9,операции!$L:$L,L$9,операции!$O:$O,$F904)+SUMIFS(операции!$AF:$AF,операции!$T:$T,"&lt;="&amp;I$9,операции!$X:$X,"&gt;"&amp;I$9,операции!$AB:$AB,"&lt;&gt;"&amp;"",операции!$AB:$AB,"&lt;="&amp;I$9,операции!$L:$L,L$9,операции!$O:$O,$F904))/L965)</f>
        <v>0</v>
      </c>
      <c r="M966" s="274"/>
      <c r="N966" s="193">
        <f>IF(N965=0,0,(SUMIFS(операции!$AF:$AF,операции!$T:$T,"&lt;="&amp;N$9,операции!$X:$X,"",операции!$AB:$AB,"&lt;&gt;"&amp;"",операции!$AB:$AB,"&lt;="&amp;N$9,операции!$O:$O,$F904)+SUMIFS(операции!$AF:$AF,операции!$T:$T,"&lt;="&amp;N$9,операции!$X:$X,"&gt;"&amp;N$9,операции!$AB:$AB,"&lt;&gt;"&amp;"",операции!$AB:$AB,"&lt;="&amp;N$9,операции!$O:$O,$F904))/N965)</f>
        <v>42175.54094118964</v>
      </c>
      <c r="O966" s="196"/>
      <c r="P966" s="193">
        <f>IF(P965=0,0,(SUMIFS(операции!$AF:$AF,операции!$T:$T,"&lt;="&amp;N$9,операции!$X:$X,"",операции!$AB:$AB,"&lt;&gt;"&amp;"",операции!$AB:$AB,"&lt;="&amp;N$9,операции!$L:$L,P$9,операции!$O:$O,$F904)+SUMIFS(операции!$AF:$AF,операции!$T:$T,"&lt;="&amp;N$9,операции!$X:$X,"&gt;"&amp;N$9,операции!$AB:$AB,"&lt;&gt;"&amp;"",операции!$AB:$AB,"&lt;="&amp;N$9,операции!$L:$L,P$9,операции!$O:$O,$F904))/P965)</f>
        <v>42175.54094118964</v>
      </c>
      <c r="Q966" s="237">
        <f>IF(Q965=0,0,(SUMIFS(операции!$AF:$AF,операции!$T:$T,"&lt;="&amp;N$9,операции!$X:$X,"",операции!$AB:$AB,"&lt;&gt;"&amp;"",операции!$AB:$AB,"&lt;="&amp;N$9,операции!$L:$L,Q$9,операции!$O:$O,$F904)+SUMIFS(операции!$AF:$AF,операции!$T:$T,"&lt;="&amp;N$9,операции!$X:$X,"&gt;"&amp;N$9,операции!$AB:$AB,"&lt;&gt;"&amp;"",операции!$AB:$AB,"&lt;="&amp;N$9,операции!$L:$L,Q$9,операции!$O:$O,$F904))/Q965)</f>
        <v>0</v>
      </c>
      <c r="R966" s="238"/>
      <c r="S966" s="193">
        <f>IF(S965=0,0,(SUMIFS(операции!$AF:$AF,операции!$T:$T,"&lt;="&amp;S$9,операции!$X:$X,"",операции!$AB:$AB,"&lt;&gt;"&amp;"",операции!$AB:$AB,"&lt;="&amp;S$9,операции!$O:$O,$F904)+SUMIFS(операции!$AF:$AF,операции!$T:$T,"&lt;="&amp;S$9,операции!$X:$X,"&gt;"&amp;S$9,операции!$AB:$AB,"&lt;&gt;"&amp;"",операции!$AB:$AB,"&lt;="&amp;S$9,операции!$O:$O,$F904))/S965)</f>
        <v>42208.204766168594</v>
      </c>
      <c r="T966" s="196"/>
      <c r="U966" s="193">
        <f>IF(U965=0,0,(SUMIFS(операции!$AF:$AF,операции!$T:$T,"&lt;="&amp;S$9,операции!$X:$X,"",операции!$AB:$AB,"&lt;&gt;"&amp;"",операции!$AB:$AB,"&lt;="&amp;S$9,операции!$L:$L,U$9,операции!$O:$O,$F904)+SUMIFS(операции!$AF:$AF,операции!$T:$T,"&lt;="&amp;S$9,операции!$X:$X,"&gt;"&amp;S$9,операции!$AB:$AB,"&lt;&gt;"&amp;"",операции!$AB:$AB,"&lt;="&amp;S$9,операции!$L:$L,U$9,операции!$O:$O,$F904))/U965)</f>
        <v>42208.204766168594</v>
      </c>
      <c r="V966" s="237">
        <f>IF(V965=0,0,(SUMIFS(операции!$AF:$AF,операции!$T:$T,"&lt;="&amp;S$9,операции!$X:$X,"",операции!$AB:$AB,"&lt;&gt;"&amp;"",операции!$AB:$AB,"&lt;="&amp;S$9,операции!$L:$L,V$9,операции!$O:$O,$F904)+SUMIFS(операции!$AF:$AF,операции!$T:$T,"&lt;="&amp;S$9,операции!$X:$X,"&gt;"&amp;S$9,операции!$AB:$AB,"&lt;&gt;"&amp;"",операции!$AB:$AB,"&lt;="&amp;S$9,операции!$L:$L,V$9,операции!$O:$O,$F904))/V965)</f>
        <v>0</v>
      </c>
      <c r="W966" s="238"/>
      <c r="X966" s="193">
        <f>IF(X965=0,0,(SUMIFS(операции!$AF:$AF,операции!$T:$T,"&lt;="&amp;X$9,операции!$X:$X,"",операции!$AB:$AB,"&lt;&gt;"&amp;"",операции!$AB:$AB,"&lt;="&amp;X$9,операции!$O:$O,$F904)+SUMIFS(операции!$AF:$AF,операции!$T:$T,"&lt;="&amp;X$9,операции!$X:$X,"&gt;"&amp;X$9,операции!$AB:$AB,"&lt;&gt;"&amp;"",операции!$AB:$AB,"&lt;="&amp;X$9,операции!$O:$O,$F904))/X965)</f>
        <v>42203.815072722755</v>
      </c>
      <c r="Y966" s="196"/>
      <c r="Z966" s="193">
        <f>IF(Z965=0,0,(SUMIFS(операции!$AF:$AF,операции!$T:$T,"&lt;="&amp;X$9,операции!$X:$X,"",операции!$AB:$AB,"&lt;&gt;"&amp;"",операции!$AB:$AB,"&lt;="&amp;X$9,операции!$L:$L,Z$9,операции!$O:$O,$F904)+SUMIFS(операции!$AF:$AF,операции!$T:$T,"&lt;="&amp;X$9,операции!$X:$X,"&gt;"&amp;X$9,операции!$AB:$AB,"&lt;&gt;"&amp;"",операции!$AB:$AB,"&lt;="&amp;X$9,операции!$L:$L,Z$9,операции!$O:$O,$F904))/Z965)</f>
        <v>42203.815072722755</v>
      </c>
      <c r="AA966" s="237">
        <f>IF(AA965=0,0,(SUMIFS(операции!$AF:$AF,операции!$T:$T,"&lt;="&amp;X$9,операции!$X:$X,"",операции!$AB:$AB,"&lt;&gt;"&amp;"",операции!$AB:$AB,"&lt;="&amp;X$9,операции!$L:$L,AA$9,операции!$O:$O,$F904)+SUMIFS(операции!$AF:$AF,операции!$T:$T,"&lt;="&amp;X$9,операции!$X:$X,"&gt;"&amp;X$9,операции!$AB:$AB,"&lt;&gt;"&amp;"",операции!$AB:$AB,"&lt;="&amp;X$9,операции!$L:$L,AA$9,операции!$O:$O,$F904))/AA965)</f>
        <v>0</v>
      </c>
      <c r="AB966" s="265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</row>
    <row r="967" spans="1:42" s="192" customFormat="1" ht="11.25">
      <c r="A967" s="37"/>
      <c r="B967" s="37"/>
      <c r="C967" s="37"/>
      <c r="D967" s="191"/>
      <c r="E967" s="191" t="s">
        <v>283</v>
      </c>
      <c r="F967" s="191" t="str">
        <f t="shared" si="1584"/>
        <v>Детство</v>
      </c>
      <c r="G967" s="191" t="s">
        <v>219</v>
      </c>
      <c r="H967" s="315"/>
      <c r="I967" s="329">
        <f>IF(I965=0,0,I$9-I966)</f>
        <v>165.18492727724515</v>
      </c>
      <c r="J967" s="317"/>
      <c r="K967" s="329">
        <f>IF(K965=0,0,I$9-K966)</f>
        <v>165.18492727724515</v>
      </c>
      <c r="L967" s="330">
        <f>IF(L965=0,0,I$9-L966)</f>
        <v>0</v>
      </c>
      <c r="M967" s="274"/>
      <c r="N967" s="156">
        <f>IF(N965=0,0,N$9-N966)</f>
        <v>132.45905881036015</v>
      </c>
      <c r="O967" s="196"/>
      <c r="P967" s="156">
        <f>IF(P965=0,0,N$9-P966)</f>
        <v>132.45905881036015</v>
      </c>
      <c r="Q967" s="245">
        <f>IF(Q965=0,0,N$9-Q966)</f>
        <v>0</v>
      </c>
      <c r="R967" s="238"/>
      <c r="S967" s="156">
        <f>IF(S965=0,0,S$9-S966)</f>
        <v>129.79523383140622</v>
      </c>
      <c r="T967" s="196"/>
      <c r="U967" s="156">
        <f>IF(U965=0,0,S$9-U966)</f>
        <v>129.79523383140622</v>
      </c>
      <c r="V967" s="245">
        <f>IF(V965=0,0,S$9-V966)</f>
        <v>0</v>
      </c>
      <c r="W967" s="238"/>
      <c r="X967" s="156">
        <f>IF(X965=0,0,X$9-X966)</f>
        <v>165.18492727724515</v>
      </c>
      <c r="Y967" s="196"/>
      <c r="Z967" s="156">
        <f>IF(Z965=0,0,X$9-Z966)</f>
        <v>165.18492727724515</v>
      </c>
      <c r="AA967" s="245">
        <f>IF(AA965=0,0,X$9-AA966)</f>
        <v>0</v>
      </c>
      <c r="AB967" s="265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</row>
    <row r="968" spans="1:42" s="192" customFormat="1" ht="11.25">
      <c r="A968" s="37"/>
      <c r="B968" s="37"/>
      <c r="C968" s="37"/>
      <c r="D968" s="191"/>
      <c r="E968" s="191" t="s">
        <v>259</v>
      </c>
      <c r="F968" s="191" t="str">
        <f t="shared" si="1584"/>
        <v>Детство</v>
      </c>
      <c r="G968" s="191" t="s">
        <v>262</v>
      </c>
      <c r="H968" s="315"/>
      <c r="I968" s="316">
        <f>IF(I965=0,0,(SUMIFS(операции!$AH:$AH,операции!$T:$T,"&lt;="&amp;I$9,операции!$X:$X,"",операции!$AB:$AB,"&lt;&gt;"&amp;"",операции!$AB:$AB,"&lt;="&amp;I$9,операции!$O:$O,$F904)+SUMIFS(операции!$AH:$AH,операции!$T:$T,"&lt;="&amp;I$9,операции!$X:$X,"&gt;"&amp;I$9,операции!$AB:$AB,"&lt;&gt;"&amp;"",операции!$AB:$AB,"&lt;="&amp;I$9,операции!$O:$O,$F904))/I965)</f>
        <v>42232.156429391209</v>
      </c>
      <c r="J968" s="317"/>
      <c r="K968" s="316">
        <f>IF(K965=0,0,(SUMIFS(операции!$AH:$AH,операции!$T:$T,"&lt;="&amp;I$9,операции!$X:$X,"",операции!$AB:$AB,"&lt;&gt;"&amp;"",операции!$AB:$AB,"&lt;="&amp;I$9,операции!$L:$L,K$9,операции!$O:$O,$F904)+SUMIFS(операции!$AH:$AH,операции!$T:$T,"&lt;="&amp;I$9,операции!$X:$X,"&gt;"&amp;I$9,операции!$AB:$AB,"&lt;&gt;"&amp;"",операции!$AB:$AB,"&lt;="&amp;I$9,операции!$L:$L,K$9,операции!$O:$O,$F904))/K965)</f>
        <v>42232.156429391209</v>
      </c>
      <c r="L968" s="318">
        <f>IF(L965=0,0,(SUMIFS(операции!$AH:$AH,операции!$T:$T,"&lt;="&amp;I$9,операции!$X:$X,"",операции!$AB:$AB,"&lt;&gt;"&amp;"",операции!$AB:$AB,"&lt;="&amp;I$9,операции!$L:$L,L$9,операции!$O:$O,$F904)+SUMIFS(операции!$AH:$AH,операции!$T:$T,"&lt;="&amp;I$9,операции!$X:$X,"&gt;"&amp;I$9,операции!$AB:$AB,"&lt;&gt;"&amp;"",операции!$AB:$AB,"&lt;="&amp;I$9,операции!$L:$L,L$9,операции!$O:$O,$F904))/L965)</f>
        <v>0</v>
      </c>
      <c r="M968" s="274"/>
      <c r="N968" s="193">
        <f>IF(N965=0,0,(SUMIFS(операции!$AH:$AH,операции!$T:$T,"&lt;="&amp;N$9,операции!$X:$X,"",операции!$AB:$AB,"&lt;&gt;"&amp;"",операции!$AB:$AB,"&lt;="&amp;N$9,операции!$O:$O,$F904)+SUMIFS(операции!$AH:$AH,операции!$T:$T,"&lt;="&amp;N$9,операции!$X:$X,"&gt;"&amp;N$9,операции!$AB:$AB,"&lt;&gt;"&amp;"",операции!$AB:$AB,"&lt;="&amp;N$9,операции!$O:$O,$F904))/N965)</f>
        <v>42201.758126160443</v>
      </c>
      <c r="O968" s="196"/>
      <c r="P968" s="193">
        <f>IF(P965=0,0,(SUMIFS(операции!$AH:$AH,операции!$T:$T,"&lt;="&amp;N$9,операции!$X:$X,"",операции!$AB:$AB,"&lt;&gt;"&amp;"",операции!$AB:$AB,"&lt;="&amp;N$9,операции!$L:$L,P$9,операции!$O:$O,$F904)+SUMIFS(операции!$AH:$AH,операции!$T:$T,"&lt;="&amp;N$9,операции!$X:$X,"&gt;"&amp;N$9,операции!$AB:$AB,"&lt;&gt;"&amp;"",операции!$AB:$AB,"&lt;="&amp;N$9,операции!$L:$L,P$9,операции!$O:$O,$F904))/P965)</f>
        <v>42201.758126160443</v>
      </c>
      <c r="Q968" s="237">
        <f>IF(Q965=0,0,(SUMIFS(операции!$AH:$AH,операции!$T:$T,"&lt;="&amp;N$9,операции!$X:$X,"",операции!$AB:$AB,"&lt;&gt;"&amp;"",операции!$AB:$AB,"&lt;="&amp;N$9,операции!$L:$L,Q$9,операции!$O:$O,$F904)+SUMIFS(операции!$AH:$AH,операции!$T:$T,"&lt;="&amp;N$9,операции!$X:$X,"&gt;"&amp;N$9,операции!$AB:$AB,"&lt;&gt;"&amp;"",операции!$AB:$AB,"&lt;="&amp;N$9,операции!$L:$L,Q$9,операции!$O:$O,$F904))/Q965)</f>
        <v>0</v>
      </c>
      <c r="R968" s="238"/>
      <c r="S968" s="193">
        <f>IF(S965=0,0,(SUMIFS(операции!$AH:$AH,операции!$T:$T,"&lt;="&amp;S$9,операции!$X:$X,"",операции!$AB:$AB,"&lt;&gt;"&amp;"",операции!$AB:$AB,"&lt;="&amp;S$9,операции!$O:$O,$F904)+SUMIFS(операции!$AH:$AH,операции!$T:$T,"&lt;="&amp;S$9,операции!$X:$X,"&gt;"&amp;S$9,операции!$AB:$AB,"&lt;&gt;"&amp;"",операции!$AB:$AB,"&lt;="&amp;S$9,операции!$O:$O,$F904))/S965)</f>
        <v>42236.476515030437</v>
      </c>
      <c r="T968" s="196"/>
      <c r="U968" s="193">
        <f>IF(U965=0,0,(SUMIFS(операции!$AH:$AH,операции!$T:$T,"&lt;="&amp;S$9,операции!$X:$X,"",операции!$AB:$AB,"&lt;&gt;"&amp;"",операции!$AB:$AB,"&lt;="&amp;S$9,операции!$L:$L,U$9,операции!$O:$O,$F904)+SUMIFS(операции!$AH:$AH,операции!$T:$T,"&lt;="&amp;S$9,операции!$X:$X,"&gt;"&amp;S$9,операции!$AB:$AB,"&lt;&gt;"&amp;"",операции!$AB:$AB,"&lt;="&amp;S$9,операции!$L:$L,U$9,операции!$O:$O,$F904))/U965)</f>
        <v>42236.476515030437</v>
      </c>
      <c r="V968" s="237">
        <f>IF(V965=0,0,(SUMIFS(операции!$AH:$AH,операции!$T:$T,"&lt;="&amp;S$9,операции!$X:$X,"",операции!$AB:$AB,"&lt;&gt;"&amp;"",операции!$AB:$AB,"&lt;="&amp;S$9,операции!$L:$L,V$9,операции!$O:$O,$F904)+SUMIFS(операции!$AH:$AH,операции!$T:$T,"&lt;="&amp;S$9,операции!$X:$X,"&gt;"&amp;S$9,операции!$AB:$AB,"&lt;&gt;"&amp;"",операции!$AB:$AB,"&lt;="&amp;S$9,операции!$L:$L,V$9,операции!$O:$O,$F904))/V965)</f>
        <v>0</v>
      </c>
      <c r="W968" s="238"/>
      <c r="X968" s="193">
        <f>IF(X965=0,0,(SUMIFS(операции!$AH:$AH,операции!$T:$T,"&lt;="&amp;X$9,операции!$X:$X,"",операции!$AB:$AB,"&lt;&gt;"&amp;"",операции!$AB:$AB,"&lt;="&amp;X$9,операции!$O:$O,$F904)+SUMIFS(операции!$AH:$AH,операции!$T:$T,"&lt;="&amp;X$9,операции!$X:$X,"&gt;"&amp;X$9,операции!$AB:$AB,"&lt;&gt;"&amp;"",операции!$AB:$AB,"&lt;="&amp;X$9,операции!$O:$O,$F904))/X965)</f>
        <v>42232.156429391209</v>
      </c>
      <c r="Y968" s="196"/>
      <c r="Z968" s="193">
        <f>IF(Z965=0,0,(SUMIFS(операции!$AH:$AH,операции!$T:$T,"&lt;="&amp;X$9,операции!$X:$X,"",операции!$AB:$AB,"&lt;&gt;"&amp;"",операции!$AB:$AB,"&lt;="&amp;X$9,операции!$L:$L,Z$9,операции!$O:$O,$F904)+SUMIFS(операции!$AH:$AH,операции!$T:$T,"&lt;="&amp;X$9,операции!$X:$X,"&gt;"&amp;X$9,операции!$AB:$AB,"&lt;&gt;"&amp;"",операции!$AB:$AB,"&lt;="&amp;X$9,операции!$L:$L,Z$9,операции!$O:$O,$F904))/Z965)</f>
        <v>42232.156429391209</v>
      </c>
      <c r="AA968" s="237">
        <f>IF(AA965=0,0,(SUMIFS(операции!$AH:$AH,операции!$T:$T,"&lt;="&amp;X$9,операции!$X:$X,"",операции!$AB:$AB,"&lt;&gt;"&amp;"",операции!$AB:$AB,"&lt;="&amp;X$9,операции!$L:$L,AA$9,операции!$O:$O,$F904)+SUMIFS(операции!$AH:$AH,операции!$T:$T,"&lt;="&amp;X$9,операции!$X:$X,"&gt;"&amp;X$9,операции!$AB:$AB,"&lt;&gt;"&amp;"",операции!$AB:$AB,"&lt;="&amp;X$9,операции!$L:$L,AA$9,операции!$O:$O,$F904))/AA965)</f>
        <v>0</v>
      </c>
      <c r="AB968" s="265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</row>
    <row r="969" spans="1:42" s="192" customFormat="1" ht="11.25">
      <c r="A969" s="37"/>
      <c r="B969" s="37"/>
      <c r="C969" s="37"/>
      <c r="D969" s="191"/>
      <c r="E969" s="191" t="s">
        <v>284</v>
      </c>
      <c r="F969" s="191" t="str">
        <f t="shared" si="1584"/>
        <v>Детство</v>
      </c>
      <c r="G969" s="191" t="s">
        <v>219</v>
      </c>
      <c r="H969" s="315"/>
      <c r="I969" s="329">
        <f>I968-I966</f>
        <v>28.341356668453955</v>
      </c>
      <c r="J969" s="317"/>
      <c r="K969" s="329">
        <f>K968-K966</f>
        <v>28.341356668453955</v>
      </c>
      <c r="L969" s="330">
        <f>L968-L966</f>
        <v>0</v>
      </c>
      <c r="M969" s="274"/>
      <c r="N969" s="156">
        <f>N968-N966</f>
        <v>26.217184970802919</v>
      </c>
      <c r="O969" s="196"/>
      <c r="P969" s="156">
        <f>P968-P966</f>
        <v>26.217184970802919</v>
      </c>
      <c r="Q969" s="245">
        <f>Q968-Q966</f>
        <v>0</v>
      </c>
      <c r="R969" s="238"/>
      <c r="S969" s="156">
        <f>S968-S966</f>
        <v>28.271748861843662</v>
      </c>
      <c r="T969" s="196"/>
      <c r="U969" s="156">
        <f>U968-U966</f>
        <v>28.271748861843662</v>
      </c>
      <c r="V969" s="245">
        <f>V968-V966</f>
        <v>0</v>
      </c>
      <c r="W969" s="238"/>
      <c r="X969" s="156">
        <f>X968-X966</f>
        <v>28.341356668453955</v>
      </c>
      <c r="Y969" s="196"/>
      <c r="Z969" s="156">
        <f>Z968-Z966</f>
        <v>28.341356668453955</v>
      </c>
      <c r="AA969" s="245">
        <f>AA968-AA966</f>
        <v>0</v>
      </c>
      <c r="AB969" s="265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</row>
    <row r="970" spans="1:42" s="192" customFormat="1" ht="11.25">
      <c r="A970" s="37"/>
      <c r="B970" s="37"/>
      <c r="C970" s="37"/>
      <c r="D970" s="191"/>
      <c r="E970" s="191" t="s">
        <v>285</v>
      </c>
      <c r="F970" s="191" t="str">
        <f t="shared" si="1584"/>
        <v>Детство</v>
      </c>
      <c r="G970" s="191" t="s">
        <v>219</v>
      </c>
      <c r="H970" s="315"/>
      <c r="I970" s="329">
        <f>I967-I969</f>
        <v>136.8435706087912</v>
      </c>
      <c r="J970" s="317"/>
      <c r="K970" s="329">
        <f>K967-K969</f>
        <v>136.8435706087912</v>
      </c>
      <c r="L970" s="330">
        <f>L967-L969</f>
        <v>0</v>
      </c>
      <c r="M970" s="274"/>
      <c r="N970" s="156">
        <f>N967-N969</f>
        <v>106.24187383955723</v>
      </c>
      <c r="O970" s="196"/>
      <c r="P970" s="156">
        <f>P967-P969</f>
        <v>106.24187383955723</v>
      </c>
      <c r="Q970" s="245">
        <f>Q967-Q969</f>
        <v>0</v>
      </c>
      <c r="R970" s="238"/>
      <c r="S970" s="156">
        <f>S967-S969</f>
        <v>101.52348496956256</v>
      </c>
      <c r="T970" s="196"/>
      <c r="U970" s="156">
        <f>U967-U969</f>
        <v>101.52348496956256</v>
      </c>
      <c r="V970" s="245">
        <f>V967-V969</f>
        <v>0</v>
      </c>
      <c r="W970" s="238"/>
      <c r="X970" s="156">
        <f>X967-X969</f>
        <v>136.8435706087912</v>
      </c>
      <c r="Y970" s="196"/>
      <c r="Z970" s="156">
        <f>Z967-Z969</f>
        <v>136.8435706087912</v>
      </c>
      <c r="AA970" s="245">
        <f>AA967-AA969</f>
        <v>0</v>
      </c>
      <c r="AB970" s="265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</row>
    <row r="971" spans="1:42" s="5" customFormat="1">
      <c r="A971" s="1"/>
      <c r="B971" s="1"/>
      <c r="C971" s="1"/>
      <c r="D971" s="168"/>
      <c r="E971" s="168" t="s">
        <v>286</v>
      </c>
      <c r="F971" s="168" t="str">
        <f t="shared" si="1584"/>
        <v>Детство</v>
      </c>
      <c r="G971" s="168" t="s">
        <v>261</v>
      </c>
      <c r="H971" s="326"/>
      <c r="I971" s="327">
        <f>SUMIFS(операции!$V:$V,операции!$T:$T,"&lt;="&amp;I$9,операции!$X:$X,"",операции!$AB:$AB,"",операции!$O:$O,$F904)+SUMIFS(операции!$V:$V,операции!$T:$T,"&lt;="&amp;I$9,операции!$X:$X,"&gt;"&amp;I$9,операции!$AB:$AB,"",операции!$O:$O,$F904)+SUMIFS(операции!$V:$V,операции!$T:$T,"&lt;="&amp;I$9,операции!$X:$X,"",операции!$AB:$AB,"&gt;"&amp;I$9,операции!$O:$O,$F904)+SUMIFS(операции!$V:$V,операции!$T:$T,"&lt;="&amp;I$9,операции!$X:$X,"&gt;"&amp;I$9,операции!$AB:$AB,"&gt;"&amp;I$9,операции!$O:$O,$F904)</f>
        <v>73857.149999999994</v>
      </c>
      <c r="J971" s="313">
        <f>I971-K971-L971</f>
        <v>0</v>
      </c>
      <c r="K971" s="327">
        <f>SUMIFS(операции!$V:$V,операции!$T:$T,"&lt;="&amp;I$9,операции!$X:$X,"",операции!$AB:$AB,"",операции!$L:$L,K$9,операции!$O:$O,$F904)+SUMIFS(операции!$V:$V,операции!$T:$T,"&lt;="&amp;I$9,операции!$X:$X,"&gt;"&amp;I$9,операции!$AB:$AB,"",операции!$L:$L,K$9,операции!$O:$O,$F904)+SUMIFS(операции!$V:$V,операции!$T:$T,"&lt;="&amp;I$9,операции!$X:$X,"",операции!$AB:$AB,"&gt;"&amp;I$9,операции!$L:$L,K$9,операции!$O:$O,$F904)+SUMIFS(операции!$V:$V,операции!$T:$T,"&lt;="&amp;I$9,операции!$X:$X,"&gt;"&amp;I$9,операции!$AB:$AB,"&gt;"&amp;I$9,операции!$L:$L,K$9,операции!$O:$O,$F904)</f>
        <v>39736.15</v>
      </c>
      <c r="L971" s="328">
        <f>SUMIFS(операции!$V:$V,операции!$T:$T,"&lt;="&amp;I$9,операции!$X:$X,"",операции!$AB:$AB,"",операции!$L:$L,L$9,операции!$O:$O,$F904)+SUMIFS(операции!$V:$V,операции!$T:$T,"&lt;="&amp;I$9,операции!$X:$X,"&gt;"&amp;I$9,операции!$AB:$AB,"",операции!$L:$L,L$9,операции!$O:$O,$F904)+SUMIFS(операции!$V:$V,операции!$T:$T,"&lt;="&amp;I$9,операции!$X:$X,"",операции!$AB:$AB,"&gt;"&amp;I$9,операции!$L:$L,L$9,операции!$O:$O,$F904)+SUMIFS(операции!$V:$V,операции!$T:$T,"&lt;="&amp;I$9,операции!$X:$X,"&gt;"&amp;I$9,операции!$AB:$AB,"&gt;"&amp;I$9,операции!$L:$L,L$9,операции!$O:$O,$F904)</f>
        <v>34121</v>
      </c>
      <c r="M971" s="277"/>
      <c r="N971" s="169">
        <f>SUMIFS(операции!$V:$V,операции!$T:$T,"&lt;="&amp;N$9,операции!$X:$X,"",операции!$AB:$AB,"",операции!$O:$O,$F904)+SUMIFS(операции!$V:$V,операции!$T:$T,"&lt;="&amp;N$9,операции!$X:$X,"&gt;"&amp;N$9,операции!$AB:$AB,"",операции!$O:$O,$F904)+SUMIFS(операции!$V:$V,операции!$T:$T,"&lt;="&amp;N$9,операции!$X:$X,"",операции!$AB:$AB,"&gt;"&amp;N$9,операции!$O:$O,$F904)+SUMIFS(операции!$V:$V,операции!$T:$T,"&lt;="&amp;N$9,операции!$X:$X,"&gt;"&amp;N$9,операции!$AB:$AB,"&gt;"&amp;N$9,операции!$O:$O,$F904)</f>
        <v>149052.4</v>
      </c>
      <c r="O971" s="170">
        <f>N971-P971-Q971</f>
        <v>0</v>
      </c>
      <c r="P971" s="169">
        <f>SUMIFS(операции!$V:$V,операции!$T:$T,"&lt;="&amp;N$9,операции!$X:$X,"",операции!$AB:$AB,"",операции!$L:$L,P$9,операции!$O:$O,$F904)+SUMIFS(операции!$V:$V,операции!$T:$T,"&lt;="&amp;N$9,операции!$X:$X,"&gt;"&amp;N$9,операции!$AB:$AB,"",операции!$L:$L,P$9,операции!$O:$O,$F904)+SUMIFS(операции!$V:$V,операции!$T:$T,"&lt;="&amp;N$9,операции!$X:$X,"",операции!$AB:$AB,"&gt;"&amp;N$9,операции!$L:$L,P$9,операции!$O:$O,$F904)+SUMIFS(операции!$V:$V,операции!$T:$T,"&lt;="&amp;N$9,операции!$X:$X,"&gt;"&amp;N$9,операции!$AB:$AB,"&gt;"&amp;N$9,операции!$L:$L,P$9,операции!$O:$O,$F904)</f>
        <v>108244.42</v>
      </c>
      <c r="Q971" s="243">
        <f>SUMIFS(операции!$V:$V,операции!$T:$T,"&lt;="&amp;N$9,операции!$X:$X,"",операции!$AB:$AB,"",операции!$L:$L,Q$9,операции!$O:$O,$F904)+SUMIFS(операции!$V:$V,операции!$T:$T,"&lt;="&amp;N$9,операции!$X:$X,"&gt;"&amp;N$9,операции!$AB:$AB,"",операции!$L:$L,Q$9,операции!$O:$O,$F904)+SUMIFS(операции!$V:$V,операции!$T:$T,"&lt;="&amp;N$9,операции!$X:$X,"",операции!$AB:$AB,"&gt;"&amp;N$9,операции!$L:$L,Q$9,операции!$O:$O,$F904)+SUMIFS(операции!$V:$V,операции!$T:$T,"&lt;="&amp;N$9,операции!$X:$X,"&gt;"&amp;N$9,операции!$AB:$AB,"&gt;"&amp;N$9,операции!$L:$L,Q$9,операции!$O:$O,$F904)</f>
        <v>40807.980000000003</v>
      </c>
      <c r="R971" s="244"/>
      <c r="S971" s="169">
        <f>SUMIFS(операции!$V:$V,операции!$T:$T,"&lt;="&amp;S$9,операции!$X:$X,"",операции!$AB:$AB,"",операции!$O:$O,$F904)+SUMIFS(операции!$V:$V,операции!$T:$T,"&lt;="&amp;S$9,операции!$X:$X,"&gt;"&amp;S$9,операции!$AB:$AB,"",операции!$O:$O,$F904)+SUMIFS(операции!$V:$V,операции!$T:$T,"&lt;="&amp;S$9,операции!$X:$X,"",операции!$AB:$AB,"&gt;"&amp;S$9,операции!$O:$O,$F904)+SUMIFS(операции!$V:$V,операции!$T:$T,"&lt;="&amp;S$9,операции!$X:$X,"&gt;"&amp;S$9,операции!$AB:$AB,"&gt;"&amp;S$9,операции!$O:$O,$F904)</f>
        <v>432980.25</v>
      </c>
      <c r="T971" s="170">
        <f>S971-U971-V971</f>
        <v>0</v>
      </c>
      <c r="U971" s="169">
        <f>SUMIFS(операции!$V:$V,операции!$T:$T,"&lt;="&amp;S$9,операции!$X:$X,"",операции!$AB:$AB,"",операции!$L:$L,U$9,операции!$O:$O,$F904)+SUMIFS(операции!$V:$V,операции!$T:$T,"&lt;="&amp;S$9,операции!$X:$X,"&gt;"&amp;S$9,операции!$AB:$AB,"",операции!$L:$L,U$9,операции!$O:$O,$F904)+SUMIFS(операции!$V:$V,операции!$T:$T,"&lt;="&amp;S$9,операции!$X:$X,"",операции!$AB:$AB,"&gt;"&amp;S$9,операции!$L:$L,U$9,операции!$O:$O,$F904)+SUMIFS(операции!$V:$V,операции!$T:$T,"&lt;="&amp;S$9,операции!$X:$X,"&gt;"&amp;S$9,операции!$AB:$AB,"&gt;"&amp;S$9,операции!$L:$L,U$9,операции!$O:$O,$F904)</f>
        <v>44936.03</v>
      </c>
      <c r="V971" s="243">
        <f>SUMIFS(операции!$V:$V,операции!$T:$T,"&lt;="&amp;S$9,операции!$X:$X,"",операции!$AB:$AB,"",операции!$L:$L,V$9,операции!$O:$O,$F904)+SUMIFS(операции!$V:$V,операции!$T:$T,"&lt;="&amp;S$9,операции!$X:$X,"&gt;"&amp;S$9,операции!$AB:$AB,"",операции!$L:$L,V$9,операции!$O:$O,$F904)+SUMIFS(операции!$V:$V,операции!$T:$T,"&lt;="&amp;S$9,операции!$X:$X,"",операции!$AB:$AB,"&gt;"&amp;S$9,операции!$L:$L,V$9,операции!$O:$O,$F904)+SUMIFS(операции!$V:$V,операции!$T:$T,"&lt;="&amp;S$9,операции!$X:$X,"&gt;"&amp;S$9,операции!$AB:$AB,"&gt;"&amp;S$9,операции!$L:$L,V$9,операции!$O:$O,$F904)</f>
        <v>388044.22</v>
      </c>
      <c r="W971" s="244"/>
      <c r="X971" s="169">
        <f>SUMIFS(операции!$V:$V,операции!$T:$T,"&lt;="&amp;X$9,операции!$X:$X,"",операции!$AB:$AB,"",операции!$O:$O,$F904)+SUMIFS(операции!$V:$V,операции!$T:$T,"&lt;="&amp;X$9,операции!$X:$X,"&gt;"&amp;X$9,операции!$AB:$AB,"",операции!$O:$O,$F904)+SUMIFS(операции!$V:$V,операции!$T:$T,"&lt;="&amp;X$9,операции!$X:$X,"",операции!$AB:$AB,"&gt;"&amp;X$9,операции!$O:$O,$F904)+SUMIFS(операции!$V:$V,операции!$T:$T,"&lt;="&amp;X$9,операции!$X:$X,"&gt;"&amp;X$9,операции!$AB:$AB,"&gt;"&amp;X$9,операции!$O:$O,$F904)</f>
        <v>73857.149999999994</v>
      </c>
      <c r="Y971" s="170">
        <f>X971-Z971-AA971</f>
        <v>0</v>
      </c>
      <c r="Z971" s="169">
        <f>SUMIFS(операции!$V:$V,операции!$T:$T,"&lt;="&amp;X$9,операции!$X:$X,"",операции!$AB:$AB,"",операции!$L:$L,Z$9,операции!$O:$O,$F904)+SUMIFS(операции!$V:$V,операции!$T:$T,"&lt;="&amp;X$9,операции!$X:$X,"&gt;"&amp;X$9,операции!$AB:$AB,"",операции!$L:$L,Z$9,операции!$O:$O,$F904)+SUMIFS(операции!$V:$V,операции!$T:$T,"&lt;="&amp;X$9,операции!$X:$X,"",операции!$AB:$AB,"&gt;"&amp;X$9,операции!$L:$L,Z$9,операции!$O:$O,$F904)+SUMIFS(операции!$V:$V,операции!$T:$T,"&lt;="&amp;X$9,операции!$X:$X,"&gt;"&amp;X$9,операции!$AB:$AB,"&gt;"&amp;X$9,операции!$L:$L,Z$9,операции!$O:$O,$F904)</f>
        <v>39736.15</v>
      </c>
      <c r="AA971" s="243">
        <f>SUMIFS(операции!$V:$V,операции!$T:$T,"&lt;="&amp;X$9,операции!$X:$X,"",операции!$AB:$AB,"",операции!$L:$L,AA$9,операции!$O:$O,$F904)+SUMIFS(операции!$V:$V,операции!$T:$T,"&lt;="&amp;X$9,операции!$X:$X,"&gt;"&amp;X$9,операции!$AB:$AB,"",операции!$L:$L,AA$9,операции!$O:$O,$F904)+SUMIFS(операции!$V:$V,операции!$T:$T,"&lt;="&amp;X$9,операции!$X:$X,"",операции!$AB:$AB,"&gt;"&amp;X$9,операции!$L:$L,AA$9,операции!$O:$O,$F904)+SUMIFS(операции!$V:$V,операции!$T:$T,"&lt;="&amp;X$9,операции!$X:$X,"&gt;"&amp;X$9,операции!$AB:$AB,"&gt;"&amp;X$9,операции!$L:$L,AA$9,операции!$O:$O,$F904)</f>
        <v>34121</v>
      </c>
      <c r="AB971" s="266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s="192" customFormat="1" ht="11.25">
      <c r="A972" s="37"/>
      <c r="B972" s="37"/>
      <c r="C972" s="37"/>
      <c r="D972" s="191"/>
      <c r="E972" s="191" t="s">
        <v>255</v>
      </c>
      <c r="F972" s="191" t="str">
        <f t="shared" si="1584"/>
        <v>Детство</v>
      </c>
      <c r="G972" s="191" t="s">
        <v>262</v>
      </c>
      <c r="H972" s="315"/>
      <c r="I972" s="316">
        <f>IF(I971=0,0,(SUMIFS(операции!$AF:$AF,операции!$T:$T,"&lt;="&amp;I$9,операции!$X:$X,"",операции!$AB:$AB,"",операции!$O:$O,$F904)+SUMIFS(операции!$AF:$AF,операции!$T:$T,"&lt;="&amp;I$9,операции!$X:$X,"&gt;"&amp;I$9,операции!$AB:$AB,"",операции!$O:$O,$F904)+SUMIFS(операции!$AF:$AF,операции!$T:$T,"&lt;="&amp;I$9,операции!$X:$X,"",операции!$AB:$AB,"&gt;"&amp;I$9,операции!$O:$O,$F904)+SUMIFS(операции!$AF:$AF,операции!$T:$T,"&lt;="&amp;I$9,операции!$X:$X,"&gt;"&amp;I$9,операции!$AB:$AB,"&gt;"&amp;I$9,операции!$O:$O,$F904))/I971)</f>
        <v>42255.202705492971</v>
      </c>
      <c r="J972" s="317"/>
      <c r="K972" s="316">
        <f>IF(K971=0,0,(SUMIFS(операции!$AF:$AF,операции!$T:$T,"&lt;="&amp;I$9,операции!$X:$X,"",операции!$AB:$AB,"",операции!$L:$L,K$9,операции!$O:$O,$F904)+SUMIFS(операции!$AF:$AF,операции!$T:$T,"&lt;="&amp;I$9,операции!$X:$X,"&gt;"&amp;I$9,операции!$AB:$AB,"",операции!$L:$L,K$9,операции!$O:$O,$F904)+SUMIFS(операции!$AF:$AF,операции!$T:$T,"&lt;="&amp;I$9,операции!$X:$X,"",операции!$AB:$AB,"&gt;"&amp;I$9,операции!$L:$L,K$9,операции!$O:$O,$F904)+SUMIFS(операции!$AF:$AF,операции!$T:$T,"&lt;="&amp;I$9,операции!$X:$X,"&gt;"&amp;I$9,операции!$AB:$AB,"&gt;"&amp;I$9,операции!$L:$L,K$9,операции!$O:$O,$F904))/K971)</f>
        <v>42160.873725813901</v>
      </c>
      <c r="L972" s="318">
        <f>IF(L971=0,0,(SUMIFS(операции!$AF:$AF,операции!$T:$T,"&lt;="&amp;I$9,операции!$X:$X,"",операции!$AB:$AB,"",операции!$L:$L,L$9,операции!$O:$O,$F904)+SUMIFS(операции!$AF:$AF,операции!$T:$T,"&lt;="&amp;I$9,операции!$X:$X,"&gt;"&amp;I$9,операции!$AB:$AB,"",операции!$L:$L,L$9,операции!$O:$O,$F904)+SUMIFS(операции!$AF:$AF,операции!$T:$T,"&lt;="&amp;I$9,операции!$X:$X,"",операции!$AB:$AB,"&gt;"&amp;I$9,операции!$L:$L,L$9,операции!$O:$O,$F904)+SUMIFS(операции!$AF:$AF,операции!$T:$T,"&lt;="&amp;I$9,операции!$X:$X,"&gt;"&amp;I$9,операции!$AB:$AB,"&gt;"&amp;I$9,операции!$L:$L,L$9,операции!$O:$O,$F904))/L971)</f>
        <v>42365.055010111078</v>
      </c>
      <c r="M972" s="274"/>
      <c r="N972" s="193">
        <f>IF(N971=0,0,(SUMIFS(операции!$AF:$AF,операции!$T:$T,"&lt;="&amp;N$9,операции!$X:$X,"",операции!$AB:$AB,"",операции!$O:$O,$F904)+SUMIFS(операции!$AF:$AF,операции!$T:$T,"&lt;="&amp;N$9,операции!$X:$X,"&gt;"&amp;N$9,операции!$AB:$AB,"",операции!$O:$O,$F904)+SUMIFS(операции!$AF:$AF,операции!$T:$T,"&lt;="&amp;N$9,операции!$X:$X,"",операции!$AB:$AB,"&gt;"&amp;N$9,операции!$O:$O,$F904)+SUMIFS(операции!$AF:$AF,операции!$T:$T,"&lt;="&amp;N$9,операции!$X:$X,"&gt;"&amp;N$9,операции!$AB:$AB,"&gt;"&amp;N$9,операции!$O:$O,$F904))/N971)</f>
        <v>42246.310830151</v>
      </c>
      <c r="O972" s="196"/>
      <c r="P972" s="193">
        <f>IF(P971=0,0,(SUMIFS(операции!$AF:$AF,операции!$T:$T,"&lt;="&amp;N$9,операции!$X:$X,"",операции!$AB:$AB,"",операции!$L:$L,P$9,операции!$O:$O,$F904)+SUMIFS(операции!$AF:$AF,операции!$T:$T,"&lt;="&amp;N$9,операции!$X:$X,"&gt;"&amp;N$9,операции!$AB:$AB,"",операции!$L:$L,P$9,операции!$O:$O,$F904)+SUMIFS(операции!$AF:$AF,операции!$T:$T,"&lt;="&amp;N$9,операции!$X:$X,"",операции!$AB:$AB,"&gt;"&amp;N$9,операции!$L:$L,P$9,операции!$O:$O,$F904)+SUMIFS(операции!$AF:$AF,операции!$T:$T,"&lt;="&amp;N$9,операции!$X:$X,"&gt;"&amp;N$9,операции!$AB:$AB,"&gt;"&amp;N$9,операции!$L:$L,P$9,операции!$O:$O,$F904))/P971)</f>
        <v>42223.755302675185</v>
      </c>
      <c r="Q972" s="237">
        <f>IF(Q971=0,0,(SUMIFS(операции!$AF:$AF,операции!$T:$T,"&lt;="&amp;N$9,операции!$X:$X,"",операции!$AB:$AB,"",операции!$L:$L,Q$9,операции!$O:$O,$F904)+SUMIFS(операции!$AF:$AF,операции!$T:$T,"&lt;="&amp;N$9,операции!$X:$X,"&gt;"&amp;N$9,операции!$AB:$AB,"",операции!$L:$L,Q$9,операции!$O:$O,$F904)+SUMIFS(операции!$AF:$AF,операции!$T:$T,"&lt;="&amp;N$9,операции!$X:$X,"",операции!$AB:$AB,"&gt;"&amp;N$9,операции!$L:$L,Q$9,операции!$O:$O,$F904)+SUMIFS(операции!$AF:$AF,операции!$T:$T,"&lt;="&amp;N$9,операции!$X:$X,"&gt;"&amp;N$9,операции!$AB:$AB,"&gt;"&amp;N$9,операции!$L:$L,Q$9,операции!$O:$O,$F904))/Q971)</f>
        <v>42306.140059370729</v>
      </c>
      <c r="R972" s="238"/>
      <c r="S972" s="193">
        <f>IF(S971=0,0,(SUMIFS(операции!$AF:$AF,операции!$T:$T,"&lt;="&amp;S$9,операции!$X:$X,"",операции!$AB:$AB,"",операции!$O:$O,$F904)+SUMIFS(операции!$AF:$AF,операции!$T:$T,"&lt;="&amp;S$9,операции!$X:$X,"&gt;"&amp;S$9,операции!$AB:$AB,"",операции!$O:$O,$F904)+SUMIFS(операции!$AF:$AF,операции!$T:$T,"&lt;="&amp;S$9,операции!$X:$X,"",операции!$AB:$AB,"&gt;"&amp;S$9,операции!$O:$O,$F904)+SUMIFS(операции!$AF:$AF,операции!$T:$T,"&lt;="&amp;S$9,операции!$X:$X,"&gt;"&amp;S$9,операции!$AB:$AB,"&gt;"&amp;S$9,операции!$O:$O,$F904))/S971)</f>
        <v>42319.700271109359</v>
      </c>
      <c r="T972" s="196"/>
      <c r="U972" s="193">
        <f>IF(U971=0,0,(SUMIFS(операции!$AF:$AF,операции!$T:$T,"&lt;="&amp;S$9,операции!$X:$X,"",операции!$AB:$AB,"",операции!$L:$L,U$9,операции!$O:$O,$F904)+SUMIFS(операции!$AF:$AF,операции!$T:$T,"&lt;="&amp;S$9,операции!$X:$X,"&gt;"&amp;S$9,операции!$AB:$AB,"",операции!$L:$L,U$9,операции!$O:$O,$F904)+SUMIFS(операции!$AF:$AF,операции!$T:$T,"&lt;="&amp;S$9,операции!$X:$X,"",операции!$AB:$AB,"&gt;"&amp;S$9,операции!$L:$L,U$9,операции!$O:$O,$F904)+SUMIFS(операции!$AF:$AF,операции!$T:$T,"&lt;="&amp;S$9,операции!$X:$X,"&gt;"&amp;S$9,операции!$AB:$AB,"&gt;"&amp;S$9,операции!$L:$L,U$9,операции!$O:$O,$F904))/U971)</f>
        <v>42176.32101411718</v>
      </c>
      <c r="V972" s="237">
        <f>IF(V971=0,0,(SUMIFS(операции!$AF:$AF,операции!$T:$T,"&lt;="&amp;S$9,операции!$X:$X,"",операции!$AB:$AB,"",операции!$L:$L,V$9,операции!$O:$O,$F904)+SUMIFS(операции!$AF:$AF,операции!$T:$T,"&lt;="&amp;S$9,операции!$X:$X,"&gt;"&amp;S$9,операции!$AB:$AB,"",операции!$L:$L,V$9,операции!$O:$O,$F904)+SUMIFS(операции!$AF:$AF,операции!$T:$T,"&lt;="&amp;S$9,операции!$X:$X,"",операции!$AB:$AB,"&gt;"&amp;S$9,операции!$L:$L,V$9,операции!$O:$O,$F904)+SUMIFS(операции!$AF:$AF,операции!$T:$T,"&lt;="&amp;S$9,операции!$X:$X,"&gt;"&amp;S$9,операции!$AB:$AB,"&gt;"&amp;S$9,операции!$L:$L,V$9,операции!$O:$O,$F904))/V971)</f>
        <v>42336.303777260233</v>
      </c>
      <c r="W972" s="238"/>
      <c r="X972" s="193">
        <f>IF(X971=0,0,(SUMIFS(операции!$AF:$AF,операции!$T:$T,"&lt;="&amp;X$9,операции!$X:$X,"",операции!$AB:$AB,"",операции!$O:$O,$F904)+SUMIFS(операции!$AF:$AF,операции!$T:$T,"&lt;="&amp;X$9,операции!$X:$X,"&gt;"&amp;X$9,операции!$AB:$AB,"",операции!$O:$O,$F904)+SUMIFS(операции!$AF:$AF,операции!$T:$T,"&lt;="&amp;X$9,операции!$X:$X,"",операции!$AB:$AB,"&gt;"&amp;X$9,операции!$O:$O,$F904)+SUMIFS(операции!$AF:$AF,операции!$T:$T,"&lt;="&amp;X$9,операции!$X:$X,"&gt;"&amp;X$9,операции!$AB:$AB,"&gt;"&amp;X$9,операции!$O:$O,$F904))/X971)</f>
        <v>42255.202705492971</v>
      </c>
      <c r="Y972" s="196"/>
      <c r="Z972" s="193">
        <f>IF(Z971=0,0,(SUMIFS(операции!$AF:$AF,операции!$T:$T,"&lt;="&amp;X$9,операции!$X:$X,"",операции!$AB:$AB,"",операции!$L:$L,Z$9,операции!$O:$O,$F904)+SUMIFS(операции!$AF:$AF,операции!$T:$T,"&lt;="&amp;X$9,операции!$X:$X,"&gt;"&amp;X$9,операции!$AB:$AB,"",операции!$L:$L,Z$9,операции!$O:$O,$F904)+SUMIFS(операции!$AF:$AF,операции!$T:$T,"&lt;="&amp;X$9,операции!$X:$X,"",операции!$AB:$AB,"&gt;"&amp;X$9,операции!$L:$L,Z$9,операции!$O:$O,$F904)+SUMIFS(операции!$AF:$AF,операции!$T:$T,"&lt;="&amp;X$9,операции!$X:$X,"&gt;"&amp;X$9,операции!$AB:$AB,"&gt;"&amp;X$9,операции!$L:$L,Z$9,операции!$O:$O,$F904))/Z971)</f>
        <v>42160.873725813901</v>
      </c>
      <c r="AA972" s="237">
        <f>IF(AA971=0,0,(SUMIFS(операции!$AF:$AF,операции!$T:$T,"&lt;="&amp;X$9,операции!$X:$X,"",операции!$AB:$AB,"",операции!$L:$L,AA$9,операции!$O:$O,$F904)+SUMIFS(операции!$AF:$AF,операции!$T:$T,"&lt;="&amp;X$9,операции!$X:$X,"&gt;"&amp;X$9,операции!$AB:$AB,"",операции!$L:$L,AA$9,операции!$O:$O,$F904)+SUMIFS(операции!$AF:$AF,операции!$T:$T,"&lt;="&amp;X$9,операции!$X:$X,"",операции!$AB:$AB,"&gt;"&amp;X$9,операции!$L:$L,AA$9,операции!$O:$O,$F904)+SUMIFS(операции!$AF:$AF,операции!$T:$T,"&lt;="&amp;X$9,операции!$X:$X,"&gt;"&amp;X$9,операции!$AB:$AB,"&gt;"&amp;X$9,операции!$L:$L,AA$9,операции!$O:$O,$F904))/AA971)</f>
        <v>42365.055010111078</v>
      </c>
      <c r="AB972" s="265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</row>
    <row r="973" spans="1:42" s="192" customFormat="1" ht="11.25">
      <c r="A973" s="37"/>
      <c r="B973" s="37"/>
      <c r="C973" s="37"/>
      <c r="D973" s="191"/>
      <c r="E973" s="191" t="s">
        <v>287</v>
      </c>
      <c r="F973" s="191" t="str">
        <f t="shared" ref="F973:F976" si="1717">F972</f>
        <v>Детство</v>
      </c>
      <c r="G973" s="191" t="s">
        <v>219</v>
      </c>
      <c r="H973" s="315"/>
      <c r="I973" s="329">
        <f>IF(I971=0,0,I$9-I972)</f>
        <v>113.79729450702871</v>
      </c>
      <c r="J973" s="317"/>
      <c r="K973" s="329">
        <f>IF(K971=0,0,I$9-K972)</f>
        <v>208.12627418609918</v>
      </c>
      <c r="L973" s="330">
        <f>IF(L971=0,0,I$9-L972)</f>
        <v>3.9449898889215547</v>
      </c>
      <c r="M973" s="274"/>
      <c r="N973" s="156">
        <f>IF(N971=0,0,N$9-N972)</f>
        <v>61.689169848999882</v>
      </c>
      <c r="O973" s="196"/>
      <c r="P973" s="156">
        <f>IF(P971=0,0,N$9-P972)</f>
        <v>84.244697324815206</v>
      </c>
      <c r="Q973" s="245">
        <f>IF(Q971=0,0,N$9-Q972)</f>
        <v>1.859940629270568</v>
      </c>
      <c r="R973" s="238"/>
      <c r="S973" s="156">
        <f>IF(S971=0,0,S$9-S972)</f>
        <v>18.299728890640836</v>
      </c>
      <c r="T973" s="196"/>
      <c r="U973" s="156">
        <f>IF(U971=0,0,S$9-U972)</f>
        <v>161.67898588281969</v>
      </c>
      <c r="V973" s="245">
        <f>IF(V971=0,0,S$9-V972)</f>
        <v>1.6962227397671086</v>
      </c>
      <c r="W973" s="238"/>
      <c r="X973" s="156">
        <f>IF(X971=0,0,X$9-X972)</f>
        <v>113.79729450702871</v>
      </c>
      <c r="Y973" s="196"/>
      <c r="Z973" s="156">
        <f>IF(Z971=0,0,X$9-Z972)</f>
        <v>208.12627418609918</v>
      </c>
      <c r="AA973" s="245">
        <f>IF(AA971=0,0,X$9-AA972)</f>
        <v>3.9449898889215547</v>
      </c>
      <c r="AB973" s="265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</row>
    <row r="974" spans="1:42" s="192" customFormat="1" ht="11.25">
      <c r="A974" s="37"/>
      <c r="B974" s="37"/>
      <c r="C974" s="37"/>
      <c r="D974" s="191"/>
      <c r="E974" s="191" t="s">
        <v>311</v>
      </c>
      <c r="F974" s="191" t="str">
        <f t="shared" si="1717"/>
        <v>Детство</v>
      </c>
      <c r="G974" s="191" t="s">
        <v>262</v>
      </c>
      <c r="H974" s="315"/>
      <c r="I974" s="316">
        <f>I$9</f>
        <v>42369</v>
      </c>
      <c r="J974" s="317"/>
      <c r="K974" s="316">
        <f>I$9</f>
        <v>42369</v>
      </c>
      <c r="L974" s="318">
        <f>I$9</f>
        <v>42369</v>
      </c>
      <c r="M974" s="274"/>
      <c r="N974" s="193">
        <f>N$9</f>
        <v>42308</v>
      </c>
      <c r="O974" s="196"/>
      <c r="P974" s="193">
        <f>N$9</f>
        <v>42308</v>
      </c>
      <c r="Q974" s="237">
        <f>N$9</f>
        <v>42308</v>
      </c>
      <c r="R974" s="238"/>
      <c r="S974" s="193">
        <f>S$9</f>
        <v>42338</v>
      </c>
      <c r="T974" s="196"/>
      <c r="U974" s="193">
        <f>S$9</f>
        <v>42338</v>
      </c>
      <c r="V974" s="237">
        <f>S$9</f>
        <v>42338</v>
      </c>
      <c r="W974" s="238"/>
      <c r="X974" s="193">
        <f>X$9</f>
        <v>42369</v>
      </c>
      <c r="Y974" s="196"/>
      <c r="Z974" s="193">
        <f>X$9</f>
        <v>42369</v>
      </c>
      <c r="AA974" s="237">
        <f>X$9</f>
        <v>42369</v>
      </c>
      <c r="AB974" s="265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</row>
    <row r="975" spans="1:42" s="192" customFormat="1" ht="11.25">
      <c r="A975" s="37"/>
      <c r="B975" s="37"/>
      <c r="C975" s="37"/>
      <c r="D975" s="191"/>
      <c r="E975" s="191" t="s">
        <v>288</v>
      </c>
      <c r="F975" s="191" t="str">
        <f t="shared" si="1717"/>
        <v>Детство</v>
      </c>
      <c r="G975" s="191" t="s">
        <v>219</v>
      </c>
      <c r="H975" s="315"/>
      <c r="I975" s="329">
        <f>IF(I971=0,0,I974-I972)</f>
        <v>113.79729450702871</v>
      </c>
      <c r="J975" s="317"/>
      <c r="K975" s="329">
        <f>IF(K971=0,0,K974-K972)</f>
        <v>208.12627418609918</v>
      </c>
      <c r="L975" s="330">
        <f>IF(L971=0,0,L974-L972)</f>
        <v>3.9449898889215547</v>
      </c>
      <c r="M975" s="274"/>
      <c r="N975" s="156">
        <f>IF(N971=0,0,N974-N972)</f>
        <v>61.689169848999882</v>
      </c>
      <c r="O975" s="196"/>
      <c r="P975" s="156">
        <f>IF(P971=0,0,P974-P972)</f>
        <v>84.244697324815206</v>
      </c>
      <c r="Q975" s="245">
        <f>IF(Q971=0,0,Q974-Q972)</f>
        <v>1.859940629270568</v>
      </c>
      <c r="R975" s="238"/>
      <c r="S975" s="156">
        <f>IF(S971=0,0,S974-S972)</f>
        <v>18.299728890640836</v>
      </c>
      <c r="T975" s="196"/>
      <c r="U975" s="156">
        <f>IF(U971=0,0,U974-U972)</f>
        <v>161.67898588281969</v>
      </c>
      <c r="V975" s="245">
        <f>IF(V971=0,0,V974-V972)</f>
        <v>1.6962227397671086</v>
      </c>
      <c r="W975" s="238"/>
      <c r="X975" s="156">
        <f>IF(X971=0,0,X974-X972)</f>
        <v>113.79729450702871</v>
      </c>
      <c r="Y975" s="196"/>
      <c r="Z975" s="156">
        <f>IF(Z971=0,0,Z974-Z972)</f>
        <v>208.12627418609918</v>
      </c>
      <c r="AA975" s="245">
        <f>IF(AA971=0,0,AA974-AA972)</f>
        <v>3.9449898889215547</v>
      </c>
      <c r="AB975" s="265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</row>
    <row r="976" spans="1:42" s="192" customFormat="1" ht="12" thickBot="1">
      <c r="A976" s="37"/>
      <c r="B976" s="37"/>
      <c r="C976" s="37"/>
      <c r="D976" s="297"/>
      <c r="E976" s="297" t="s">
        <v>289</v>
      </c>
      <c r="F976" s="297" t="str">
        <f t="shared" si="1717"/>
        <v>Детство</v>
      </c>
      <c r="G976" s="297" t="s">
        <v>219</v>
      </c>
      <c r="H976" s="377"/>
      <c r="I976" s="378">
        <f>I973-I975</f>
        <v>0</v>
      </c>
      <c r="J976" s="379"/>
      <c r="K976" s="378">
        <f>K973-K975</f>
        <v>0</v>
      </c>
      <c r="L976" s="380">
        <f>L973-L975</f>
        <v>0</v>
      </c>
      <c r="M976" s="300"/>
      <c r="N976" s="298">
        <f>N973-N975</f>
        <v>0</v>
      </c>
      <c r="O976" s="299"/>
      <c r="P976" s="298">
        <f>P973-P975</f>
        <v>0</v>
      </c>
      <c r="Q976" s="301">
        <f>Q973-Q975</f>
        <v>0</v>
      </c>
      <c r="R976" s="302"/>
      <c r="S976" s="298">
        <f>S973-S975</f>
        <v>0</v>
      </c>
      <c r="T976" s="299"/>
      <c r="U976" s="298">
        <f>U973-U975</f>
        <v>0</v>
      </c>
      <c r="V976" s="301">
        <f>V973-V975</f>
        <v>0</v>
      </c>
      <c r="W976" s="302"/>
      <c r="X976" s="298">
        <f>X973-X975</f>
        <v>0</v>
      </c>
      <c r="Y976" s="299"/>
      <c r="Z976" s="298">
        <f>Z973-Z975</f>
        <v>0</v>
      </c>
      <c r="AA976" s="301">
        <f>AA973-AA975</f>
        <v>0</v>
      </c>
      <c r="AB976" s="265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</row>
    <row r="977" spans="1:42" s="111" customFormat="1" ht="11.25">
      <c r="A977" s="108"/>
      <c r="B977" s="108"/>
      <c r="C977" s="108" t="s">
        <v>271</v>
      </c>
      <c r="D977" s="291"/>
      <c r="E977" s="291"/>
      <c r="F977" s="291" t="str">
        <f>F978</f>
        <v>ИгрушкаФест</v>
      </c>
      <c r="G977" s="291"/>
      <c r="H977" s="373"/>
      <c r="I977" s="374">
        <f>I978-K978-L978</f>
        <v>0</v>
      </c>
      <c r="J977" s="375">
        <f>N977+N995+N1033+SUM(O:O)+S977+S995+S1033+SUM(T:T)+X977+X995+X1033+SUM(Y:Y)</f>
        <v>3.7104683769939584E-9</v>
      </c>
      <c r="K977" s="373"/>
      <c r="L977" s="376"/>
      <c r="M977" s="293"/>
      <c r="N977" s="292">
        <f>N978-P978-Q978</f>
        <v>0</v>
      </c>
      <c r="O977" s="294"/>
      <c r="P977" s="291"/>
      <c r="Q977" s="295"/>
      <c r="R977" s="296"/>
      <c r="S977" s="292">
        <f>S978-U978-V978</f>
        <v>0</v>
      </c>
      <c r="T977" s="294"/>
      <c r="U977" s="291"/>
      <c r="V977" s="295"/>
      <c r="W977" s="296"/>
      <c r="X977" s="292">
        <f>X978-Z978-AA978</f>
        <v>0</v>
      </c>
      <c r="Y977" s="294"/>
      <c r="Z977" s="291"/>
      <c r="AA977" s="295"/>
      <c r="AB977" s="263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</row>
    <row r="978" spans="1:42" s="93" customFormat="1" ht="15">
      <c r="A978" s="92"/>
      <c r="B978" s="92"/>
      <c r="C978" s="92"/>
      <c r="D978" s="151" t="s">
        <v>256</v>
      </c>
      <c r="E978" s="151"/>
      <c r="F978" s="286" t="str">
        <f>микс!$H$30</f>
        <v>ИгрушкаФест</v>
      </c>
      <c r="G978" s="151" t="s">
        <v>261</v>
      </c>
      <c r="H978" s="311"/>
      <c r="I978" s="312">
        <f>SUMIFS(операции!$V:$V,операции!$T:$T,"&lt;"&amp;I$8,операции!$X:$X,"",операции!$O:$O,$F978)+SUMIFS(операции!$V:$V,операции!$T:$T,"&lt;"&amp;I$8,операции!$X:$X,"&gt;="&amp;I$8,операции!$O:$O,$F978)</f>
        <v>10040</v>
      </c>
      <c r="J978" s="313">
        <f>I978-I983-I989</f>
        <v>0</v>
      </c>
      <c r="K978" s="312">
        <f>SUMIFS(операции!$V:$V,операции!$T:$T,"&lt;"&amp;I$8,операции!$X:$X,"",операции!$L:$L,K$9,операции!$O:$O,$F978)+SUMIFS(операции!$V:$V,операции!$T:$T,"&lt;"&amp;I$8,операции!$X:$X,"&gt;="&amp;I$8,операции!$L:$L,K$9,операции!$O:$O,$F978)</f>
        <v>10040</v>
      </c>
      <c r="L978" s="314">
        <f>SUMIFS(операции!$V:$V,операции!$T:$T,"&lt;"&amp;I$8,операции!$X:$X,"",операции!$L:$L,L$9,операции!$O:$O,$F978)+SUMIFS(операции!$V:$V,операции!$T:$T,"&lt;"&amp;I$8,операции!$X:$X,"&gt;="&amp;I$8,операции!$L:$L,L$9,операции!$O:$O,$F978)</f>
        <v>0</v>
      </c>
      <c r="M978" s="273"/>
      <c r="N978" s="152">
        <f>SUMIFS(операции!$V:$V,операции!$T:$T,"&lt;"&amp;N$8,операции!$X:$X,"",операции!$O:$O,$F978)+SUMIFS(операции!$V:$V,операции!$T:$T,"&lt;"&amp;N$8,операции!$X:$X,"&gt;="&amp;N$8,операции!$O:$O,$F978)</f>
        <v>10040</v>
      </c>
      <c r="O978" s="170">
        <f>N978-N983-N989</f>
        <v>0</v>
      </c>
      <c r="P978" s="152">
        <f>SUMIFS(операции!$V:$V,операции!$T:$T,"&lt;"&amp;N$8,операции!$X:$X,"",операции!$L:$L,P$9,операции!$O:$O,$F978)+SUMIFS(операции!$V:$V,операции!$T:$T,"&lt;"&amp;N$8,операции!$X:$X,"&gt;="&amp;N$8,операции!$L:$L,P$9,операции!$O:$O,$F978)</f>
        <v>10040</v>
      </c>
      <c r="Q978" s="235">
        <f>SUMIFS(операции!$V:$V,операции!$T:$T,"&lt;"&amp;N$8,операции!$X:$X,"",операции!$L:$L,Q$9,операции!$O:$O,$F978)+SUMIFS(операции!$V:$V,операции!$T:$T,"&lt;"&amp;N$8,операции!$X:$X,"&gt;="&amp;N$8,операции!$L:$L,Q$9,операции!$O:$O,$F978)</f>
        <v>0</v>
      </c>
      <c r="R978" s="236"/>
      <c r="S978" s="152">
        <f>SUMIFS(операции!$V:$V,операции!$T:$T,"&lt;"&amp;S$8,операции!$X:$X,"",операции!$O:$O,$F978)+SUMIFS(операции!$V:$V,операции!$T:$T,"&lt;"&amp;S$8,операции!$X:$X,"&gt;="&amp;S$8,операции!$O:$O,$F978)</f>
        <v>10077</v>
      </c>
      <c r="T978" s="170">
        <f>S978-S983-S989</f>
        <v>0</v>
      </c>
      <c r="U978" s="152">
        <f>SUMIFS(операции!$V:$V,операции!$T:$T,"&lt;"&amp;S$8,операции!$X:$X,"",операции!$L:$L,U$9,операции!$O:$O,$F978)+SUMIFS(операции!$V:$V,операции!$T:$T,"&lt;"&amp;S$8,операции!$X:$X,"&gt;="&amp;S$8,операции!$L:$L,U$9,операции!$O:$O,$F978)</f>
        <v>6081</v>
      </c>
      <c r="V978" s="235">
        <f>SUMIFS(операции!$V:$V,операции!$T:$T,"&lt;"&amp;S$8,операции!$X:$X,"",операции!$L:$L,V$9,операции!$O:$O,$F978)+SUMIFS(операции!$V:$V,операции!$T:$T,"&lt;"&amp;S$8,операции!$X:$X,"&gt;="&amp;S$8,операции!$L:$L,V$9,операции!$O:$O,$F978)</f>
        <v>3996</v>
      </c>
      <c r="W978" s="236"/>
      <c r="X978" s="152">
        <f>SUMIFS(операции!$V:$V,операции!$T:$T,"&lt;"&amp;X$8,операции!$X:$X,"",операции!$O:$O,$F978)+SUMIFS(операции!$V:$V,операции!$T:$T,"&lt;"&amp;X$8,операции!$X:$X,"&gt;="&amp;X$8,операции!$O:$O,$F978)</f>
        <v>7620</v>
      </c>
      <c r="Y978" s="170">
        <f>X978-X983-X989</f>
        <v>0</v>
      </c>
      <c r="Z978" s="152">
        <f>SUMIFS(операции!$V:$V,операции!$T:$T,"&lt;"&amp;X$8,операции!$X:$X,"",операции!$L:$L,Z$9,операции!$O:$O,$F978)+SUMIFS(операции!$V:$V,операции!$T:$T,"&lt;"&amp;X$8,операции!$X:$X,"&gt;="&amp;X$8,операции!$L:$L,Z$9,операции!$O:$O,$F978)</f>
        <v>4975</v>
      </c>
      <c r="AA978" s="235">
        <f>SUMIFS(операции!$V:$V,операции!$T:$T,"&lt;"&amp;X$8,операции!$X:$X,"",операции!$L:$L,AA$9,операции!$O:$O,$F978)+SUMIFS(операции!$V:$V,операции!$T:$T,"&lt;"&amp;X$8,операции!$X:$X,"&gt;="&amp;X$8,операции!$L:$L,AA$9,операции!$O:$O,$F978)</f>
        <v>2645</v>
      </c>
      <c r="AB978" s="264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</row>
    <row r="979" spans="1:42" s="192" customFormat="1" ht="11.25">
      <c r="A979" s="37"/>
      <c r="B979" s="37"/>
      <c r="C979" s="37"/>
      <c r="D979" s="191" t="s">
        <v>255</v>
      </c>
      <c r="E979" s="191"/>
      <c r="F979" s="191" t="str">
        <f>F978</f>
        <v>ИгрушкаФест</v>
      </c>
      <c r="G979" s="191" t="s">
        <v>262</v>
      </c>
      <c r="H979" s="315"/>
      <c r="I979" s="316">
        <f>IF(I978=0,0,(SUMIFS(операции!$AF:$AF,операции!$T:$T,"&lt;"&amp;I$8,операции!$X:$X,"",операции!$O:$O,$F978)+SUMIFS(операции!$AF:$AF,операции!$T:$T,"&lt;"&amp;I$8,операции!$X:$X,"&gt;="&amp;I$8,операции!$O:$O,$F978))/I978)</f>
        <v>42187.034262948204</v>
      </c>
      <c r="J979" s="317"/>
      <c r="K979" s="316">
        <f>IF(K978=0,0,(SUMIFS(операции!$AF:$AF,операции!$T:$T,"&lt;"&amp;I$8,операции!$X:$X,"",операции!$L:$L,K$9,операции!$O:$O,$F978)+SUMIFS(операции!$AF:$AF,операции!$T:$T,"&lt;"&amp;I$8,операции!$X:$X,"&gt;="&amp;I$8,операции!$L:$L,K$9,операции!$O:$O,$F978))/K978)</f>
        <v>42187.034262948204</v>
      </c>
      <c r="L979" s="318">
        <f>IF(L978=0,0,(SUMIFS(операции!$AF:$AF,операции!$T:$T,"&lt;"&amp;I$8,операции!$X:$X,"",операции!$L:$L,L$9,операции!$O:$O,$F978)+SUMIFS(операции!$AF:$AF,операции!$T:$T,"&lt;"&amp;I$8,операции!$X:$X,"&gt;="&amp;I$8,операции!$L:$L,L$9,операции!$O:$O,$F978))/L978)</f>
        <v>0</v>
      </c>
      <c r="M979" s="274"/>
      <c r="N979" s="193">
        <f>IF(N978=0,0,(SUMIFS(операции!$AF:$AF,операции!$T:$T,"&lt;"&amp;N$8,операции!$X:$X,"",операции!$O:$O,$F978)+SUMIFS(операции!$AF:$AF,операции!$T:$T,"&lt;"&amp;N$8,операции!$X:$X,"&gt;="&amp;N$8,операции!$O:$O,$F978))/N978)</f>
        <v>42187.034262948204</v>
      </c>
      <c r="O979" s="196"/>
      <c r="P979" s="193">
        <f>IF(P978=0,0,(SUMIFS(операции!$AF:$AF,операции!$T:$T,"&lt;"&amp;N$8,операции!$X:$X,"",операции!$L:$L,P$9,операции!$O:$O,$F978)+SUMIFS(операции!$AF:$AF,операции!$T:$T,"&lt;"&amp;N$8,операции!$X:$X,"&gt;="&amp;N$8,операции!$L:$L,P$9,операции!$O:$O,$F978))/P978)</f>
        <v>42187.034262948204</v>
      </c>
      <c r="Q979" s="237">
        <f>IF(Q978=0,0,(SUMIFS(операции!$AF:$AF,операции!$T:$T,"&lt;"&amp;N$8,операции!$X:$X,"",операции!$L:$L,Q$9,операции!$O:$O,$F978)+SUMIFS(операции!$AF:$AF,операции!$T:$T,"&lt;"&amp;N$8,операции!$X:$X,"&gt;="&amp;N$8,операции!$L:$L,Q$9,операции!$O:$O,$F978))/Q978)</f>
        <v>0</v>
      </c>
      <c r="R979" s="238"/>
      <c r="S979" s="193">
        <f>IF(S978=0,0,(SUMIFS(операции!$AF:$AF,операции!$T:$T,"&lt;"&amp;S$8,операции!$X:$X,"",операции!$O:$O,$F978)+SUMIFS(операции!$AF:$AF,операции!$T:$T,"&lt;"&amp;S$8,операции!$X:$X,"&gt;="&amp;S$8,операции!$O:$O,$F978))/S978)</f>
        <v>42240.972809367864</v>
      </c>
      <c r="T979" s="196"/>
      <c r="U979" s="193">
        <f>IF(U978=0,0,(SUMIFS(операции!$AF:$AF,операции!$T:$T,"&lt;"&amp;S$8,операции!$X:$X,"",операции!$L:$L,U$9,операции!$O:$O,$F978)+SUMIFS(операции!$AF:$AF,операции!$T:$T,"&lt;"&amp;S$8,операции!$X:$X,"&gt;="&amp;S$8,операции!$L:$L,U$9,операции!$O:$O,$F978))/U978)</f>
        <v>42197.673573425425</v>
      </c>
      <c r="V979" s="237">
        <f>IF(V978=0,0,(SUMIFS(операции!$AF:$AF,операции!$T:$T,"&lt;"&amp;S$8,операции!$X:$X,"",операции!$L:$L,V$9,операции!$O:$O,$F978)+SUMIFS(операции!$AF:$AF,операции!$T:$T,"&lt;"&amp;S$8,операции!$X:$X,"&gt;="&amp;S$8,операции!$L:$L,V$9,операции!$O:$O,$F978))/V978)</f>
        <v>42306.864364364366</v>
      </c>
      <c r="W979" s="238"/>
      <c r="X979" s="193">
        <f>IF(X978=0,0,(SUMIFS(операции!$AF:$AF,операции!$T:$T,"&lt;"&amp;X$8,операции!$X:$X,"",операции!$O:$O,$F978)+SUMIFS(операции!$AF:$AF,операции!$T:$T,"&lt;"&amp;X$8,операции!$X:$X,"&gt;="&amp;X$8,операции!$O:$O,$F978))/X978)</f>
        <v>42240.019816272965</v>
      </c>
      <c r="Y979" s="196"/>
      <c r="Z979" s="193">
        <f>IF(Z978=0,0,(SUMIFS(операции!$AF:$AF,операции!$T:$T,"&lt;"&amp;X$8,операции!$X:$X,"",операции!$L:$L,Z$9,операции!$O:$O,$F978)+SUMIFS(операции!$AF:$AF,операции!$T:$T,"&lt;"&amp;X$8,операции!$X:$X,"&gt;="&amp;X$8,операции!$L:$L,Z$9,операции!$O:$O,$F978))/Z978)</f>
        <v>42188.930854271355</v>
      </c>
      <c r="AA979" s="237">
        <f>IF(AA978=0,0,(SUMIFS(операции!$AF:$AF,операции!$T:$T,"&lt;"&amp;X$8,операции!$X:$X,"",операции!$L:$L,AA$9,операции!$O:$O,$F978)+SUMIFS(операции!$AF:$AF,операции!$T:$T,"&lt;"&amp;X$8,операции!$X:$X,"&gt;="&amp;X$8,операции!$L:$L,AA$9,операции!$O:$O,$F978))/AA978)</f>
        <v>42336.113421550093</v>
      </c>
      <c r="AB979" s="265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</row>
    <row r="980" spans="1:42" s="50" customFormat="1" ht="11.25">
      <c r="A980" s="48"/>
      <c r="B980" s="48"/>
      <c r="C980" s="48"/>
      <c r="D980" s="154" t="s">
        <v>257</v>
      </c>
      <c r="E980" s="154"/>
      <c r="F980" s="154" t="str">
        <f t="shared" ref="F980:F1046" si="1718">F979</f>
        <v>ИгрушкаФест</v>
      </c>
      <c r="G980" s="154" t="s">
        <v>219</v>
      </c>
      <c r="H980" s="319"/>
      <c r="I980" s="320">
        <f>IF(I978=0,0,I$8-I979)</f>
        <v>90.965737051796168</v>
      </c>
      <c r="J980" s="321">
        <f>I980-IF(I978=0,0,(I983*I985+I989*I991)/I978)</f>
        <v>2.1742607714259066E-12</v>
      </c>
      <c r="K980" s="320">
        <f>IF(K978=0,0,I$8-K979)</f>
        <v>90.965737051796168</v>
      </c>
      <c r="L980" s="322">
        <f>IF(L978=0,0,I$8-L979)</f>
        <v>0</v>
      </c>
      <c r="M980" s="275"/>
      <c r="N980" s="155">
        <f>IF(N978=0,0,N$8-N979)</f>
        <v>90.965737051796168</v>
      </c>
      <c r="O980" s="173">
        <f>N980-IF(N978=0,0,(N983*N985+N989*N991)/N978)</f>
        <v>2.1742607714259066E-12</v>
      </c>
      <c r="P980" s="155">
        <f>IF(P978=0,0,N$8-P979)</f>
        <v>90.965737051796168</v>
      </c>
      <c r="Q980" s="239">
        <f>IF(Q978=0,0,N$8-Q979)</f>
        <v>0</v>
      </c>
      <c r="R980" s="240"/>
      <c r="S980" s="155">
        <f>IF(S978=0,0,S$8-S979)</f>
        <v>68.027190632135898</v>
      </c>
      <c r="T980" s="173">
        <f>S980-IF(S978=0,0,(S983*S985+S989*S991)/S978)</f>
        <v>4.4479975258582272E-12</v>
      </c>
      <c r="U980" s="155">
        <f>IF(U978=0,0,S$8-U979)</f>
        <v>111.32642657457473</v>
      </c>
      <c r="V980" s="239">
        <f>IF(V978=0,0,S$8-V979)</f>
        <v>2.1356356356336619</v>
      </c>
      <c r="W980" s="240"/>
      <c r="X980" s="155">
        <f>IF(X978=0,0,X$8-X979)</f>
        <v>98.980183727035183</v>
      </c>
      <c r="Y980" s="173">
        <f>X980-IF(X978=0,0,(X983*X985+X989*X991)/X978)</f>
        <v>3.5385028240852989E-12</v>
      </c>
      <c r="Z980" s="155">
        <f>IF(Z978=0,0,X$8-Z979)</f>
        <v>150.0691457286448</v>
      </c>
      <c r="AA980" s="239">
        <f>IF(AA978=0,0,X$8-AA979)</f>
        <v>2.8865784499066649</v>
      </c>
      <c r="AB980" s="230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</row>
    <row r="981" spans="1:42" s="93" customFormat="1" ht="15">
      <c r="A981" s="92"/>
      <c r="B981" s="92"/>
      <c r="C981" s="92"/>
      <c r="D981" s="198" t="s">
        <v>267</v>
      </c>
      <c r="E981" s="198"/>
      <c r="F981" s="198" t="str">
        <f t="shared" si="1718"/>
        <v>ИгрушкаФест</v>
      </c>
      <c r="G981" s="198" t="s">
        <v>219</v>
      </c>
      <c r="H981" s="323"/>
      <c r="I981" s="324">
        <f>IF(I978=0,0,(I983*I987+I989*I993)/I978)</f>
        <v>43.615737051793197</v>
      </c>
      <c r="J981" s="321"/>
      <c r="K981" s="324">
        <f t="shared" ref="K981" si="1719">IF(K978=0,0,(K983*K987+K989*K993)/K978)</f>
        <v>43.615737051793197</v>
      </c>
      <c r="L981" s="325">
        <f>IF(L978=0,0,(L983*L987+L989*L993)/L978)</f>
        <v>0</v>
      </c>
      <c r="M981" s="276"/>
      <c r="N981" s="199">
        <f>IF(N978=0,0,(N983*N987+N989*N993)/N978)</f>
        <v>43.615737051793197</v>
      </c>
      <c r="O981" s="173"/>
      <c r="P981" s="199">
        <f t="shared" ref="P981" si="1720">IF(P978=0,0,(P983*P987+P989*P993)/P978)</f>
        <v>43.615737051793197</v>
      </c>
      <c r="Q981" s="241">
        <f>IF(Q978=0,0,(Q983*Q987+Q989*Q993)/Q978)</f>
        <v>0</v>
      </c>
      <c r="R981" s="242"/>
      <c r="S981" s="199">
        <f>IF(S978=0,0,(S983*S987+S989*S993)/S978)</f>
        <v>39.844298898480083</v>
      </c>
      <c r="T981" s="173"/>
      <c r="U981" s="199">
        <f t="shared" ref="U981" si="1721">IF(U978=0,0,(U983*U987+U989*U993)/U978)</f>
        <v>64.623746094390697</v>
      </c>
      <c r="V981" s="241">
        <f>IF(V978=0,0,(V983*V987+V989*V993)/V978)</f>
        <v>2.1356356356336619</v>
      </c>
      <c r="W981" s="242"/>
      <c r="X981" s="199">
        <f>IF(X978=0,0,(X983*X987+X989*X993)/X978)</f>
        <v>47.989501312332862</v>
      </c>
      <c r="Y981" s="173"/>
      <c r="Z981" s="199">
        <f t="shared" ref="Z981" si="1722">IF(Z978=0,0,(Z983*Z987+Z989*Z993)/Z978)</f>
        <v>71.968844221103112</v>
      </c>
      <c r="AA981" s="241">
        <f>IF(AA978=0,0,(AA983*AA987+AA989*AA993)/AA978)</f>
        <v>2.8865784499066649</v>
      </c>
      <c r="AB981" s="264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</row>
    <row r="982" spans="1:42" s="50" customFormat="1" ht="11.25">
      <c r="A982" s="48"/>
      <c r="B982" s="48"/>
      <c r="C982" s="48"/>
      <c r="D982" s="154" t="s">
        <v>270</v>
      </c>
      <c r="E982" s="154"/>
      <c r="F982" s="154" t="str">
        <f t="shared" si="1718"/>
        <v>ИгрушкаФест</v>
      </c>
      <c r="G982" s="154" t="s">
        <v>219</v>
      </c>
      <c r="H982" s="319"/>
      <c r="I982" s="320">
        <f>I980-I981</f>
        <v>47.350000000002971</v>
      </c>
      <c r="J982" s="321"/>
      <c r="K982" s="320">
        <f t="shared" ref="K982" si="1723">K980-K981</f>
        <v>47.350000000002971</v>
      </c>
      <c r="L982" s="322">
        <f t="shared" ref="L982" si="1724">L980-L981</f>
        <v>0</v>
      </c>
      <c r="M982" s="275"/>
      <c r="N982" s="155">
        <f>N980-N981</f>
        <v>47.350000000002971</v>
      </c>
      <c r="O982" s="173"/>
      <c r="P982" s="155">
        <f t="shared" ref="P982" si="1725">P980-P981</f>
        <v>47.350000000002971</v>
      </c>
      <c r="Q982" s="239">
        <f t="shared" ref="Q982" si="1726">Q980-Q981</f>
        <v>0</v>
      </c>
      <c r="R982" s="240"/>
      <c r="S982" s="155">
        <f>S980-S981</f>
        <v>28.182891733655815</v>
      </c>
      <c r="T982" s="173"/>
      <c r="U982" s="155">
        <f t="shared" ref="U982" si="1727">U980-U981</f>
        <v>46.702680480184029</v>
      </c>
      <c r="V982" s="239">
        <f t="shared" ref="V982" si="1728">V980-V981</f>
        <v>0</v>
      </c>
      <c r="W982" s="240"/>
      <c r="X982" s="155">
        <f>X980-X981</f>
        <v>50.99068241470232</v>
      </c>
      <c r="Y982" s="173"/>
      <c r="Z982" s="155">
        <f t="shared" ref="Z982" si="1729">Z980-Z981</f>
        <v>78.100301507541687</v>
      </c>
      <c r="AA982" s="239">
        <f t="shared" ref="AA982" si="1730">AA980-AA981</f>
        <v>0</v>
      </c>
      <c r="AB982" s="230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</row>
    <row r="983" spans="1:42" s="5" customFormat="1">
      <c r="A983" s="1"/>
      <c r="B983" s="1"/>
      <c r="C983" s="1"/>
      <c r="D983" s="168"/>
      <c r="E983" s="168" t="s">
        <v>258</v>
      </c>
      <c r="F983" s="168" t="str">
        <f t="shared" si="1718"/>
        <v>ИгрушкаФест</v>
      </c>
      <c r="G983" s="168" t="s">
        <v>261</v>
      </c>
      <c r="H983" s="326"/>
      <c r="I983" s="327">
        <f>SUMIFS(операции!$V:$V,операции!$T:$T,"&lt;"&amp;I$8,операции!$X:$X,"",операции!$AB:$AB,"&lt;&gt;"&amp;"",операции!$AB:$AB,"&lt;"&amp;I$8,операции!$O:$O,$F978)+SUMIFS(операции!$V:$V,операции!$T:$T,"&lt;"&amp;I$8,операции!$X:$X,"&gt;="&amp;I$8,операции!$AB:$AB,"&lt;&gt;"&amp;"",операции!$AB:$AB,"&lt;"&amp;I$8,операции!$O:$O,$F978)</f>
        <v>5325</v>
      </c>
      <c r="J983" s="313">
        <f>I983-K983-L983</f>
        <v>0</v>
      </c>
      <c r="K983" s="327">
        <f>SUMIFS(операции!$V:$V,операции!$T:$T,"&lt;"&amp;I$8,операции!$X:$X,"",операции!$AB:$AB,"&lt;&gt;"&amp;"",операции!$AB:$AB,"&lt;"&amp;I$8,операции!$L:$L,K$9,операции!$O:$O,$F978)+SUMIFS(операции!$V:$V,операции!$T:$T,"&lt;"&amp;I$8,операции!$X:$X,"&gt;="&amp;I$8,операции!$AB:$AB,"&lt;&gt;"&amp;"",операции!$AB:$AB,"&lt;"&amp;I$8,операции!$L:$L,K$9,операции!$O:$O,$F978)</f>
        <v>5325</v>
      </c>
      <c r="L983" s="328">
        <f>SUMIFS(операции!$V:$V,операции!$T:$T,"&lt;"&amp;I$8,операции!$X:$X,"",операции!$AB:$AB,"&lt;&gt;"&amp;"",операции!$AB:$AB,"&lt;"&amp;I$8,операции!$L:$L,L$9,операции!$O:$O,$F978)+SUMIFS(операции!$V:$V,операции!$T:$T,"&lt;"&amp;I$8,операции!$X:$X,"&gt;="&amp;I$8,операции!$AB:$AB,"&lt;&gt;"&amp;"",операции!$AB:$AB,"&lt;"&amp;I$8,операции!$L:$L,L$9,операции!$O:$O,$F978)</f>
        <v>0</v>
      </c>
      <c r="M983" s="277"/>
      <c r="N983" s="169">
        <f>SUMIFS(операции!$V:$V,операции!$T:$T,"&lt;"&amp;N$8,операции!$X:$X,"",операции!$AB:$AB,"&lt;&gt;"&amp;"",операции!$AB:$AB,"&lt;"&amp;N$8,операции!$O:$O,$F978)+SUMIFS(операции!$V:$V,операции!$T:$T,"&lt;"&amp;N$8,операции!$X:$X,"&gt;="&amp;N$8,операции!$AB:$AB,"&lt;&gt;"&amp;"",операции!$AB:$AB,"&lt;"&amp;N$8,операции!$O:$O,$F978)</f>
        <v>5325</v>
      </c>
      <c r="O983" s="170">
        <f>N983-P983-Q983</f>
        <v>0</v>
      </c>
      <c r="P983" s="169">
        <f>SUMIFS(операции!$V:$V,операции!$T:$T,"&lt;"&amp;N$8,операции!$X:$X,"",операции!$AB:$AB,"&lt;&gt;"&amp;"",операции!$AB:$AB,"&lt;"&amp;N$8,операции!$L:$L,P$9,операции!$O:$O,$F978)+SUMIFS(операции!$V:$V,операции!$T:$T,"&lt;"&amp;N$8,операции!$X:$X,"&gt;="&amp;N$8,операции!$AB:$AB,"&lt;&gt;"&amp;"",операции!$AB:$AB,"&lt;"&amp;N$8,операции!$L:$L,P$9,операции!$O:$O,$F978)</f>
        <v>5325</v>
      </c>
      <c r="Q983" s="243">
        <f>SUMIFS(операции!$V:$V,операции!$T:$T,"&lt;"&amp;N$8,операции!$X:$X,"",операции!$AB:$AB,"&lt;&gt;"&amp;"",операции!$AB:$AB,"&lt;"&amp;N$8,операции!$L:$L,Q$9,операции!$O:$O,$F978)+SUMIFS(операции!$V:$V,операции!$T:$T,"&lt;"&amp;N$8,операции!$X:$X,"&gt;="&amp;N$8,операции!$AB:$AB,"&lt;&gt;"&amp;"",операции!$AB:$AB,"&lt;"&amp;N$8,операции!$L:$L,Q$9,операции!$O:$O,$F978)</f>
        <v>0</v>
      </c>
      <c r="R983" s="244"/>
      <c r="S983" s="169">
        <f>SUMIFS(операции!$V:$V,операции!$T:$T,"&lt;"&amp;S$8,операции!$X:$X,"",операции!$AB:$AB,"&lt;&gt;"&amp;"",операции!$AB:$AB,"&lt;"&amp;S$8,операции!$O:$O,$F978)+SUMIFS(операции!$V:$V,операции!$T:$T,"&lt;"&amp;S$8,операции!$X:$X,"&gt;="&amp;S$8,операции!$AB:$AB,"&lt;&gt;"&amp;"",операции!$AB:$AB,"&lt;"&amp;S$8,операции!$O:$O,$F978)</f>
        <v>3485</v>
      </c>
      <c r="T983" s="170">
        <f>S983-U983-V983</f>
        <v>0</v>
      </c>
      <c r="U983" s="169">
        <f>SUMIFS(операции!$V:$V,операции!$T:$T,"&lt;"&amp;S$8,операции!$X:$X,"",операции!$AB:$AB,"&lt;&gt;"&amp;"",операции!$AB:$AB,"&lt;"&amp;S$8,операции!$L:$L,U$9,операции!$O:$O,$F978)+SUMIFS(операции!$V:$V,операции!$T:$T,"&lt;"&amp;S$8,операции!$X:$X,"&gt;="&amp;S$8,операции!$AB:$AB,"&lt;&gt;"&amp;"",операции!$AB:$AB,"&lt;"&amp;S$8,операции!$L:$L,U$9,операции!$O:$O,$F978)</f>
        <v>3485</v>
      </c>
      <c r="V983" s="243">
        <f>SUMIFS(операции!$V:$V,операции!$T:$T,"&lt;"&amp;S$8,операции!$X:$X,"",операции!$AB:$AB,"&lt;&gt;"&amp;"",операции!$AB:$AB,"&lt;"&amp;S$8,операции!$L:$L,V$9,операции!$O:$O,$F978)+SUMIFS(операции!$V:$V,операции!$T:$T,"&lt;"&amp;S$8,операции!$X:$X,"&gt;="&amp;S$8,операции!$AB:$AB,"&lt;&gt;"&amp;"",операции!$AB:$AB,"&lt;"&amp;S$8,операции!$L:$L,V$9,операции!$O:$O,$F978)</f>
        <v>0</v>
      </c>
      <c r="W983" s="244"/>
      <c r="X983" s="169">
        <f>SUMIFS(операции!$V:$V,операции!$T:$T,"&lt;"&amp;X$8,операции!$X:$X,"",операции!$AB:$AB,"&lt;&gt;"&amp;"",операции!$AB:$AB,"&lt;"&amp;X$8,операции!$O:$O,$F978)+SUMIFS(операции!$V:$V,операции!$T:$T,"&lt;"&amp;X$8,операции!$X:$X,"&gt;="&amp;X$8,операции!$AB:$AB,"&lt;&gt;"&amp;"",операции!$AB:$AB,"&lt;"&amp;X$8,операции!$O:$O,$F978)</f>
        <v>3485</v>
      </c>
      <c r="Y983" s="170">
        <f>X983-Z983-AA983</f>
        <v>0</v>
      </c>
      <c r="Z983" s="169">
        <f>SUMIFS(операции!$V:$V,операции!$T:$T,"&lt;"&amp;X$8,операции!$X:$X,"",операции!$AB:$AB,"&lt;&gt;"&amp;"",операции!$AB:$AB,"&lt;"&amp;X$8,операции!$L:$L,Z$9,операции!$O:$O,$F978)+SUMIFS(операции!$V:$V,операции!$T:$T,"&lt;"&amp;X$8,операции!$X:$X,"&gt;="&amp;X$8,операции!$AB:$AB,"&lt;&gt;"&amp;"",операции!$AB:$AB,"&lt;"&amp;X$8,операции!$L:$L,Z$9,операции!$O:$O,$F978)</f>
        <v>3485</v>
      </c>
      <c r="AA983" s="243">
        <f>SUMIFS(операции!$V:$V,операции!$T:$T,"&lt;"&amp;X$8,операции!$X:$X,"",операции!$AB:$AB,"&lt;&gt;"&amp;"",операции!$AB:$AB,"&lt;"&amp;X$8,операции!$L:$L,AA$9,операции!$O:$O,$F978)+SUMIFS(операции!$V:$V,операции!$T:$T,"&lt;"&amp;X$8,операции!$X:$X,"&gt;="&amp;X$8,операции!$AB:$AB,"&lt;&gt;"&amp;"",операции!$AB:$AB,"&lt;"&amp;X$8,операции!$L:$L,AA$9,операции!$O:$O,$F978)</f>
        <v>0</v>
      </c>
      <c r="AB983" s="266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s="192" customFormat="1" ht="11.25">
      <c r="A984" s="37"/>
      <c r="B984" s="37"/>
      <c r="C984" s="37"/>
      <c r="D984" s="191"/>
      <c r="E984" s="191" t="s">
        <v>255</v>
      </c>
      <c r="F984" s="191" t="str">
        <f t="shared" si="1718"/>
        <v>ИгрушкаФест</v>
      </c>
      <c r="G984" s="191" t="s">
        <v>262</v>
      </c>
      <c r="H984" s="315"/>
      <c r="I984" s="316">
        <f>IF(I983=0,0,(SUMIFS(операции!$AF:$AF,операции!$T:$T,"&lt;"&amp;I$8,операции!$X:$X,"",операции!$AB:$AB,"&lt;&gt;"&amp;"",операции!$AB:$AB,"&lt;"&amp;I$8,операции!$O:$O,$F978)+SUMIFS(операции!$AF:$AF,операции!$T:$T,"&lt;"&amp;I$8,операции!$X:$X,"&gt;="&amp;I$8,операции!$AB:$AB,"&lt;&gt;"&amp;"",операции!$AB:$AB,"&lt;"&amp;I$8,операции!$O:$O,$F978))/I983)</f>
        <v>42163.845070422532</v>
      </c>
      <c r="J984" s="317"/>
      <c r="K984" s="316">
        <f>IF(K983=0,0,(SUMIFS(операции!$AF:$AF,операции!$T:$T,"&lt;"&amp;I$8,операции!$X:$X,"",операции!$AB:$AB,"&lt;&gt;"&amp;"",операции!$AB:$AB,"&lt;"&amp;I$8,операции!$L:$L,K$9,операции!$O:$O,$F978)+SUMIFS(операции!$AF:$AF,операции!$T:$T,"&lt;"&amp;I$8,операции!$X:$X,"&gt;="&amp;I$8,операции!$AB:$AB,"&lt;&gt;"&amp;"",операции!$AB:$AB,"&lt;"&amp;I$8,операции!$L:$L,K$9,операции!$O:$O,$F978))/K983)</f>
        <v>42163.845070422532</v>
      </c>
      <c r="L984" s="318">
        <f>IF(L983=0,0,(SUMIFS(операции!$AF:$AF,операции!$T:$T,"&lt;"&amp;I$8,операции!$X:$X,"",операции!$AB:$AB,"&lt;&gt;"&amp;"",операции!$AB:$AB,"&lt;"&amp;I$8,операции!$L:$L,L$9,операции!$O:$O,$F978)+SUMIFS(операции!$AF:$AF,операции!$T:$T,"&lt;"&amp;I$8,операции!$X:$X,"&gt;="&amp;I$8,операции!$AB:$AB,"&lt;&gt;"&amp;"",операции!$AB:$AB,"&lt;"&amp;I$8,операции!$L:$L,L$9,операции!$O:$O,$F978))/L983)</f>
        <v>0</v>
      </c>
      <c r="M984" s="274"/>
      <c r="N984" s="193">
        <f>IF(N983=0,0,(SUMIFS(операции!$AF:$AF,операции!$T:$T,"&lt;"&amp;N$8,операции!$X:$X,"",операции!$AB:$AB,"&lt;&gt;"&amp;"",операции!$AB:$AB,"&lt;"&amp;N$8,операции!$O:$O,$F978)+SUMIFS(операции!$AF:$AF,операции!$T:$T,"&lt;"&amp;N$8,операции!$X:$X,"&gt;="&amp;N$8,операции!$AB:$AB,"&lt;&gt;"&amp;"",операции!$AB:$AB,"&lt;"&amp;N$8,операции!$O:$O,$F978))/N983)</f>
        <v>42163.845070422532</v>
      </c>
      <c r="O984" s="196"/>
      <c r="P984" s="193">
        <f>IF(P983=0,0,(SUMIFS(операции!$AF:$AF,операции!$T:$T,"&lt;"&amp;N$8,операции!$X:$X,"",операции!$AB:$AB,"&lt;&gt;"&amp;"",операции!$AB:$AB,"&lt;"&amp;N$8,операции!$L:$L,P$9,операции!$O:$O,$F978)+SUMIFS(операции!$AF:$AF,операции!$T:$T,"&lt;"&amp;N$8,операции!$X:$X,"&gt;="&amp;N$8,операции!$AB:$AB,"&lt;&gt;"&amp;"",операции!$AB:$AB,"&lt;"&amp;N$8,операции!$L:$L,P$9,операции!$O:$O,$F978))/P983)</f>
        <v>42163.845070422532</v>
      </c>
      <c r="Q984" s="237">
        <f>IF(Q983=0,0,(SUMIFS(операции!$AF:$AF,операции!$T:$T,"&lt;"&amp;N$8,операции!$X:$X,"",операции!$AB:$AB,"&lt;&gt;"&amp;"",операции!$AB:$AB,"&lt;"&amp;N$8,операции!$L:$L,Q$9,операции!$O:$O,$F978)+SUMIFS(операции!$AF:$AF,операции!$T:$T,"&lt;"&amp;N$8,операции!$X:$X,"&gt;="&amp;N$8,операции!$AB:$AB,"&lt;&gt;"&amp;"",операции!$AB:$AB,"&lt;"&amp;N$8,операции!$L:$L,Q$9,операции!$O:$O,$F978))/Q983)</f>
        <v>0</v>
      </c>
      <c r="R984" s="238"/>
      <c r="S984" s="193">
        <f>IF(S983=0,0,(SUMIFS(операции!$AF:$AF,операции!$T:$T,"&lt;"&amp;S$8,операции!$X:$X,"",операции!$AB:$AB,"&lt;&gt;"&amp;"",операции!$AB:$AB,"&lt;"&amp;S$8,операции!$O:$O,$F978)+SUMIFS(операции!$AF:$AF,операции!$T:$T,"&lt;"&amp;S$8,операции!$X:$X,"&gt;="&amp;S$8,операции!$AB:$AB,"&lt;&gt;"&amp;"",операции!$AB:$AB,"&lt;"&amp;S$8,операции!$O:$O,$F978))/S983)</f>
        <v>42204.720516499285</v>
      </c>
      <c r="T984" s="196"/>
      <c r="U984" s="193">
        <f>IF(U983=0,0,(SUMIFS(операции!$AF:$AF,операции!$T:$T,"&lt;"&amp;S$8,операции!$X:$X,"",операции!$AB:$AB,"&lt;&gt;"&amp;"",операции!$AB:$AB,"&lt;"&amp;S$8,операции!$L:$L,U$9,операции!$O:$O,$F978)+SUMIFS(операции!$AF:$AF,операции!$T:$T,"&lt;"&amp;S$8,операции!$X:$X,"&gt;="&amp;S$8,операции!$AB:$AB,"&lt;&gt;"&amp;"",операции!$AB:$AB,"&lt;"&amp;S$8,операции!$L:$L,U$9,операции!$O:$O,$F978))/U983)</f>
        <v>42204.720516499285</v>
      </c>
      <c r="V984" s="237">
        <f>IF(V983=0,0,(SUMIFS(операции!$AF:$AF,операции!$T:$T,"&lt;"&amp;S$8,операции!$X:$X,"",операции!$AB:$AB,"&lt;&gt;"&amp;"",операции!$AB:$AB,"&lt;"&amp;S$8,операции!$L:$L,V$9,операции!$O:$O,$F978)+SUMIFS(операции!$AF:$AF,операции!$T:$T,"&lt;"&amp;S$8,операции!$X:$X,"&gt;="&amp;S$8,операции!$AB:$AB,"&lt;&gt;"&amp;"",операции!$AB:$AB,"&lt;"&amp;S$8,операции!$L:$L,V$9,операции!$O:$O,$F978))/V983)</f>
        <v>0</v>
      </c>
      <c r="W984" s="238"/>
      <c r="X984" s="193">
        <f>IF(X983=0,0,(SUMIFS(операции!$AF:$AF,операции!$T:$T,"&lt;"&amp;X$8,операции!$X:$X,"",операции!$AB:$AB,"&lt;&gt;"&amp;"",операции!$AB:$AB,"&lt;"&amp;X$8,операции!$O:$O,$F978)+SUMIFS(операции!$AF:$AF,операции!$T:$T,"&lt;"&amp;X$8,операции!$X:$X,"&gt;="&amp;X$8,операции!$AB:$AB,"&lt;&gt;"&amp;"",операции!$AB:$AB,"&lt;"&amp;X$8,операции!$O:$O,$F978))/X983)</f>
        <v>42204.720516499285</v>
      </c>
      <c r="Y984" s="196"/>
      <c r="Z984" s="193">
        <f>IF(Z983=0,0,(SUMIFS(операции!$AF:$AF,операции!$T:$T,"&lt;"&amp;X$8,операции!$X:$X,"",операции!$AB:$AB,"&lt;&gt;"&amp;"",операции!$AB:$AB,"&lt;"&amp;X$8,операции!$L:$L,Z$9,операции!$O:$O,$F978)+SUMIFS(операции!$AF:$AF,операции!$T:$T,"&lt;"&amp;X$8,операции!$X:$X,"&gt;="&amp;X$8,операции!$AB:$AB,"&lt;&gt;"&amp;"",операции!$AB:$AB,"&lt;"&amp;X$8,операции!$L:$L,Z$9,операции!$O:$O,$F978))/Z983)</f>
        <v>42204.720516499285</v>
      </c>
      <c r="AA984" s="237">
        <f>IF(AA983=0,0,(SUMIFS(операции!$AF:$AF,операции!$T:$T,"&lt;"&amp;X$8,операции!$X:$X,"",операции!$AB:$AB,"&lt;&gt;"&amp;"",операции!$AB:$AB,"&lt;"&amp;X$8,операции!$L:$L,AA$9,операции!$O:$O,$F978)+SUMIFS(операции!$AF:$AF,операции!$T:$T,"&lt;"&amp;X$8,операции!$X:$X,"&gt;="&amp;X$8,операции!$AB:$AB,"&lt;&gt;"&amp;"",операции!$AB:$AB,"&lt;"&amp;X$8,операции!$L:$L,AA$9,операции!$O:$O,$F978))/AA983)</f>
        <v>0</v>
      </c>
      <c r="AB984" s="265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</row>
    <row r="985" spans="1:42" s="192" customFormat="1" ht="11.25">
      <c r="A985" s="37"/>
      <c r="B985" s="37"/>
      <c r="C985" s="37"/>
      <c r="D985" s="191"/>
      <c r="E985" s="191" t="s">
        <v>260</v>
      </c>
      <c r="F985" s="191" t="str">
        <f t="shared" si="1718"/>
        <v>ИгрушкаФест</v>
      </c>
      <c r="G985" s="191" t="s">
        <v>219</v>
      </c>
      <c r="H985" s="315"/>
      <c r="I985" s="329">
        <f>IF(I983=0,0,I$8-I984)</f>
        <v>114.15492957746756</v>
      </c>
      <c r="J985" s="317"/>
      <c r="K985" s="329">
        <f>IF(K983=0,0,I$8-K984)</f>
        <v>114.15492957746756</v>
      </c>
      <c r="L985" s="330">
        <f>IF(L983=0,0,I$8-L984)</f>
        <v>0</v>
      </c>
      <c r="M985" s="274"/>
      <c r="N985" s="156">
        <f>IF(N983=0,0,N$8-N984)</f>
        <v>114.15492957746756</v>
      </c>
      <c r="O985" s="196"/>
      <c r="P985" s="156">
        <f>IF(P983=0,0,N$8-P984)</f>
        <v>114.15492957746756</v>
      </c>
      <c r="Q985" s="245">
        <f>IF(Q983=0,0,N$8-Q984)</f>
        <v>0</v>
      </c>
      <c r="R985" s="238"/>
      <c r="S985" s="156">
        <f>IF(S983=0,0,S$8-S984)</f>
        <v>104.27948350071529</v>
      </c>
      <c r="T985" s="196"/>
      <c r="U985" s="156">
        <f>IF(U983=0,0,S$8-U984)</f>
        <v>104.27948350071529</v>
      </c>
      <c r="V985" s="245">
        <f>IF(V983=0,0,S$8-V984)</f>
        <v>0</v>
      </c>
      <c r="W985" s="238"/>
      <c r="X985" s="156">
        <f>IF(X983=0,0,X$8-X984)</f>
        <v>134.27948350071529</v>
      </c>
      <c r="Y985" s="196"/>
      <c r="Z985" s="156">
        <f>IF(Z983=0,0,X$8-Z984)</f>
        <v>134.27948350071529</v>
      </c>
      <c r="AA985" s="245">
        <f>IF(AA983=0,0,X$8-AA984)</f>
        <v>0</v>
      </c>
      <c r="AB985" s="265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</row>
    <row r="986" spans="1:42" s="192" customFormat="1" ht="11.25">
      <c r="A986" s="37"/>
      <c r="B986" s="37"/>
      <c r="C986" s="37"/>
      <c r="D986" s="191"/>
      <c r="E986" s="191" t="s">
        <v>259</v>
      </c>
      <c r="F986" s="191" t="str">
        <f t="shared" si="1718"/>
        <v>ИгрушкаФест</v>
      </c>
      <c r="G986" s="191" t="s">
        <v>262</v>
      </c>
      <c r="H986" s="315"/>
      <c r="I986" s="316">
        <f>IF(I983=0,0,(SUMIFS(операции!$AH:$AH,операции!$T:$T,"&lt;"&amp;I$8,операции!$X:$X,"",операции!$AB:$AB,"&lt;&gt;"&amp;"",операции!$AB:$AB,"&lt;"&amp;I$8,операции!$O:$O,$F978)+SUMIFS(операции!$AH:$AH,операции!$T:$T,"&lt;"&amp;I$8,операции!$X:$X,"&gt;="&amp;I$8,операции!$AB:$AB,"&lt;&gt;"&amp;"",операции!$AB:$AB,"&lt;"&amp;I$8,операции!$O:$O,$F978))/I983)</f>
        <v>42188.724131455398</v>
      </c>
      <c r="J986" s="317"/>
      <c r="K986" s="316">
        <f>IF(K983=0,0,(SUMIFS(операции!$AH:$AH,операции!$T:$T,"&lt;"&amp;I$8,операции!$X:$X,"",операции!$AB:$AB,"&lt;&gt;"&amp;"",операции!$AB:$AB,"&lt;"&amp;I$8,операции!$L:$L,K$9,операции!$O:$O,$F978)+SUMIFS(операции!$AH:$AH,операции!$T:$T,"&lt;"&amp;I$8,операции!$X:$X,"&gt;="&amp;I$8,операции!$AB:$AB,"&lt;&gt;"&amp;"",операции!$AB:$AB,"&lt;"&amp;I$8,операции!$L:$L,K$9,операции!$O:$O,$F978))/K983)</f>
        <v>42188.724131455398</v>
      </c>
      <c r="L986" s="318">
        <f>IF(L983=0,0,(SUMIFS(операции!$AH:$AH,операции!$T:$T,"&lt;"&amp;I$8,операции!$X:$X,"",операции!$AB:$AB,"&lt;&gt;"&amp;"",операции!$AB:$AB,"&lt;"&amp;I$8,операции!$L:$L,L$9,операции!$O:$O,$F978)+SUMIFS(операции!$AH:$AH,операции!$T:$T,"&lt;"&amp;I$8,операции!$X:$X,"&gt;="&amp;I$8,операции!$AB:$AB,"&lt;&gt;"&amp;"",операции!$AB:$AB,"&lt;"&amp;I$8,операции!$L:$L,L$9,операции!$O:$O,$F978))/L983)</f>
        <v>0</v>
      </c>
      <c r="M986" s="274"/>
      <c r="N986" s="193">
        <f>IF(N983=0,0,(SUMIFS(операции!$AH:$AH,операции!$T:$T,"&lt;"&amp;N$8,операции!$X:$X,"",операции!$AB:$AB,"&lt;&gt;"&amp;"",операции!$AB:$AB,"&lt;"&amp;N$8,операции!$O:$O,$F978)+SUMIFS(операции!$AH:$AH,операции!$T:$T,"&lt;"&amp;N$8,операции!$X:$X,"&gt;="&amp;N$8,операции!$AB:$AB,"&lt;&gt;"&amp;"",операции!$AB:$AB,"&lt;"&amp;N$8,операции!$O:$O,$F978))/N983)</f>
        <v>42188.724131455398</v>
      </c>
      <c r="O986" s="196"/>
      <c r="P986" s="193">
        <f>IF(P983=0,0,(SUMIFS(операции!$AH:$AH,операции!$T:$T,"&lt;"&amp;N$8,операции!$X:$X,"",операции!$AB:$AB,"&lt;&gt;"&amp;"",операции!$AB:$AB,"&lt;"&amp;N$8,операции!$L:$L,P$9,операции!$O:$O,$F978)+SUMIFS(операции!$AH:$AH,операции!$T:$T,"&lt;"&amp;N$8,операции!$X:$X,"&gt;="&amp;N$8,операции!$AB:$AB,"&lt;&gt;"&amp;"",операции!$AB:$AB,"&lt;"&amp;N$8,операции!$L:$L,P$9,операции!$O:$O,$F978))/P983)</f>
        <v>42188.724131455398</v>
      </c>
      <c r="Q986" s="237">
        <f>IF(Q983=0,0,(SUMIFS(операции!$AH:$AH,операции!$T:$T,"&lt;"&amp;N$8,операции!$X:$X,"",операции!$AB:$AB,"&lt;&gt;"&amp;"",операции!$AB:$AB,"&lt;"&amp;N$8,операции!$L:$L,Q$9,операции!$O:$O,$F978)+SUMIFS(операции!$AH:$AH,операции!$T:$T,"&lt;"&amp;N$8,операции!$X:$X,"&gt;="&amp;N$8,операции!$AB:$AB,"&lt;&gt;"&amp;"",операции!$AB:$AB,"&lt;"&amp;N$8,операции!$L:$L,Q$9,операции!$O:$O,$F978))/Q983)</f>
        <v>0</v>
      </c>
      <c r="R986" s="238"/>
      <c r="S986" s="193">
        <f>IF(S983=0,0,(SUMIFS(операции!$AH:$AH,операции!$T:$T,"&lt;"&amp;S$8,операции!$X:$X,"",операции!$AB:$AB,"&lt;&gt;"&amp;"",операции!$AB:$AB,"&lt;"&amp;S$8,операции!$O:$O,$F978)+SUMIFS(операции!$AH:$AH,операции!$T:$T,"&lt;"&amp;S$8,операции!$X:$X,"&gt;="&amp;S$8,операции!$AB:$AB,"&lt;&gt;"&amp;"",операции!$AB:$AB,"&lt;"&amp;S$8,операции!$O:$O,$F978))/S983)</f>
        <v>42227.508177905307</v>
      </c>
      <c r="T986" s="196"/>
      <c r="U986" s="193">
        <f>IF(U983=0,0,(SUMIFS(операции!$AH:$AH,операции!$T:$T,"&lt;"&amp;S$8,операции!$X:$X,"",операции!$AB:$AB,"&lt;&gt;"&amp;"",операции!$AB:$AB,"&lt;"&amp;S$8,операции!$L:$L,U$9,операции!$O:$O,$F978)+SUMIFS(операции!$AH:$AH,операции!$T:$T,"&lt;"&amp;S$8,операции!$X:$X,"&gt;="&amp;S$8,операции!$AB:$AB,"&lt;&gt;"&amp;"",операции!$AB:$AB,"&lt;"&amp;S$8,операции!$L:$L,U$9,операции!$O:$O,$F978))/U983)</f>
        <v>42227.508177905307</v>
      </c>
      <c r="V986" s="237">
        <f>IF(V983=0,0,(SUMIFS(операции!$AH:$AH,операции!$T:$T,"&lt;"&amp;S$8,операции!$X:$X,"",операции!$AB:$AB,"&lt;&gt;"&amp;"",операции!$AB:$AB,"&lt;"&amp;S$8,операции!$L:$L,V$9,операции!$O:$O,$F978)+SUMIFS(операции!$AH:$AH,операции!$T:$T,"&lt;"&amp;S$8,операции!$X:$X,"&gt;="&amp;S$8,операции!$AB:$AB,"&lt;&gt;"&amp;"",операции!$AB:$AB,"&lt;"&amp;S$8,операции!$L:$L,V$9,операции!$O:$O,$F978))/V983)</f>
        <v>0</v>
      </c>
      <c r="W986" s="238"/>
      <c r="X986" s="193">
        <f>IF(X983=0,0,(SUMIFS(операции!$AH:$AH,операции!$T:$T,"&lt;"&amp;X$8,операции!$X:$X,"",операции!$AB:$AB,"&lt;&gt;"&amp;"",операции!$AB:$AB,"&lt;"&amp;X$8,операции!$O:$O,$F978)+SUMIFS(операции!$AH:$AH,операции!$T:$T,"&lt;"&amp;X$8,операции!$X:$X,"&gt;="&amp;X$8,операции!$AB:$AB,"&lt;&gt;"&amp;"",операции!$AB:$AB,"&lt;"&amp;X$8,операции!$O:$O,$F978))/X983)</f>
        <v>42227.508177905307</v>
      </c>
      <c r="Y986" s="196"/>
      <c r="Z986" s="193">
        <f>IF(Z983=0,0,(SUMIFS(операции!$AH:$AH,операции!$T:$T,"&lt;"&amp;X$8,операции!$X:$X,"",операции!$AB:$AB,"&lt;&gt;"&amp;"",операции!$AB:$AB,"&lt;"&amp;X$8,операции!$L:$L,Z$9,операции!$O:$O,$F978)+SUMIFS(операции!$AH:$AH,операции!$T:$T,"&lt;"&amp;X$8,операции!$X:$X,"&gt;="&amp;X$8,операции!$AB:$AB,"&lt;&gt;"&amp;"",операции!$AB:$AB,"&lt;"&amp;X$8,операции!$L:$L,Z$9,операции!$O:$O,$F978))/Z983)</f>
        <v>42227.508177905307</v>
      </c>
      <c r="AA986" s="237">
        <f>IF(AA983=0,0,(SUMIFS(операции!$AH:$AH,операции!$T:$T,"&lt;"&amp;X$8,операции!$X:$X,"",операции!$AB:$AB,"&lt;&gt;"&amp;"",операции!$AB:$AB,"&lt;"&amp;X$8,операции!$L:$L,AA$9,операции!$O:$O,$F978)+SUMIFS(операции!$AH:$AH,операции!$T:$T,"&lt;"&amp;X$8,операции!$X:$X,"&gt;="&amp;X$8,операции!$AB:$AB,"&lt;&gt;"&amp;"",операции!$AB:$AB,"&lt;"&amp;X$8,операции!$L:$L,AA$9,операции!$O:$O,$F978))/AA983)</f>
        <v>0</v>
      </c>
      <c r="AB986" s="265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</row>
    <row r="987" spans="1:42" s="192" customFormat="1" ht="11.25">
      <c r="A987" s="37"/>
      <c r="B987" s="37"/>
      <c r="C987" s="37"/>
      <c r="D987" s="191"/>
      <c r="E987" s="191" t="s">
        <v>265</v>
      </c>
      <c r="F987" s="191" t="str">
        <f t="shared" si="1718"/>
        <v>ИгрушкаФест</v>
      </c>
      <c r="G987" s="191" t="s">
        <v>219</v>
      </c>
      <c r="H987" s="315"/>
      <c r="I987" s="329">
        <f>I986-I984</f>
        <v>24.879061032865138</v>
      </c>
      <c r="J987" s="317"/>
      <c r="K987" s="329">
        <f t="shared" ref="K987" si="1731">K986-K984</f>
        <v>24.879061032865138</v>
      </c>
      <c r="L987" s="330">
        <f>L986-L984</f>
        <v>0</v>
      </c>
      <c r="M987" s="274"/>
      <c r="N987" s="156">
        <f>N986-N984</f>
        <v>24.879061032865138</v>
      </c>
      <c r="O987" s="196"/>
      <c r="P987" s="156">
        <f t="shared" ref="P987" si="1732">P986-P984</f>
        <v>24.879061032865138</v>
      </c>
      <c r="Q987" s="245">
        <f>Q986-Q984</f>
        <v>0</v>
      </c>
      <c r="R987" s="238"/>
      <c r="S987" s="156">
        <f>S986-S984</f>
        <v>22.78766140602238</v>
      </c>
      <c r="T987" s="196"/>
      <c r="U987" s="156">
        <f t="shared" ref="U987" si="1733">U986-U984</f>
        <v>22.78766140602238</v>
      </c>
      <c r="V987" s="245">
        <f>V986-V984</f>
        <v>0</v>
      </c>
      <c r="W987" s="238"/>
      <c r="X987" s="156">
        <f>X986-X984</f>
        <v>22.78766140602238</v>
      </c>
      <c r="Y987" s="196"/>
      <c r="Z987" s="156">
        <f t="shared" ref="Z987" si="1734">Z986-Z984</f>
        <v>22.78766140602238</v>
      </c>
      <c r="AA987" s="245">
        <f>AA986-AA984</f>
        <v>0</v>
      </c>
      <c r="AB987" s="265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</row>
    <row r="988" spans="1:42" s="192" customFormat="1" ht="11.25">
      <c r="A988" s="37"/>
      <c r="B988" s="37"/>
      <c r="C988" s="37"/>
      <c r="D988" s="191"/>
      <c r="E988" s="191" t="s">
        <v>268</v>
      </c>
      <c r="F988" s="191" t="str">
        <f t="shared" si="1718"/>
        <v>ИгрушкаФест</v>
      </c>
      <c r="G988" s="191" t="s">
        <v>219</v>
      </c>
      <c r="H988" s="315"/>
      <c r="I988" s="329">
        <f>I985-I987</f>
        <v>89.275868544602417</v>
      </c>
      <c r="J988" s="317"/>
      <c r="K988" s="329">
        <f t="shared" ref="K988" si="1735">K985-K987</f>
        <v>89.275868544602417</v>
      </c>
      <c r="L988" s="330">
        <f t="shared" ref="L988" si="1736">L985-L987</f>
        <v>0</v>
      </c>
      <c r="M988" s="274"/>
      <c r="N988" s="156">
        <f>N985-N987</f>
        <v>89.275868544602417</v>
      </c>
      <c r="O988" s="196"/>
      <c r="P988" s="156">
        <f t="shared" ref="P988" si="1737">P985-P987</f>
        <v>89.275868544602417</v>
      </c>
      <c r="Q988" s="245">
        <f t="shared" ref="Q988" si="1738">Q985-Q987</f>
        <v>0</v>
      </c>
      <c r="R988" s="238"/>
      <c r="S988" s="156">
        <f>S985-S987</f>
        <v>81.491822094692907</v>
      </c>
      <c r="T988" s="196"/>
      <c r="U988" s="156">
        <f t="shared" ref="U988" si="1739">U985-U987</f>
        <v>81.491822094692907</v>
      </c>
      <c r="V988" s="245">
        <f t="shared" ref="V988" si="1740">V985-V987</f>
        <v>0</v>
      </c>
      <c r="W988" s="238"/>
      <c r="X988" s="156">
        <f>X985-X987</f>
        <v>111.49182209469291</v>
      </c>
      <c r="Y988" s="196"/>
      <c r="Z988" s="156">
        <f t="shared" ref="Z988" si="1741">Z985-Z987</f>
        <v>111.49182209469291</v>
      </c>
      <c r="AA988" s="245">
        <f t="shared" ref="AA988" si="1742">AA985-AA987</f>
        <v>0</v>
      </c>
      <c r="AB988" s="265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</row>
    <row r="989" spans="1:42" s="5" customFormat="1">
      <c r="A989" s="1"/>
      <c r="B989" s="1"/>
      <c r="C989" s="1"/>
      <c r="D989" s="168"/>
      <c r="E989" s="168" t="s">
        <v>276</v>
      </c>
      <c r="F989" s="168" t="str">
        <f t="shared" si="1718"/>
        <v>ИгрушкаФест</v>
      </c>
      <c r="G989" s="168" t="s">
        <v>261</v>
      </c>
      <c r="H989" s="326"/>
      <c r="I989" s="327">
        <f>SUMIFS(операции!$V:$V,операции!$T:$T,"&lt;"&amp;I$8,операции!$X:$X,"",операции!$AB:$AB,"",операции!$O:$O,$F978)+SUMIFS(операции!$V:$V,операции!$T:$T,"&lt;"&amp;I$8,операции!$X:$X,"&gt;="&amp;I$8,операции!$AB:$AB,"",операции!$O:$O,$F978)+SUMIFS(операции!$V:$V,операции!$T:$T,"&lt;"&amp;I$8,операции!$X:$X,"",операции!$AB:$AB,"&gt;="&amp;I$8,операции!$O:$O,$F978)+SUMIFS(операции!$V:$V,операции!$T:$T,"&lt;"&amp;I$8,операции!$X:$X,"&gt;="&amp;I$8,операции!$AB:$AB,"&gt;="&amp;I$8,операции!$O:$O,$F978)</f>
        <v>4715</v>
      </c>
      <c r="J989" s="313">
        <f>I989-K989-L989</f>
        <v>0</v>
      </c>
      <c r="K989" s="327">
        <f>SUMIFS(операции!$V:$V,операции!$T:$T,"&lt;"&amp;I$8,операции!$X:$X,"",операции!$AB:$AB,"",операции!$L:$L,K$9,операции!$O:$O,$F978)+SUMIFS(операции!$V:$V,операции!$T:$T,"&lt;"&amp;I$8,операции!$X:$X,"&gt;="&amp;I$8,операции!$AB:$AB,"",операции!$L:$L,K$9,операции!$O:$O,$F978)+SUMIFS(операции!$V:$V,операции!$T:$T,"&lt;"&amp;I$8,операции!$X:$X,"",операции!$AB:$AB,"&gt;="&amp;I$8,операции!$L:$L,K$9,операции!$O:$O,$F978)+SUMIFS(операции!$V:$V,операции!$T:$T,"&lt;"&amp;I$8,операции!$X:$X,"&gt;="&amp;I$8,операции!$AB:$AB,"&gt;="&amp;I$8,операции!$L:$L,K$9,операции!$O:$O,$F978)</f>
        <v>4715</v>
      </c>
      <c r="L989" s="328">
        <f>SUMIFS(операции!$V:$V,операции!$T:$T,"&lt;"&amp;I$8,операции!$X:$X,"",операции!$AB:$AB,"",операции!$L:$L,L$9,операции!$O:$O,$F978)+SUMIFS(операции!$V:$V,операции!$T:$T,"&lt;"&amp;I$8,операции!$X:$X,"&gt;="&amp;I$8,операции!$AB:$AB,"",операции!$L:$L,L$9,операции!$O:$O,$F978)+SUMIFS(операции!$V:$V,операции!$T:$T,"&lt;"&amp;I$8,операции!$X:$X,"",операции!$AB:$AB,"&gt;="&amp;I$8,операции!$L:$L,L$9,операции!$O:$O,$F978)+SUMIFS(операции!$V:$V,операции!$T:$T,"&lt;"&amp;I$8,операции!$X:$X,"&gt;="&amp;I$8,операции!$AB:$AB,"&gt;="&amp;I$8,операции!$L:$L,L$9,операции!$O:$O,$F978)</f>
        <v>0</v>
      </c>
      <c r="M989" s="277"/>
      <c r="N989" s="169">
        <f>SUMIFS(операции!$V:$V,операции!$T:$T,"&lt;"&amp;N$8,операции!$X:$X,"",операции!$AB:$AB,"",операции!$O:$O,$F978)+SUMIFS(операции!$V:$V,операции!$T:$T,"&lt;"&amp;N$8,операции!$X:$X,"&gt;="&amp;N$8,операции!$AB:$AB,"",операции!$O:$O,$F978)+SUMIFS(операции!$V:$V,операции!$T:$T,"&lt;"&amp;N$8,операции!$X:$X,"",операции!$AB:$AB,"&gt;="&amp;N$8,операции!$O:$O,$F978)+SUMIFS(операции!$V:$V,операции!$T:$T,"&lt;"&amp;N$8,операции!$X:$X,"&gt;="&amp;N$8,операции!$AB:$AB,"&gt;="&amp;N$8,операции!$O:$O,$F978)</f>
        <v>4715</v>
      </c>
      <c r="O989" s="170">
        <f>N989-P989-Q989</f>
        <v>0</v>
      </c>
      <c r="P989" s="169">
        <f>SUMIFS(операции!$V:$V,операции!$T:$T,"&lt;"&amp;N$8,операции!$X:$X,"",операции!$AB:$AB,"",операции!$L:$L,P$9,операции!$O:$O,$F978)+SUMIFS(операции!$V:$V,операции!$T:$T,"&lt;"&amp;N$8,операции!$X:$X,"&gt;="&amp;N$8,операции!$AB:$AB,"",операции!$L:$L,P$9,операции!$O:$O,$F978)+SUMIFS(операции!$V:$V,операции!$T:$T,"&lt;"&amp;N$8,операции!$X:$X,"",операции!$AB:$AB,"&gt;="&amp;N$8,операции!$L:$L,P$9,операции!$O:$O,$F978)+SUMIFS(операции!$V:$V,операции!$T:$T,"&lt;"&amp;N$8,операции!$X:$X,"&gt;="&amp;N$8,операции!$AB:$AB,"&gt;="&amp;N$8,операции!$L:$L,P$9,операции!$O:$O,$F978)</f>
        <v>4715</v>
      </c>
      <c r="Q989" s="243">
        <f>SUMIFS(операции!$V:$V,операции!$T:$T,"&lt;"&amp;N$8,операции!$X:$X,"",операции!$AB:$AB,"",операции!$L:$L,Q$9,операции!$O:$O,$F978)+SUMIFS(операции!$V:$V,операции!$T:$T,"&lt;"&amp;N$8,операции!$X:$X,"&gt;="&amp;N$8,операции!$AB:$AB,"",операции!$L:$L,Q$9,операции!$O:$O,$F978)+SUMIFS(операции!$V:$V,операции!$T:$T,"&lt;"&amp;N$8,операции!$X:$X,"",операции!$AB:$AB,"&gt;="&amp;N$8,операции!$L:$L,Q$9,операции!$O:$O,$F978)+SUMIFS(операции!$V:$V,операции!$T:$T,"&lt;"&amp;N$8,операции!$X:$X,"&gt;="&amp;N$8,операции!$AB:$AB,"&gt;="&amp;N$8,операции!$L:$L,Q$9,операции!$O:$O,$F978)</f>
        <v>0</v>
      </c>
      <c r="R989" s="244"/>
      <c r="S989" s="169">
        <f>SUMIFS(операции!$V:$V,операции!$T:$T,"&lt;"&amp;S$8,операции!$X:$X,"",операции!$AB:$AB,"",операции!$O:$O,$F978)+SUMIFS(операции!$V:$V,операции!$T:$T,"&lt;"&amp;S$8,операции!$X:$X,"&gt;="&amp;S$8,операции!$AB:$AB,"",операции!$O:$O,$F978)+SUMIFS(операции!$V:$V,операции!$T:$T,"&lt;"&amp;S$8,операции!$X:$X,"",операции!$AB:$AB,"&gt;="&amp;S$8,операции!$O:$O,$F978)+SUMIFS(операции!$V:$V,операции!$T:$T,"&lt;"&amp;S$8,операции!$X:$X,"&gt;="&amp;S$8,операции!$AB:$AB,"&gt;="&amp;S$8,операции!$O:$O,$F978)</f>
        <v>6592</v>
      </c>
      <c r="T989" s="170">
        <f>S989-U989-V989</f>
        <v>0</v>
      </c>
      <c r="U989" s="169">
        <f>SUMIFS(операции!$V:$V,операции!$T:$T,"&lt;"&amp;S$8,операции!$X:$X,"",операции!$AB:$AB,"",операции!$L:$L,U$9,операции!$O:$O,$F978)+SUMIFS(операции!$V:$V,операции!$T:$T,"&lt;"&amp;S$8,операции!$X:$X,"&gt;="&amp;S$8,операции!$AB:$AB,"",операции!$L:$L,U$9,операции!$O:$O,$F978)+SUMIFS(операции!$V:$V,операции!$T:$T,"&lt;"&amp;S$8,операции!$X:$X,"",операции!$AB:$AB,"&gt;="&amp;S$8,операции!$L:$L,U$9,операции!$O:$O,$F978)+SUMIFS(операции!$V:$V,операции!$T:$T,"&lt;"&amp;S$8,операции!$X:$X,"&gt;="&amp;S$8,операции!$AB:$AB,"&gt;="&amp;S$8,операции!$L:$L,U$9,операции!$O:$O,$F978)</f>
        <v>2596</v>
      </c>
      <c r="V989" s="243">
        <f>SUMIFS(операции!$V:$V,операции!$T:$T,"&lt;"&amp;S$8,операции!$X:$X,"",операции!$AB:$AB,"",операции!$L:$L,V$9,операции!$O:$O,$F978)+SUMIFS(операции!$V:$V,операции!$T:$T,"&lt;"&amp;S$8,операции!$X:$X,"&gt;="&amp;S$8,операции!$AB:$AB,"",операции!$L:$L,V$9,операции!$O:$O,$F978)+SUMIFS(операции!$V:$V,операции!$T:$T,"&lt;"&amp;S$8,операции!$X:$X,"",операции!$AB:$AB,"&gt;="&amp;S$8,операции!$L:$L,V$9,операции!$O:$O,$F978)+SUMIFS(операции!$V:$V,операции!$T:$T,"&lt;"&amp;S$8,операции!$X:$X,"&gt;="&amp;S$8,операции!$AB:$AB,"&gt;="&amp;S$8,операции!$L:$L,V$9,операции!$O:$O,$F978)</f>
        <v>3996</v>
      </c>
      <c r="W989" s="244"/>
      <c r="X989" s="169">
        <f>SUMIFS(операции!$V:$V,операции!$T:$T,"&lt;"&amp;X$8,операции!$X:$X,"",операции!$AB:$AB,"",операции!$O:$O,$F978)+SUMIFS(операции!$V:$V,операции!$T:$T,"&lt;"&amp;X$8,операции!$X:$X,"&gt;="&amp;X$8,операции!$AB:$AB,"",операции!$O:$O,$F978)+SUMIFS(операции!$V:$V,операции!$T:$T,"&lt;"&amp;X$8,операции!$X:$X,"",операции!$AB:$AB,"&gt;="&amp;X$8,операции!$O:$O,$F978)+SUMIFS(операции!$V:$V,операции!$T:$T,"&lt;"&amp;X$8,операции!$X:$X,"&gt;="&amp;X$8,операции!$AB:$AB,"&gt;="&amp;X$8,операции!$O:$O,$F978)</f>
        <v>4135</v>
      </c>
      <c r="Y989" s="170">
        <f>X989-Z989-AA989</f>
        <v>0</v>
      </c>
      <c r="Z989" s="169">
        <f>SUMIFS(операции!$V:$V,операции!$T:$T,"&lt;"&amp;X$8,операции!$X:$X,"",операции!$AB:$AB,"",операции!$L:$L,Z$9,операции!$O:$O,$F978)+SUMIFS(операции!$V:$V,операции!$T:$T,"&lt;"&amp;X$8,операции!$X:$X,"&gt;="&amp;X$8,операции!$AB:$AB,"",операции!$L:$L,Z$9,операции!$O:$O,$F978)+SUMIFS(операции!$V:$V,операции!$T:$T,"&lt;"&amp;X$8,операции!$X:$X,"",операции!$AB:$AB,"&gt;="&amp;X$8,операции!$L:$L,Z$9,операции!$O:$O,$F978)+SUMIFS(операции!$V:$V,операции!$T:$T,"&lt;"&amp;X$8,операции!$X:$X,"&gt;="&amp;X$8,операции!$AB:$AB,"&gt;="&amp;X$8,операции!$L:$L,Z$9,операции!$O:$O,$F978)</f>
        <v>1490</v>
      </c>
      <c r="AA989" s="243">
        <f>SUMIFS(операции!$V:$V,операции!$T:$T,"&lt;"&amp;X$8,операции!$X:$X,"",операции!$AB:$AB,"",операции!$L:$L,AA$9,операции!$O:$O,$F978)+SUMIFS(операции!$V:$V,операции!$T:$T,"&lt;"&amp;X$8,операции!$X:$X,"&gt;="&amp;X$8,операции!$AB:$AB,"",операции!$L:$L,AA$9,операции!$O:$O,$F978)+SUMIFS(операции!$V:$V,операции!$T:$T,"&lt;"&amp;X$8,операции!$X:$X,"",операции!$AB:$AB,"&gt;="&amp;X$8,операции!$L:$L,AA$9,операции!$O:$O,$F978)+SUMIFS(операции!$V:$V,операции!$T:$T,"&lt;"&amp;X$8,операции!$X:$X,"&gt;="&amp;X$8,операции!$AB:$AB,"&gt;="&amp;X$8,операции!$L:$L,AA$9,операции!$O:$O,$F978)</f>
        <v>2645</v>
      </c>
      <c r="AB989" s="266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s="192" customFormat="1" ht="11.25">
      <c r="A990" s="37"/>
      <c r="B990" s="37"/>
      <c r="C990" s="37"/>
      <c r="D990" s="191"/>
      <c r="E990" s="191" t="s">
        <v>255</v>
      </c>
      <c r="F990" s="191" t="str">
        <f t="shared" si="1718"/>
        <v>ИгрушкаФест</v>
      </c>
      <c r="G990" s="191" t="s">
        <v>262</v>
      </c>
      <c r="H990" s="315"/>
      <c r="I990" s="316">
        <f>IF(I989=0,0,(SUMIFS(операции!$AF:$AF,операции!$T:$T,"&lt;"&amp;I$8,операции!$X:$X,"",операции!$AB:$AB,"",операции!$O:$O,$F978)+SUMIFS(операции!$AF:$AF,операции!$T:$T,"&lt;"&amp;I$8,операции!$X:$X,"&gt;="&amp;I$8,операции!$AB:$AB,"",операции!$O:$O,$F978)+SUMIFS(операции!$AF:$AF,операции!$T:$T,"&lt;"&amp;I$8,операции!$X:$X,"",операции!$AB:$AB,"&gt;="&amp;I$8,операции!$O:$O,$F978)+SUMIFS(операции!$AF:$AF,операции!$T:$T,"&lt;"&amp;I$8,операции!$X:$X,"&gt;="&amp;I$8,операции!$AB:$AB,"&gt;="&amp;I$8,операции!$O:$O,$F978))/I989)</f>
        <v>42213.223541887593</v>
      </c>
      <c r="J990" s="317"/>
      <c r="K990" s="316">
        <f>IF(K989=0,0,(SUMIFS(операции!$AF:$AF,операции!$T:$T,"&lt;"&amp;I$8,операции!$X:$X,"",операции!$AB:$AB,"",операции!$L:$L,K$9,операции!$O:$O,$F978)+SUMIFS(операции!$AF:$AF,операции!$T:$T,"&lt;"&amp;I$8,операции!$X:$X,"&gt;="&amp;I$8,операции!$AB:$AB,"",операции!$L:$L,K$9,операции!$O:$O,$F978)+SUMIFS(операции!$AF:$AF,операции!$T:$T,"&lt;"&amp;I$8,операции!$X:$X,"",операции!$AB:$AB,"&gt;="&amp;I$8,операции!$L:$L,K$9,операции!$O:$O,$F978)+SUMIFS(операции!$AF:$AF,операции!$T:$T,"&lt;"&amp;I$8,операции!$X:$X,"&gt;="&amp;I$8,операции!$AB:$AB,"&gt;="&amp;I$8,операции!$L:$L,K$9,операции!$O:$O,$F978))/K989)</f>
        <v>42213.223541887593</v>
      </c>
      <c r="L990" s="318">
        <f>IF(L989=0,0,(SUMIFS(операции!$AF:$AF,операции!$T:$T,"&lt;"&amp;I$8,операции!$X:$X,"",операции!$AB:$AB,"",операции!$L:$L,L$9,операции!$O:$O,$F978)+SUMIFS(операции!$AF:$AF,операции!$T:$T,"&lt;"&amp;I$8,операции!$X:$X,"&gt;="&amp;I$8,операции!$AB:$AB,"",операции!$L:$L,L$9,операции!$O:$O,$F978)+SUMIFS(операции!$AF:$AF,операции!$T:$T,"&lt;"&amp;I$8,операции!$X:$X,"",операции!$AB:$AB,"&gt;="&amp;I$8,операции!$L:$L,L$9,операции!$O:$O,$F978)+SUMIFS(операции!$AF:$AF,операции!$T:$T,"&lt;"&amp;I$8,операции!$X:$X,"&gt;="&amp;I$8,операции!$AB:$AB,"&gt;="&amp;I$8,операции!$L:$L,L$9,операции!$O:$O,$F978))/L989)</f>
        <v>0</v>
      </c>
      <c r="M990" s="274"/>
      <c r="N990" s="193">
        <f>IF(N989=0,0,(SUMIFS(операции!$AF:$AF,операции!$T:$T,"&lt;"&amp;N$8,операции!$X:$X,"",операции!$AB:$AB,"",операции!$O:$O,$F978)+SUMIFS(операции!$AF:$AF,операции!$T:$T,"&lt;"&amp;N$8,операции!$X:$X,"&gt;="&amp;N$8,операции!$AB:$AB,"",операции!$O:$O,$F978)+SUMIFS(операции!$AF:$AF,операции!$T:$T,"&lt;"&amp;N$8,операции!$X:$X,"",операции!$AB:$AB,"&gt;="&amp;N$8,операции!$O:$O,$F978)+SUMIFS(операции!$AF:$AF,операции!$T:$T,"&lt;"&amp;N$8,операции!$X:$X,"&gt;="&amp;N$8,операции!$AB:$AB,"&gt;="&amp;N$8,операции!$O:$O,$F978))/N989)</f>
        <v>42213.223541887593</v>
      </c>
      <c r="O990" s="196"/>
      <c r="P990" s="193">
        <f>IF(P989=0,0,(SUMIFS(операции!$AF:$AF,операции!$T:$T,"&lt;"&amp;N$8,операции!$X:$X,"",операции!$AB:$AB,"",операции!$L:$L,P$9,операции!$O:$O,$F978)+SUMIFS(операции!$AF:$AF,операции!$T:$T,"&lt;"&amp;N$8,операции!$X:$X,"&gt;="&amp;N$8,операции!$AB:$AB,"",операции!$L:$L,P$9,операции!$O:$O,$F978)+SUMIFS(операции!$AF:$AF,операции!$T:$T,"&lt;"&amp;N$8,операции!$X:$X,"",операции!$AB:$AB,"&gt;="&amp;N$8,операции!$L:$L,P$9,операции!$O:$O,$F978)+SUMIFS(операции!$AF:$AF,операции!$T:$T,"&lt;"&amp;N$8,операции!$X:$X,"&gt;="&amp;N$8,операции!$AB:$AB,"&gt;="&amp;N$8,операции!$L:$L,P$9,операции!$O:$O,$F978))/P989)</f>
        <v>42213.223541887593</v>
      </c>
      <c r="Q990" s="237">
        <f>IF(Q989=0,0,(SUMIFS(операции!$AF:$AF,операции!$T:$T,"&lt;"&amp;N$8,операции!$X:$X,"",операции!$AB:$AB,"",операции!$L:$L,Q$9,операции!$O:$O,$F978)+SUMIFS(операции!$AF:$AF,операции!$T:$T,"&lt;"&amp;N$8,операции!$X:$X,"&gt;="&amp;N$8,операции!$AB:$AB,"",операции!$L:$L,Q$9,операции!$O:$O,$F978)+SUMIFS(операции!$AF:$AF,операции!$T:$T,"&lt;"&amp;N$8,операции!$X:$X,"",операции!$AB:$AB,"&gt;="&amp;N$8,операции!$L:$L,Q$9,операции!$O:$O,$F978)+SUMIFS(операции!$AF:$AF,операции!$T:$T,"&lt;"&amp;N$8,операции!$X:$X,"&gt;="&amp;N$8,операции!$AB:$AB,"&gt;="&amp;N$8,операции!$L:$L,Q$9,операции!$O:$O,$F978))/Q989)</f>
        <v>0</v>
      </c>
      <c r="R990" s="238"/>
      <c r="S990" s="193">
        <f>IF(S989=0,0,(SUMIFS(операции!$AF:$AF,операции!$T:$T,"&lt;"&amp;S$8,операции!$X:$X,"",операции!$AB:$AB,"",операции!$O:$O,$F978)+SUMIFS(операции!$AF:$AF,операции!$T:$T,"&lt;"&amp;S$8,операции!$X:$X,"&gt;="&amp;S$8,операции!$AB:$AB,"",операции!$O:$O,$F978)+SUMIFS(операции!$AF:$AF,операции!$T:$T,"&lt;"&amp;S$8,операции!$X:$X,"",операции!$AB:$AB,"&gt;="&amp;S$8,операции!$O:$O,$F978)+SUMIFS(операции!$AF:$AF,операции!$T:$T,"&lt;"&amp;S$8,операции!$X:$X,"&gt;="&amp;S$8,операции!$AB:$AB,"&gt;="&amp;S$8,операции!$O:$O,$F978))/S989)</f>
        <v>42260.138349514564</v>
      </c>
      <c r="T990" s="196"/>
      <c r="U990" s="193">
        <f>IF(U989=0,0,(SUMIFS(операции!$AF:$AF,операции!$T:$T,"&lt;"&amp;S$8,операции!$X:$X,"",операции!$AB:$AB,"",операции!$L:$L,U$9,операции!$O:$O,$F978)+SUMIFS(операции!$AF:$AF,операции!$T:$T,"&lt;"&amp;S$8,операции!$X:$X,"&gt;="&amp;S$8,операции!$AB:$AB,"",операции!$L:$L,U$9,операции!$O:$O,$F978)+SUMIFS(операции!$AF:$AF,операции!$T:$T,"&lt;"&amp;S$8,операции!$X:$X,"",операции!$AB:$AB,"&gt;="&amp;S$8,операции!$L:$L,U$9,операции!$O:$O,$F978)+SUMIFS(операции!$AF:$AF,операции!$T:$T,"&lt;"&amp;S$8,операции!$X:$X,"&gt;="&amp;S$8,операции!$AB:$AB,"&gt;="&amp;S$8,операции!$L:$L,U$9,операции!$O:$O,$F978))/U989)</f>
        <v>42188.213405238828</v>
      </c>
      <c r="V990" s="237">
        <f>IF(V989=0,0,(SUMIFS(операции!$AF:$AF,операции!$T:$T,"&lt;"&amp;S$8,операции!$X:$X,"",операции!$AB:$AB,"",операции!$L:$L,V$9,операции!$O:$O,$F978)+SUMIFS(операции!$AF:$AF,операции!$T:$T,"&lt;"&amp;S$8,операции!$X:$X,"&gt;="&amp;S$8,операции!$AB:$AB,"",операции!$L:$L,V$9,операции!$O:$O,$F978)+SUMIFS(операции!$AF:$AF,операции!$T:$T,"&lt;"&amp;S$8,операции!$X:$X,"",операции!$AB:$AB,"&gt;="&amp;S$8,операции!$L:$L,V$9,операции!$O:$O,$F978)+SUMIFS(операции!$AF:$AF,операции!$T:$T,"&lt;"&amp;S$8,операции!$X:$X,"&gt;="&amp;S$8,операции!$AB:$AB,"&gt;="&amp;S$8,операции!$L:$L,V$9,операции!$O:$O,$F978))/V989)</f>
        <v>42306.864364364366</v>
      </c>
      <c r="W990" s="238"/>
      <c r="X990" s="193">
        <f>IF(X989=0,0,(SUMIFS(операции!$AF:$AF,операции!$T:$T,"&lt;"&amp;X$8,операции!$X:$X,"",операции!$AB:$AB,"",операции!$O:$O,$F978)+SUMIFS(операции!$AF:$AF,операции!$T:$T,"&lt;"&amp;X$8,операции!$X:$X,"&gt;="&amp;X$8,операции!$AB:$AB,"",операции!$O:$O,$F978)+SUMIFS(операции!$AF:$AF,операции!$T:$T,"&lt;"&amp;X$8,операции!$X:$X,"",операции!$AB:$AB,"&gt;="&amp;X$8,операции!$O:$O,$F978)+SUMIFS(операции!$AF:$AF,операции!$T:$T,"&lt;"&amp;X$8,операции!$X:$X,"&gt;="&amp;X$8,операции!$AB:$AB,"&gt;="&amp;X$8,операции!$O:$O,$F978))/X989)</f>
        <v>42269.77025392987</v>
      </c>
      <c r="Y990" s="196"/>
      <c r="Z990" s="193">
        <f>IF(Z989=0,0,(SUMIFS(операции!$AF:$AF,операции!$T:$T,"&lt;"&amp;X$8,операции!$X:$X,"",операции!$AB:$AB,"",операции!$L:$L,Z$9,операции!$O:$O,$F978)+SUMIFS(операции!$AF:$AF,операции!$T:$T,"&lt;"&amp;X$8,операции!$X:$X,"&gt;="&amp;X$8,операции!$AB:$AB,"",операции!$L:$L,Z$9,операции!$O:$O,$F978)+SUMIFS(операции!$AF:$AF,операции!$T:$T,"&lt;"&amp;X$8,операции!$X:$X,"",операции!$AB:$AB,"&gt;="&amp;X$8,операции!$L:$L,Z$9,операции!$O:$O,$F978)+SUMIFS(операции!$AF:$AF,операции!$T:$T,"&lt;"&amp;X$8,операции!$X:$X,"&gt;="&amp;X$8,операции!$AB:$AB,"&gt;="&amp;X$8,операции!$L:$L,Z$9,операции!$O:$O,$F978))/Z989)</f>
        <v>42152</v>
      </c>
      <c r="AA990" s="237">
        <f>IF(AA989=0,0,(SUMIFS(операции!$AF:$AF,операции!$T:$T,"&lt;"&amp;X$8,операции!$X:$X,"",операции!$AB:$AB,"",операции!$L:$L,AA$9,операции!$O:$O,$F978)+SUMIFS(операции!$AF:$AF,операции!$T:$T,"&lt;"&amp;X$8,операции!$X:$X,"&gt;="&amp;X$8,операции!$AB:$AB,"",операции!$L:$L,AA$9,операции!$O:$O,$F978)+SUMIFS(операции!$AF:$AF,операции!$T:$T,"&lt;"&amp;X$8,операции!$X:$X,"",операции!$AB:$AB,"&gt;="&amp;X$8,операции!$L:$L,AA$9,операции!$O:$O,$F978)+SUMIFS(операции!$AF:$AF,операции!$T:$T,"&lt;"&amp;X$8,операции!$X:$X,"&gt;="&amp;X$8,операции!$AB:$AB,"&gt;="&amp;X$8,операции!$L:$L,AA$9,операции!$O:$O,$F978))/AA989)</f>
        <v>42336.113421550093</v>
      </c>
      <c r="AB990" s="265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</row>
    <row r="991" spans="1:42" s="192" customFormat="1" ht="11.25">
      <c r="A991" s="37"/>
      <c r="B991" s="37"/>
      <c r="C991" s="37"/>
      <c r="D991" s="191"/>
      <c r="E991" s="191" t="s">
        <v>263</v>
      </c>
      <c r="F991" s="191" t="str">
        <f t="shared" si="1718"/>
        <v>ИгрушкаФест</v>
      </c>
      <c r="G991" s="191" t="s">
        <v>219</v>
      </c>
      <c r="H991" s="315"/>
      <c r="I991" s="329">
        <f>IF(I989=0,0,I$8-I990)</f>
        <v>64.776458112406544</v>
      </c>
      <c r="J991" s="317"/>
      <c r="K991" s="329">
        <f>IF(K989=0,0,I$8-K990)</f>
        <v>64.776458112406544</v>
      </c>
      <c r="L991" s="330">
        <f>IF(L989=0,0,I$8-L990)</f>
        <v>0</v>
      </c>
      <c r="M991" s="274"/>
      <c r="N991" s="156">
        <f>IF(N989=0,0,N$8-N990)</f>
        <v>64.776458112406544</v>
      </c>
      <c r="O991" s="196"/>
      <c r="P991" s="156">
        <f>IF(P989=0,0,N$8-P990)</f>
        <v>64.776458112406544</v>
      </c>
      <c r="Q991" s="245">
        <f>IF(Q989=0,0,N$8-Q990)</f>
        <v>0</v>
      </c>
      <c r="R991" s="238"/>
      <c r="S991" s="156">
        <f>IF(S989=0,0,S$8-S990)</f>
        <v>48.861650485436257</v>
      </c>
      <c r="T991" s="196"/>
      <c r="U991" s="156">
        <f>IF(U989=0,0,S$8-U990)</f>
        <v>120.78659476117173</v>
      </c>
      <c r="V991" s="245">
        <f>IF(V989=0,0,S$8-V990)</f>
        <v>2.1356356356336619</v>
      </c>
      <c r="W991" s="238"/>
      <c r="X991" s="156">
        <f>IF(X989=0,0,X$8-X990)</f>
        <v>69.229746070130204</v>
      </c>
      <c r="Y991" s="196"/>
      <c r="Z991" s="156">
        <f>IF(Z989=0,0,X$8-Z990)</f>
        <v>187</v>
      </c>
      <c r="AA991" s="245">
        <f>IF(AA989=0,0,X$8-AA990)</f>
        <v>2.8865784499066649</v>
      </c>
      <c r="AB991" s="265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</row>
    <row r="992" spans="1:42" s="192" customFormat="1" ht="11.25">
      <c r="A992" s="37"/>
      <c r="B992" s="37"/>
      <c r="C992" s="37"/>
      <c r="D992" s="191"/>
      <c r="E992" s="191" t="s">
        <v>311</v>
      </c>
      <c r="F992" s="191" t="str">
        <f t="shared" si="1718"/>
        <v>ИгрушкаФест</v>
      </c>
      <c r="G992" s="191" t="s">
        <v>262</v>
      </c>
      <c r="H992" s="315"/>
      <c r="I992" s="316">
        <f>I$8</f>
        <v>42278</v>
      </c>
      <c r="J992" s="317"/>
      <c r="K992" s="316">
        <f>I$8</f>
        <v>42278</v>
      </c>
      <c r="L992" s="318">
        <f>I$8</f>
        <v>42278</v>
      </c>
      <c r="M992" s="274"/>
      <c r="N992" s="193">
        <f>N$8</f>
        <v>42278</v>
      </c>
      <c r="O992" s="196"/>
      <c r="P992" s="193">
        <f>N$8</f>
        <v>42278</v>
      </c>
      <c r="Q992" s="237">
        <f>N$8</f>
        <v>42278</v>
      </c>
      <c r="R992" s="238"/>
      <c r="S992" s="193">
        <f>S$8</f>
        <v>42309</v>
      </c>
      <c r="T992" s="196"/>
      <c r="U992" s="193">
        <f>S$8</f>
        <v>42309</v>
      </c>
      <c r="V992" s="237">
        <f>S$8</f>
        <v>42309</v>
      </c>
      <c r="W992" s="238"/>
      <c r="X992" s="193">
        <f>X$8</f>
        <v>42339</v>
      </c>
      <c r="Y992" s="196"/>
      <c r="Z992" s="193">
        <f>X$8</f>
        <v>42339</v>
      </c>
      <c r="AA992" s="237">
        <f>X$8</f>
        <v>42339</v>
      </c>
      <c r="AB992" s="265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</row>
    <row r="993" spans="1:42" s="192" customFormat="1" ht="11.25">
      <c r="A993" s="37"/>
      <c r="B993" s="37"/>
      <c r="C993" s="37"/>
      <c r="D993" s="191"/>
      <c r="E993" s="191" t="s">
        <v>264</v>
      </c>
      <c r="F993" s="191" t="str">
        <f t="shared" si="1718"/>
        <v>ИгрушкаФест</v>
      </c>
      <c r="G993" s="191" t="s">
        <v>219</v>
      </c>
      <c r="H993" s="315"/>
      <c r="I993" s="329">
        <f>IF(I989=0,0,I992-I990)</f>
        <v>64.776458112406544</v>
      </c>
      <c r="J993" s="317"/>
      <c r="K993" s="329">
        <f>IF(K989=0,0,K992-K990)</f>
        <v>64.776458112406544</v>
      </c>
      <c r="L993" s="330">
        <f>IF(L989=0,0,L992-L990)</f>
        <v>0</v>
      </c>
      <c r="M993" s="274"/>
      <c r="N993" s="156">
        <f>IF(N989=0,0,N992-N990)</f>
        <v>64.776458112406544</v>
      </c>
      <c r="O993" s="196"/>
      <c r="P993" s="156">
        <f>IF(P989=0,0,P992-P990)</f>
        <v>64.776458112406544</v>
      </c>
      <c r="Q993" s="245">
        <f>IF(Q989=0,0,Q992-Q990)</f>
        <v>0</v>
      </c>
      <c r="R993" s="238"/>
      <c r="S993" s="156">
        <f>IF(S989=0,0,S992-S990)</f>
        <v>48.861650485436257</v>
      </c>
      <c r="T993" s="196"/>
      <c r="U993" s="156">
        <f>IF(U989=0,0,U992-U990)</f>
        <v>120.78659476117173</v>
      </c>
      <c r="V993" s="245">
        <f>IF(V989=0,0,V992-V990)</f>
        <v>2.1356356356336619</v>
      </c>
      <c r="W993" s="238"/>
      <c r="X993" s="156">
        <f>IF(X989=0,0,X992-X990)</f>
        <v>69.229746070130204</v>
      </c>
      <c r="Y993" s="196"/>
      <c r="Z993" s="156">
        <f>IF(Z989=0,0,Z992-Z990)</f>
        <v>187</v>
      </c>
      <c r="AA993" s="245">
        <f>IF(AA989=0,0,AA992-AA990)</f>
        <v>2.8865784499066649</v>
      </c>
      <c r="AB993" s="265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</row>
    <row r="994" spans="1:42" s="192" customFormat="1" ht="11.25">
      <c r="A994" s="37"/>
      <c r="B994" s="37"/>
      <c r="C994" s="37"/>
      <c r="D994" s="207"/>
      <c r="E994" s="207" t="s">
        <v>269</v>
      </c>
      <c r="F994" s="207" t="str">
        <f t="shared" si="1718"/>
        <v>ИгрушкаФест</v>
      </c>
      <c r="G994" s="207" t="s">
        <v>219</v>
      </c>
      <c r="H994" s="331"/>
      <c r="I994" s="332">
        <f>I991-I993</f>
        <v>0</v>
      </c>
      <c r="J994" s="333"/>
      <c r="K994" s="332">
        <f t="shared" ref="K994" si="1743">K991-K993</f>
        <v>0</v>
      </c>
      <c r="L994" s="334">
        <f>L991-L993</f>
        <v>0</v>
      </c>
      <c r="M994" s="278"/>
      <c r="N994" s="162">
        <f>N991-N993</f>
        <v>0</v>
      </c>
      <c r="O994" s="208"/>
      <c r="P994" s="162">
        <f t="shared" ref="P994" si="1744">P991-P993</f>
        <v>0</v>
      </c>
      <c r="Q994" s="246">
        <f>Q991-Q993</f>
        <v>0</v>
      </c>
      <c r="R994" s="247"/>
      <c r="S994" s="162">
        <f>S991-S993</f>
        <v>0</v>
      </c>
      <c r="T994" s="208"/>
      <c r="U994" s="162">
        <f t="shared" ref="U994" si="1745">U991-U993</f>
        <v>0</v>
      </c>
      <c r="V994" s="246">
        <f>V991-V993</f>
        <v>0</v>
      </c>
      <c r="W994" s="247"/>
      <c r="X994" s="162">
        <f>X991-X993</f>
        <v>0</v>
      </c>
      <c r="Y994" s="208"/>
      <c r="Z994" s="162">
        <f t="shared" ref="Z994" si="1746">Z991-Z993</f>
        <v>0</v>
      </c>
      <c r="AA994" s="246">
        <f>AA991-AA993</f>
        <v>0</v>
      </c>
      <c r="AB994" s="265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</row>
    <row r="995" spans="1:42" s="111" customFormat="1" ht="11.25">
      <c r="A995" s="108"/>
      <c r="B995" s="108"/>
      <c r="C995" s="108" t="s">
        <v>272</v>
      </c>
      <c r="D995" s="109"/>
      <c r="E995" s="109"/>
      <c r="F995" s="109" t="str">
        <f t="shared" si="1718"/>
        <v>ИгрушкаФест</v>
      </c>
      <c r="G995" s="109"/>
      <c r="H995" s="307"/>
      <c r="I995" s="308">
        <f>I996-K996-L996</f>
        <v>0</v>
      </c>
      <c r="J995" s="335"/>
      <c r="K995" s="308"/>
      <c r="L995" s="336"/>
      <c r="M995" s="272"/>
      <c r="N995" s="110">
        <f>N996-P996-Q996</f>
        <v>0</v>
      </c>
      <c r="O995" s="105"/>
      <c r="P995" s="110"/>
      <c r="Q995" s="248"/>
      <c r="R995" s="234"/>
      <c r="S995" s="110">
        <f>S996-U996-V996</f>
        <v>0</v>
      </c>
      <c r="T995" s="105"/>
      <c r="U995" s="110"/>
      <c r="V995" s="248"/>
      <c r="W995" s="234"/>
      <c r="X995" s="110">
        <f>X996-Z996-AA996</f>
        <v>0</v>
      </c>
      <c r="Y995" s="105"/>
      <c r="Z995" s="110"/>
      <c r="AA995" s="248"/>
      <c r="AB995" s="263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</row>
    <row r="996" spans="1:42" s="5" customFormat="1">
      <c r="A996" s="1"/>
      <c r="B996" s="1"/>
      <c r="C996" s="1"/>
      <c r="D996" s="168" t="s">
        <v>273</v>
      </c>
      <c r="E996" s="168"/>
      <c r="F996" s="168" t="str">
        <f t="shared" si="1718"/>
        <v>ИгрушкаФест</v>
      </c>
      <c r="G996" s="168" t="s">
        <v>261</v>
      </c>
      <c r="H996" s="326"/>
      <c r="I996" s="327">
        <f>SUMIFS(операции!$V:$V,операции!$T:$T,"&gt;="&amp;I$8,операции!$T:$T,"&lt;="&amp;I$9,операции!$O:$O,$F978)</f>
        <v>27111.200000000001</v>
      </c>
      <c r="J996" s="313"/>
      <c r="K996" s="327">
        <f>SUMIFS(операции!$V:$V,операции!$T:$T,"&gt;="&amp;I$8,операции!$T:$T,"&lt;="&amp;I$9,операции!$L:$L,K$9,операции!$O:$O,$F978)</f>
        <v>0</v>
      </c>
      <c r="L996" s="328">
        <f>SUMIFS(операции!$V:$V,операции!$T:$T,"&gt;="&amp;I$8,операции!$T:$T,"&lt;="&amp;I$9,операции!$L:$L,L$9,операции!$O:$O,$F978)</f>
        <v>27111.200000000001</v>
      </c>
      <c r="M996" s="277"/>
      <c r="N996" s="169">
        <f>SUMIFS(операции!$V:$V,операции!$T:$T,"&gt;="&amp;N$8,операции!$T:$T,"&lt;="&amp;N$9,операции!$O:$O,$F978)</f>
        <v>8218</v>
      </c>
      <c r="O996" s="170"/>
      <c r="P996" s="169">
        <f>SUMIFS(операции!$V:$V,операции!$T:$T,"&gt;="&amp;N$8,операции!$T:$T,"&lt;="&amp;N$9,операции!$L:$L,P$9,операции!$O:$O,$F978)</f>
        <v>0</v>
      </c>
      <c r="Q996" s="243">
        <f>SUMIFS(операции!$V:$V,операции!$T:$T,"&gt;="&amp;N$8,операции!$T:$T,"&lt;="&amp;N$9,операции!$L:$L,Q$9,операции!$O:$O,$F978)</f>
        <v>8218</v>
      </c>
      <c r="R996" s="244"/>
      <c r="S996" s="169">
        <f>SUMIFS(операции!$V:$V,операции!$T:$T,"&gt;="&amp;S$8,операции!$T:$T,"&lt;="&amp;S$9,операции!$O:$O,$F978)</f>
        <v>17773.2</v>
      </c>
      <c r="T996" s="170"/>
      <c r="U996" s="169">
        <f>SUMIFS(операции!$V:$V,операции!$T:$T,"&gt;="&amp;S$8,операции!$T:$T,"&lt;="&amp;S$9,операции!$L:$L,U$9,операции!$O:$O,$F978)</f>
        <v>0</v>
      </c>
      <c r="V996" s="243">
        <f>SUMIFS(операции!$V:$V,операции!$T:$T,"&gt;="&amp;S$8,операции!$T:$T,"&lt;="&amp;S$9,операции!$L:$L,V$9,операции!$O:$O,$F978)</f>
        <v>17773.2</v>
      </c>
      <c r="W996" s="244"/>
      <c r="X996" s="169">
        <f>SUMIFS(операции!$V:$V,операции!$T:$T,"&gt;="&amp;X$8,операции!$T:$T,"&lt;="&amp;X$9,операции!$O:$O,$F978)</f>
        <v>1120</v>
      </c>
      <c r="Y996" s="170"/>
      <c r="Z996" s="169">
        <f>SUMIFS(операции!$V:$V,операции!$T:$T,"&gt;="&amp;X$8,операции!$T:$T,"&lt;="&amp;X$9,операции!$L:$L,Z$9,операции!$O:$O,$F978)</f>
        <v>0</v>
      </c>
      <c r="AA996" s="243">
        <f>SUMIFS(операции!$V:$V,операции!$T:$T,"&gt;="&amp;X$8,операции!$T:$T,"&lt;="&amp;X$9,операции!$L:$L,AA$9,операции!$O:$O,$F978)</f>
        <v>1120</v>
      </c>
      <c r="AB996" s="266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s="192" customFormat="1" ht="11.25">
      <c r="A997" s="37"/>
      <c r="B997" s="37"/>
      <c r="C997" s="37"/>
      <c r="D997" s="207" t="s">
        <v>255</v>
      </c>
      <c r="E997" s="207"/>
      <c r="F997" s="207" t="str">
        <f t="shared" si="1718"/>
        <v>ИгрушкаФест</v>
      </c>
      <c r="G997" s="207" t="s">
        <v>262</v>
      </c>
      <c r="H997" s="331"/>
      <c r="I997" s="337">
        <f>IF(I996=0,0,SUMIFS(операции!$AF:$AF,операции!$T:$T,"&gt;="&amp;I$8,операции!$T:$T,"&lt;="&amp;I$9,операции!$O:$O,$F978)/I996)</f>
        <v>42317.493441824779</v>
      </c>
      <c r="J997" s="333"/>
      <c r="K997" s="337">
        <f>IF(K996=0,0,SUMIFS(операции!$AF:$AF,операции!$T:$T,"&gt;="&amp;I$8,операции!$T:$T,"&lt;="&amp;I$9,операции!$L:$L,K$9,операции!$O:$O,$F978)/K996)</f>
        <v>0</v>
      </c>
      <c r="L997" s="338">
        <f>IF(L996=0,0,SUMIFS(операции!$AF:$AF,операции!$T:$T,"&gt;="&amp;I$8,операции!$T:$T,"&lt;="&amp;I$9,операции!$L:$L,L$9,операции!$O:$O,$F978)/L996)</f>
        <v>42317.493441824779</v>
      </c>
      <c r="M997" s="278"/>
      <c r="N997" s="217">
        <f>IF(N996=0,0,SUMIFS(операции!$AF:$AF,операции!$T:$T,"&gt;="&amp;N$8,операции!$T:$T,"&lt;="&amp;N$9,операции!$O:$O,$F978)/N996)</f>
        <v>42306.057678267221</v>
      </c>
      <c r="O997" s="208"/>
      <c r="P997" s="217">
        <f>IF(P996=0,0,SUMIFS(операции!$AF:$AF,операции!$T:$T,"&gt;="&amp;N$8,операции!$T:$T,"&lt;="&amp;N$9,операции!$L:$L,P$9,операции!$O:$O,$F978)/P996)</f>
        <v>0</v>
      </c>
      <c r="Q997" s="249">
        <f>IF(Q996=0,0,SUMIFS(операции!$AF:$AF,операции!$T:$T,"&gt;="&amp;N$8,операции!$T:$T,"&lt;="&amp;N$9,операции!$L:$L,Q$9,операции!$O:$O,$F978)/Q996)</f>
        <v>42306.057678267221</v>
      </c>
      <c r="R997" s="247"/>
      <c r="S997" s="217">
        <f>IF(S996=0,0,SUMIFS(операции!$AF:$AF,операции!$T:$T,"&gt;="&amp;S$8,операции!$T:$T,"&lt;="&amp;S$9,операции!$O:$O,$F978)/S996)</f>
        <v>42320.543638736977</v>
      </c>
      <c r="T997" s="208"/>
      <c r="U997" s="217">
        <f>IF(U996=0,0,SUMIFS(операции!$AF:$AF,операции!$T:$T,"&gt;="&amp;S$8,операции!$T:$T,"&lt;="&amp;S$9,операции!$L:$L,U$9,операции!$O:$O,$F978)/U996)</f>
        <v>0</v>
      </c>
      <c r="V997" s="249">
        <f>IF(V996=0,0,SUMIFS(операции!$AF:$AF,операции!$T:$T,"&gt;="&amp;S$8,операции!$T:$T,"&lt;="&amp;S$9,операции!$L:$L,V$9,операции!$O:$O,$F978)/V996)</f>
        <v>42320.543638736977</v>
      </c>
      <c r="W997" s="247"/>
      <c r="X997" s="217">
        <f>IF(X996=0,0,SUMIFS(операции!$AF:$AF,операции!$T:$T,"&gt;="&amp;X$8,операции!$T:$T,"&lt;="&amp;X$9,операции!$O:$O,$F978)/X996)</f>
        <v>42353</v>
      </c>
      <c r="Y997" s="208"/>
      <c r="Z997" s="217">
        <f>IF(Z996=0,0,SUMIFS(операции!$AF:$AF,операции!$T:$T,"&gt;="&amp;X$8,операции!$T:$T,"&lt;="&amp;X$9,операции!$L:$L,Z$9,операции!$O:$O,$F978)/Z996)</f>
        <v>0</v>
      </c>
      <c r="AA997" s="249">
        <f>IF(AA996=0,0,SUMIFS(операции!$AF:$AF,операции!$T:$T,"&gt;="&amp;X$8,операции!$T:$T,"&lt;="&amp;X$9,операции!$L:$L,AA$9,операции!$O:$O,$F978)/AA996)</f>
        <v>42353</v>
      </c>
      <c r="AB997" s="265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</row>
    <row r="998" spans="1:42" s="93" customFormat="1" ht="15">
      <c r="A998" s="92"/>
      <c r="B998" s="92"/>
      <c r="C998" s="92"/>
      <c r="D998" s="212" t="s">
        <v>274</v>
      </c>
      <c r="E998" s="212"/>
      <c r="F998" s="212" t="str">
        <f t="shared" si="1718"/>
        <v>ИгрушкаФест</v>
      </c>
      <c r="G998" s="212" t="s">
        <v>261</v>
      </c>
      <c r="H998" s="339"/>
      <c r="I998" s="340">
        <f>SUMIFS(операции!$Z:$Z,операции!$X:$X,"&gt;="&amp;I$8,операции!$X:$X,"&lt;="&amp;I$9,операции!$O:$O,$F978)</f>
        <v>39242</v>
      </c>
      <c r="J998" s="341">
        <f>I998-I1011-I1021</f>
        <v>0</v>
      </c>
      <c r="K998" s="340">
        <f>SUMIFS(операции!$Z:$Z,операции!$X:$X,"&gt;="&amp;I$8,операции!$X:$X,"&lt;="&amp;I$9,операции!$L:$L,K$9,операции!$O:$O,$F978)</f>
        <v>6811</v>
      </c>
      <c r="L998" s="342">
        <f>SUMIFS(операции!$Z:$Z,операции!$X:$X,"&gt;="&amp;I$8,операции!$X:$X,"&lt;="&amp;I$9,операции!$L:$L,L$9,операции!$O:$O,$F978)</f>
        <v>32431</v>
      </c>
      <c r="M998" s="279"/>
      <c r="N998" s="213">
        <f>SUMIFS(операции!$Z:$Z,операции!$X:$X,"&gt;="&amp;N$8,операции!$X:$X,"&lt;="&amp;N$9,операции!$O:$O,$F978)</f>
        <v>9315</v>
      </c>
      <c r="O998" s="216">
        <f>N998-N1011-N1021</f>
        <v>0</v>
      </c>
      <c r="P998" s="213">
        <f>SUMIFS(операции!$Z:$Z,операции!$X:$X,"&gt;="&amp;N$8,операции!$X:$X,"&lt;="&amp;N$9,операции!$L:$L,P$9,операции!$O:$O,$F978)</f>
        <v>4384</v>
      </c>
      <c r="Q998" s="250">
        <f>SUMIFS(операции!$Z:$Z,операции!$X:$X,"&gt;="&amp;N$8,операции!$X:$X,"&lt;="&amp;N$9,операции!$L:$L,Q$9,операции!$O:$O,$F978)</f>
        <v>4931</v>
      </c>
      <c r="R998" s="251"/>
      <c r="S998" s="213">
        <f>SUMIFS(операции!$Z:$Z,операции!$X:$X,"&gt;="&amp;S$8,операции!$X:$X,"&lt;="&amp;S$9,операции!$O:$O,$F978)</f>
        <v>25180</v>
      </c>
      <c r="T998" s="216">
        <f>S998-S1011-S1021</f>
        <v>0</v>
      </c>
      <c r="U998" s="213">
        <f>SUMIFS(операции!$Z:$Z,операции!$X:$X,"&gt;="&amp;S$8,операции!$X:$X,"&lt;="&amp;S$9,операции!$L:$L,U$9,операции!$O:$O,$F978)</f>
        <v>1280</v>
      </c>
      <c r="V998" s="250">
        <f>SUMIFS(операции!$Z:$Z,операции!$X:$X,"&gt;="&amp;S$8,операции!$X:$X,"&lt;="&amp;S$9,операции!$L:$L,V$9,операции!$O:$O,$F978)</f>
        <v>23900</v>
      </c>
      <c r="W998" s="251"/>
      <c r="X998" s="213">
        <f>SUMIFS(операции!$Z:$Z,операции!$X:$X,"&gt;="&amp;X$8,операции!$X:$X,"&lt;="&amp;X$9,операции!$O:$O,$F978)</f>
        <v>4747</v>
      </c>
      <c r="Y998" s="216">
        <f>X998-X1011-X1021</f>
        <v>0</v>
      </c>
      <c r="Z998" s="213">
        <f>SUMIFS(операции!$Z:$Z,операции!$X:$X,"&gt;="&amp;X$8,операции!$X:$X,"&lt;="&amp;X$9,операции!$L:$L,Z$9,операции!$O:$O,$F978)</f>
        <v>1147</v>
      </c>
      <c r="AA998" s="250">
        <f>SUMIFS(операции!$Z:$Z,операции!$X:$X,"&gt;="&amp;X$8,операции!$X:$X,"&lt;="&amp;X$9,операции!$L:$L,AA$9,операции!$O:$O,$F978)</f>
        <v>3600</v>
      </c>
      <c r="AB998" s="264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</row>
    <row r="999" spans="1:42" s="407" customFormat="1" ht="11.25">
      <c r="A999" s="404"/>
      <c r="B999" s="404"/>
      <c r="C999" s="404"/>
      <c r="D999" s="405" t="s">
        <v>332</v>
      </c>
      <c r="E999" s="405"/>
      <c r="F999" s="405" t="str">
        <f>F997</f>
        <v>ИгрушкаФест</v>
      </c>
      <c r="G999" s="405" t="s">
        <v>218</v>
      </c>
      <c r="H999" s="408"/>
      <c r="I999" s="408">
        <f>IF(I$31=0,0,I998/I$31)</f>
        <v>1.0577997162092805E-2</v>
      </c>
      <c r="J999" s="409"/>
      <c r="K999" s="408">
        <f t="shared" ref="K999" si="1747">IF(K$31=0,0,K998/K$31)</f>
        <v>5.2316890881913304E-3</v>
      </c>
      <c r="L999" s="410">
        <f t="shared" ref="L999" si="1748">IF(L$31=0,0,L998/L$31)</f>
        <v>1.3468571395347484E-2</v>
      </c>
      <c r="M999" s="411"/>
      <c r="N999" s="412">
        <f t="shared" ref="N999" si="1749">IF(N$31=0,0,N998/N$31)</f>
        <v>1.2019308312354919E-2</v>
      </c>
      <c r="O999" s="413"/>
      <c r="P999" s="412">
        <f t="shared" ref="P999" si="1750">IF(P$31=0,0,P998/P$31)</f>
        <v>8.7596608029156236E-3</v>
      </c>
      <c r="Q999" s="414">
        <f t="shared" ref="Q999" si="1751">IF(Q$31=0,0,Q998/Q$31)</f>
        <v>1.7961803392744613E-2</v>
      </c>
      <c r="R999" s="415"/>
      <c r="S999" s="412">
        <f t="shared" ref="S999" si="1752">IF(S$31=0,0,S998/S$31)</f>
        <v>1.4188353491726747E-2</v>
      </c>
      <c r="T999" s="413"/>
      <c r="U999" s="412">
        <f t="shared" ref="U999" si="1753">IF(U$31=0,0,U998/U$31)</f>
        <v>2.0325364625925955E-3</v>
      </c>
      <c r="V999" s="414">
        <f t="shared" ref="V999" si="1754">IF(V$31=0,0,V998/V$31)</f>
        <v>2.0874456303387075E-2</v>
      </c>
      <c r="W999" s="415"/>
      <c r="X999" s="412">
        <f t="shared" ref="X999" si="1755">IF(X$31=0,0,X998/X$31)</f>
        <v>4.091966229856958E-3</v>
      </c>
      <c r="Y999" s="413"/>
      <c r="Z999" s="412">
        <f t="shared" ref="Z999" si="1756">IF(Z$31=0,0,Z998/Z$31)</f>
        <v>6.6824746712653591E-3</v>
      </c>
      <c r="AA999" s="414">
        <f t="shared" ref="AA999" si="1757">IF(AA$31=0,0,AA998/AA$31)</f>
        <v>3.6421211308786112E-3</v>
      </c>
      <c r="AB999" s="406"/>
      <c r="AC999" s="404"/>
      <c r="AD999" s="404"/>
      <c r="AE999" s="404"/>
      <c r="AF999" s="404"/>
      <c r="AG999" s="404"/>
      <c r="AH999" s="404"/>
      <c r="AI999" s="404"/>
      <c r="AJ999" s="404"/>
      <c r="AK999" s="404"/>
      <c r="AL999" s="404"/>
      <c r="AM999" s="404"/>
      <c r="AN999" s="404"/>
      <c r="AO999" s="404"/>
      <c r="AP999" s="404"/>
    </row>
    <row r="1000" spans="1:42" s="192" customFormat="1" ht="11.25">
      <c r="A1000" s="37"/>
      <c r="B1000" s="37"/>
      <c r="C1000" s="37"/>
      <c r="D1000" s="191" t="s">
        <v>331</v>
      </c>
      <c r="E1000" s="191"/>
      <c r="F1000" s="191" t="str">
        <f>F998</f>
        <v>ИгрушкаФест</v>
      </c>
      <c r="G1000" s="191" t="s">
        <v>334</v>
      </c>
      <c r="H1000" s="315"/>
      <c r="I1000" s="329">
        <f>SUMIFS(операции!$R:$R,операции!$X:$X,"&gt;="&amp;I$8,операции!$X:$X,"&lt;="&amp;I$9,операции!$O:$O,$F978)</f>
        <v>30</v>
      </c>
      <c r="J1000" s="317">
        <f>I1000-K1000-L1000</f>
        <v>0</v>
      </c>
      <c r="K1000" s="329">
        <f>SUMIFS(операции!$R:$R,операции!$X:$X,"&gt;="&amp;I$8,операции!$X:$X,"&lt;="&amp;I$9,операции!$L:$L,K$9,операции!$O:$O,$F978)</f>
        <v>5</v>
      </c>
      <c r="L1000" s="330">
        <f>SUMIFS(операции!$R:$R,операции!$X:$X,"&gt;="&amp;I$8,операции!$X:$X,"&lt;="&amp;I$9,операции!$L:$L,L$9,операции!$O:$O,$F978)</f>
        <v>25</v>
      </c>
      <c r="M1000" s="402"/>
      <c r="N1000" s="156">
        <f>SUMIFS(операции!$R:$R,операции!$X:$X,"&gt;="&amp;N$8,операции!$X:$X,"&lt;="&amp;N$9,операции!$O:$O,$F978)</f>
        <v>6</v>
      </c>
      <c r="O1000" s="196">
        <f t="shared" ref="O1000" si="1758">N1000-P1000-Q1000</f>
        <v>0</v>
      </c>
      <c r="P1000" s="156">
        <f>SUMIFS(операции!$R:$R,операции!$X:$X,"&gt;="&amp;N$8,операции!$X:$X,"&lt;="&amp;N$9,операции!$L:$L,P$9,операции!$O:$O,$F978)</f>
        <v>3</v>
      </c>
      <c r="Q1000" s="245">
        <f>SUMIFS(операции!$R:$R,операции!$X:$X,"&gt;="&amp;N$8,операции!$X:$X,"&lt;="&amp;N$9,операции!$L:$L,Q$9,операции!$O:$O,$F978)</f>
        <v>3</v>
      </c>
      <c r="R1000" s="403"/>
      <c r="S1000" s="156">
        <f>SUMIFS(операции!$R:$R,операции!$X:$X,"&gt;="&amp;S$8,операции!$X:$X,"&lt;="&amp;S$9,операции!$O:$O,$F978)</f>
        <v>20</v>
      </c>
      <c r="T1000" s="196">
        <f t="shared" ref="T1000" si="1759">S1000-U1000-V1000</f>
        <v>0</v>
      </c>
      <c r="U1000" s="156">
        <f>SUMIFS(операции!$R:$R,операции!$X:$X,"&gt;="&amp;S$8,операции!$X:$X,"&lt;="&amp;S$9,операции!$L:$L,U$9,операции!$O:$O,$F978)</f>
        <v>1</v>
      </c>
      <c r="V1000" s="245">
        <f>SUMIFS(операции!$R:$R,операции!$X:$X,"&gt;="&amp;S$8,операции!$X:$X,"&lt;="&amp;S$9,операции!$L:$L,V$9,операции!$O:$O,$F978)</f>
        <v>19</v>
      </c>
      <c r="W1000" s="403"/>
      <c r="X1000" s="156">
        <f>SUMIFS(операции!$R:$R,операции!$X:$X,"&gt;="&amp;X$8,операции!$X:$X,"&lt;="&amp;X$9,операции!$O:$O,$F978)</f>
        <v>4</v>
      </c>
      <c r="Y1000" s="196">
        <f t="shared" ref="Y1000" si="1760">X1000-Z1000-AA1000</f>
        <v>0</v>
      </c>
      <c r="Z1000" s="156">
        <f>SUMIFS(операции!$R:$R,операции!$X:$X,"&gt;="&amp;X$8,операции!$X:$X,"&lt;="&amp;X$9,операции!$L:$L,Z$9,операции!$O:$O,$F978)</f>
        <v>1</v>
      </c>
      <c r="AA1000" s="245">
        <f>SUMIFS(операции!$R:$R,операции!$X:$X,"&gt;="&amp;X$8,операции!$X:$X,"&lt;="&amp;X$9,операции!$L:$L,AA$9,операции!$O:$O,$F978)</f>
        <v>3</v>
      </c>
      <c r="AB1000" s="265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</row>
    <row r="1001" spans="1:42" s="192" customFormat="1" ht="11.25">
      <c r="A1001" s="37"/>
      <c r="B1001" s="37"/>
      <c r="C1001" s="37"/>
      <c r="D1001" s="191" t="s">
        <v>333</v>
      </c>
      <c r="E1001" s="191"/>
      <c r="F1001" s="191" t="str">
        <f t="shared" si="1718"/>
        <v>ИгрушкаФест</v>
      </c>
      <c r="G1001" s="191" t="s">
        <v>261</v>
      </c>
      <c r="H1001" s="315"/>
      <c r="I1001" s="329">
        <f>IF(I1000=0,0,I998/I1000)</f>
        <v>1308.0666666666666</v>
      </c>
      <c r="J1001" s="317"/>
      <c r="K1001" s="329">
        <f t="shared" ref="K1001" si="1761">IF(K1000=0,0,K998/K1000)</f>
        <v>1362.2</v>
      </c>
      <c r="L1001" s="330">
        <f t="shared" ref="L1001" si="1762">IF(L1000=0,0,L998/L1000)</f>
        <v>1297.24</v>
      </c>
      <c r="M1001" s="402"/>
      <c r="N1001" s="156">
        <f>IF(N1000=0,0,N998/N1000)</f>
        <v>1552.5</v>
      </c>
      <c r="O1001" s="196"/>
      <c r="P1001" s="156">
        <f>IF(P1000=0,0,P998/P1000)</f>
        <v>1461.3333333333333</v>
      </c>
      <c r="Q1001" s="245">
        <f>IF(Q1000=0,0,Q998/Q1000)</f>
        <v>1643.6666666666667</v>
      </c>
      <c r="R1001" s="403"/>
      <c r="S1001" s="156">
        <f>IF(S1000=0,0,S998/S1000)</f>
        <v>1259</v>
      </c>
      <c r="T1001" s="196"/>
      <c r="U1001" s="156">
        <f>IF(U1000=0,0,U998/U1000)</f>
        <v>1280</v>
      </c>
      <c r="V1001" s="245">
        <f>IF(V1000=0,0,V998/V1000)</f>
        <v>1257.8947368421052</v>
      </c>
      <c r="W1001" s="403"/>
      <c r="X1001" s="156">
        <f>IF(X1000=0,0,X998/X1000)</f>
        <v>1186.75</v>
      </c>
      <c r="Y1001" s="196"/>
      <c r="Z1001" s="156">
        <f>IF(Z1000=0,0,Z998/Z1000)</f>
        <v>1147</v>
      </c>
      <c r="AA1001" s="245">
        <f>IF(AA1000=0,0,AA998/AA1000)</f>
        <v>1200</v>
      </c>
      <c r="AB1001" s="265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</row>
    <row r="1002" spans="1:42" s="192" customFormat="1" ht="11.25">
      <c r="A1002" s="37"/>
      <c r="B1002" s="37"/>
      <c r="C1002" s="37"/>
      <c r="D1002" s="191" t="s">
        <v>290</v>
      </c>
      <c r="E1002" s="191"/>
      <c r="F1002" s="191" t="str">
        <f>F998</f>
        <v>ИгрушкаФест</v>
      </c>
      <c r="G1002" s="191" t="s">
        <v>262</v>
      </c>
      <c r="H1002" s="315"/>
      <c r="I1002" s="316">
        <f>IF(I998=0,0,SUMIFS(операции!$AG:$AG,операции!$X:$X,"&gt;="&amp;I$8,операции!$X:$X,"&lt;="&amp;I$9,операции!$O:$O,$F978)/I998)</f>
        <v>42319.843050812902</v>
      </c>
      <c r="J1002" s="317"/>
      <c r="K1002" s="316">
        <f>IF(K998=0,0,SUMIFS(операции!$AG:$AG,операции!$X:$X,"&gt;="&amp;I$8,операции!$X:$X,"&lt;="&amp;I$9,операции!$L:$L,K$9,операции!$O:$O,$F978)/K998)</f>
        <v>42310.79547790339</v>
      </c>
      <c r="L1002" s="318">
        <f>IF(L998=0,0,SUMIFS(операции!$AG:$AG,операции!$X:$X,"&gt;="&amp;I$8,операции!$X:$X,"&lt;="&amp;I$9,операции!$L:$L,L$9,операции!$O:$O,$F978)/L998)</f>
        <v>42321.743177823686</v>
      </c>
      <c r="M1002" s="274"/>
      <c r="N1002" s="193">
        <f>IF(N998=0,0,SUMIFS(операции!$AG:$AG,операции!$X:$X,"&gt;="&amp;N$8,операции!$X:$X,"&lt;="&amp;N$9,операции!$O:$O,$F978)/N998)</f>
        <v>42303.989479334406</v>
      </c>
      <c r="O1002" s="196"/>
      <c r="P1002" s="193">
        <f>IF(P998=0,0,SUMIFS(операции!$AG:$AG,операции!$X:$X,"&gt;="&amp;N$8,операции!$X:$X,"&lt;="&amp;N$9,операции!$L:$L,P$9,операции!$O:$O,$F978)/P998)</f>
        <v>42299.852874087592</v>
      </c>
      <c r="Q1002" s="237">
        <f>IF(Q998=0,0,SUMIFS(операции!$AG:$AG,операции!$X:$X,"&gt;="&amp;N$8,операции!$X:$X,"&lt;="&amp;N$9,операции!$L:$L,Q$9,операции!$O:$O,$F978)/Q998)</f>
        <v>42307.66720746299</v>
      </c>
      <c r="R1002" s="238"/>
      <c r="S1002" s="193">
        <f>IF(S998=0,0,SUMIFS(операции!$AG:$AG,операции!$X:$X,"&gt;="&amp;S$8,операции!$X:$X,"&lt;="&amp;S$9,операции!$O:$O,$F978)/S998)</f>
        <v>42321.70464654488</v>
      </c>
      <c r="T1002" s="196"/>
      <c r="U1002" s="193">
        <f>IF(U998=0,0,SUMIFS(операции!$AG:$AG,операции!$X:$X,"&gt;="&amp;S$8,операции!$X:$X,"&lt;="&amp;S$9,операции!$L:$L,U$9,операции!$O:$O,$F978)/U998)</f>
        <v>42323</v>
      </c>
      <c r="V1002" s="237">
        <f>IF(V998=0,0,SUMIFS(операции!$AG:$AG,операции!$X:$X,"&gt;="&amp;S$8,операции!$X:$X,"&lt;="&amp;S$9,операции!$L:$L,V$9,операции!$O:$O,$F978)/V998)</f>
        <v>42321.63527196653</v>
      </c>
      <c r="W1002" s="238"/>
      <c r="X1002" s="193">
        <f>IF(X998=0,0,SUMIFS(операции!$AG:$AG,операции!$X:$X,"&gt;="&amp;X$8,операции!$X:$X,"&lt;="&amp;X$9,операции!$O:$O,$F978)/X998)</f>
        <v>42341.077733305247</v>
      </c>
      <c r="Y1002" s="196"/>
      <c r="Z1002" s="193">
        <f>IF(Z998=0,0,SUMIFS(операции!$AG:$AG,операции!$X:$X,"&gt;="&amp;X$8,операции!$X:$X,"&lt;="&amp;X$9,операции!$L:$L,Z$9,операции!$O:$O,$F978)/Z998)</f>
        <v>42339</v>
      </c>
      <c r="AA1002" s="237">
        <f>IF(AA998=0,0,SUMIFS(операции!$AG:$AG,операции!$X:$X,"&gt;="&amp;X$8,операции!$X:$X,"&lt;="&amp;X$9,операции!$L:$L,AA$9,операции!$O:$O,$F978)/AA998)</f>
        <v>42341.739722222221</v>
      </c>
      <c r="AB1002" s="265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</row>
    <row r="1003" spans="1:42" s="93" customFormat="1" ht="15">
      <c r="A1003" s="92"/>
      <c r="B1003" s="92"/>
      <c r="C1003" s="92"/>
      <c r="D1003" s="151" t="s">
        <v>275</v>
      </c>
      <c r="E1003" s="151"/>
      <c r="F1003" s="151" t="str">
        <f t="shared" si="1718"/>
        <v>ИгрушкаФест</v>
      </c>
      <c r="G1003" s="151" t="s">
        <v>261</v>
      </c>
      <c r="H1003" s="311"/>
      <c r="I1003" s="312">
        <f>SUMIFS(операции!$V:$V,операции!$X:$X,"&gt;="&amp;I$8,операции!$X:$X,"&lt;="&amp;I$9,операции!$O:$O,$F978)</f>
        <v>32072.2</v>
      </c>
      <c r="J1003" s="313">
        <f>I1003-I1013-I1023</f>
        <v>0</v>
      </c>
      <c r="K1003" s="312">
        <f>SUMIFS(операции!$V:$V,операции!$X:$X,"&gt;="&amp;I$8,операции!$X:$X,"&lt;="&amp;I$9,операции!$L:$L,K$9,операции!$O:$O,$F978)</f>
        <v>6081</v>
      </c>
      <c r="L1003" s="314">
        <f>SUMIFS(операции!$V:$V,операции!$X:$X,"&gt;="&amp;I$8,операции!$X:$X,"&lt;="&amp;I$9,операции!$L:$L,L$9,операции!$O:$O,$F978)</f>
        <v>25991.200000000001</v>
      </c>
      <c r="M1003" s="273"/>
      <c r="N1003" s="152">
        <f>SUMIFS(операции!$V:$V,операции!$X:$X,"&gt;="&amp;N$8,операции!$X:$X,"&lt;="&amp;N$9,операции!$O:$O,$F978)</f>
        <v>8181</v>
      </c>
      <c r="O1003" s="170">
        <f>N1003-N1013-N1023</f>
        <v>0</v>
      </c>
      <c r="P1003" s="152">
        <f>SUMIFS(операции!$V:$V,операции!$X:$X,"&gt;="&amp;N$8,операции!$X:$X,"&lt;="&amp;N$9,операции!$L:$L,P$9,операции!$O:$O,$F978)</f>
        <v>3959</v>
      </c>
      <c r="Q1003" s="235">
        <f>SUMIFS(операции!$V:$V,операции!$X:$X,"&gt;="&amp;N$8,операции!$X:$X,"&lt;="&amp;N$9,операции!$L:$L,Q$9,операции!$O:$O,$F978)</f>
        <v>4222</v>
      </c>
      <c r="R1003" s="236"/>
      <c r="S1003" s="152">
        <f>SUMIFS(операции!$V:$V,операции!$X:$X,"&gt;="&amp;S$8,операции!$X:$X,"&lt;="&amp;S$9,операции!$O:$O,$F978)</f>
        <v>20230.2</v>
      </c>
      <c r="T1003" s="170">
        <f>S1003-S1013-S1023</f>
        <v>0</v>
      </c>
      <c r="U1003" s="152">
        <f>SUMIFS(операции!$V:$V,операции!$X:$X,"&gt;="&amp;S$8,операции!$X:$X,"&lt;="&amp;S$9,операции!$L:$L,U$9,операции!$O:$O,$F978)</f>
        <v>1106</v>
      </c>
      <c r="V1003" s="235">
        <f>SUMIFS(операции!$V:$V,операции!$X:$X,"&gt;="&amp;S$8,операции!$X:$X,"&lt;="&amp;S$9,операции!$L:$L,V$9,операции!$O:$O,$F978)</f>
        <v>19124.2</v>
      </c>
      <c r="W1003" s="236"/>
      <c r="X1003" s="152">
        <f>SUMIFS(операции!$V:$V,операции!$X:$X,"&gt;="&amp;X$8,операции!$X:$X,"&lt;="&amp;X$9,операции!$O:$O,$F978)</f>
        <v>3661</v>
      </c>
      <c r="Y1003" s="170">
        <f>X1003-X1013-X1023</f>
        <v>0</v>
      </c>
      <c r="Z1003" s="152">
        <f>SUMIFS(операции!$V:$V,операции!$X:$X,"&gt;="&amp;X$8,операции!$X:$X,"&lt;="&amp;X$9,операции!$L:$L,Z$9,операции!$O:$O,$F978)</f>
        <v>1016</v>
      </c>
      <c r="AA1003" s="235">
        <f>SUMIFS(операции!$V:$V,операции!$X:$X,"&gt;="&amp;X$8,операции!$X:$X,"&lt;="&amp;X$9,операции!$L:$L,AA$9,операции!$O:$O,$F978)</f>
        <v>2645</v>
      </c>
      <c r="AB1003" s="264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</row>
    <row r="1004" spans="1:42" s="192" customFormat="1" ht="11.25">
      <c r="A1004" s="37"/>
      <c r="B1004" s="37"/>
      <c r="C1004" s="37"/>
      <c r="D1004" s="191" t="s">
        <v>291</v>
      </c>
      <c r="E1004" s="191"/>
      <c r="F1004" s="191" t="str">
        <f t="shared" si="1718"/>
        <v>ИгрушкаФест</v>
      </c>
      <c r="G1004" s="191" t="s">
        <v>262</v>
      </c>
      <c r="H1004" s="315"/>
      <c r="I1004" s="316">
        <f>IF(I1003=0,0,SUMIFS(операции!$AF:$AF,операции!$X:$X,"&gt;="&amp;I$8,операции!$X:$X,"&lt;="&amp;I$9,операции!$O:$O,$F978)/I1003)</f>
        <v>42293.535248595355</v>
      </c>
      <c r="J1004" s="317"/>
      <c r="K1004" s="316">
        <f>IF(K1003=0,0,SUMIFS(операции!$AF:$AF,операции!$X:$X,"&gt;="&amp;I$8,операции!$X:$X,"&lt;="&amp;I$9,операции!$L:$L,K$9,операции!$O:$O,$F978)/K1003)</f>
        <v>42197.673573425425</v>
      </c>
      <c r="L1004" s="318">
        <f>IF(L1003=0,0,SUMIFS(операции!$AF:$AF,операции!$X:$X,"&gt;="&amp;I$8,операции!$X:$X,"&lt;="&amp;I$9,операции!$L:$L,L$9,операции!$O:$O,$F978)/L1003)</f>
        <v>42315.96341069285</v>
      </c>
      <c r="M1004" s="274"/>
      <c r="N1004" s="193">
        <f>IF(N1003=0,0,SUMIFS(операции!$AF:$AF,операции!$X:$X,"&gt;="&amp;N$8,операции!$X:$X,"&lt;="&amp;N$9,операции!$O:$O,$F978)/N1003)</f>
        <v>42240.156826793791</v>
      </c>
      <c r="O1004" s="196"/>
      <c r="P1004" s="193">
        <f>IF(P1003=0,0,SUMIFS(операции!$AF:$AF,операции!$X:$X,"&gt;="&amp;N$8,операции!$X:$X,"&lt;="&amp;N$9,операции!$L:$L,P$9,операции!$O:$O,$F978)/P1003)</f>
        <v>42170.692346552161</v>
      </c>
      <c r="Q1004" s="237">
        <f>IF(Q1003=0,0,SUMIFS(операции!$AF:$AF,операции!$X:$X,"&gt;="&amp;N$8,операции!$X:$X,"&lt;="&amp;N$9,операции!$L:$L,Q$9,операции!$O:$O,$F978)/Q1003)</f>
        <v>42305.294173377544</v>
      </c>
      <c r="R1004" s="238"/>
      <c r="S1004" s="193">
        <f>IF(S1003=0,0,SUMIFS(операции!$AF:$AF,операции!$X:$X,"&gt;="&amp;S$8,операции!$X:$X,"&lt;="&amp;S$9,операции!$O:$O,$F978)/S1003)</f>
        <v>42311.238554240692</v>
      </c>
      <c r="T1004" s="196"/>
      <c r="U1004" s="193">
        <f>IF(U1003=0,0,SUMIFS(операции!$AF:$AF,операции!$X:$X,"&gt;="&amp;S$8,операции!$X:$X,"&lt;="&amp;S$9,операции!$L:$L,U$9,операции!$O:$O,$F978)/U1003)</f>
        <v>42237</v>
      </c>
      <c r="V1004" s="237">
        <f>IF(V1003=0,0,SUMIFS(операции!$AF:$AF,операции!$X:$X,"&gt;="&amp;S$8,операции!$X:$X,"&lt;="&amp;S$9,операции!$L:$L,V$9,операции!$O:$O,$F978)/V1003)</f>
        <v>42315.531954277823</v>
      </c>
      <c r="W1004" s="238"/>
      <c r="X1004" s="193">
        <f>IF(X1003=0,0,SUMIFS(операции!$AF:$AF,операции!$X:$X,"&gt;="&amp;X$8,операции!$X:$X,"&lt;="&amp;X$9,операции!$O:$O,$F978)/X1003)</f>
        <v>42314.990439770554</v>
      </c>
      <c r="Y1004" s="196"/>
      <c r="Z1004" s="193">
        <f>IF(Z1003=0,0,SUMIFS(операции!$AF:$AF,операции!$X:$X,"&gt;="&amp;X$8,операции!$X:$X,"&lt;="&amp;X$9,операции!$L:$L,Z$9,операции!$O:$O,$F978)/Z1003)</f>
        <v>42260</v>
      </c>
      <c r="AA1004" s="237">
        <f>IF(AA1003=0,0,SUMIFS(операции!$AF:$AF,операции!$X:$X,"&gt;="&amp;X$8,операции!$X:$X,"&lt;="&amp;X$9,операции!$L:$L,AA$9,операции!$O:$O,$F978)/AA1003)</f>
        <v>42336.113421550093</v>
      </c>
      <c r="AB1004" s="265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</row>
    <row r="1005" spans="1:42" s="192" customFormat="1" ht="11.25">
      <c r="A1005" s="37"/>
      <c r="B1005" s="37"/>
      <c r="C1005" s="37"/>
      <c r="D1005" s="191" t="s">
        <v>308</v>
      </c>
      <c r="E1005" s="191"/>
      <c r="F1005" s="191" t="str">
        <f t="shared" si="1718"/>
        <v>ИгрушкаФест</v>
      </c>
      <c r="G1005" s="191" t="s">
        <v>262</v>
      </c>
      <c r="H1005" s="315"/>
      <c r="I1005" s="316">
        <f>IF(I1003=0,0,(I1013*I1015+I1023*I1025)/I1003)</f>
        <v>42331.173907620927</v>
      </c>
      <c r="J1005" s="317"/>
      <c r="K1005" s="316">
        <f t="shared" ref="K1005:L1005" si="1763">IF(K1003=0,0,(K1013*K1015+K1023*K1025)/K1003)</f>
        <v>42262.484953132705</v>
      </c>
      <c r="L1005" s="318">
        <f t="shared" si="1763"/>
        <v>42347.244636646246</v>
      </c>
      <c r="M1005" s="274"/>
      <c r="N1005" s="193">
        <f>IF(N1003=0,0,(N1013*N1015+N1023*N1025)/N1003)</f>
        <v>42274.122478914556</v>
      </c>
      <c r="O1005" s="196"/>
      <c r="P1005" s="193">
        <f t="shared" ref="P1005:Q1005" si="1764">IF(P1003=0,0,(P1013*P1015+P1023*P1025)/P1003)</f>
        <v>42211.238696640568</v>
      </c>
      <c r="Q1005" s="237">
        <f t="shared" si="1764"/>
        <v>42333.089057318808</v>
      </c>
      <c r="R1005" s="238"/>
      <c r="S1005" s="193">
        <f>IF(S1003=0,0,(S1013*S1015+S1023*S1025)/S1003)</f>
        <v>42341.097250645078</v>
      </c>
      <c r="T1005" s="196"/>
      <c r="U1005" s="193">
        <f t="shared" ref="U1005:V1005" si="1765">IF(U1003=0,0,(U1013*U1015+U1023*U1025)/U1003)</f>
        <v>42338</v>
      </c>
      <c r="V1005" s="237">
        <f t="shared" si="1765"/>
        <v>42341.27637234499</v>
      </c>
      <c r="W1005" s="238"/>
      <c r="X1005" s="193">
        <f>IF(X1003=0,0,(X1013*X1015+X1023*X1025)/X1003)</f>
        <v>42340.99289811527</v>
      </c>
      <c r="Y1005" s="196"/>
      <c r="Z1005" s="193">
        <f t="shared" ref="Z1005:AA1005" si="1766">IF(Z1003=0,0,(Z1013*Z1015+Z1023*Z1025)/Z1003)</f>
        <v>42280</v>
      </c>
      <c r="AA1005" s="237">
        <f t="shared" si="1766"/>
        <v>42364.421550094521</v>
      </c>
      <c r="AB1005" s="265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</row>
    <row r="1006" spans="1:42" s="93" customFormat="1" ht="15">
      <c r="A1006" s="92"/>
      <c r="B1006" s="92"/>
      <c r="C1006" s="92"/>
      <c r="D1006" s="151" t="s">
        <v>278</v>
      </c>
      <c r="E1006" s="151"/>
      <c r="F1006" s="151" t="str">
        <f t="shared" si="1718"/>
        <v>ИгрушкаФест</v>
      </c>
      <c r="G1006" s="151" t="s">
        <v>261</v>
      </c>
      <c r="H1006" s="311"/>
      <c r="I1006" s="312">
        <f>I998-I1003</f>
        <v>7169.7999999999993</v>
      </c>
      <c r="J1006" s="313">
        <f>I1006-K1006-L1006</f>
        <v>0</v>
      </c>
      <c r="K1006" s="312">
        <f t="shared" ref="K1006:L1006" si="1767">K998-K1003</f>
        <v>730</v>
      </c>
      <c r="L1006" s="314">
        <f t="shared" si="1767"/>
        <v>6439.7999999999993</v>
      </c>
      <c r="M1006" s="273"/>
      <c r="N1006" s="152">
        <f>N998-N1003</f>
        <v>1134</v>
      </c>
      <c r="O1006" s="170">
        <f>N1006-P1006-Q1006</f>
        <v>0</v>
      </c>
      <c r="P1006" s="152">
        <f t="shared" ref="P1006:Q1006" si="1768">P998-P1003</f>
        <v>425</v>
      </c>
      <c r="Q1006" s="235">
        <f t="shared" si="1768"/>
        <v>709</v>
      </c>
      <c r="R1006" s="236"/>
      <c r="S1006" s="152">
        <f>S998-S1003</f>
        <v>4949.7999999999993</v>
      </c>
      <c r="T1006" s="170">
        <f>S1006-U1006-V1006</f>
        <v>0</v>
      </c>
      <c r="U1006" s="152">
        <f t="shared" ref="U1006:V1006" si="1769">U998-U1003</f>
        <v>174</v>
      </c>
      <c r="V1006" s="235">
        <f t="shared" si="1769"/>
        <v>4775.7999999999993</v>
      </c>
      <c r="W1006" s="236"/>
      <c r="X1006" s="152">
        <f>X998-X1003</f>
        <v>1086</v>
      </c>
      <c r="Y1006" s="170">
        <f>X1006-Z1006-AA1006</f>
        <v>0</v>
      </c>
      <c r="Z1006" s="152">
        <f t="shared" ref="Z1006:AA1006" si="1770">Z998-Z1003</f>
        <v>131</v>
      </c>
      <c r="AA1006" s="235">
        <f t="shared" si="1770"/>
        <v>955</v>
      </c>
      <c r="AB1006" s="264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</row>
    <row r="1007" spans="1:42" s="211" customFormat="1">
      <c r="A1007" s="210"/>
      <c r="B1007" s="210"/>
      <c r="C1007" s="210"/>
      <c r="D1007" s="218" t="s">
        <v>277</v>
      </c>
      <c r="E1007" s="218"/>
      <c r="F1007" s="218" t="str">
        <f t="shared" si="1718"/>
        <v>ИгрушкаФест</v>
      </c>
      <c r="G1007" s="218" t="s">
        <v>218</v>
      </c>
      <c r="H1007" s="343"/>
      <c r="I1007" s="344">
        <f>IF(I998=0,0,(I1006/I998))</f>
        <v>0.18270730339941896</v>
      </c>
      <c r="J1007" s="345"/>
      <c r="K1007" s="344">
        <f t="shared" ref="K1007" si="1771">IF(K998=0,0,(K1006/K998))</f>
        <v>0.107179562472471</v>
      </c>
      <c r="L1007" s="346">
        <f t="shared" ref="L1007" si="1772">IF(L998=0,0,(L1006/L998))</f>
        <v>0.19856927014276463</v>
      </c>
      <c r="M1007" s="280"/>
      <c r="N1007" s="219">
        <f>IF(N998=0,0,(N1006/N998))</f>
        <v>0.12173913043478261</v>
      </c>
      <c r="O1007" s="220"/>
      <c r="P1007" s="219">
        <f t="shared" ref="P1007" si="1773">IF(P998=0,0,(P1006/P998))</f>
        <v>9.694343065693431E-2</v>
      </c>
      <c r="Q1007" s="252">
        <f t="shared" ref="Q1007" si="1774">IF(Q998=0,0,(Q1006/Q998))</f>
        <v>0.14378422226728857</v>
      </c>
      <c r="R1007" s="253"/>
      <c r="S1007" s="219">
        <f>IF(S998=0,0,(S1006/S998))</f>
        <v>0.1965766481334392</v>
      </c>
      <c r="T1007" s="220"/>
      <c r="U1007" s="219">
        <f t="shared" ref="U1007" si="1775">IF(U998=0,0,(U1006/U998))</f>
        <v>0.13593749999999999</v>
      </c>
      <c r="V1007" s="252">
        <f t="shared" ref="V1007" si="1776">IF(V998=0,0,(V1006/V998))</f>
        <v>0.19982426778242673</v>
      </c>
      <c r="W1007" s="253"/>
      <c r="X1007" s="219">
        <f>IF(X998=0,0,(X1006/X998))</f>
        <v>0.22877606909627132</v>
      </c>
      <c r="Y1007" s="220"/>
      <c r="Z1007" s="219">
        <f t="shared" ref="Z1007" si="1777">IF(Z998=0,0,(Z1006/Z998))</f>
        <v>0.11421098517872712</v>
      </c>
      <c r="AA1007" s="252">
        <f t="shared" ref="AA1007" si="1778">IF(AA998=0,0,(AA1006/AA998))</f>
        <v>0.26527777777777778</v>
      </c>
      <c r="AB1007" s="267"/>
      <c r="AC1007" s="210"/>
      <c r="AD1007" s="210"/>
      <c r="AE1007" s="210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</row>
    <row r="1008" spans="1:42" s="93" customFormat="1" ht="15">
      <c r="A1008" s="92"/>
      <c r="B1008" s="92"/>
      <c r="C1008" s="92"/>
      <c r="D1008" s="198" t="s">
        <v>220</v>
      </c>
      <c r="E1008" s="198"/>
      <c r="F1008" s="198" t="str">
        <f t="shared" si="1718"/>
        <v>ИгрушкаФест</v>
      </c>
      <c r="G1008" s="198" t="s">
        <v>219</v>
      </c>
      <c r="H1008" s="323"/>
      <c r="I1008" s="324">
        <f>I1002-I1004</f>
        <v>26.30780221754685</v>
      </c>
      <c r="J1008" s="321">
        <f>I1008-SUMIFS(ПОбТЗ!$I:$I,ПОбТЗ!$E:$E,$D1008,ПОбТЗ!$F:$F,$F1008)</f>
        <v>0</v>
      </c>
      <c r="K1008" s="324">
        <f t="shared" ref="K1008:L1008" si="1779">K1002-K1004</f>
        <v>113.12190447796456</v>
      </c>
      <c r="L1008" s="325">
        <f t="shared" si="1779"/>
        <v>5.7797671308362624</v>
      </c>
      <c r="M1008" s="276"/>
      <c r="N1008" s="199">
        <f>N1002-N1004</f>
        <v>63.832652540615527</v>
      </c>
      <c r="O1008" s="173">
        <f>N1008-SUMIFS(ПОбТЗ_3!$J:$J,ПОбТЗ_3!$D:$D,$D1008,ПОбТЗ_3!$E:$E,$F1008)</f>
        <v>0</v>
      </c>
      <c r="P1008" s="199">
        <f t="shared" ref="P1008:Q1008" si="1780">P1002-P1004</f>
        <v>129.16052753543045</v>
      </c>
      <c r="Q1008" s="241">
        <f t="shared" si="1780"/>
        <v>2.3730340854453971</v>
      </c>
      <c r="R1008" s="242"/>
      <c r="S1008" s="199">
        <f>S1002-S1004</f>
        <v>10.466092304188351</v>
      </c>
      <c r="T1008" s="173">
        <f>S1008-SUMIFS(ПОбТЗ_3!$K:$K,ПОбТЗ_3!$D:$D,$D1008,ПОбТЗ_3!$E:$E,$F1008)</f>
        <v>0</v>
      </c>
      <c r="U1008" s="199">
        <f t="shared" ref="U1008:V1008" si="1781">U1002-U1004</f>
        <v>86</v>
      </c>
      <c r="V1008" s="241">
        <f t="shared" si="1781"/>
        <v>6.1033176887067384</v>
      </c>
      <c r="W1008" s="242"/>
      <c r="X1008" s="199">
        <f>X1002-X1004</f>
        <v>26.087293534692435</v>
      </c>
      <c r="Y1008" s="173">
        <f>X1008-SUMIFS(ПОбТЗ_3!$L:$L,ПОбТЗ_3!$D:$D,$D1008,ПОбТЗ_3!$E:$E,$F1008)</f>
        <v>0</v>
      </c>
      <c r="Z1008" s="199">
        <f t="shared" ref="Z1008:AA1008" si="1782">Z1002-Z1004</f>
        <v>79</v>
      </c>
      <c r="AA1008" s="241">
        <f t="shared" si="1782"/>
        <v>5.6263006721273996</v>
      </c>
      <c r="AB1008" s="264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</row>
    <row r="1009" spans="1:42" s="5" customFormat="1">
      <c r="A1009" s="1"/>
      <c r="B1009" s="1"/>
      <c r="C1009" s="1"/>
      <c r="D1009" s="227" t="s">
        <v>309</v>
      </c>
      <c r="E1009" s="227"/>
      <c r="F1009" s="227" t="str">
        <f t="shared" si="1718"/>
        <v>ИгрушкаФест</v>
      </c>
      <c r="G1009" s="227" t="s">
        <v>219</v>
      </c>
      <c r="H1009" s="347"/>
      <c r="I1009" s="348">
        <f>I1005-I1004</f>
        <v>37.638659025571542</v>
      </c>
      <c r="J1009" s="321"/>
      <c r="K1009" s="348">
        <f t="shared" ref="K1009:L1009" si="1783">K1005-K1004</f>
        <v>64.811379707280139</v>
      </c>
      <c r="L1009" s="349">
        <f t="shared" si="1783"/>
        <v>31.281225953396643</v>
      </c>
      <c r="M1009" s="281"/>
      <c r="N1009" s="228">
        <f>N1005-N1004</f>
        <v>33.965652120765299</v>
      </c>
      <c r="O1009" s="173"/>
      <c r="P1009" s="228">
        <f t="shared" ref="P1009:Q1009" si="1784">P1005-P1004</f>
        <v>40.546350088407053</v>
      </c>
      <c r="Q1009" s="254">
        <f t="shared" si="1784"/>
        <v>27.794883941263834</v>
      </c>
      <c r="R1009" s="255"/>
      <c r="S1009" s="228">
        <f>S1005-S1004</f>
        <v>29.858696404386137</v>
      </c>
      <c r="T1009" s="173"/>
      <c r="U1009" s="228">
        <f t="shared" ref="U1009:V1009" si="1785">U1005-U1004</f>
        <v>101</v>
      </c>
      <c r="V1009" s="254">
        <f t="shared" si="1785"/>
        <v>25.744418067166407</v>
      </c>
      <c r="W1009" s="255"/>
      <c r="X1009" s="228">
        <f>X1005-X1004</f>
        <v>26.002458344715706</v>
      </c>
      <c r="Y1009" s="173"/>
      <c r="Z1009" s="228">
        <f t="shared" ref="Z1009:AA1009" si="1786">Z1005-Z1004</f>
        <v>20</v>
      </c>
      <c r="AA1009" s="254">
        <f t="shared" si="1786"/>
        <v>28.308128544427746</v>
      </c>
      <c r="AB1009" s="266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</row>
    <row r="1010" spans="1:42" s="5" customFormat="1">
      <c r="A1010" s="1"/>
      <c r="B1010" s="1"/>
      <c r="C1010" s="1"/>
      <c r="D1010" s="225" t="s">
        <v>310</v>
      </c>
      <c r="E1010" s="225"/>
      <c r="F1010" s="225" t="str">
        <f t="shared" si="1718"/>
        <v>ИгрушкаФест</v>
      </c>
      <c r="G1010" s="225" t="s">
        <v>219</v>
      </c>
      <c r="H1010" s="350"/>
      <c r="I1010" s="351">
        <f>I1008-I1009</f>
        <v>-11.330856808024691</v>
      </c>
      <c r="J1010" s="352"/>
      <c r="K1010" s="351">
        <f t="shared" ref="K1010" si="1787">K1008-K1009</f>
        <v>48.310524770684424</v>
      </c>
      <c r="L1010" s="353">
        <f t="shared" ref="L1010" si="1788">L1008-L1009</f>
        <v>-25.50145882256038</v>
      </c>
      <c r="M1010" s="282"/>
      <c r="N1010" s="226">
        <f>N1008-N1009</f>
        <v>29.867000419850228</v>
      </c>
      <c r="O1010" s="181"/>
      <c r="P1010" s="226">
        <f t="shared" ref="P1010" si="1789">P1008-P1009</f>
        <v>88.614177447023394</v>
      </c>
      <c r="Q1010" s="256">
        <f t="shared" ref="Q1010" si="1790">Q1008-Q1009</f>
        <v>-25.421849855818436</v>
      </c>
      <c r="R1010" s="257"/>
      <c r="S1010" s="226">
        <f>S1008-S1009</f>
        <v>-19.392604100197786</v>
      </c>
      <c r="T1010" s="181"/>
      <c r="U1010" s="226">
        <f t="shared" ref="U1010" si="1791">U1008-U1009</f>
        <v>-15</v>
      </c>
      <c r="V1010" s="256">
        <f t="shared" ref="V1010" si="1792">V1008-V1009</f>
        <v>-19.641100378459669</v>
      </c>
      <c r="W1010" s="257"/>
      <c r="X1010" s="226">
        <f>X1008-X1009</f>
        <v>8.4835189976729453E-2</v>
      </c>
      <c r="Y1010" s="181"/>
      <c r="Z1010" s="226">
        <f t="shared" ref="Z1010" si="1793">Z1008-Z1009</f>
        <v>59</v>
      </c>
      <c r="AA1010" s="256">
        <f t="shared" ref="AA1010" si="1794">AA1008-AA1009</f>
        <v>-22.681827872300346</v>
      </c>
      <c r="AB1010" s="266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</row>
    <row r="1011" spans="1:42" s="5" customFormat="1">
      <c r="A1011" s="1"/>
      <c r="B1011" s="1"/>
      <c r="C1011" s="1"/>
      <c r="D1011" s="223"/>
      <c r="E1011" s="223" t="s">
        <v>293</v>
      </c>
      <c r="F1011" s="223" t="str">
        <f t="shared" si="1718"/>
        <v>ИгрушкаФест</v>
      </c>
      <c r="G1011" s="223" t="s">
        <v>261</v>
      </c>
      <c r="H1011" s="354"/>
      <c r="I1011" s="355">
        <f>SUMIFS(операции!$Z:$Z,операции!$X:$X,"&gt;="&amp;I$8,операции!$X:$X,"&lt;="&amp;I$9,операции!$AB:$AB,"&lt;&gt;"&amp;"",операции!$O:$O,$F978)</f>
        <v>29932</v>
      </c>
      <c r="J1011" s="341">
        <f>I1011-K1011-L1011</f>
        <v>0</v>
      </c>
      <c r="K1011" s="355">
        <f>SUMIFS(операции!$Z:$Z,операции!$X:$X,"&gt;="&amp;I$8,операции!$X:$X,"&lt;="&amp;I$9,операции!$AB:$AB,"&lt;&gt;"&amp;"",операции!$L:$L,K$9,операции!$O:$O,$F978)</f>
        <v>4725</v>
      </c>
      <c r="L1011" s="356">
        <f>SUMIFS(операции!$Z:$Z,операции!$X:$X,"&gt;="&amp;I$8,операции!$X:$X,"&lt;="&amp;I$9,операции!$AB:$AB,"&lt;&gt;"&amp;"",операции!$L:$L,L$9,операции!$O:$O,$F978)</f>
        <v>25207</v>
      </c>
      <c r="M1011" s="283"/>
      <c r="N1011" s="224">
        <f>SUMIFS(операции!$Z:$Z,операции!$X:$X,"&gt;="&amp;N$8,операции!$X:$X,"&lt;="&amp;N$9,операции!$AB:$AB,"&lt;&gt;"&amp;"",операции!$O:$O,$F978)</f>
        <v>8509</v>
      </c>
      <c r="O1011" s="216">
        <f>N1011-P1011-Q1011</f>
        <v>0</v>
      </c>
      <c r="P1011" s="224">
        <f>SUMIFS(операции!$Z:$Z,операции!$X:$X,"&gt;="&amp;N$8,операции!$X:$X,"&lt;="&amp;N$9,операции!$AB:$AB,"&lt;&gt;"&amp;"",операции!$L:$L,P$9,операции!$O:$O,$F978)</f>
        <v>3578</v>
      </c>
      <c r="Q1011" s="258">
        <f>SUMIFS(операции!$Z:$Z,операции!$X:$X,"&gt;="&amp;N$8,операции!$X:$X,"&lt;="&amp;N$9,операции!$AB:$AB,"&lt;&gt;"&amp;"",операции!$L:$L,Q$9,операции!$O:$O,$F978)</f>
        <v>4931</v>
      </c>
      <c r="R1011" s="259"/>
      <c r="S1011" s="224">
        <f>SUMIFS(операции!$Z:$Z,операции!$X:$X,"&gt;="&amp;S$8,операции!$X:$X,"&lt;="&amp;S$9,операции!$AB:$AB,"&lt;&gt;"&amp;"",операции!$O:$O,$F978)</f>
        <v>18697</v>
      </c>
      <c r="T1011" s="216">
        <f>S1011-U1011-V1011</f>
        <v>0</v>
      </c>
      <c r="U1011" s="224">
        <f>SUMIFS(операции!$Z:$Z,операции!$X:$X,"&gt;="&amp;S$8,операции!$X:$X,"&lt;="&amp;S$9,операции!$AB:$AB,"&lt;&gt;"&amp;"",операции!$L:$L,U$9,операции!$O:$O,$F978)</f>
        <v>0</v>
      </c>
      <c r="V1011" s="258">
        <f>SUMIFS(операции!$Z:$Z,операции!$X:$X,"&gt;="&amp;S$8,операции!$X:$X,"&lt;="&amp;S$9,операции!$AB:$AB,"&lt;&gt;"&amp;"",операции!$L:$L,V$9,операции!$O:$O,$F978)</f>
        <v>18697</v>
      </c>
      <c r="W1011" s="259"/>
      <c r="X1011" s="224">
        <f>SUMIFS(операции!$Z:$Z,операции!$X:$X,"&gt;="&amp;X$8,операции!$X:$X,"&lt;="&amp;X$9,операции!$AB:$AB,"&lt;&gt;"&amp;"",операции!$O:$O,$F978)</f>
        <v>2726</v>
      </c>
      <c r="Y1011" s="216">
        <f>X1011-Z1011-AA1011</f>
        <v>0</v>
      </c>
      <c r="Z1011" s="224">
        <f>SUMIFS(операции!$Z:$Z,операции!$X:$X,"&gt;="&amp;X$8,операции!$X:$X,"&lt;="&amp;X$9,операции!$AB:$AB,"&lt;&gt;"&amp;"",операции!$L:$L,Z$9,операции!$O:$O,$F978)</f>
        <v>1147</v>
      </c>
      <c r="AA1011" s="258">
        <f>SUMIFS(операции!$Z:$Z,операции!$X:$X,"&gt;="&amp;X$8,операции!$X:$X,"&lt;="&amp;X$9,операции!$AB:$AB,"&lt;&gt;"&amp;"",операции!$L:$L,AA$9,операции!$O:$O,$F978)</f>
        <v>1579</v>
      </c>
      <c r="AB1011" s="266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</row>
    <row r="1012" spans="1:42" s="192" customFormat="1" ht="11.25">
      <c r="A1012" s="37"/>
      <c r="B1012" s="37"/>
      <c r="C1012" s="37"/>
      <c r="D1012" s="191"/>
      <c r="E1012" s="191" t="s">
        <v>295</v>
      </c>
      <c r="F1012" s="191" t="str">
        <f t="shared" si="1718"/>
        <v>ИгрушкаФест</v>
      </c>
      <c r="G1012" s="191" t="s">
        <v>262</v>
      </c>
      <c r="H1012" s="315"/>
      <c r="I1012" s="316">
        <f>IF(I1011=0,0,SUMIFS(операции!$AG:$AG,операции!$X:$X,"&gt;="&amp;I$8,операции!$X:$X,"&lt;="&amp;I$9,операции!$AB:$AB,"&lt;&gt;"&amp;"",операции!$O:$O,$F978)/I1011)</f>
        <v>42318.55425631431</v>
      </c>
      <c r="J1012" s="317"/>
      <c r="K1012" s="316">
        <f>IF(K1011=0,0,SUMIFS(операции!$AG:$AG,операции!$X:$X,"&gt;="&amp;I$8,операции!$X:$X,"&lt;="&amp;I$9,операции!$AB:$AB,"&lt;&gt;"&amp;"",операции!$L:$L,K$9,операции!$O:$O,$F978)/K1011)</f>
        <v>42309.501375661377</v>
      </c>
      <c r="L1012" s="318">
        <f>IF(L1011=0,0,SUMIFS(операции!$AG:$AG,операции!$X:$X,"&gt;="&amp;I$8,операции!$X:$X,"&lt;="&amp;I$9,операции!$AB:$AB,"&lt;&gt;"&amp;"",операции!$L:$L,L$9,операции!$O:$O,$F978)/L1011)</f>
        <v>42320.251200063474</v>
      </c>
      <c r="M1012" s="274"/>
      <c r="N1012" s="193">
        <f>IF(N1011=0,0,SUMIFS(операции!$AG:$AG,операции!$X:$X,"&gt;="&amp;N$8,операции!$X:$X,"&lt;="&amp;N$9,операции!$AB:$AB,"&lt;&gt;"&amp;"",операции!$O:$O,$F978)/N1011)</f>
        <v>42304.462098954049</v>
      </c>
      <c r="O1012" s="196"/>
      <c r="P1012" s="193">
        <f>IF(P1011=0,0,SUMIFS(операции!$AG:$AG,операции!$X:$X,"&gt;="&amp;N$8,операции!$X:$X,"&lt;="&amp;N$9,операции!$AB:$AB,"&lt;&gt;"&amp;"",операции!$L:$L,P$9,операции!$O:$O,$F978)/P1011)</f>
        <v>42300.044997205143</v>
      </c>
      <c r="Q1012" s="237">
        <f>IF(Q1011=0,0,SUMIFS(операции!$AG:$AG,операции!$X:$X,"&gt;="&amp;N$8,операции!$X:$X,"&lt;="&amp;N$9,операции!$AB:$AB,"&lt;&gt;"&amp;"",операции!$L:$L,Q$9,операции!$O:$O,$F978)/Q1011)</f>
        <v>42307.66720746299</v>
      </c>
      <c r="R1012" s="238"/>
      <c r="S1012" s="193">
        <f>IF(S1011=0,0,SUMIFS(операции!$AG:$AG,операции!$X:$X,"&gt;="&amp;S$8,операции!$X:$X,"&lt;="&amp;S$9,операции!$AB:$AB,"&lt;&gt;"&amp;"",операции!$O:$O,$F978)/S1011)</f>
        <v>42321.783387709256</v>
      </c>
      <c r="T1012" s="196"/>
      <c r="U1012" s="193">
        <f>IF(U1011=0,0,SUMIFS(операции!$AG:$AG,операции!$X:$X,"&gt;="&amp;S$8,операции!$X:$X,"&lt;="&amp;S$9,операции!$AB:$AB,"&lt;&gt;"&amp;"",операции!$L:$L,U$9,операции!$O:$O,$F978)/U1011)</f>
        <v>0</v>
      </c>
      <c r="V1012" s="237">
        <f>IF(V1011=0,0,SUMIFS(операции!$AG:$AG,операции!$X:$X,"&gt;="&amp;S$8,операции!$X:$X,"&lt;="&amp;S$9,операции!$AB:$AB,"&lt;&gt;"&amp;"",операции!$L:$L,V$9,операции!$O:$O,$F978)/V1011)</f>
        <v>42321.783387709256</v>
      </c>
      <c r="W1012" s="238"/>
      <c r="X1012" s="193">
        <f>IF(X1011=0,0,SUMIFS(операции!$AG:$AG,операции!$X:$X,"&gt;="&amp;X$8,операции!$X:$X,"&lt;="&amp;X$9,операции!$AB:$AB,"&lt;&gt;"&amp;"",операции!$O:$O,$F978)/X1011)</f>
        <v>42340.393983859132</v>
      </c>
      <c r="Y1012" s="196"/>
      <c r="Z1012" s="193">
        <f>IF(Z1011=0,0,SUMIFS(операции!$AG:$AG,операции!$X:$X,"&gt;="&amp;X$8,операции!$X:$X,"&lt;="&amp;X$9,операции!$AB:$AB,"&lt;&gt;"&amp;"",операции!$L:$L,Z$9,операции!$O:$O,$F978)/Z1011)</f>
        <v>42339</v>
      </c>
      <c r="AA1012" s="237">
        <f>IF(AA1011=0,0,SUMIFS(операции!$AG:$AG,операции!$X:$X,"&gt;="&amp;X$8,операции!$X:$X,"&lt;="&amp;X$9,операции!$AB:$AB,"&lt;&gt;"&amp;"",операции!$L:$L,AA$9,операции!$O:$O,$F978)/AA1011)</f>
        <v>42341.406586447119</v>
      </c>
      <c r="AB1012" s="265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</row>
    <row r="1013" spans="1:42" s="93" customFormat="1" ht="15">
      <c r="A1013" s="92"/>
      <c r="B1013" s="92"/>
      <c r="C1013" s="92"/>
      <c r="D1013" s="151"/>
      <c r="E1013" s="151" t="s">
        <v>292</v>
      </c>
      <c r="F1013" s="151" t="str">
        <f t="shared" si="1718"/>
        <v>ИгрушкаФест</v>
      </c>
      <c r="G1013" s="151" t="s">
        <v>261</v>
      </c>
      <c r="H1013" s="311"/>
      <c r="I1013" s="312">
        <f>SUMIFS(операции!$V:$V,операции!$X:$X,"&gt;="&amp;I$8,операции!$X:$X,"&lt;="&amp;I$9,операции!$AB:$AB,"&lt;&gt;"&amp;"",операции!$O:$O,$F978)</f>
        <v>24229</v>
      </c>
      <c r="J1013" s="313">
        <f>I1013-K1013-L1013</f>
        <v>0</v>
      </c>
      <c r="K1013" s="312">
        <f>SUMIFS(операции!$V:$V,операции!$X:$X,"&gt;="&amp;I$8,операции!$X:$X,"&lt;="&amp;I$9,операции!$AB:$AB,"&lt;&gt;"&amp;"",операции!$L:$L,K$9,операции!$O:$O,$F978)</f>
        <v>3872</v>
      </c>
      <c r="L1013" s="314">
        <f>SUMIFS(операции!$V:$V,операции!$X:$X,"&gt;="&amp;I$8,операции!$X:$X,"&lt;="&amp;I$9,операции!$AB:$AB,"&lt;&gt;"&amp;"",операции!$L:$L,L$9,операции!$O:$O,$F978)</f>
        <v>20357</v>
      </c>
      <c r="M1013" s="273"/>
      <c r="N1013" s="152">
        <f>SUMIFS(операции!$V:$V,операции!$X:$X,"&gt;="&amp;N$8,операции!$X:$X,"&lt;="&amp;N$9,операции!$AB:$AB,"&lt;&gt;"&amp;"",операции!$O:$O,$F978)</f>
        <v>7078</v>
      </c>
      <c r="O1013" s="170">
        <f>N1013-P1013-Q1013</f>
        <v>0</v>
      </c>
      <c r="P1013" s="152">
        <f>SUMIFS(операции!$V:$V,операции!$X:$X,"&gt;="&amp;N$8,операции!$X:$X,"&lt;="&amp;N$9,операции!$AB:$AB,"&lt;&gt;"&amp;"",операции!$L:$L,P$9,операции!$O:$O,$F978)</f>
        <v>2856</v>
      </c>
      <c r="Q1013" s="235">
        <f>SUMIFS(операции!$V:$V,операции!$X:$X,"&gt;="&amp;N$8,операции!$X:$X,"&lt;="&amp;N$9,операции!$AB:$AB,"&lt;&gt;"&amp;"",операции!$L:$L,Q$9,операции!$O:$O,$F978)</f>
        <v>4222</v>
      </c>
      <c r="R1013" s="236"/>
      <c r="S1013" s="152">
        <f>SUMIFS(операции!$V:$V,операции!$X:$X,"&gt;="&amp;S$8,операции!$X:$X,"&lt;="&amp;S$9,операции!$AB:$AB,"&lt;&gt;"&amp;"",операции!$O:$O,$F978)</f>
        <v>14980</v>
      </c>
      <c r="T1013" s="170">
        <f>S1013-U1013-V1013</f>
        <v>0</v>
      </c>
      <c r="U1013" s="152">
        <f>SUMIFS(операции!$V:$V,операции!$X:$X,"&gt;="&amp;S$8,операции!$X:$X,"&lt;="&amp;S$9,операции!$AB:$AB,"&lt;&gt;"&amp;"",операции!$L:$L,U$9,операции!$O:$O,$F978)</f>
        <v>0</v>
      </c>
      <c r="V1013" s="235">
        <f>SUMIFS(операции!$V:$V,операции!$X:$X,"&gt;="&amp;S$8,операции!$X:$X,"&lt;="&amp;S$9,операции!$AB:$AB,"&lt;&gt;"&amp;"",операции!$L:$L,V$9,операции!$O:$O,$F978)</f>
        <v>14980</v>
      </c>
      <c r="W1013" s="236"/>
      <c r="X1013" s="152">
        <f>SUMIFS(операции!$V:$V,операции!$X:$X,"&gt;="&amp;X$8,операции!$X:$X,"&lt;="&amp;X$9,операции!$AB:$AB,"&lt;&gt;"&amp;"",операции!$O:$O,$F978)</f>
        <v>2171</v>
      </c>
      <c r="Y1013" s="170">
        <f>X1013-Z1013-AA1013</f>
        <v>0</v>
      </c>
      <c r="Z1013" s="152">
        <f>SUMIFS(операции!$V:$V,операции!$X:$X,"&gt;="&amp;X$8,операции!$X:$X,"&lt;="&amp;X$9,операции!$AB:$AB,"&lt;&gt;"&amp;"",операции!$L:$L,Z$9,операции!$O:$O,$F978)</f>
        <v>1016</v>
      </c>
      <c r="AA1013" s="235">
        <f>SUMIFS(операции!$V:$V,операции!$X:$X,"&gt;="&amp;X$8,операции!$X:$X,"&lt;="&amp;X$9,операции!$AB:$AB,"&lt;&gt;"&amp;"",операции!$L:$L,AA$9,операции!$O:$O,$F978)</f>
        <v>1155</v>
      </c>
      <c r="AB1013" s="264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</row>
    <row r="1014" spans="1:42" s="192" customFormat="1" ht="11.25">
      <c r="A1014" s="37"/>
      <c r="B1014" s="37"/>
      <c r="C1014" s="37"/>
      <c r="D1014" s="191"/>
      <c r="E1014" s="191" t="s">
        <v>294</v>
      </c>
      <c r="F1014" s="191" t="str">
        <f t="shared" si="1718"/>
        <v>ИгрушкаФест</v>
      </c>
      <c r="G1014" s="191" t="s">
        <v>262</v>
      </c>
      <c r="H1014" s="315"/>
      <c r="I1014" s="316">
        <f>IF(I1013=0,0,SUMIFS(операции!$AF:$AF,операции!$X:$X,"&gt;="&amp;I$8,операции!$X:$X,"&lt;="&amp;I$9,операции!$AB:$AB,"&lt;&gt;"&amp;"",операции!$O:$O,$F978)/I1013)</f>
        <v>42292.23884601098</v>
      </c>
      <c r="J1014" s="317"/>
      <c r="K1014" s="316">
        <f>IF(K1013=0,0,SUMIFS(операции!$AF:$AF,операции!$X:$X,"&gt;="&amp;I$8,операции!$X:$X,"&lt;="&amp;I$9,операции!$AB:$AB,"&lt;&gt;"&amp;"",операции!$L:$L,K$9,операции!$O:$O,$F978)/K1013)</f>
        <v>42177.516528925618</v>
      </c>
      <c r="L1014" s="318">
        <f>IF(L1013=0,0,SUMIFS(операции!$AF:$AF,операции!$X:$X,"&gt;="&amp;I$8,операции!$X:$X,"&lt;="&amp;I$9,операции!$AB:$AB,"&lt;&gt;"&amp;"",операции!$L:$L,L$9,операции!$O:$O,$F978)/L1013)</f>
        <v>42314.05958638306</v>
      </c>
      <c r="M1014" s="274"/>
      <c r="N1014" s="193">
        <f>IF(N1013=0,0,SUMIFS(операции!$AF:$AF,операции!$X:$X,"&gt;="&amp;N$8,операции!$X:$X,"&lt;="&amp;N$9,операции!$AB:$AB,"&lt;&gt;"&amp;"",операции!$O:$O,$F978)/N1013)</f>
        <v>42241.895450692289</v>
      </c>
      <c r="O1014" s="196"/>
      <c r="P1014" s="193">
        <f>IF(P1013=0,0,SUMIFS(операции!$AF:$AF,операции!$X:$X,"&gt;="&amp;N$8,операции!$X:$X,"&lt;="&amp;N$9,операции!$AB:$AB,"&lt;&gt;"&amp;"",операции!$L:$L,P$9,операции!$O:$O,$F978)/P1013)</f>
        <v>42148.173669467789</v>
      </c>
      <c r="Q1014" s="237">
        <f>IF(Q1013=0,0,SUMIFS(операции!$AF:$AF,операции!$X:$X,"&gt;="&amp;N$8,операции!$X:$X,"&lt;="&amp;N$9,операции!$AB:$AB,"&lt;&gt;"&amp;"",операции!$L:$L,Q$9,операции!$O:$O,$F978)/Q1013)</f>
        <v>42305.294173377544</v>
      </c>
      <c r="R1014" s="238"/>
      <c r="S1014" s="193">
        <f>IF(S1013=0,0,SUMIFS(операции!$AF:$AF,операции!$X:$X,"&gt;="&amp;S$8,операции!$X:$X,"&lt;="&amp;S$9,операции!$AB:$AB,"&lt;&gt;"&amp;"",операции!$O:$O,$F978)/S1013)</f>
        <v>42314.917823765019</v>
      </c>
      <c r="T1014" s="196"/>
      <c r="U1014" s="193">
        <f>IF(U1013=0,0,SUMIFS(операции!$AF:$AF,операции!$X:$X,"&gt;="&amp;S$8,операции!$X:$X,"&lt;="&amp;S$9,операции!$AB:$AB,"&lt;&gt;"&amp;"",операции!$L:$L,U$9,операции!$O:$O,$F978)/U1013)</f>
        <v>0</v>
      </c>
      <c r="V1014" s="237">
        <f>IF(V1013=0,0,SUMIFS(операции!$AF:$AF,операции!$X:$X,"&gt;="&amp;S$8,операции!$X:$X,"&lt;="&amp;S$9,операции!$AB:$AB,"&lt;&gt;"&amp;"",операции!$L:$L,V$9,операции!$O:$O,$F978)/V1013)</f>
        <v>42314.917823765019</v>
      </c>
      <c r="W1014" s="238"/>
      <c r="X1014" s="193">
        <f>IF(X1013=0,0,SUMIFS(операции!$AF:$AF,операции!$X:$X,"&gt;="&amp;X$8,операции!$X:$X,"&lt;="&amp;X$9,операции!$AB:$AB,"&lt;&gt;"&amp;"",операции!$O:$O,$F978)/X1013)</f>
        <v>42299.884845693232</v>
      </c>
      <c r="Y1014" s="196"/>
      <c r="Z1014" s="193">
        <f>IF(Z1013=0,0,SUMIFS(операции!$AF:$AF,операции!$X:$X,"&gt;="&amp;X$8,операции!$X:$X,"&lt;="&amp;X$9,операции!$AB:$AB,"&lt;&gt;"&amp;"",операции!$L:$L,Z$9,операции!$O:$O,$F978)/Z1013)</f>
        <v>42260</v>
      </c>
      <c r="AA1014" s="237">
        <f>IF(AA1013=0,0,SUMIFS(операции!$AF:$AF,операции!$X:$X,"&gt;="&amp;X$8,операции!$X:$X,"&lt;="&amp;X$9,операции!$AB:$AB,"&lt;&gt;"&amp;"",операции!$L:$L,AA$9,операции!$O:$O,$F978)/AA1013)</f>
        <v>42334.969696969696</v>
      </c>
      <c r="AB1014" s="265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</row>
    <row r="1015" spans="1:42" s="192" customFormat="1" ht="11.25">
      <c r="A1015" s="37"/>
      <c r="B1015" s="37"/>
      <c r="C1015" s="37"/>
      <c r="D1015" s="191"/>
      <c r="E1015" s="191" t="s">
        <v>299</v>
      </c>
      <c r="F1015" s="191" t="str">
        <f t="shared" si="1718"/>
        <v>ИгрушкаФест</v>
      </c>
      <c r="G1015" s="191" t="s">
        <v>262</v>
      </c>
      <c r="H1015" s="315"/>
      <c r="I1015" s="316">
        <f>IF(I1013=0,0,SUMIFS(операции!$AH:$AH,операции!$X:$X,"&gt;="&amp;I$8,операции!$X:$X,"&lt;="&amp;I$9,операции!$AB:$AB,"&lt;&gt;"&amp;"",операции!$O:$O,$F978)/I1013)</f>
        <v>42318.929175781086</v>
      </c>
      <c r="J1015" s="317"/>
      <c r="K1015" s="316">
        <f>IF(K1013=0,0,SUMIFS(операции!$AH:$AH,операции!$X:$X,"&gt;="&amp;I$8,операции!$X:$X,"&lt;="&amp;I$9,операции!$AB:$AB,"&lt;&gt;"&amp;"",операции!$L:$L,K$9,операции!$O:$O,$F978)/K1013)</f>
        <v>42201.717458677689</v>
      </c>
      <c r="L1015" s="318">
        <f>IF(L1013=0,0,SUMIFS(операции!$AH:$AH,операции!$X:$X,"&gt;="&amp;I$8,операции!$X:$X,"&lt;="&amp;I$9,операции!$AB:$AB,"&lt;&gt;"&amp;"",операции!$L:$L,L$9,операции!$O:$O,$F978)/L1013)</f>
        <v>42341.223412094121</v>
      </c>
      <c r="M1015" s="274"/>
      <c r="N1015" s="193">
        <f>IF(N1013=0,0,SUMIFS(операции!$AH:$AH,операции!$X:$X,"&gt;="&amp;N$8,операции!$X:$X,"&lt;="&amp;N$9,операции!$AB:$AB,"&lt;&gt;"&amp;"",операции!$O:$O,$F978)/N1013)</f>
        <v>42268.843176038426</v>
      </c>
      <c r="O1015" s="196"/>
      <c r="P1015" s="193">
        <f>IF(P1013=0,0,SUMIFS(операции!$AH:$AH,операции!$X:$X,"&gt;="&amp;N$8,операции!$X:$X,"&lt;="&amp;N$9,операции!$AB:$AB,"&lt;&gt;"&amp;"",операции!$L:$L,P$9,операции!$O:$O,$F978)/P1013)</f>
        <v>42173.869047619046</v>
      </c>
      <c r="Q1015" s="237">
        <f>IF(Q1013=0,0,SUMIFS(операции!$AH:$AH,операции!$X:$X,"&gt;="&amp;N$8,операции!$X:$X,"&lt;="&amp;N$9,операции!$AB:$AB,"&lt;&gt;"&amp;"",операции!$L:$L,Q$9,операции!$O:$O,$F978)/Q1013)</f>
        <v>42333.089057318808</v>
      </c>
      <c r="R1015" s="238"/>
      <c r="S1015" s="193">
        <f>IF(S1013=0,0,SUMIFS(операции!$AH:$AH,операции!$X:$X,"&gt;="&amp;S$8,операции!$X:$X,"&lt;="&amp;S$9,операции!$AB:$AB,"&lt;&gt;"&amp;"",операции!$O:$O,$F978)/S1013)</f>
        <v>42342.182777036047</v>
      </c>
      <c r="T1015" s="196"/>
      <c r="U1015" s="193">
        <f>IF(U1013=0,0,SUMIFS(операции!$AH:$AH,операции!$X:$X,"&gt;="&amp;S$8,операции!$X:$X,"&lt;="&amp;S$9,операции!$AB:$AB,"&lt;&gt;"&amp;"",операции!$L:$L,U$9,операции!$O:$O,$F978)/U1013)</f>
        <v>0</v>
      </c>
      <c r="V1015" s="237">
        <f>IF(V1013=0,0,SUMIFS(операции!$AH:$AH,операции!$X:$X,"&gt;="&amp;S$8,операции!$X:$X,"&lt;="&amp;S$9,операции!$AB:$AB,"&lt;&gt;"&amp;"",операции!$L:$L,V$9,операции!$O:$O,$F978)/V1013)</f>
        <v>42342.182777036047</v>
      </c>
      <c r="W1015" s="238"/>
      <c r="X1015" s="193">
        <f>IF(X1013=0,0,SUMIFS(операции!$AH:$AH,операции!$X:$X,"&gt;="&amp;X$8,операции!$X:$X,"&lt;="&amp;X$9,операции!$AB:$AB,"&lt;&gt;"&amp;"",операции!$O:$O,$F978)/X1013)</f>
        <v>42321.771073238138</v>
      </c>
      <c r="Y1015" s="196"/>
      <c r="Z1015" s="193">
        <f>IF(Z1013=0,0,SUMIFS(операции!$AH:$AH,операции!$X:$X,"&gt;="&amp;X$8,операции!$X:$X,"&lt;="&amp;X$9,операции!$AB:$AB,"&lt;&gt;"&amp;"",операции!$L:$L,Z$9,операции!$O:$O,$F978)/Z1013)</f>
        <v>42280</v>
      </c>
      <c r="AA1015" s="237">
        <f>IF(AA1013=0,0,SUMIFS(операции!$AH:$AH,операции!$X:$X,"&gt;="&amp;X$8,операции!$X:$X,"&lt;="&amp;X$9,операции!$AB:$AB,"&lt;&gt;"&amp;"",операции!$L:$L,AA$9,операции!$O:$O,$F978)/AA1013)</f>
        <v>42358.515151515152</v>
      </c>
      <c r="AB1015" s="265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</row>
    <row r="1016" spans="1:42" s="5" customFormat="1">
      <c r="A1016" s="1"/>
      <c r="B1016" s="1"/>
      <c r="C1016" s="1"/>
      <c r="D1016" s="168"/>
      <c r="E1016" s="168" t="s">
        <v>296</v>
      </c>
      <c r="F1016" s="168" t="str">
        <f t="shared" si="1718"/>
        <v>ИгрушкаФест</v>
      </c>
      <c r="G1016" s="168" t="s">
        <v>261</v>
      </c>
      <c r="H1016" s="326"/>
      <c r="I1016" s="327">
        <f>I1011-I1013</f>
        <v>5703</v>
      </c>
      <c r="J1016" s="313">
        <f>I1016-K1016-L1016</f>
        <v>0</v>
      </c>
      <c r="K1016" s="327">
        <f t="shared" ref="K1016:L1016" si="1795">K1011-K1013</f>
        <v>853</v>
      </c>
      <c r="L1016" s="328">
        <f t="shared" si="1795"/>
        <v>4850</v>
      </c>
      <c r="M1016" s="277"/>
      <c r="N1016" s="169">
        <f>N1011-N1013</f>
        <v>1431</v>
      </c>
      <c r="O1016" s="170">
        <f>N1016-P1016-Q1016</f>
        <v>0</v>
      </c>
      <c r="P1016" s="169">
        <f t="shared" ref="P1016:Q1016" si="1796">P1011-P1013</f>
        <v>722</v>
      </c>
      <c r="Q1016" s="243">
        <f t="shared" si="1796"/>
        <v>709</v>
      </c>
      <c r="R1016" s="244"/>
      <c r="S1016" s="169">
        <f>S1011-S1013</f>
        <v>3717</v>
      </c>
      <c r="T1016" s="170">
        <f>S1016-U1016-V1016</f>
        <v>0</v>
      </c>
      <c r="U1016" s="169">
        <f t="shared" ref="U1016:V1016" si="1797">U1011-U1013</f>
        <v>0</v>
      </c>
      <c r="V1016" s="243">
        <f t="shared" si="1797"/>
        <v>3717</v>
      </c>
      <c r="W1016" s="244"/>
      <c r="X1016" s="169">
        <f>X1011-X1013</f>
        <v>555</v>
      </c>
      <c r="Y1016" s="170">
        <f>X1016-Z1016-AA1016</f>
        <v>0</v>
      </c>
      <c r="Z1016" s="169">
        <f t="shared" ref="Z1016:AA1016" si="1798">Z1011-Z1013</f>
        <v>131</v>
      </c>
      <c r="AA1016" s="243">
        <f t="shared" si="1798"/>
        <v>424</v>
      </c>
      <c r="AB1016" s="266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</row>
    <row r="1017" spans="1:42" s="211" customFormat="1">
      <c r="A1017" s="210"/>
      <c r="B1017" s="210"/>
      <c r="C1017" s="210"/>
      <c r="D1017" s="218"/>
      <c r="E1017" s="218" t="s">
        <v>297</v>
      </c>
      <c r="F1017" s="218" t="str">
        <f t="shared" si="1718"/>
        <v>ИгрушкаФест</v>
      </c>
      <c r="G1017" s="218" t="s">
        <v>218</v>
      </c>
      <c r="H1017" s="343"/>
      <c r="I1017" s="344">
        <f>IF(I1011=0,0,(I1016/I1011))</f>
        <v>0.19053187224375251</v>
      </c>
      <c r="J1017" s="345"/>
      <c r="K1017" s="344">
        <f t="shared" ref="K1017" si="1799">IF(K1011=0,0,(K1016/K1011))</f>
        <v>0.18052910052910054</v>
      </c>
      <c r="L1017" s="346">
        <f t="shared" ref="L1017" si="1800">IF(L1011=0,0,(L1016/L1011))</f>
        <v>0.19240687110723212</v>
      </c>
      <c r="M1017" s="280"/>
      <c r="N1017" s="219">
        <f>IF(N1011=0,0,(N1016/N1011))</f>
        <v>0.16817487366318015</v>
      </c>
      <c r="O1017" s="220"/>
      <c r="P1017" s="219">
        <f t="shared" ref="P1017" si="1801">IF(P1011=0,0,(P1016/P1011))</f>
        <v>0.20178870877585242</v>
      </c>
      <c r="Q1017" s="252">
        <f t="shared" ref="Q1017" si="1802">IF(Q1011=0,0,(Q1016/Q1011))</f>
        <v>0.14378422226728857</v>
      </c>
      <c r="R1017" s="253"/>
      <c r="S1017" s="219">
        <f>IF(S1011=0,0,(S1016/S1011))</f>
        <v>0.19880194683639085</v>
      </c>
      <c r="T1017" s="220"/>
      <c r="U1017" s="219">
        <f t="shared" ref="U1017" si="1803">IF(U1011=0,0,(U1016/U1011))</f>
        <v>0</v>
      </c>
      <c r="V1017" s="252">
        <f t="shared" ref="V1017" si="1804">IF(V1011=0,0,(V1016/V1011))</f>
        <v>0.19880194683639085</v>
      </c>
      <c r="W1017" s="253"/>
      <c r="X1017" s="219">
        <f>IF(X1011=0,0,(X1016/X1011))</f>
        <v>0.20359501100513572</v>
      </c>
      <c r="Y1017" s="220"/>
      <c r="Z1017" s="219">
        <f t="shared" ref="Z1017" si="1805">IF(Z1011=0,0,(Z1016/Z1011))</f>
        <v>0.11421098517872712</v>
      </c>
      <c r="AA1017" s="252">
        <f t="shared" ref="AA1017" si="1806">IF(AA1011=0,0,(AA1016/AA1011))</f>
        <v>0.26852438252058264</v>
      </c>
      <c r="AB1017" s="267"/>
      <c r="AC1017" s="210"/>
      <c r="AD1017" s="210"/>
      <c r="AE1017" s="210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</row>
    <row r="1018" spans="1:42" s="5" customFormat="1">
      <c r="A1018" s="1"/>
      <c r="B1018" s="1"/>
      <c r="C1018" s="1"/>
      <c r="D1018" s="227"/>
      <c r="E1018" s="227" t="s">
        <v>298</v>
      </c>
      <c r="F1018" s="227" t="str">
        <f t="shared" si="1718"/>
        <v>ИгрушкаФест</v>
      </c>
      <c r="G1018" s="227" t="s">
        <v>219</v>
      </c>
      <c r="H1018" s="347"/>
      <c r="I1018" s="348">
        <f>I1012-I1014</f>
        <v>26.315410303330282</v>
      </c>
      <c r="J1018" s="321"/>
      <c r="K1018" s="348">
        <f t="shared" ref="K1018:L1018" si="1807">K1012-K1014</f>
        <v>131.98484673575877</v>
      </c>
      <c r="L1018" s="349">
        <f t="shared" si="1807"/>
        <v>6.1916136804138659</v>
      </c>
      <c r="M1018" s="281"/>
      <c r="N1018" s="228">
        <f>N1012-N1014</f>
        <v>62.566648261759838</v>
      </c>
      <c r="O1018" s="173"/>
      <c r="P1018" s="228">
        <f t="shared" ref="P1018:Q1018" si="1808">P1012-P1014</f>
        <v>151.87132773735357</v>
      </c>
      <c r="Q1018" s="254">
        <f t="shared" si="1808"/>
        <v>2.3730340854453971</v>
      </c>
      <c r="R1018" s="255"/>
      <c r="S1018" s="228">
        <f>S1012-S1014</f>
        <v>6.8655639442367828</v>
      </c>
      <c r="T1018" s="173"/>
      <c r="U1018" s="228">
        <f t="shared" ref="U1018:V1018" si="1809">U1012-U1014</f>
        <v>0</v>
      </c>
      <c r="V1018" s="254">
        <f t="shared" si="1809"/>
        <v>6.8655639442367828</v>
      </c>
      <c r="W1018" s="255"/>
      <c r="X1018" s="228">
        <f>X1012-X1014</f>
        <v>40.509138165900367</v>
      </c>
      <c r="Y1018" s="173"/>
      <c r="Z1018" s="228">
        <f t="shared" ref="Z1018:AA1018" si="1810">Z1012-Z1014</f>
        <v>79</v>
      </c>
      <c r="AA1018" s="254">
        <f t="shared" si="1810"/>
        <v>6.4368894774233922</v>
      </c>
      <c r="AB1018" s="266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</row>
    <row r="1019" spans="1:42" s="5" customFormat="1">
      <c r="A1019" s="1"/>
      <c r="B1019" s="1"/>
      <c r="C1019" s="1"/>
      <c r="D1019" s="227"/>
      <c r="E1019" s="227" t="s">
        <v>300</v>
      </c>
      <c r="F1019" s="227" t="str">
        <f t="shared" si="1718"/>
        <v>ИгрушкаФест</v>
      </c>
      <c r="G1019" s="227" t="s">
        <v>219</v>
      </c>
      <c r="H1019" s="347"/>
      <c r="I1019" s="348">
        <f>I1015-I1014</f>
        <v>26.690329770106473</v>
      </c>
      <c r="J1019" s="321"/>
      <c r="K1019" s="348">
        <f t="shared" ref="K1019:L1019" si="1811">K1015-K1014</f>
        <v>24.200929752070806</v>
      </c>
      <c r="L1019" s="349">
        <f t="shared" si="1811"/>
        <v>27.163825711060781</v>
      </c>
      <c r="M1019" s="281"/>
      <c r="N1019" s="228">
        <f>N1015-N1014</f>
        <v>26.947725346137304</v>
      </c>
      <c r="O1019" s="173"/>
      <c r="P1019" s="228">
        <f t="shared" ref="P1019:Q1019" si="1812">P1015-P1014</f>
        <v>25.695378151256591</v>
      </c>
      <c r="Q1019" s="254">
        <f t="shared" si="1812"/>
        <v>27.794883941263834</v>
      </c>
      <c r="R1019" s="255"/>
      <c r="S1019" s="228">
        <f>S1015-S1014</f>
        <v>27.26495327102748</v>
      </c>
      <c r="T1019" s="173"/>
      <c r="U1019" s="228">
        <f t="shared" ref="U1019:V1019" si="1813">U1015-U1014</f>
        <v>0</v>
      </c>
      <c r="V1019" s="254">
        <f t="shared" si="1813"/>
        <v>27.26495327102748</v>
      </c>
      <c r="W1019" s="255"/>
      <c r="X1019" s="228">
        <f>X1015-X1014</f>
        <v>21.886227544906433</v>
      </c>
      <c r="Y1019" s="173"/>
      <c r="Z1019" s="228">
        <f t="shared" ref="Z1019:AA1019" si="1814">Z1015-Z1014</f>
        <v>20</v>
      </c>
      <c r="AA1019" s="254">
        <f t="shared" si="1814"/>
        <v>23.545454545455868</v>
      </c>
      <c r="AB1019" s="266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</row>
    <row r="1020" spans="1:42" s="93" customFormat="1" ht="15">
      <c r="A1020" s="92"/>
      <c r="B1020" s="92"/>
      <c r="C1020" s="92"/>
      <c r="D1020" s="221"/>
      <c r="E1020" s="221" t="s">
        <v>301</v>
      </c>
      <c r="F1020" s="221" t="str">
        <f t="shared" si="1718"/>
        <v>ИгрушкаФест</v>
      </c>
      <c r="G1020" s="221" t="s">
        <v>219</v>
      </c>
      <c r="H1020" s="357"/>
      <c r="I1020" s="358">
        <f>I1018-I1019</f>
        <v>-0.37491946677619126</v>
      </c>
      <c r="J1020" s="352"/>
      <c r="K1020" s="358">
        <f t="shared" ref="K1020" si="1815">K1018-K1019</f>
        <v>107.78391698368796</v>
      </c>
      <c r="L1020" s="359">
        <f t="shared" ref="L1020" si="1816">L1018-L1019</f>
        <v>-20.972212030646915</v>
      </c>
      <c r="M1020" s="284"/>
      <c r="N1020" s="222">
        <f>N1018-N1019</f>
        <v>35.618922915622534</v>
      </c>
      <c r="O1020" s="181"/>
      <c r="P1020" s="222">
        <f t="shared" ref="P1020" si="1817">P1018-P1019</f>
        <v>126.17594958609698</v>
      </c>
      <c r="Q1020" s="260">
        <f t="shared" ref="Q1020" si="1818">Q1018-Q1019</f>
        <v>-25.421849855818436</v>
      </c>
      <c r="R1020" s="261"/>
      <c r="S1020" s="222">
        <f>S1018-S1019</f>
        <v>-20.399389326790697</v>
      </c>
      <c r="T1020" s="181"/>
      <c r="U1020" s="222">
        <f t="shared" ref="U1020" si="1819">U1018-U1019</f>
        <v>0</v>
      </c>
      <c r="V1020" s="260">
        <f t="shared" ref="V1020" si="1820">V1018-V1019</f>
        <v>-20.399389326790697</v>
      </c>
      <c r="W1020" s="261"/>
      <c r="X1020" s="222">
        <f>X1018-X1019</f>
        <v>18.622910620993935</v>
      </c>
      <c r="Y1020" s="181"/>
      <c r="Z1020" s="222">
        <f t="shared" ref="Z1020" si="1821">Z1018-Z1019</f>
        <v>59</v>
      </c>
      <c r="AA1020" s="260">
        <f t="shared" ref="AA1020" si="1822">AA1018-AA1019</f>
        <v>-17.108565068032476</v>
      </c>
      <c r="AB1020" s="264"/>
      <c r="AC1020" s="92"/>
      <c r="AD1020" s="92"/>
      <c r="AE1020" s="92"/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92"/>
    </row>
    <row r="1021" spans="1:42" s="5" customFormat="1">
      <c r="A1021" s="1"/>
      <c r="B1021" s="1"/>
      <c r="C1021" s="1"/>
      <c r="D1021" s="223"/>
      <c r="E1021" s="223" t="s">
        <v>302</v>
      </c>
      <c r="F1021" s="223" t="str">
        <f t="shared" si="1718"/>
        <v>ИгрушкаФест</v>
      </c>
      <c r="G1021" s="223" t="s">
        <v>261</v>
      </c>
      <c r="H1021" s="354"/>
      <c r="I1021" s="355">
        <f>SUMIFS(операции!$Z:$Z,операции!$X:$X,"&gt;="&amp;I$8,операции!$X:$X,"&lt;="&amp;I$9,операции!$AB:$AB,"",операции!$O:$O,$F978)</f>
        <v>9310</v>
      </c>
      <c r="J1021" s="341">
        <f>I1021-K1021-L1021</f>
        <v>0</v>
      </c>
      <c r="K1021" s="355">
        <f>SUMIFS(операции!$Z:$Z,операции!$X:$X,"&gt;="&amp;I$8,операции!$X:$X,"&lt;="&amp;I$9,операции!$AB:$AB,"",операции!$L:$L,K$9,операции!$O:$O,$F978)</f>
        <v>2086</v>
      </c>
      <c r="L1021" s="356">
        <f>SUMIFS(операции!$Z:$Z,операции!$X:$X,"&gt;="&amp;I$8,операции!$X:$X,"&lt;="&amp;I$9,операции!$AB:$AB,"",операции!$L:$L,L$9,операции!$O:$O,$F978)</f>
        <v>7224</v>
      </c>
      <c r="M1021" s="283"/>
      <c r="N1021" s="224">
        <f>SUMIFS(операции!$Z:$Z,операции!$X:$X,"&gt;="&amp;N$8,операции!$X:$X,"&lt;="&amp;N$9,операции!$AB:$AB,"",операции!$O:$O,$F978)</f>
        <v>806</v>
      </c>
      <c r="O1021" s="216">
        <f>N1021-P1021-Q1021</f>
        <v>0</v>
      </c>
      <c r="P1021" s="224">
        <f>SUMIFS(операции!$Z:$Z,операции!$X:$X,"&gt;="&amp;N$8,операции!$X:$X,"&lt;="&amp;N$9,операции!$AB:$AB,"",операции!$L:$L,P$9,операции!$O:$O,$F978)</f>
        <v>806</v>
      </c>
      <c r="Q1021" s="258">
        <f>SUMIFS(операции!$Z:$Z,операции!$X:$X,"&gt;="&amp;N$8,операции!$X:$X,"&lt;="&amp;N$9,операции!$AB:$AB,"",операции!$L:$L,Q$9,операции!$O:$O,$F978)</f>
        <v>0</v>
      </c>
      <c r="R1021" s="259"/>
      <c r="S1021" s="224">
        <f>SUMIFS(операции!$Z:$Z,операции!$X:$X,"&gt;="&amp;S$8,операции!$X:$X,"&lt;="&amp;S$9,операции!$AB:$AB,"",операции!$O:$O,$F978)</f>
        <v>6483</v>
      </c>
      <c r="T1021" s="216">
        <f>S1021-U1021-V1021</f>
        <v>0</v>
      </c>
      <c r="U1021" s="224">
        <f>SUMIFS(операции!$Z:$Z,операции!$X:$X,"&gt;="&amp;S$8,операции!$X:$X,"&lt;="&amp;S$9,операции!$AB:$AB,"",операции!$L:$L,U$9,операции!$O:$O,$F978)</f>
        <v>1280</v>
      </c>
      <c r="V1021" s="258">
        <f>SUMIFS(операции!$Z:$Z,операции!$X:$X,"&gt;="&amp;S$8,операции!$X:$X,"&lt;="&amp;S$9,операции!$AB:$AB,"",операции!$L:$L,V$9,операции!$O:$O,$F978)</f>
        <v>5203</v>
      </c>
      <c r="W1021" s="259"/>
      <c r="X1021" s="224">
        <f>SUMIFS(операции!$Z:$Z,операции!$X:$X,"&gt;="&amp;X$8,операции!$X:$X,"&lt;="&amp;X$9,операции!$AB:$AB,"",операции!$O:$O,$F978)</f>
        <v>2021</v>
      </c>
      <c r="Y1021" s="216">
        <f>X1021-Z1021-AA1021</f>
        <v>0</v>
      </c>
      <c r="Z1021" s="224">
        <f>SUMIFS(операции!$Z:$Z,операции!$X:$X,"&gt;="&amp;X$8,операции!$X:$X,"&lt;="&amp;X$9,операции!$AB:$AB,"",операции!$L:$L,Z$9,операции!$O:$O,$F978)</f>
        <v>0</v>
      </c>
      <c r="AA1021" s="258">
        <f>SUMIFS(операции!$Z:$Z,операции!$X:$X,"&gt;="&amp;X$8,операции!$X:$X,"&lt;="&amp;X$9,операции!$AB:$AB,"",операции!$L:$L,AA$9,операции!$O:$O,$F978)</f>
        <v>2021</v>
      </c>
      <c r="AB1021" s="266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</row>
    <row r="1022" spans="1:42" s="192" customFormat="1" ht="11.25">
      <c r="A1022" s="37"/>
      <c r="B1022" s="37"/>
      <c r="C1022" s="37"/>
      <c r="D1022" s="191"/>
      <c r="E1022" s="191" t="s">
        <v>303</v>
      </c>
      <c r="F1022" s="191" t="str">
        <f t="shared" si="1718"/>
        <v>ИгрушкаФест</v>
      </c>
      <c r="G1022" s="191" t="s">
        <v>262</v>
      </c>
      <c r="H1022" s="315"/>
      <c r="I1022" s="316">
        <f>IF(I1021=0,0,SUMIFS(операции!$AG:$AG,операции!$X:$X,"&gt;="&amp;I$8,операции!$X:$X,"&lt;="&amp;I$9,операции!$AB:$AB,"",операции!$O:$O,$F978)/I1021)</f>
        <v>42323.986573576796</v>
      </c>
      <c r="J1022" s="317"/>
      <c r="K1022" s="316">
        <f>IF(K1021=0,0,SUMIFS(операции!$AG:$AG,операции!$X:$X,"&gt;="&amp;I$8,операции!$X:$X,"&lt;="&amp;I$9,операции!$AB:$AB,"",операции!$L:$L,K$9,операции!$O:$O,$F978)/K1021)</f>
        <v>42313.72674976031</v>
      </c>
      <c r="L1022" s="318">
        <f>IF(L1021=0,0,SUMIFS(операции!$AG:$AG,операции!$X:$X,"&gt;="&amp;I$8,операции!$X:$X,"&lt;="&amp;I$9,операции!$AB:$AB,"",операции!$L:$L,L$9,операции!$O:$O,$F978)/L1021)</f>
        <v>42326.94919712071</v>
      </c>
      <c r="M1022" s="274"/>
      <c r="N1022" s="193">
        <f>IF(N1021=0,0,SUMIFS(операции!$AG:$AG,операции!$X:$X,"&gt;="&amp;N$8,операции!$X:$X,"&lt;="&amp;N$9,операции!$AB:$AB,"",операции!$O:$O,$F978)/N1021)</f>
        <v>42299</v>
      </c>
      <c r="O1022" s="196"/>
      <c r="P1022" s="193">
        <f>IF(P1021=0,0,SUMIFS(операции!$AG:$AG,операции!$X:$X,"&gt;="&amp;N$8,операции!$X:$X,"&lt;="&amp;N$9,операции!$AB:$AB,"",операции!$L:$L,P$9,операции!$O:$O,$F978)/P1021)</f>
        <v>42299</v>
      </c>
      <c r="Q1022" s="237">
        <f>IF(Q1021=0,0,SUMIFS(операции!$AG:$AG,операции!$X:$X,"&gt;="&amp;N$8,операции!$X:$X,"&lt;="&amp;N$9,операции!$AB:$AB,"",операции!$L:$L,Q$9,операции!$O:$O,$F978)/Q1021)</f>
        <v>0</v>
      </c>
      <c r="R1022" s="238"/>
      <c r="S1022" s="193">
        <f>IF(S1021=0,0,SUMIFS(операции!$AG:$AG,операции!$X:$X,"&gt;="&amp;S$8,операции!$X:$X,"&lt;="&amp;S$9,операции!$AB:$AB,"",операции!$O:$O,$F978)/S1021)</f>
        <v>42321.477556686717</v>
      </c>
      <c r="T1022" s="196"/>
      <c r="U1022" s="193">
        <f>IF(U1021=0,0,SUMIFS(операции!$AG:$AG,операции!$X:$X,"&gt;="&amp;S$8,операции!$X:$X,"&lt;="&amp;S$9,операции!$AB:$AB,"",операции!$L:$L,U$9,операции!$O:$O,$F978)/U1021)</f>
        <v>42323</v>
      </c>
      <c r="V1022" s="237">
        <f>IF(V1021=0,0,SUMIFS(операции!$AG:$AG,операции!$X:$X,"&gt;="&amp;S$8,операции!$X:$X,"&lt;="&amp;S$9,операции!$AB:$AB,"",операции!$L:$L,V$9,операции!$O:$O,$F978)/V1021)</f>
        <v>42321.103017489906</v>
      </c>
      <c r="W1022" s="238"/>
      <c r="X1022" s="193">
        <f>IF(X1021=0,0,SUMIFS(операции!$AG:$AG,операции!$X:$X,"&gt;="&amp;X$8,операции!$X:$X,"&lt;="&amp;X$9,операции!$AB:$AB,"",операции!$O:$O,$F978)/X1021)</f>
        <v>42342</v>
      </c>
      <c r="Y1022" s="196"/>
      <c r="Z1022" s="193">
        <f>IF(Z1021=0,0,SUMIFS(операции!$AG:$AG,операции!$X:$X,"&gt;="&amp;X$8,операции!$X:$X,"&lt;="&amp;X$9,операции!$AB:$AB,"",операции!$L:$L,Z$9,операции!$O:$O,$F978)/Z1021)</f>
        <v>0</v>
      </c>
      <c r="AA1022" s="237">
        <f>IF(AA1021=0,0,SUMIFS(операции!$AG:$AG,операции!$X:$X,"&gt;="&amp;X$8,операции!$X:$X,"&lt;="&amp;X$9,операции!$AB:$AB,"",операции!$L:$L,AA$9,операции!$O:$O,$F978)/AA1021)</f>
        <v>42342</v>
      </c>
      <c r="AB1022" s="265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</row>
    <row r="1023" spans="1:42" s="5" customFormat="1">
      <c r="A1023" s="1"/>
      <c r="B1023" s="1"/>
      <c r="C1023" s="1"/>
      <c r="D1023" s="168"/>
      <c r="E1023" s="168" t="s">
        <v>304</v>
      </c>
      <c r="F1023" s="168" t="str">
        <f t="shared" si="1718"/>
        <v>ИгрушкаФест</v>
      </c>
      <c r="G1023" s="168" t="s">
        <v>261</v>
      </c>
      <c r="H1023" s="326"/>
      <c r="I1023" s="327">
        <f>SUMIFS(операции!$V:$V,операции!$X:$X,"&gt;="&amp;I$8,операции!$X:$X,"&lt;="&amp;I$9,операции!$AB:$AB,"",операции!$O:$O,$F978)</f>
        <v>7843.2</v>
      </c>
      <c r="J1023" s="313">
        <f>I1023-K1023-L1023</f>
        <v>0</v>
      </c>
      <c r="K1023" s="327">
        <f>SUMIFS(операции!$V:$V,операции!$X:$X,"&gt;="&amp;I$8,операции!$X:$X,"&lt;="&amp;I$9,операции!$AB:$AB,"",операции!$L:$L,K$9,операции!$O:$O,$F978)</f>
        <v>2209</v>
      </c>
      <c r="L1023" s="328">
        <f>SUMIFS(операции!$V:$V,операции!$X:$X,"&gt;="&amp;I$8,операции!$X:$X,"&lt;="&amp;I$9,операции!$AB:$AB,"",операции!$L:$L,L$9,операции!$O:$O,$F978)</f>
        <v>5634.2</v>
      </c>
      <c r="M1023" s="277"/>
      <c r="N1023" s="169">
        <f>SUMIFS(операции!$V:$V,операции!$X:$X,"&gt;="&amp;N$8,операции!$X:$X,"&lt;="&amp;N$9,операции!$AB:$AB,"",операции!$O:$O,$F978)</f>
        <v>1103</v>
      </c>
      <c r="O1023" s="170">
        <f>N1023-P1023-Q1023</f>
        <v>0</v>
      </c>
      <c r="P1023" s="169">
        <f>SUMIFS(операции!$V:$V,операции!$X:$X,"&gt;="&amp;N$8,операции!$X:$X,"&lt;="&amp;N$9,операции!$AB:$AB,"",операции!$L:$L,P$9,операции!$O:$O,$F978)</f>
        <v>1103</v>
      </c>
      <c r="Q1023" s="243">
        <f>SUMIFS(операции!$V:$V,операции!$X:$X,"&gt;="&amp;N$8,операции!$X:$X,"&lt;="&amp;N$9,операции!$AB:$AB,"",операции!$L:$L,Q$9,операции!$O:$O,$F978)</f>
        <v>0</v>
      </c>
      <c r="R1023" s="244"/>
      <c r="S1023" s="169">
        <f>SUMIFS(операции!$V:$V,операции!$X:$X,"&gt;="&amp;S$8,операции!$X:$X,"&lt;="&amp;S$9,операции!$AB:$AB,"",операции!$O:$O,$F978)</f>
        <v>5250.2</v>
      </c>
      <c r="T1023" s="170">
        <f>S1023-U1023-V1023</f>
        <v>0</v>
      </c>
      <c r="U1023" s="169">
        <f>SUMIFS(операции!$V:$V,операции!$X:$X,"&gt;="&amp;S$8,операции!$X:$X,"&lt;="&amp;S$9,операции!$AB:$AB,"",операции!$L:$L,U$9,операции!$O:$O,$F978)</f>
        <v>1106</v>
      </c>
      <c r="V1023" s="243">
        <f>SUMIFS(операции!$V:$V,операции!$X:$X,"&gt;="&amp;S$8,операции!$X:$X,"&lt;="&amp;S$9,операции!$AB:$AB,"",операции!$L:$L,V$9,операции!$O:$O,$F978)</f>
        <v>4144.2</v>
      </c>
      <c r="W1023" s="244"/>
      <c r="X1023" s="169">
        <f>SUMIFS(операции!$V:$V,операции!$X:$X,"&gt;="&amp;X$8,операции!$X:$X,"&lt;="&amp;X$9,операции!$AB:$AB,"",операции!$O:$O,$F978)</f>
        <v>1490</v>
      </c>
      <c r="Y1023" s="170">
        <f>X1023-Z1023-AA1023</f>
        <v>0</v>
      </c>
      <c r="Z1023" s="169">
        <f>SUMIFS(операции!$V:$V,операции!$X:$X,"&gt;="&amp;X$8,операции!$X:$X,"&lt;="&amp;X$9,операции!$AB:$AB,"",операции!$L:$L,Z$9,операции!$O:$O,$F978)</f>
        <v>0</v>
      </c>
      <c r="AA1023" s="243">
        <f>SUMIFS(операции!$V:$V,операции!$X:$X,"&gt;="&amp;X$8,операции!$X:$X,"&lt;="&amp;X$9,операции!$AB:$AB,"",операции!$L:$L,AA$9,операции!$O:$O,$F978)</f>
        <v>1490</v>
      </c>
      <c r="AB1023" s="266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</row>
    <row r="1024" spans="1:42" s="192" customFormat="1" ht="11.25">
      <c r="A1024" s="37"/>
      <c r="B1024" s="37"/>
      <c r="C1024" s="37"/>
      <c r="D1024" s="191"/>
      <c r="E1024" s="191" t="s">
        <v>305</v>
      </c>
      <c r="F1024" s="191" t="str">
        <f t="shared" si="1718"/>
        <v>ИгрушкаФест</v>
      </c>
      <c r="G1024" s="191" t="s">
        <v>262</v>
      </c>
      <c r="H1024" s="315"/>
      <c r="I1024" s="316">
        <f>IF(I1023=0,0,SUMIFS(операции!$AF:$AF,операции!$X:$X,"&gt;="&amp;I$8,операции!$X:$X,"&lt;="&amp;I$9,операции!$AB:$AB,"",операции!$O:$O,$F978)/I1023)</f>
        <v>42297.540060179519</v>
      </c>
      <c r="J1024" s="317"/>
      <c r="K1024" s="316">
        <f>IF(K1023=0,0,SUMIFS(операции!$AF:$AF,операции!$X:$X,"&gt;="&amp;I$8,операции!$X:$X,"&lt;="&amp;I$9,операции!$AB:$AB,"",операции!$L:$L,K$9,операции!$O:$O,$F978)/K1023)</f>
        <v>42233.005432322316</v>
      </c>
      <c r="L1024" s="318">
        <f>IF(L1023=0,0,SUMIFS(операции!$AF:$AF,операции!$X:$X,"&gt;="&amp;I$8,операции!$X:$X,"&lt;="&amp;I$9,операции!$AB:$AB,"",операции!$L:$L,L$9,операции!$O:$O,$F978)/L1023)</f>
        <v>42322.842142628942</v>
      </c>
      <c r="M1024" s="274"/>
      <c r="N1024" s="193">
        <f>IF(N1023=0,0,SUMIFS(операции!$AF:$AF,операции!$X:$X,"&gt;="&amp;N$8,операции!$X:$X,"&lt;="&amp;N$9,операции!$AB:$AB,"",операции!$O:$O,$F978)/N1023)</f>
        <v>42229</v>
      </c>
      <c r="O1024" s="196"/>
      <c r="P1024" s="193">
        <f>IF(P1023=0,0,SUMIFS(операции!$AF:$AF,операции!$X:$X,"&gt;="&amp;N$8,операции!$X:$X,"&lt;="&amp;N$9,операции!$AB:$AB,"",операции!$L:$L,P$9,операции!$O:$O,$F978)/P1023)</f>
        <v>42229</v>
      </c>
      <c r="Q1024" s="237">
        <f>IF(Q1023=0,0,SUMIFS(операции!$AF:$AF,операции!$X:$X,"&gt;="&amp;N$8,операции!$X:$X,"&lt;="&amp;N$9,операции!$AB:$AB,"",операции!$L:$L,Q$9,операции!$O:$O,$F978)/Q1023)</f>
        <v>0</v>
      </c>
      <c r="R1024" s="238"/>
      <c r="S1024" s="193">
        <f>IF(S1023=0,0,SUMIFS(операции!$AF:$AF,операции!$X:$X,"&gt;="&amp;S$8,операции!$X:$X,"&lt;="&amp;S$9,операции!$AB:$AB,"",операции!$O:$O,$F978)/S1023)</f>
        <v>42300.740771780125</v>
      </c>
      <c r="T1024" s="196"/>
      <c r="U1024" s="193">
        <f>IF(U1023=0,0,SUMIFS(операции!$AF:$AF,операции!$X:$X,"&gt;="&amp;S$8,операции!$X:$X,"&lt;="&amp;S$9,операции!$AB:$AB,"",операции!$L:$L,U$9,операции!$O:$O,$F978)/U1023)</f>
        <v>42237</v>
      </c>
      <c r="V1024" s="237">
        <f>IF(V1023=0,0,SUMIFS(операции!$AF:$AF,операции!$X:$X,"&gt;="&amp;S$8,операции!$X:$X,"&lt;="&amp;S$9,операции!$AB:$AB,"",операции!$L:$L,V$9,операции!$O:$O,$F978)/V1023)</f>
        <v>42317.751845953382</v>
      </c>
      <c r="W1024" s="238"/>
      <c r="X1024" s="193">
        <f>IF(X1023=0,0,SUMIFS(операции!$AF:$AF,операции!$X:$X,"&gt;="&amp;X$8,операции!$X:$X,"&lt;="&amp;X$9,операции!$AB:$AB,"",операции!$O:$O,$F978)/X1023)</f>
        <v>42337</v>
      </c>
      <c r="Y1024" s="196"/>
      <c r="Z1024" s="193">
        <f>IF(Z1023=0,0,SUMIFS(операции!$AF:$AF,операции!$X:$X,"&gt;="&amp;X$8,операции!$X:$X,"&lt;="&amp;X$9,операции!$AB:$AB,"",операции!$L:$L,Z$9,операции!$O:$O,$F978)/Z1023)</f>
        <v>0</v>
      </c>
      <c r="AA1024" s="237">
        <f>IF(AA1023=0,0,SUMIFS(операции!$AF:$AF,операции!$X:$X,"&gt;="&amp;X$8,операции!$X:$X,"&lt;="&amp;X$9,операции!$AB:$AB,"",операции!$L:$L,AA$9,операции!$O:$O,$F978)/AA1023)</f>
        <v>42337</v>
      </c>
      <c r="AB1024" s="265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</row>
    <row r="1025" spans="1:42" s="192" customFormat="1" ht="11.25">
      <c r="A1025" s="37"/>
      <c r="B1025" s="37"/>
      <c r="C1025" s="37"/>
      <c r="D1025" s="191"/>
      <c r="E1025" s="191" t="s">
        <v>307</v>
      </c>
      <c r="F1025" s="191" t="str">
        <f t="shared" si="1718"/>
        <v>ИгрушкаФест</v>
      </c>
      <c r="G1025" s="191" t="s">
        <v>262</v>
      </c>
      <c r="H1025" s="315"/>
      <c r="I1025" s="316">
        <f>I$9</f>
        <v>42369</v>
      </c>
      <c r="J1025" s="317"/>
      <c r="K1025" s="316">
        <f>I$9</f>
        <v>42369</v>
      </c>
      <c r="L1025" s="318">
        <f>I$9</f>
        <v>42369</v>
      </c>
      <c r="M1025" s="274"/>
      <c r="N1025" s="193">
        <f>N$9</f>
        <v>42308</v>
      </c>
      <c r="O1025" s="196"/>
      <c r="P1025" s="193">
        <f>N$9</f>
        <v>42308</v>
      </c>
      <c r="Q1025" s="237">
        <f>N$9</f>
        <v>42308</v>
      </c>
      <c r="R1025" s="238"/>
      <c r="S1025" s="193">
        <f>S$9</f>
        <v>42338</v>
      </c>
      <c r="T1025" s="196"/>
      <c r="U1025" s="193">
        <f>S$9</f>
        <v>42338</v>
      </c>
      <c r="V1025" s="237">
        <f>S$9</f>
        <v>42338</v>
      </c>
      <c r="W1025" s="238"/>
      <c r="X1025" s="193">
        <f>X$9</f>
        <v>42369</v>
      </c>
      <c r="Y1025" s="196"/>
      <c r="Z1025" s="193">
        <f>X$9</f>
        <v>42369</v>
      </c>
      <c r="AA1025" s="237">
        <f>X$9</f>
        <v>42369</v>
      </c>
      <c r="AB1025" s="265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</row>
    <row r="1026" spans="1:42" s="5" customFormat="1">
      <c r="A1026" s="1"/>
      <c r="B1026" s="1"/>
      <c r="C1026" s="1"/>
      <c r="D1026" s="168"/>
      <c r="E1026" s="168" t="s">
        <v>380</v>
      </c>
      <c r="F1026" s="168" t="str">
        <f t="shared" si="1718"/>
        <v>ИгрушкаФест</v>
      </c>
      <c r="G1026" s="168" t="s">
        <v>261</v>
      </c>
      <c r="H1026" s="326"/>
      <c r="I1026" s="327">
        <f>I1021-I1023</f>
        <v>1466.8000000000002</v>
      </c>
      <c r="J1026" s="313">
        <f>I1026-K1026-L1026</f>
        <v>0</v>
      </c>
      <c r="K1026" s="327">
        <f t="shared" ref="K1026:L1026" si="1823">K1021-K1023</f>
        <v>-123</v>
      </c>
      <c r="L1026" s="328">
        <f t="shared" si="1823"/>
        <v>1589.8000000000002</v>
      </c>
      <c r="M1026" s="277"/>
      <c r="N1026" s="169">
        <f>N1021-N1023</f>
        <v>-297</v>
      </c>
      <c r="O1026" s="170">
        <f>N1026-P1026-Q1026</f>
        <v>0</v>
      </c>
      <c r="P1026" s="169">
        <f t="shared" ref="P1026:Q1026" si="1824">P1021-P1023</f>
        <v>-297</v>
      </c>
      <c r="Q1026" s="243">
        <f t="shared" si="1824"/>
        <v>0</v>
      </c>
      <c r="R1026" s="244"/>
      <c r="S1026" s="169">
        <f>S1021-S1023</f>
        <v>1232.8000000000002</v>
      </c>
      <c r="T1026" s="170">
        <f>S1026-U1026-V1026</f>
        <v>0</v>
      </c>
      <c r="U1026" s="169">
        <f t="shared" ref="U1026:V1026" si="1825">U1021-U1023</f>
        <v>174</v>
      </c>
      <c r="V1026" s="243">
        <f t="shared" si="1825"/>
        <v>1058.8000000000002</v>
      </c>
      <c r="W1026" s="244"/>
      <c r="X1026" s="169">
        <f>X1021-X1023</f>
        <v>531</v>
      </c>
      <c r="Y1026" s="170">
        <f>X1026-Z1026-AA1026</f>
        <v>0</v>
      </c>
      <c r="Z1026" s="169">
        <f t="shared" ref="Z1026:AA1026" si="1826">Z1021-Z1023</f>
        <v>0</v>
      </c>
      <c r="AA1026" s="243">
        <f t="shared" si="1826"/>
        <v>531</v>
      </c>
      <c r="AB1026" s="266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</row>
    <row r="1027" spans="1:42" s="211" customFormat="1">
      <c r="A1027" s="210"/>
      <c r="B1027" s="210"/>
      <c r="C1027" s="210"/>
      <c r="D1027" s="218"/>
      <c r="E1027" s="218" t="s">
        <v>381</v>
      </c>
      <c r="F1027" s="218" t="str">
        <f t="shared" si="1718"/>
        <v>ИгрушкаФест</v>
      </c>
      <c r="G1027" s="218" t="s">
        <v>218</v>
      </c>
      <c r="H1027" s="343"/>
      <c r="I1027" s="344">
        <f>IF(I1021=0,0,(I1026/I1021))</f>
        <v>0.15755102040816329</v>
      </c>
      <c r="J1027" s="345"/>
      <c r="K1027" s="344">
        <f t="shared" ref="K1027" si="1827">IF(K1021=0,0,(K1026/K1021))</f>
        <v>-5.896452540747843E-2</v>
      </c>
      <c r="L1027" s="346">
        <f t="shared" ref="L1027" si="1828">IF(L1021=0,0,(L1026/L1021))</f>
        <v>0.22007198228128463</v>
      </c>
      <c r="M1027" s="280"/>
      <c r="N1027" s="219">
        <f>IF(N1021=0,0,(N1026/N1021))</f>
        <v>-0.36848635235732008</v>
      </c>
      <c r="O1027" s="220"/>
      <c r="P1027" s="219">
        <f t="shared" ref="P1027" si="1829">IF(P1021=0,0,(P1026/P1021))</f>
        <v>-0.36848635235732008</v>
      </c>
      <c r="Q1027" s="252">
        <f t="shared" ref="Q1027" si="1830">IF(Q1021=0,0,(Q1026/Q1021))</f>
        <v>0</v>
      </c>
      <c r="R1027" s="253"/>
      <c r="S1027" s="219">
        <f>IF(S1021=0,0,(S1026/S1021))</f>
        <v>0.19015887706308809</v>
      </c>
      <c r="T1027" s="220"/>
      <c r="U1027" s="219">
        <f t="shared" ref="U1027" si="1831">IF(U1021=0,0,(U1026/U1021))</f>
        <v>0.13593749999999999</v>
      </c>
      <c r="V1027" s="252">
        <f t="shared" ref="V1027" si="1832">IF(V1021=0,0,(V1026/V1021))</f>
        <v>0.20349798193349994</v>
      </c>
      <c r="W1027" s="253"/>
      <c r="X1027" s="219">
        <f>IF(X1021=0,0,(X1026/X1021))</f>
        <v>0.26274121721919841</v>
      </c>
      <c r="Y1027" s="220"/>
      <c r="Z1027" s="219">
        <f t="shared" ref="Z1027" si="1833">IF(Z1021=0,0,(Z1026/Z1021))</f>
        <v>0</v>
      </c>
      <c r="AA1027" s="252">
        <f t="shared" ref="AA1027" si="1834">IF(AA1021=0,0,(AA1026/AA1021))</f>
        <v>0.26274121721919841</v>
      </c>
      <c r="AB1027" s="267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</row>
    <row r="1028" spans="1:42" s="5" customFormat="1">
      <c r="A1028" s="1"/>
      <c r="B1028" s="1"/>
      <c r="C1028" s="1"/>
      <c r="D1028" s="227"/>
      <c r="E1028" s="227" t="s">
        <v>306</v>
      </c>
      <c r="F1028" s="227" t="str">
        <f t="shared" si="1718"/>
        <v>ИгрушкаФест</v>
      </c>
      <c r="G1028" s="227" t="s">
        <v>219</v>
      </c>
      <c r="H1028" s="347"/>
      <c r="I1028" s="348">
        <f>I1022-I1024</f>
        <v>26.446513397277158</v>
      </c>
      <c r="J1028" s="321"/>
      <c r="K1028" s="348">
        <f t="shared" ref="K1028:L1028" si="1835">K1022-K1024</f>
        <v>80.721317437994003</v>
      </c>
      <c r="L1028" s="349">
        <f t="shared" si="1835"/>
        <v>4.1070544917674852</v>
      </c>
      <c r="M1028" s="281"/>
      <c r="N1028" s="228">
        <f>N1022-N1024</f>
        <v>70</v>
      </c>
      <c r="O1028" s="173"/>
      <c r="P1028" s="228">
        <f t="shared" ref="P1028:Q1028" si="1836">P1022-P1024</f>
        <v>70</v>
      </c>
      <c r="Q1028" s="254">
        <f t="shared" si="1836"/>
        <v>0</v>
      </c>
      <c r="R1028" s="255"/>
      <c r="S1028" s="228">
        <f>S1022-S1024</f>
        <v>20.73678490659222</v>
      </c>
      <c r="T1028" s="173"/>
      <c r="U1028" s="228">
        <f t="shared" ref="U1028:V1028" si="1837">U1022-U1024</f>
        <v>86</v>
      </c>
      <c r="V1028" s="254">
        <f t="shared" si="1837"/>
        <v>3.351171536523907</v>
      </c>
      <c r="W1028" s="255"/>
      <c r="X1028" s="228">
        <f>X1022-X1024</f>
        <v>5</v>
      </c>
      <c r="Y1028" s="173"/>
      <c r="Z1028" s="228">
        <f t="shared" ref="Z1028:AA1028" si="1838">Z1022-Z1024</f>
        <v>0</v>
      </c>
      <c r="AA1028" s="254">
        <f t="shared" si="1838"/>
        <v>5</v>
      </c>
      <c r="AB1028" s="266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</row>
    <row r="1029" spans="1:42" s="5" customFormat="1">
      <c r="A1029" s="1"/>
      <c r="B1029" s="1"/>
      <c r="C1029" s="1"/>
      <c r="D1029" s="227"/>
      <c r="E1029" s="227" t="s">
        <v>382</v>
      </c>
      <c r="F1029" s="227" t="str">
        <f t="shared" si="1718"/>
        <v>ИгрушкаФест</v>
      </c>
      <c r="G1029" s="227" t="s">
        <v>219</v>
      </c>
      <c r="H1029" s="347"/>
      <c r="I1029" s="348">
        <f>I1025-I1024</f>
        <v>71.45993982048094</v>
      </c>
      <c r="J1029" s="321"/>
      <c r="K1029" s="348">
        <f t="shared" ref="K1029:L1029" si="1839">K1025-K1024</f>
        <v>135.99456767768424</v>
      </c>
      <c r="L1029" s="349">
        <f t="shared" si="1839"/>
        <v>46.157857371057617</v>
      </c>
      <c r="M1029" s="281"/>
      <c r="N1029" s="228">
        <f>N1025-N1024</f>
        <v>79</v>
      </c>
      <c r="O1029" s="173"/>
      <c r="P1029" s="228">
        <f t="shared" ref="P1029:Q1029" si="1840">P1025-P1024</f>
        <v>79</v>
      </c>
      <c r="Q1029" s="254">
        <f t="shared" si="1840"/>
        <v>42308</v>
      </c>
      <c r="R1029" s="255"/>
      <c r="S1029" s="228">
        <f>S1025-S1024</f>
        <v>37.259228219874785</v>
      </c>
      <c r="T1029" s="173"/>
      <c r="U1029" s="228">
        <f t="shared" ref="U1029:V1029" si="1841">U1025-U1024</f>
        <v>101</v>
      </c>
      <c r="V1029" s="254">
        <f t="shared" si="1841"/>
        <v>20.248154046617856</v>
      </c>
      <c r="W1029" s="255"/>
      <c r="X1029" s="228">
        <f>X1025-X1024</f>
        <v>32</v>
      </c>
      <c r="Y1029" s="173"/>
      <c r="Z1029" s="228">
        <f t="shared" ref="Z1029:AA1029" si="1842">Z1025-Z1024</f>
        <v>42369</v>
      </c>
      <c r="AA1029" s="254">
        <f t="shared" si="1842"/>
        <v>32</v>
      </c>
      <c r="AB1029" s="266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</row>
    <row r="1030" spans="1:42" s="5" customFormat="1">
      <c r="A1030" s="1"/>
      <c r="B1030" s="1"/>
      <c r="C1030" s="1"/>
      <c r="D1030" s="225"/>
      <c r="E1030" s="225" t="s">
        <v>383</v>
      </c>
      <c r="F1030" s="225" t="str">
        <f t="shared" si="1718"/>
        <v>ИгрушкаФест</v>
      </c>
      <c r="G1030" s="225" t="s">
        <v>219</v>
      </c>
      <c r="H1030" s="350"/>
      <c r="I1030" s="351">
        <f>I1028-I1029</f>
        <v>-45.013426423203782</v>
      </c>
      <c r="J1030" s="352"/>
      <c r="K1030" s="351">
        <f t="shared" ref="K1030" si="1843">K1028-K1029</f>
        <v>-55.273250239690242</v>
      </c>
      <c r="L1030" s="353">
        <f t="shared" ref="L1030" si="1844">L1028-L1029</f>
        <v>-42.050802879290131</v>
      </c>
      <c r="M1030" s="282"/>
      <c r="N1030" s="226">
        <f>N1028-N1029</f>
        <v>-9</v>
      </c>
      <c r="O1030" s="181"/>
      <c r="P1030" s="226">
        <f t="shared" ref="P1030" si="1845">P1028-P1029</f>
        <v>-9</v>
      </c>
      <c r="Q1030" s="256">
        <f t="shared" ref="Q1030" si="1846">Q1028-Q1029</f>
        <v>-42308</v>
      </c>
      <c r="R1030" s="257"/>
      <c r="S1030" s="226">
        <f>S1028-S1029</f>
        <v>-16.522443313282565</v>
      </c>
      <c r="T1030" s="181"/>
      <c r="U1030" s="226">
        <f t="shared" ref="U1030" si="1847">U1028-U1029</f>
        <v>-15</v>
      </c>
      <c r="V1030" s="256">
        <f t="shared" ref="V1030" si="1848">V1028-V1029</f>
        <v>-16.896982510093949</v>
      </c>
      <c r="W1030" s="257"/>
      <c r="X1030" s="226">
        <f>X1028-X1029</f>
        <v>-27</v>
      </c>
      <c r="Y1030" s="181"/>
      <c r="Z1030" s="226">
        <f t="shared" ref="Z1030" si="1849">Z1028-Z1029</f>
        <v>-42369</v>
      </c>
      <c r="AA1030" s="256">
        <f t="shared" ref="AA1030" si="1850">AA1028-AA1029</f>
        <v>-27</v>
      </c>
      <c r="AB1030" s="266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</row>
    <row r="1031" spans="1:42" s="5" customFormat="1">
      <c r="A1031" s="1"/>
      <c r="B1031" s="1"/>
      <c r="C1031" s="1"/>
      <c r="D1031" s="168" t="s">
        <v>312</v>
      </c>
      <c r="E1031" s="168"/>
      <c r="F1031" s="168" t="str">
        <f t="shared" si="1718"/>
        <v>ИгрушкаФест</v>
      </c>
      <c r="G1031" s="168" t="s">
        <v>261</v>
      </c>
      <c r="H1031" s="326"/>
      <c r="I1031" s="327">
        <f>SUMIFS(операции!$AC:$AC,операции!$AB:$AB,"&gt;="&amp;I$8,операции!$AB:$AB,"&lt;="&amp;I$9,операции!$O:$O,$F978)</f>
        <v>21373</v>
      </c>
      <c r="J1031" s="313">
        <f>I1031-K1031-L1031</f>
        <v>0</v>
      </c>
      <c r="K1031" s="327">
        <f>SUMIFS(операции!$AC:$AC,операции!$AB:$AB,"&gt;="&amp;I$8,операции!$AB:$AB,"&lt;="&amp;I$9,операции!$L:$L,K$9,операции!$O:$O,$F978)</f>
        <v>1016</v>
      </c>
      <c r="L1031" s="328">
        <f>SUMIFS(операции!$AC:$AC,операции!$AB:$AB,"&gt;="&amp;I$8,операции!$AB:$AB,"&lt;="&amp;I$9,операции!$L:$L,L$9,операции!$O:$O,$F978)</f>
        <v>20357</v>
      </c>
      <c r="M1031" s="277"/>
      <c r="N1031" s="169">
        <f>SUMIFS(операции!$AC:$AC,операции!$AB:$AB,"&gt;="&amp;N$8,операции!$AB:$AB,"&lt;="&amp;N$9,операции!$O:$O,$F978)</f>
        <v>1016</v>
      </c>
      <c r="O1031" s="170">
        <f>N1031-P1031-Q1031</f>
        <v>0</v>
      </c>
      <c r="P1031" s="169">
        <f>SUMIFS(операции!$AC:$AC,операции!$AB:$AB,"&gt;="&amp;N$8,операции!$AB:$AB,"&lt;="&amp;N$9,операции!$L:$L,P$9,операции!$O:$O,$F978)</f>
        <v>1016</v>
      </c>
      <c r="Q1031" s="243">
        <f>SUMIFS(операции!$AC:$AC,операции!$AB:$AB,"&gt;="&amp;N$8,операции!$AB:$AB,"&lt;="&amp;N$9,операции!$L:$L,Q$9,операции!$O:$O,$F978)</f>
        <v>0</v>
      </c>
      <c r="R1031" s="244"/>
      <c r="S1031" s="169">
        <f>SUMIFS(операции!$AC:$AC,операции!$AB:$AB,"&gt;="&amp;S$8,операции!$AB:$AB,"&lt;="&amp;S$9,операции!$O:$O,$F978)</f>
        <v>10471</v>
      </c>
      <c r="T1031" s="170">
        <f>S1031-U1031-V1031</f>
        <v>0</v>
      </c>
      <c r="U1031" s="169">
        <f>SUMIFS(операции!$AC:$AC,операции!$AB:$AB,"&gt;="&amp;S$8,операции!$AB:$AB,"&lt;="&amp;S$9,операции!$L:$L,U$9,операции!$O:$O,$F978)</f>
        <v>0</v>
      </c>
      <c r="V1031" s="243">
        <f>SUMIFS(операции!$AC:$AC,операции!$AB:$AB,"&gt;="&amp;S$8,операции!$AB:$AB,"&lt;="&amp;S$9,операции!$L:$L,V$9,операции!$O:$O,$F978)</f>
        <v>10471</v>
      </c>
      <c r="W1031" s="244"/>
      <c r="X1031" s="169">
        <f>SUMIFS(операции!$AC:$AC,операции!$AB:$AB,"&gt;="&amp;X$8,операции!$AB:$AB,"&lt;="&amp;X$9,операции!$O:$O,$F978)</f>
        <v>9886</v>
      </c>
      <c r="Y1031" s="170">
        <f>X1031-Z1031-AA1031</f>
        <v>0</v>
      </c>
      <c r="Z1031" s="169">
        <f>SUMIFS(операции!$AC:$AC,операции!$AB:$AB,"&gt;="&amp;X$8,операции!$AB:$AB,"&lt;="&amp;X$9,операции!$L:$L,Z$9,операции!$O:$O,$F978)</f>
        <v>0</v>
      </c>
      <c r="AA1031" s="243">
        <f>SUMIFS(операции!$AC:$AC,операции!$AB:$AB,"&gt;="&amp;X$8,операции!$AB:$AB,"&lt;="&amp;X$9,операции!$L:$L,AA$9,операции!$O:$O,$F978)</f>
        <v>9886</v>
      </c>
      <c r="AB1031" s="266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</row>
    <row r="1032" spans="1:42" s="192" customFormat="1" ht="11.25">
      <c r="A1032" s="37"/>
      <c r="B1032" s="37"/>
      <c r="C1032" s="37"/>
      <c r="D1032" s="207" t="s">
        <v>255</v>
      </c>
      <c r="E1032" s="207"/>
      <c r="F1032" s="207" t="str">
        <f t="shared" si="1718"/>
        <v>ИгрушкаФест</v>
      </c>
      <c r="G1032" s="207" t="s">
        <v>262</v>
      </c>
      <c r="H1032" s="331"/>
      <c r="I1032" s="337">
        <f>IF(I1031=0,0,SUMIFS(операции!$AH:$AH,операции!$AB:$AB,"&gt;="&amp;I$8,операции!$AB:$AB,"&lt;="&amp;I$9,операции!$O:$O,$F978)/I1031)</f>
        <v>42338.313058531792</v>
      </c>
      <c r="J1032" s="333"/>
      <c r="K1032" s="337">
        <f>IF(K1031=0,0,SUMIFS(операции!$AH:$AH,операции!$AB:$AB,"&gt;="&amp;I$8,операции!$AB:$AB,"&lt;="&amp;I$9,операции!$L:$L,K$9,операции!$O:$O,$F978)/K1031)</f>
        <v>42280</v>
      </c>
      <c r="L1032" s="338">
        <f>IF(L1031=0,0,SUMIFS(операции!$AH:$AH,операции!$AB:$AB,"&gt;="&amp;I$8,операции!$AB:$AB,"&lt;="&amp;I$9,операции!$L:$L,L$9,операции!$O:$O,$F978)/L1031)</f>
        <v>42341.223412094121</v>
      </c>
      <c r="M1032" s="278"/>
      <c r="N1032" s="217">
        <f>IF(N1031=0,0,SUMIFS(операции!$AH:$AH,операции!$AB:$AB,"&gt;="&amp;N$8,операции!$AB:$AB,"&lt;="&amp;N$9,операции!$O:$O,$F978)/N1031)</f>
        <v>42280</v>
      </c>
      <c r="O1032" s="208"/>
      <c r="P1032" s="217">
        <f>IF(P1031=0,0,SUMIFS(операции!$AH:$AH,операции!$AB:$AB,"&gt;="&amp;N$8,операции!$AB:$AB,"&lt;="&amp;N$9,операции!$L:$L,P$9,операции!$O:$O,$F978)/P1031)</f>
        <v>42280</v>
      </c>
      <c r="Q1032" s="249">
        <f>IF(Q1031=0,0,SUMIFS(операции!$AH:$AH,операции!$AB:$AB,"&gt;="&amp;N$8,операции!$AB:$AB,"&lt;="&amp;N$9,операции!$L:$L,Q$9,операции!$O:$O,$F978)/Q1031)</f>
        <v>0</v>
      </c>
      <c r="R1032" s="247"/>
      <c r="S1032" s="217">
        <f>IF(S1031=0,0,SUMIFS(операции!$AH:$AH,операции!$AB:$AB,"&gt;="&amp;S$8,операции!$AB:$AB,"&lt;="&amp;S$9,операции!$O:$O,$F978)/S1031)</f>
        <v>42328.114029223572</v>
      </c>
      <c r="T1032" s="208"/>
      <c r="U1032" s="217">
        <f>IF(U1031=0,0,SUMIFS(операции!$AH:$AH,операции!$AB:$AB,"&gt;="&amp;S$8,операции!$AB:$AB,"&lt;="&amp;S$9,операции!$L:$L,U$9,операции!$O:$O,$F978)/U1031)</f>
        <v>0</v>
      </c>
      <c r="V1032" s="249">
        <f>IF(V1031=0,0,SUMIFS(операции!$AH:$AH,операции!$AB:$AB,"&gt;="&amp;S$8,операции!$AB:$AB,"&lt;="&amp;S$9,операции!$L:$L,V$9,операции!$O:$O,$F978)/V1031)</f>
        <v>42328.114029223572</v>
      </c>
      <c r="W1032" s="247"/>
      <c r="X1032" s="217">
        <f>IF(X1031=0,0,SUMIFS(операции!$AH:$AH,операции!$AB:$AB,"&gt;="&amp;X$8,операции!$AB:$AB,"&lt;="&amp;X$9,операции!$O:$O,$F978)/X1031)</f>
        <v>42355.108537325512</v>
      </c>
      <c r="Y1032" s="208"/>
      <c r="Z1032" s="217">
        <f>IF(Z1031=0,0,SUMIFS(операции!$AH:$AH,операции!$AB:$AB,"&gt;="&amp;X$8,операции!$AB:$AB,"&lt;="&amp;X$9,операции!$L:$L,Z$9,операции!$O:$O,$F978)/Z1031)</f>
        <v>0</v>
      </c>
      <c r="AA1032" s="249">
        <f>IF(AA1031=0,0,SUMIFS(операции!$AH:$AH,операции!$AB:$AB,"&gt;="&amp;X$8,операции!$AB:$AB,"&lt;="&amp;X$9,операции!$L:$L,AA$9,операции!$O:$O,$F978)/AA1031)</f>
        <v>42355.108537325512</v>
      </c>
      <c r="AB1032" s="265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</row>
    <row r="1033" spans="1:42" s="111" customFormat="1" ht="11.25">
      <c r="A1033" s="108"/>
      <c r="B1033" s="108"/>
      <c r="C1033" s="209" t="s">
        <v>279</v>
      </c>
      <c r="D1033" s="109"/>
      <c r="E1033" s="109"/>
      <c r="F1033" s="109" t="str">
        <f t="shared" si="1718"/>
        <v>ИгрушкаФест</v>
      </c>
      <c r="G1033" s="109"/>
      <c r="H1033" s="307"/>
      <c r="I1033" s="308">
        <f>I1034-K1034-L1034+K1033+L1033</f>
        <v>0</v>
      </c>
      <c r="J1033" s="309">
        <f>I978+I996-I1003-I1034</f>
        <v>0</v>
      </c>
      <c r="K1033" s="308">
        <f>K978+K996-K1003-K1034</f>
        <v>0</v>
      </c>
      <c r="L1033" s="336">
        <f>L978+L996-L1003-L1034</f>
        <v>0</v>
      </c>
      <c r="M1033" s="272"/>
      <c r="N1033" s="110">
        <f>N1034-P1034-Q1034</f>
        <v>0</v>
      </c>
      <c r="O1033" s="215">
        <f>N978+N996-N1003-N1034</f>
        <v>0</v>
      </c>
      <c r="P1033" s="110">
        <f>P978+P996-P1003-P1034</f>
        <v>0</v>
      </c>
      <c r="Q1033" s="248">
        <f>Q978+Q996-Q1003-Q1034</f>
        <v>0</v>
      </c>
      <c r="R1033" s="234"/>
      <c r="S1033" s="110">
        <f>S1034-U1034-V1034</f>
        <v>0</v>
      </c>
      <c r="T1033" s="215">
        <f>S978+S996-S1003-S1034</f>
        <v>0</v>
      </c>
      <c r="U1033" s="110">
        <f>U978+U996-U1003-U1034</f>
        <v>0</v>
      </c>
      <c r="V1033" s="248">
        <f>V978+V996-V1003-V1034</f>
        <v>0</v>
      </c>
      <c r="W1033" s="234"/>
      <c r="X1033" s="110">
        <f>X1034-Z1034-AA1034</f>
        <v>0</v>
      </c>
      <c r="Y1033" s="215">
        <f>X978+X996-X1003-X1034</f>
        <v>0</v>
      </c>
      <c r="Z1033" s="110">
        <f>Z978+Z996-Z1003-Z1034</f>
        <v>0</v>
      </c>
      <c r="AA1033" s="248">
        <f>AA978+AA996-AA1003-AA1034</f>
        <v>0</v>
      </c>
      <c r="AB1033" s="263"/>
      <c r="AC1033" s="108"/>
      <c r="AD1033" s="108"/>
      <c r="AE1033" s="108"/>
      <c r="AF1033" s="108"/>
      <c r="AG1033" s="108"/>
      <c r="AH1033" s="108"/>
      <c r="AI1033" s="108"/>
      <c r="AJ1033" s="108"/>
      <c r="AK1033" s="108"/>
      <c r="AL1033" s="108"/>
      <c r="AM1033" s="108"/>
      <c r="AN1033" s="108"/>
      <c r="AO1033" s="108"/>
      <c r="AP1033" s="108"/>
    </row>
    <row r="1034" spans="1:42" s="93" customFormat="1" ht="15">
      <c r="A1034" s="92"/>
      <c r="B1034" s="92"/>
      <c r="C1034" s="214"/>
      <c r="D1034" s="151" t="s">
        <v>238</v>
      </c>
      <c r="E1034" s="151"/>
      <c r="F1034" s="151" t="str">
        <f t="shared" si="1718"/>
        <v>ИгрушкаФест</v>
      </c>
      <c r="G1034" s="151" t="s">
        <v>261</v>
      </c>
      <c r="H1034" s="311"/>
      <c r="I1034" s="312">
        <f>SUMIFS(операции!$V:$V,операции!$T:$T,"&lt;="&amp;I$9,операции!$X:$X,"",операции!$O:$O,$F978)+SUMIFS(операции!$V:$V,операции!$T:$T,"&lt;="&amp;I$9,операции!$X:$X,"&gt;"&amp;I$9,операции!$O:$O,$F978)</f>
        <v>5079</v>
      </c>
      <c r="J1034" s="313">
        <f>I1034-I1039-I1045</f>
        <v>0</v>
      </c>
      <c r="K1034" s="312">
        <f>SUMIFS(операции!$V:$V,операции!$T:$T,"&lt;="&amp;I$9,операции!$X:$X,"",операции!$L:$L,K$9,операции!$O:$O,$F978)+SUMIFS(операции!$V:$V,операции!$T:$T,"&lt;="&amp;I$9,операции!$X:$X,"&gt;"&amp;I$9,операции!$L:$L,K$9,операции!$O:$O,$F978)</f>
        <v>3959</v>
      </c>
      <c r="L1034" s="314">
        <f>SUMIFS(операции!$V:$V,операции!$T:$T,"&lt;="&amp;I$9,операции!$X:$X,"",операции!$L:$L,L$9,операции!$O:$O,$F978)+SUMIFS(операции!$V:$V,операции!$T:$T,"&lt;="&amp;I$9,операции!$X:$X,"&gt;"&amp;I$9,операции!$L:$L,L$9,операции!$O:$O,$F978)</f>
        <v>1120</v>
      </c>
      <c r="M1034" s="273"/>
      <c r="N1034" s="152">
        <f>SUMIFS(операции!$V:$V,операции!$T:$T,"&lt;="&amp;N$9,операции!$X:$X,"",операции!$O:$O,$F978)+SUMIFS(операции!$V:$V,операции!$T:$T,"&lt;="&amp;N$9,операции!$X:$X,"&gt;"&amp;N$9,операции!$O:$O,$F978)</f>
        <v>10077</v>
      </c>
      <c r="O1034" s="170">
        <f>N1034-N1039-N1045</f>
        <v>0</v>
      </c>
      <c r="P1034" s="152">
        <f>SUMIFS(операции!$V:$V,операции!$T:$T,"&lt;="&amp;N$9,операции!$X:$X,"",операции!$L:$L,P$9,операции!$O:$O,$F978)+SUMIFS(операции!$V:$V,операции!$T:$T,"&lt;="&amp;N$9,операции!$X:$X,"&gt;"&amp;N$9,операции!$L:$L,P$9,операции!$O:$O,$F978)</f>
        <v>6081</v>
      </c>
      <c r="Q1034" s="235">
        <f>SUMIFS(операции!$V:$V,операции!$T:$T,"&lt;="&amp;N$9,операции!$X:$X,"",операции!$L:$L,Q$9,операции!$O:$O,$F978)+SUMIFS(операции!$V:$V,операции!$T:$T,"&lt;="&amp;N$9,операции!$X:$X,"&gt;"&amp;N$9,операции!$L:$L,Q$9,операции!$O:$O,$F978)</f>
        <v>3996</v>
      </c>
      <c r="R1034" s="236"/>
      <c r="S1034" s="152">
        <f>SUMIFS(операции!$V:$V,операции!$T:$T,"&lt;="&amp;S$9,операции!$X:$X,"",операции!$O:$O,$F978)+SUMIFS(операции!$V:$V,операции!$T:$T,"&lt;="&amp;S$9,операции!$X:$X,"&gt;"&amp;S$9,операции!$O:$O,$F978)</f>
        <v>7620</v>
      </c>
      <c r="T1034" s="170">
        <f>S1034-S1039-S1045</f>
        <v>0</v>
      </c>
      <c r="U1034" s="152">
        <f>SUMIFS(операции!$V:$V,операции!$T:$T,"&lt;="&amp;S$9,операции!$X:$X,"",операции!$L:$L,U$9,операции!$O:$O,$F978)+SUMIFS(операции!$V:$V,операции!$T:$T,"&lt;="&amp;S$9,операции!$X:$X,"&gt;"&amp;S$9,операции!$L:$L,U$9,операции!$O:$O,$F978)</f>
        <v>4975</v>
      </c>
      <c r="V1034" s="235">
        <f>SUMIFS(операции!$V:$V,операции!$T:$T,"&lt;="&amp;S$9,операции!$X:$X,"",операции!$L:$L,V$9,операции!$O:$O,$F978)+SUMIFS(операции!$V:$V,операции!$T:$T,"&lt;="&amp;S$9,операции!$X:$X,"&gt;"&amp;S$9,операции!$L:$L,V$9,операции!$O:$O,$F978)</f>
        <v>2645</v>
      </c>
      <c r="W1034" s="236"/>
      <c r="X1034" s="152">
        <f>SUMIFS(операции!$V:$V,операции!$T:$T,"&lt;="&amp;X$9,операции!$X:$X,"",операции!$O:$O,$F978)+SUMIFS(операции!$V:$V,операции!$T:$T,"&lt;="&amp;X$9,операции!$X:$X,"&gt;"&amp;X$9,операции!$O:$O,$F978)</f>
        <v>5079</v>
      </c>
      <c r="Y1034" s="170">
        <f>X1034-X1039-X1045</f>
        <v>0</v>
      </c>
      <c r="Z1034" s="152">
        <f>SUMIFS(операции!$V:$V,операции!$T:$T,"&lt;="&amp;X$9,операции!$X:$X,"",операции!$L:$L,Z$9,операции!$O:$O,$F978)+SUMIFS(операции!$V:$V,операции!$T:$T,"&lt;="&amp;X$9,операции!$X:$X,"&gt;"&amp;X$9,операции!$L:$L,Z$9,операции!$O:$O,$F978)</f>
        <v>3959</v>
      </c>
      <c r="AA1034" s="235">
        <f>SUMIFS(операции!$V:$V,операции!$T:$T,"&lt;="&amp;X$9,операции!$X:$X,"",операции!$L:$L,AA$9,операции!$O:$O,$F978)+SUMIFS(операции!$V:$V,операции!$T:$T,"&lt;="&amp;X$9,операции!$X:$X,"&gt;"&amp;X$9,операции!$L:$L,AA$9,операции!$O:$O,$F978)</f>
        <v>1120</v>
      </c>
      <c r="AB1034" s="264"/>
      <c r="AC1034" s="92"/>
      <c r="AD1034" s="92"/>
      <c r="AE1034" s="92"/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92"/>
    </row>
    <row r="1035" spans="1:42" s="192" customFormat="1" ht="11.25">
      <c r="A1035" s="37"/>
      <c r="B1035" s="37"/>
      <c r="C1035" s="37"/>
      <c r="D1035" s="191" t="s">
        <v>255</v>
      </c>
      <c r="E1035" s="191"/>
      <c r="F1035" s="191" t="str">
        <f t="shared" si="1718"/>
        <v>ИгрушкаФест</v>
      </c>
      <c r="G1035" s="191" t="s">
        <v>262</v>
      </c>
      <c r="H1035" s="315"/>
      <c r="I1035" s="316">
        <f>IF(I1034=0,0,(SUMIFS(операции!$AF:$AF,операции!$T:$T,"&lt;="&amp;I$9,операции!$X:$X,"",операции!$O:$O,$F978)+SUMIFS(операции!$AF:$AF,операции!$T:$T,"&lt;="&amp;I$9,операции!$X:$X,"&gt;"&amp;I$9,операции!$O:$O,$F978))/I1034)</f>
        <v>42210.89407363654</v>
      </c>
      <c r="J1035" s="317"/>
      <c r="K1035" s="316">
        <f>IF(K1034=0,0,(SUMIFS(операции!$AF:$AF,операции!$T:$T,"&lt;="&amp;I$9,операции!$X:$X,"",операции!$L:$L,K$9,операции!$O:$O,$F978)+SUMIFS(операции!$AF:$AF,операции!$T:$T,"&lt;="&amp;I$9,операции!$X:$X,"&gt;"&amp;I$9,операции!$L:$L,K$9,операции!$O:$O,$F978))/K1034)</f>
        <v>42170.692346552161</v>
      </c>
      <c r="L1035" s="318">
        <f>IF(L1034=0,0,(SUMIFS(операции!$AF:$AF,операции!$T:$T,"&lt;="&amp;I$9,операции!$X:$X,"",операции!$L:$L,L$9,операции!$O:$O,$F978)+SUMIFS(операции!$AF:$AF,операции!$T:$T,"&lt;="&amp;I$9,операции!$X:$X,"&gt;"&amp;I$9,операции!$L:$L,L$9,операции!$O:$O,$F978))/L1034)</f>
        <v>42353</v>
      </c>
      <c r="M1035" s="274"/>
      <c r="N1035" s="193">
        <f>IF(N1034=0,0,(SUMIFS(операции!$AF:$AF,операции!$T:$T,"&lt;="&amp;N$9,операции!$X:$X,"",операции!$O:$O,$F978)+SUMIFS(операции!$AF:$AF,операции!$T:$T,"&lt;="&amp;N$9,операции!$X:$X,"&gt;"&amp;N$9,операции!$O:$O,$F978))/N1034)</f>
        <v>42240.972809367864</v>
      </c>
      <c r="O1035" s="196"/>
      <c r="P1035" s="193">
        <f>IF(P1034=0,0,(SUMIFS(операции!$AF:$AF,операции!$T:$T,"&lt;="&amp;N$9,операции!$X:$X,"",операции!$L:$L,P$9,операции!$O:$O,$F978)+SUMIFS(операции!$AF:$AF,операции!$T:$T,"&lt;="&amp;N$9,операции!$X:$X,"&gt;"&amp;N$9,операции!$L:$L,P$9,операции!$O:$O,$F978))/P1034)</f>
        <v>42197.673573425425</v>
      </c>
      <c r="Q1035" s="237">
        <f>IF(Q1034=0,0,(SUMIFS(операции!$AF:$AF,операции!$T:$T,"&lt;="&amp;N$9,операции!$X:$X,"",операции!$L:$L,Q$9,операции!$O:$O,$F978)+SUMIFS(операции!$AF:$AF,операции!$T:$T,"&lt;="&amp;N$9,операции!$X:$X,"&gt;"&amp;N$9,операции!$L:$L,Q$9,операции!$O:$O,$F978))/Q1034)</f>
        <v>42306.864364364366</v>
      </c>
      <c r="R1035" s="238"/>
      <c r="S1035" s="193">
        <f>IF(S1034=0,0,(SUMIFS(операции!$AF:$AF,операции!$T:$T,"&lt;="&amp;S$9,операции!$X:$X,"",операции!$O:$O,$F978)+SUMIFS(операции!$AF:$AF,операции!$T:$T,"&lt;="&amp;S$9,операции!$X:$X,"&gt;"&amp;S$9,операции!$O:$O,$F978))/S1034)</f>
        <v>42240.019816272965</v>
      </c>
      <c r="T1035" s="196"/>
      <c r="U1035" s="193">
        <f>IF(U1034=0,0,(SUMIFS(операции!$AF:$AF,операции!$T:$T,"&lt;="&amp;S$9,операции!$X:$X,"",операции!$L:$L,U$9,операции!$O:$O,$F978)+SUMIFS(операции!$AF:$AF,операции!$T:$T,"&lt;="&amp;S$9,операции!$X:$X,"&gt;"&amp;S$9,операции!$L:$L,U$9,операции!$O:$O,$F978))/U1034)</f>
        <v>42188.930854271355</v>
      </c>
      <c r="V1035" s="237">
        <f>IF(V1034=0,0,(SUMIFS(операции!$AF:$AF,операции!$T:$T,"&lt;="&amp;S$9,операции!$X:$X,"",операции!$L:$L,V$9,операции!$O:$O,$F978)+SUMIFS(операции!$AF:$AF,операции!$T:$T,"&lt;="&amp;S$9,операции!$X:$X,"&gt;"&amp;S$9,операции!$L:$L,V$9,операции!$O:$O,$F978))/V1034)</f>
        <v>42336.113421550093</v>
      </c>
      <c r="W1035" s="238"/>
      <c r="X1035" s="193">
        <f>IF(X1034=0,0,(SUMIFS(операции!$AF:$AF,операции!$T:$T,"&lt;="&amp;X$9,операции!$X:$X,"",операции!$O:$O,$F978)+SUMIFS(операции!$AF:$AF,операции!$T:$T,"&lt;="&amp;X$9,операции!$X:$X,"&gt;"&amp;X$9,операции!$O:$O,$F978))/X1034)</f>
        <v>42210.89407363654</v>
      </c>
      <c r="Y1035" s="196"/>
      <c r="Z1035" s="193">
        <f>IF(Z1034=0,0,(SUMIFS(операции!$AF:$AF,операции!$T:$T,"&lt;="&amp;X$9,операции!$X:$X,"",операции!$L:$L,Z$9,операции!$O:$O,$F978)+SUMIFS(операции!$AF:$AF,операции!$T:$T,"&lt;="&amp;X$9,операции!$X:$X,"&gt;"&amp;X$9,операции!$L:$L,Z$9,операции!$O:$O,$F978))/Z1034)</f>
        <v>42170.692346552161</v>
      </c>
      <c r="AA1035" s="237">
        <f>IF(AA1034=0,0,(SUMIFS(операции!$AF:$AF,операции!$T:$T,"&lt;="&amp;X$9,операции!$X:$X,"",операции!$L:$L,AA$9,операции!$O:$O,$F978)+SUMIFS(операции!$AF:$AF,операции!$T:$T,"&lt;="&amp;X$9,операции!$X:$X,"&gt;"&amp;X$9,операции!$L:$L,AA$9,операции!$O:$O,$F978))/AA1034)</f>
        <v>42353</v>
      </c>
      <c r="AB1035" s="265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</row>
    <row r="1036" spans="1:42" s="50" customFormat="1" ht="11.25">
      <c r="A1036" s="48"/>
      <c r="B1036" s="48"/>
      <c r="C1036" s="48"/>
      <c r="D1036" s="154" t="s">
        <v>239</v>
      </c>
      <c r="E1036" s="154"/>
      <c r="F1036" s="154" t="str">
        <f t="shared" si="1718"/>
        <v>ИгрушкаФест</v>
      </c>
      <c r="G1036" s="154" t="s">
        <v>219</v>
      </c>
      <c r="H1036" s="319"/>
      <c r="I1036" s="320">
        <f>IF(I1034=0,0,I$9-I1035)</f>
        <v>158.10592636345973</v>
      </c>
      <c r="J1036" s="321">
        <f>I1036-SUMIFS(ПОбТЗ!$I:$I,ПОбТЗ!$E:$E,$D1036,ПОбТЗ!$F:$F,$F1036)</f>
        <v>0</v>
      </c>
      <c r="K1036" s="320">
        <f>IF(K1034=0,0,I$9-K1035)</f>
        <v>198.30765344783867</v>
      </c>
      <c r="L1036" s="322">
        <f>IF(L1034=0,0,I$9-L1035)</f>
        <v>16</v>
      </c>
      <c r="M1036" s="275"/>
      <c r="N1036" s="155">
        <f>IF(N1034=0,0,N$9-N1035)</f>
        <v>67.027190632135898</v>
      </c>
      <c r="O1036" s="173">
        <f>N1036-SUMIFS(ПОбТЗ_3!$J:$J,ПОбТЗ_3!$D:$D,$D1036,ПОбТЗ_3!$E:$E,$F1036)</f>
        <v>0</v>
      </c>
      <c r="P1036" s="155">
        <f>IF(P1034=0,0,N$9-P1035)</f>
        <v>110.32642657457473</v>
      </c>
      <c r="Q1036" s="239">
        <f>IF(Q1034=0,0,N$9-Q1035)</f>
        <v>1.1356356356336619</v>
      </c>
      <c r="R1036" s="240"/>
      <c r="S1036" s="155">
        <f>IF(S1034=0,0,S$9-S1035)</f>
        <v>97.980183727035183</v>
      </c>
      <c r="T1036" s="173">
        <f>S1036-SUMIFS(ПОбТЗ_3!$K:$K,ПОбТЗ_3!$D:$D,$D1036,ПОбТЗ_3!$E:$E,$F1036)</f>
        <v>0</v>
      </c>
      <c r="U1036" s="155">
        <f>IF(U1034=0,0,S$9-U1035)</f>
        <v>149.0691457286448</v>
      </c>
      <c r="V1036" s="239">
        <f>IF(V1034=0,0,S$9-V1035)</f>
        <v>1.8865784499066649</v>
      </c>
      <c r="W1036" s="240"/>
      <c r="X1036" s="155">
        <f>IF(X1034=0,0,X$9-X1035)</f>
        <v>158.10592636345973</v>
      </c>
      <c r="Y1036" s="173">
        <f>X1036-SUMIFS(ПОбТЗ_3!$L:$L,ПОбТЗ_3!$D:$D,$D1036,ПОбТЗ_3!$E:$E,$F1036)</f>
        <v>0</v>
      </c>
      <c r="Z1036" s="155">
        <f>IF(Z1034=0,0,X$9-Z1035)</f>
        <v>198.30765344783867</v>
      </c>
      <c r="AA1036" s="239">
        <f>IF(AA1034=0,0,X$9-AA1035)</f>
        <v>16</v>
      </c>
      <c r="AB1036" s="230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</row>
    <row r="1037" spans="1:42" s="93" customFormat="1" ht="15">
      <c r="A1037" s="92"/>
      <c r="B1037" s="92"/>
      <c r="C1037" s="92"/>
      <c r="D1037" s="198" t="s">
        <v>280</v>
      </c>
      <c r="E1037" s="198"/>
      <c r="F1037" s="198" t="str">
        <f t="shared" si="1718"/>
        <v>ИгрушкаФест</v>
      </c>
      <c r="G1037" s="198" t="s">
        <v>219</v>
      </c>
      <c r="H1037" s="323"/>
      <c r="I1037" s="324">
        <f>IF(I1034=0,0,(I1039*I1043+I1045*I1049)/I1034)</f>
        <v>78.823587320340891</v>
      </c>
      <c r="J1037" s="321"/>
      <c r="K1037" s="324">
        <f>IF(K1034=0,0,(K1039*K1043+K1045*K1049)/K1034)</f>
        <v>96.596362717858668</v>
      </c>
      <c r="L1037" s="325">
        <f>IF(L1034=0,0,(L1039*L1043+L1045*L1049)/L1034)</f>
        <v>16</v>
      </c>
      <c r="M1037" s="276"/>
      <c r="N1037" s="199">
        <f>IF(N1034=0,0,(N1039*N1043+N1045*N1049)/N1034)</f>
        <v>39.190135953159057</v>
      </c>
      <c r="O1037" s="173"/>
      <c r="P1037" s="199">
        <f>IF(P1034=0,0,(P1039*P1043+P1045*P1049)/P1034)</f>
        <v>64.196842624566656</v>
      </c>
      <c r="Q1037" s="241">
        <f>IF(Q1034=0,0,(Q1039*Q1043+Q1045*Q1049)/Q1034)</f>
        <v>1.1356356356336619</v>
      </c>
      <c r="R1037" s="242"/>
      <c r="S1037" s="199">
        <f>IF(S1034=0,0,(S1039*S1043+S1045*S1049)/S1034)</f>
        <v>47.446850393697694</v>
      </c>
      <c r="T1037" s="173"/>
      <c r="U1037" s="199">
        <f>IF(U1034=0,0,(U1039*U1043+U1045*U1049)/U1034)</f>
        <v>71.669346733665932</v>
      </c>
      <c r="V1037" s="241">
        <f>IF(V1034=0,0,(V1039*V1043+V1045*V1049)/V1034)</f>
        <v>1.8865784499066649</v>
      </c>
      <c r="W1037" s="242"/>
      <c r="X1037" s="199">
        <f>IF(X1034=0,0,(X1039*X1043+X1045*X1049)/X1034)</f>
        <v>78.823587320340891</v>
      </c>
      <c r="Y1037" s="173"/>
      <c r="Z1037" s="199">
        <f>IF(Z1034=0,0,(Z1039*Z1043+Z1045*Z1049)/Z1034)</f>
        <v>96.596362717858668</v>
      </c>
      <c r="AA1037" s="241">
        <f>IF(AA1034=0,0,(AA1039*AA1043+AA1045*AA1049)/AA1034)</f>
        <v>16</v>
      </c>
      <c r="AB1037" s="264"/>
      <c r="AC1037" s="92"/>
      <c r="AD1037" s="92"/>
      <c r="AE1037" s="92"/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92"/>
    </row>
    <row r="1038" spans="1:42" s="50" customFormat="1" ht="11.25">
      <c r="A1038" s="48"/>
      <c r="B1038" s="48"/>
      <c r="C1038" s="48"/>
      <c r="D1038" s="154" t="s">
        <v>281</v>
      </c>
      <c r="E1038" s="154"/>
      <c r="F1038" s="154" t="str">
        <f t="shared" si="1718"/>
        <v>ИгрушкаФест</v>
      </c>
      <c r="G1038" s="154" t="s">
        <v>219</v>
      </c>
      <c r="H1038" s="319"/>
      <c r="I1038" s="320">
        <f>I1036-I1037</f>
        <v>79.282339043118839</v>
      </c>
      <c r="J1038" s="321"/>
      <c r="K1038" s="320">
        <f>K1036-K1037</f>
        <v>101.71129072998001</v>
      </c>
      <c r="L1038" s="322">
        <f>L1036-L1037</f>
        <v>0</v>
      </c>
      <c r="M1038" s="275"/>
      <c r="N1038" s="155">
        <f>N1036-N1037</f>
        <v>27.837054678976841</v>
      </c>
      <c r="O1038" s="173"/>
      <c r="P1038" s="155">
        <f>P1036-P1037</f>
        <v>46.129583950008069</v>
      </c>
      <c r="Q1038" s="239">
        <f>Q1036-Q1037</f>
        <v>0</v>
      </c>
      <c r="R1038" s="240"/>
      <c r="S1038" s="155">
        <f>S1036-S1037</f>
        <v>50.533333333337488</v>
      </c>
      <c r="T1038" s="173"/>
      <c r="U1038" s="155">
        <f>U1036-U1037</f>
        <v>77.399798994978866</v>
      </c>
      <c r="V1038" s="239">
        <f>V1036-V1037</f>
        <v>0</v>
      </c>
      <c r="W1038" s="240"/>
      <c r="X1038" s="155">
        <f>X1036-X1037</f>
        <v>79.282339043118839</v>
      </c>
      <c r="Y1038" s="173"/>
      <c r="Z1038" s="155">
        <f>Z1036-Z1037</f>
        <v>101.71129072998001</v>
      </c>
      <c r="AA1038" s="239">
        <f>AA1036-AA1037</f>
        <v>0</v>
      </c>
      <c r="AB1038" s="230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</row>
    <row r="1039" spans="1:42" s="5" customFormat="1">
      <c r="A1039" s="1"/>
      <c r="B1039" s="1"/>
      <c r="C1039" s="1"/>
      <c r="D1039" s="168"/>
      <c r="E1039" s="168" t="s">
        <v>282</v>
      </c>
      <c r="F1039" s="168" t="str">
        <f t="shared" si="1718"/>
        <v>ИгрушкаФест</v>
      </c>
      <c r="G1039" s="168" t="s">
        <v>261</v>
      </c>
      <c r="H1039" s="326"/>
      <c r="I1039" s="327">
        <f>SUMIFS(операции!$V:$V,операции!$T:$T,"&lt;="&amp;I$9,операции!$X:$X,"",операции!$AB:$AB,"&lt;&gt;"&amp;"",операции!$AB:$AB,"&lt;="&amp;I$9,операции!$O:$O,$F978)+SUMIFS(операции!$V:$V,операции!$T:$T,"&lt;="&amp;I$9,операции!$X:$X,"&gt;"&amp;I$9,операции!$AB:$AB,"&lt;&gt;"&amp;"",операции!$AB:$AB,"&lt;="&amp;I$9,операции!$O:$O,$F978)</f>
        <v>2469</v>
      </c>
      <c r="J1039" s="313">
        <f>I1039-K1039-L1039</f>
        <v>0</v>
      </c>
      <c r="K1039" s="327">
        <f>SUMIFS(операции!$V:$V,операции!$T:$T,"&lt;="&amp;I$9,операции!$X:$X,"",операции!$AB:$AB,"&lt;&gt;"&amp;"",операции!$AB:$AB,"&lt;="&amp;I$9,операции!$L:$L,K$9,операции!$O:$O,$F978)+SUMIFS(операции!$V:$V,операции!$T:$T,"&lt;="&amp;I$9,операции!$X:$X,"&gt;"&amp;I$9,операции!$AB:$AB,"&lt;&gt;"&amp;"",операции!$AB:$AB,"&lt;="&amp;I$9,операции!$L:$L,K$9,операции!$O:$O,$F978)</f>
        <v>2469</v>
      </c>
      <c r="L1039" s="328">
        <f>SUMIFS(операции!$V:$V,операции!$T:$T,"&lt;="&amp;I$9,операции!$X:$X,"",операции!$AB:$AB,"&lt;&gt;"&amp;"",операции!$AB:$AB,"&lt;="&amp;I$9,операции!$L:$L,L$9,операции!$O:$O,$F978)+SUMIFS(операции!$V:$V,операции!$T:$T,"&lt;="&amp;I$9,операции!$X:$X,"&gt;"&amp;I$9,операции!$AB:$AB,"&lt;&gt;"&amp;"",операции!$AB:$AB,"&lt;="&amp;I$9,операции!$L:$L,L$9,операции!$O:$O,$F978)</f>
        <v>0</v>
      </c>
      <c r="M1039" s="277"/>
      <c r="N1039" s="169">
        <f>SUMIFS(операции!$V:$V,операции!$T:$T,"&lt;="&amp;N$9,операции!$X:$X,"",операции!$AB:$AB,"&lt;&gt;"&amp;"",операции!$AB:$AB,"&lt;="&amp;N$9,операции!$O:$O,$F978)+SUMIFS(операции!$V:$V,операции!$T:$T,"&lt;="&amp;N$9,операции!$X:$X,"&gt;"&amp;N$9,операции!$AB:$AB,"&lt;&gt;"&amp;"",операции!$AB:$AB,"&lt;="&amp;N$9,операции!$O:$O,$F978)</f>
        <v>3485</v>
      </c>
      <c r="O1039" s="170">
        <f>N1039-P1039-Q1039</f>
        <v>0</v>
      </c>
      <c r="P1039" s="169">
        <f>SUMIFS(операции!$V:$V,операции!$T:$T,"&lt;="&amp;N$9,операции!$X:$X,"",операции!$AB:$AB,"&lt;&gt;"&amp;"",операции!$AB:$AB,"&lt;="&amp;N$9,операции!$L:$L,P$9,операции!$O:$O,$F978)+SUMIFS(операции!$V:$V,операции!$T:$T,"&lt;="&amp;N$9,операции!$X:$X,"&gt;"&amp;N$9,операции!$AB:$AB,"&lt;&gt;"&amp;"",операции!$AB:$AB,"&lt;="&amp;N$9,операции!$L:$L,P$9,операции!$O:$O,$F978)</f>
        <v>3485</v>
      </c>
      <c r="Q1039" s="243">
        <f>SUMIFS(операции!$V:$V,операции!$T:$T,"&lt;="&amp;N$9,операции!$X:$X,"",операции!$AB:$AB,"&lt;&gt;"&amp;"",операции!$AB:$AB,"&lt;="&amp;N$9,операции!$L:$L,Q$9,операции!$O:$O,$F978)+SUMIFS(операции!$V:$V,операции!$T:$T,"&lt;="&amp;N$9,операции!$X:$X,"&gt;"&amp;N$9,операции!$AB:$AB,"&lt;&gt;"&amp;"",операции!$AB:$AB,"&lt;="&amp;N$9,операции!$L:$L,Q$9,операции!$O:$O,$F978)</f>
        <v>0</v>
      </c>
      <c r="R1039" s="244"/>
      <c r="S1039" s="169">
        <f>SUMIFS(операции!$V:$V,операции!$T:$T,"&lt;="&amp;S$9,операции!$X:$X,"",операции!$AB:$AB,"&lt;&gt;"&amp;"",операции!$AB:$AB,"&lt;="&amp;S$9,операции!$O:$O,$F978)+SUMIFS(операции!$V:$V,операции!$T:$T,"&lt;="&amp;S$9,операции!$X:$X,"&gt;"&amp;S$9,операции!$AB:$AB,"&lt;&gt;"&amp;"",операции!$AB:$AB,"&lt;="&amp;S$9,операции!$O:$O,$F978)</f>
        <v>3485</v>
      </c>
      <c r="T1039" s="170">
        <f>S1039-U1039-V1039</f>
        <v>0</v>
      </c>
      <c r="U1039" s="169">
        <f>SUMIFS(операции!$V:$V,операции!$T:$T,"&lt;="&amp;S$9,операции!$X:$X,"",операции!$AB:$AB,"&lt;&gt;"&amp;"",операции!$AB:$AB,"&lt;="&amp;S$9,операции!$L:$L,U$9,операции!$O:$O,$F978)+SUMIFS(операции!$V:$V,операции!$T:$T,"&lt;="&amp;S$9,операции!$X:$X,"&gt;"&amp;S$9,операции!$AB:$AB,"&lt;&gt;"&amp;"",операции!$AB:$AB,"&lt;="&amp;S$9,операции!$L:$L,U$9,операции!$O:$O,$F978)</f>
        <v>3485</v>
      </c>
      <c r="V1039" s="243">
        <f>SUMIFS(операции!$V:$V,операции!$T:$T,"&lt;="&amp;S$9,операции!$X:$X,"",операции!$AB:$AB,"&lt;&gt;"&amp;"",операции!$AB:$AB,"&lt;="&amp;S$9,операции!$L:$L,V$9,операции!$O:$O,$F978)+SUMIFS(операции!$V:$V,операции!$T:$T,"&lt;="&amp;S$9,операции!$X:$X,"&gt;"&amp;S$9,операции!$AB:$AB,"&lt;&gt;"&amp;"",операции!$AB:$AB,"&lt;="&amp;S$9,операции!$L:$L,V$9,операции!$O:$O,$F978)</f>
        <v>0</v>
      </c>
      <c r="W1039" s="244"/>
      <c r="X1039" s="169">
        <f>SUMIFS(операции!$V:$V,операции!$T:$T,"&lt;="&amp;X$9,операции!$X:$X,"",операции!$AB:$AB,"&lt;&gt;"&amp;"",операции!$AB:$AB,"&lt;="&amp;X$9,операции!$O:$O,$F978)+SUMIFS(операции!$V:$V,операции!$T:$T,"&lt;="&amp;X$9,операции!$X:$X,"&gt;"&amp;X$9,операции!$AB:$AB,"&lt;&gt;"&amp;"",операции!$AB:$AB,"&lt;="&amp;X$9,операции!$O:$O,$F978)</f>
        <v>2469</v>
      </c>
      <c r="Y1039" s="170">
        <f>X1039-Z1039-AA1039</f>
        <v>0</v>
      </c>
      <c r="Z1039" s="169">
        <f>SUMIFS(операции!$V:$V,операции!$T:$T,"&lt;="&amp;X$9,операции!$X:$X,"",операции!$AB:$AB,"&lt;&gt;"&amp;"",операции!$AB:$AB,"&lt;="&amp;X$9,операции!$L:$L,Z$9,операции!$O:$O,$F978)+SUMIFS(операции!$V:$V,операции!$T:$T,"&lt;="&amp;X$9,операции!$X:$X,"&gt;"&amp;X$9,операции!$AB:$AB,"&lt;&gt;"&amp;"",операции!$AB:$AB,"&lt;="&amp;X$9,операции!$L:$L,Z$9,операции!$O:$O,$F978)</f>
        <v>2469</v>
      </c>
      <c r="AA1039" s="243">
        <f>SUMIFS(операции!$V:$V,операции!$T:$T,"&lt;="&amp;X$9,операции!$X:$X,"",операции!$AB:$AB,"&lt;&gt;"&amp;"",операции!$AB:$AB,"&lt;="&amp;X$9,операции!$L:$L,AA$9,операции!$O:$O,$F978)+SUMIFS(операции!$V:$V,операции!$T:$T,"&lt;="&amp;X$9,операции!$X:$X,"&gt;"&amp;X$9,операции!$AB:$AB,"&lt;&gt;"&amp;"",операции!$AB:$AB,"&lt;="&amp;X$9,операции!$L:$L,AA$9,операции!$O:$O,$F978)</f>
        <v>0</v>
      </c>
      <c r="AB1039" s="266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</row>
    <row r="1040" spans="1:42" s="192" customFormat="1" ht="11.25">
      <c r="A1040" s="37"/>
      <c r="B1040" s="37"/>
      <c r="C1040" s="37"/>
      <c r="D1040" s="191"/>
      <c r="E1040" s="191" t="s">
        <v>255</v>
      </c>
      <c r="F1040" s="191" t="str">
        <f t="shared" si="1718"/>
        <v>ИгрушкаФест</v>
      </c>
      <c r="G1040" s="191" t="s">
        <v>262</v>
      </c>
      <c r="H1040" s="315"/>
      <c r="I1040" s="316">
        <f>IF(I1039=0,0,(SUMIFS(операции!$AF:$AF,операции!$T:$T,"&lt;="&amp;I$9,операции!$X:$X,"",операции!$AB:$AB,"&lt;&gt;"&amp;"",операции!$AB:$AB,"&lt;="&amp;I$9,операции!$O:$O,$F978)+SUMIFS(операции!$AF:$AF,операции!$T:$T,"&lt;="&amp;I$9,операции!$X:$X,"&gt;"&amp;I$9,операции!$AB:$AB,"&lt;&gt;"&amp;"",операции!$AB:$AB,"&lt;="&amp;I$9,операции!$O:$O,$F978))/I1039)</f>
        <v>42181.972863507493</v>
      </c>
      <c r="J1040" s="317"/>
      <c r="K1040" s="316">
        <f>IF(K1039=0,0,(SUMIFS(операции!$AF:$AF,операции!$T:$T,"&lt;="&amp;I$9,операции!$X:$X,"",операции!$AB:$AB,"&lt;&gt;"&amp;"",операции!$AB:$AB,"&lt;="&amp;I$9,операции!$L:$L,K$9,операции!$O:$O,$F978)+SUMIFS(операции!$AF:$AF,операции!$T:$T,"&lt;="&amp;I$9,операции!$X:$X,"&gt;"&amp;I$9,операции!$AB:$AB,"&lt;&gt;"&amp;"",операции!$AB:$AB,"&lt;="&amp;I$9,операции!$L:$L,K$9,операции!$O:$O,$F978))/K1039)</f>
        <v>42181.972863507493</v>
      </c>
      <c r="L1040" s="318">
        <f>IF(L1039=0,0,(SUMIFS(операции!$AF:$AF,операции!$T:$T,"&lt;="&amp;I$9,операции!$X:$X,"",операции!$AB:$AB,"&lt;&gt;"&amp;"",операции!$AB:$AB,"&lt;="&amp;I$9,операции!$L:$L,L$9,операции!$O:$O,$F978)+SUMIFS(операции!$AF:$AF,операции!$T:$T,"&lt;="&amp;I$9,операции!$X:$X,"&gt;"&amp;I$9,операции!$AB:$AB,"&lt;&gt;"&amp;"",операции!$AB:$AB,"&lt;="&amp;I$9,операции!$L:$L,L$9,операции!$O:$O,$F978))/L1039)</f>
        <v>0</v>
      </c>
      <c r="M1040" s="274"/>
      <c r="N1040" s="193">
        <f>IF(N1039=0,0,(SUMIFS(операции!$AF:$AF,операции!$T:$T,"&lt;="&amp;N$9,операции!$X:$X,"",операции!$AB:$AB,"&lt;&gt;"&amp;"",операции!$AB:$AB,"&lt;="&amp;N$9,операции!$O:$O,$F978)+SUMIFS(операции!$AF:$AF,операции!$T:$T,"&lt;="&amp;N$9,операции!$X:$X,"&gt;"&amp;N$9,операции!$AB:$AB,"&lt;&gt;"&amp;"",операции!$AB:$AB,"&lt;="&amp;N$9,операции!$O:$O,$F978))/N1039)</f>
        <v>42204.720516499285</v>
      </c>
      <c r="O1040" s="196"/>
      <c r="P1040" s="193">
        <f>IF(P1039=0,0,(SUMIFS(операции!$AF:$AF,операции!$T:$T,"&lt;="&amp;N$9,операции!$X:$X,"",операции!$AB:$AB,"&lt;&gt;"&amp;"",операции!$AB:$AB,"&lt;="&amp;N$9,операции!$L:$L,P$9,операции!$O:$O,$F978)+SUMIFS(операции!$AF:$AF,операции!$T:$T,"&lt;="&amp;N$9,операции!$X:$X,"&gt;"&amp;N$9,операции!$AB:$AB,"&lt;&gt;"&amp;"",операции!$AB:$AB,"&lt;="&amp;N$9,операции!$L:$L,P$9,операции!$O:$O,$F978))/P1039)</f>
        <v>42204.720516499285</v>
      </c>
      <c r="Q1040" s="237">
        <f>IF(Q1039=0,0,(SUMIFS(операции!$AF:$AF,операции!$T:$T,"&lt;="&amp;N$9,операции!$X:$X,"",операции!$AB:$AB,"&lt;&gt;"&amp;"",операции!$AB:$AB,"&lt;="&amp;N$9,операции!$L:$L,Q$9,операции!$O:$O,$F978)+SUMIFS(операции!$AF:$AF,операции!$T:$T,"&lt;="&amp;N$9,операции!$X:$X,"&gt;"&amp;N$9,операции!$AB:$AB,"&lt;&gt;"&amp;"",операции!$AB:$AB,"&lt;="&amp;N$9,операции!$L:$L,Q$9,операции!$O:$O,$F978))/Q1039)</f>
        <v>0</v>
      </c>
      <c r="R1040" s="238"/>
      <c r="S1040" s="193">
        <f>IF(S1039=0,0,(SUMIFS(операции!$AF:$AF,операции!$T:$T,"&lt;="&amp;S$9,операции!$X:$X,"",операции!$AB:$AB,"&lt;&gt;"&amp;"",операции!$AB:$AB,"&lt;="&amp;S$9,операции!$O:$O,$F978)+SUMIFS(операции!$AF:$AF,операции!$T:$T,"&lt;="&amp;S$9,операции!$X:$X,"&gt;"&amp;S$9,операции!$AB:$AB,"&lt;&gt;"&amp;"",операции!$AB:$AB,"&lt;="&amp;S$9,операции!$O:$O,$F978))/S1039)</f>
        <v>42204.720516499285</v>
      </c>
      <c r="T1040" s="196"/>
      <c r="U1040" s="193">
        <f>IF(U1039=0,0,(SUMIFS(операции!$AF:$AF,операции!$T:$T,"&lt;="&amp;S$9,операции!$X:$X,"",операции!$AB:$AB,"&lt;&gt;"&amp;"",операции!$AB:$AB,"&lt;="&amp;S$9,операции!$L:$L,U$9,операции!$O:$O,$F978)+SUMIFS(операции!$AF:$AF,операции!$T:$T,"&lt;="&amp;S$9,операции!$X:$X,"&gt;"&amp;S$9,операции!$AB:$AB,"&lt;&gt;"&amp;"",операции!$AB:$AB,"&lt;="&amp;S$9,операции!$L:$L,U$9,операции!$O:$O,$F978))/U1039)</f>
        <v>42204.720516499285</v>
      </c>
      <c r="V1040" s="237">
        <f>IF(V1039=0,0,(SUMIFS(операции!$AF:$AF,операции!$T:$T,"&lt;="&amp;S$9,операции!$X:$X,"",операции!$AB:$AB,"&lt;&gt;"&amp;"",операции!$AB:$AB,"&lt;="&amp;S$9,операции!$L:$L,V$9,операции!$O:$O,$F978)+SUMIFS(операции!$AF:$AF,операции!$T:$T,"&lt;="&amp;S$9,операции!$X:$X,"&gt;"&amp;S$9,операции!$AB:$AB,"&lt;&gt;"&amp;"",операции!$AB:$AB,"&lt;="&amp;S$9,операции!$L:$L,V$9,операции!$O:$O,$F978))/V1039)</f>
        <v>0</v>
      </c>
      <c r="W1040" s="238"/>
      <c r="X1040" s="193">
        <f>IF(X1039=0,0,(SUMIFS(операции!$AF:$AF,операции!$T:$T,"&lt;="&amp;X$9,операции!$X:$X,"",операции!$AB:$AB,"&lt;&gt;"&amp;"",операции!$AB:$AB,"&lt;="&amp;X$9,операции!$O:$O,$F978)+SUMIFS(операции!$AF:$AF,операции!$T:$T,"&lt;="&amp;X$9,операции!$X:$X,"&gt;"&amp;X$9,операции!$AB:$AB,"&lt;&gt;"&amp;"",операции!$AB:$AB,"&lt;="&amp;X$9,операции!$O:$O,$F978))/X1039)</f>
        <v>42181.972863507493</v>
      </c>
      <c r="Y1040" s="196"/>
      <c r="Z1040" s="193">
        <f>IF(Z1039=0,0,(SUMIFS(операции!$AF:$AF,операции!$T:$T,"&lt;="&amp;X$9,операции!$X:$X,"",операции!$AB:$AB,"&lt;&gt;"&amp;"",операции!$AB:$AB,"&lt;="&amp;X$9,операции!$L:$L,Z$9,операции!$O:$O,$F978)+SUMIFS(операции!$AF:$AF,операции!$T:$T,"&lt;="&amp;X$9,операции!$X:$X,"&gt;"&amp;X$9,операции!$AB:$AB,"&lt;&gt;"&amp;"",операции!$AB:$AB,"&lt;="&amp;X$9,операции!$L:$L,Z$9,операции!$O:$O,$F978))/Z1039)</f>
        <v>42181.972863507493</v>
      </c>
      <c r="AA1040" s="237">
        <f>IF(AA1039=0,0,(SUMIFS(операции!$AF:$AF,операции!$T:$T,"&lt;="&amp;X$9,операции!$X:$X,"",операции!$AB:$AB,"&lt;&gt;"&amp;"",операции!$AB:$AB,"&lt;="&amp;X$9,операции!$L:$L,AA$9,операции!$O:$O,$F978)+SUMIFS(операции!$AF:$AF,операции!$T:$T,"&lt;="&amp;X$9,операции!$X:$X,"&gt;"&amp;X$9,операции!$AB:$AB,"&lt;&gt;"&amp;"",операции!$AB:$AB,"&lt;="&amp;X$9,операции!$L:$L,AA$9,операции!$O:$O,$F978))/AA1039)</f>
        <v>0</v>
      </c>
      <c r="AB1040" s="265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</row>
    <row r="1041" spans="1:42" s="192" customFormat="1" ht="11.25">
      <c r="A1041" s="37"/>
      <c r="B1041" s="37"/>
      <c r="C1041" s="37"/>
      <c r="D1041" s="191"/>
      <c r="E1041" s="191" t="s">
        <v>283</v>
      </c>
      <c r="F1041" s="191" t="str">
        <f t="shared" si="1718"/>
        <v>ИгрушкаФест</v>
      </c>
      <c r="G1041" s="191" t="s">
        <v>219</v>
      </c>
      <c r="H1041" s="315"/>
      <c r="I1041" s="329">
        <f>IF(I1039=0,0,I$9-I1040)</f>
        <v>187.02713649250654</v>
      </c>
      <c r="J1041" s="317"/>
      <c r="K1041" s="329">
        <f>IF(K1039=0,0,I$9-K1040)</f>
        <v>187.02713649250654</v>
      </c>
      <c r="L1041" s="330">
        <f>IF(L1039=0,0,I$9-L1040)</f>
        <v>0</v>
      </c>
      <c r="M1041" s="274"/>
      <c r="N1041" s="156">
        <f>IF(N1039=0,0,N$9-N1040)</f>
        <v>103.27948350071529</v>
      </c>
      <c r="O1041" s="196"/>
      <c r="P1041" s="156">
        <f>IF(P1039=0,0,N$9-P1040)</f>
        <v>103.27948350071529</v>
      </c>
      <c r="Q1041" s="245">
        <f>IF(Q1039=0,0,N$9-Q1040)</f>
        <v>0</v>
      </c>
      <c r="R1041" s="238"/>
      <c r="S1041" s="156">
        <f>IF(S1039=0,0,S$9-S1040)</f>
        <v>133.27948350071529</v>
      </c>
      <c r="T1041" s="196"/>
      <c r="U1041" s="156">
        <f>IF(U1039=0,0,S$9-U1040)</f>
        <v>133.27948350071529</v>
      </c>
      <c r="V1041" s="245">
        <f>IF(V1039=0,0,S$9-V1040)</f>
        <v>0</v>
      </c>
      <c r="W1041" s="238"/>
      <c r="X1041" s="156">
        <f>IF(X1039=0,0,X$9-X1040)</f>
        <v>187.02713649250654</v>
      </c>
      <c r="Y1041" s="196"/>
      <c r="Z1041" s="156">
        <f>IF(Z1039=0,0,X$9-Z1040)</f>
        <v>187.02713649250654</v>
      </c>
      <c r="AA1041" s="245">
        <f>IF(AA1039=0,0,X$9-AA1040)</f>
        <v>0</v>
      </c>
      <c r="AB1041" s="265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</row>
    <row r="1042" spans="1:42" s="192" customFormat="1" ht="11.25">
      <c r="A1042" s="37"/>
      <c r="B1042" s="37"/>
      <c r="C1042" s="37"/>
      <c r="D1042" s="191"/>
      <c r="E1042" s="191" t="s">
        <v>259</v>
      </c>
      <c r="F1042" s="191" t="str">
        <f t="shared" si="1718"/>
        <v>ИгрушкаФест</v>
      </c>
      <c r="G1042" s="191" t="s">
        <v>262</v>
      </c>
      <c r="H1042" s="315"/>
      <c r="I1042" s="316">
        <f>IF(I1039=0,0,(SUMIFS(операции!$AH:$AH,операции!$T:$T,"&lt;="&amp;I$9,операции!$X:$X,"",операции!$AB:$AB,"&lt;&gt;"&amp;"",операции!$AB:$AB,"&lt;="&amp;I$9,операции!$O:$O,$F978)+SUMIFS(операции!$AH:$AH,операции!$T:$T,"&lt;="&amp;I$9,операции!$X:$X,"&gt;"&amp;I$9,операции!$AB:$AB,"&lt;&gt;"&amp;"",операции!$AB:$AB,"&lt;="&amp;I$9,операции!$O:$O,$F978))/I1039)</f>
        <v>42205.907654921022</v>
      </c>
      <c r="J1042" s="317"/>
      <c r="K1042" s="316">
        <f>IF(K1039=0,0,(SUMIFS(операции!$AH:$AH,операции!$T:$T,"&lt;="&amp;I$9,операции!$X:$X,"",операции!$AB:$AB,"&lt;&gt;"&amp;"",операции!$AB:$AB,"&lt;="&amp;I$9,операции!$L:$L,K$9,операции!$O:$O,$F978)+SUMIFS(операции!$AH:$AH,операции!$T:$T,"&lt;="&amp;I$9,операции!$X:$X,"&gt;"&amp;I$9,операции!$AB:$AB,"&lt;&gt;"&amp;"",операции!$AB:$AB,"&lt;="&amp;I$9,операции!$L:$L,K$9,операции!$O:$O,$F978))/K1039)</f>
        <v>42205.907654921022</v>
      </c>
      <c r="L1042" s="318">
        <f>IF(L1039=0,0,(SUMIFS(операции!$AH:$AH,операции!$T:$T,"&lt;="&amp;I$9,операции!$X:$X,"",операции!$AB:$AB,"&lt;&gt;"&amp;"",операции!$AB:$AB,"&lt;="&amp;I$9,операции!$L:$L,L$9,операции!$O:$O,$F978)+SUMIFS(операции!$AH:$AH,операции!$T:$T,"&lt;="&amp;I$9,операции!$X:$X,"&gt;"&amp;I$9,операции!$AB:$AB,"&lt;&gt;"&amp;"",операции!$AB:$AB,"&lt;="&amp;I$9,операции!$L:$L,L$9,операции!$O:$O,$F978))/L1039)</f>
        <v>0</v>
      </c>
      <c r="M1042" s="274"/>
      <c r="N1042" s="193">
        <f>IF(N1039=0,0,(SUMIFS(операции!$AH:$AH,операции!$T:$T,"&lt;="&amp;N$9,операции!$X:$X,"",операции!$AB:$AB,"&lt;&gt;"&amp;"",операции!$AB:$AB,"&lt;="&amp;N$9,операции!$O:$O,$F978)+SUMIFS(операции!$AH:$AH,операции!$T:$T,"&lt;="&amp;N$9,операции!$X:$X,"&gt;"&amp;N$9,операции!$AB:$AB,"&lt;&gt;"&amp;"",операции!$AB:$AB,"&lt;="&amp;N$9,операции!$O:$O,$F978))/N1039)</f>
        <v>42227.508177905307</v>
      </c>
      <c r="O1042" s="196"/>
      <c r="P1042" s="193">
        <f>IF(P1039=0,0,(SUMIFS(операции!$AH:$AH,операции!$T:$T,"&lt;="&amp;N$9,операции!$X:$X,"",операции!$AB:$AB,"&lt;&gt;"&amp;"",операции!$AB:$AB,"&lt;="&amp;N$9,операции!$L:$L,P$9,операции!$O:$O,$F978)+SUMIFS(операции!$AH:$AH,операции!$T:$T,"&lt;="&amp;N$9,операции!$X:$X,"&gt;"&amp;N$9,операции!$AB:$AB,"&lt;&gt;"&amp;"",операции!$AB:$AB,"&lt;="&amp;N$9,операции!$L:$L,P$9,операции!$O:$O,$F978))/P1039)</f>
        <v>42227.508177905307</v>
      </c>
      <c r="Q1042" s="237">
        <f>IF(Q1039=0,0,(SUMIFS(операции!$AH:$AH,операции!$T:$T,"&lt;="&amp;N$9,операции!$X:$X,"",операции!$AB:$AB,"&lt;&gt;"&amp;"",операции!$AB:$AB,"&lt;="&amp;N$9,операции!$L:$L,Q$9,операции!$O:$O,$F978)+SUMIFS(операции!$AH:$AH,операции!$T:$T,"&lt;="&amp;N$9,операции!$X:$X,"&gt;"&amp;N$9,операции!$AB:$AB,"&lt;&gt;"&amp;"",операции!$AB:$AB,"&lt;="&amp;N$9,операции!$L:$L,Q$9,операции!$O:$O,$F978))/Q1039)</f>
        <v>0</v>
      </c>
      <c r="R1042" s="238"/>
      <c r="S1042" s="193">
        <f>IF(S1039=0,0,(SUMIFS(операции!$AH:$AH,операции!$T:$T,"&lt;="&amp;S$9,операции!$X:$X,"",операции!$AB:$AB,"&lt;&gt;"&amp;"",операции!$AB:$AB,"&lt;="&amp;S$9,операции!$O:$O,$F978)+SUMIFS(операции!$AH:$AH,операции!$T:$T,"&lt;="&amp;S$9,операции!$X:$X,"&gt;"&amp;S$9,операции!$AB:$AB,"&lt;&gt;"&amp;"",операции!$AB:$AB,"&lt;="&amp;S$9,операции!$O:$O,$F978))/S1039)</f>
        <v>42227.508177905307</v>
      </c>
      <c r="T1042" s="196"/>
      <c r="U1042" s="193">
        <f>IF(U1039=0,0,(SUMIFS(операции!$AH:$AH,операции!$T:$T,"&lt;="&amp;S$9,операции!$X:$X,"",операции!$AB:$AB,"&lt;&gt;"&amp;"",операции!$AB:$AB,"&lt;="&amp;S$9,операции!$L:$L,U$9,операции!$O:$O,$F978)+SUMIFS(операции!$AH:$AH,операции!$T:$T,"&lt;="&amp;S$9,операции!$X:$X,"&gt;"&amp;S$9,операции!$AB:$AB,"&lt;&gt;"&amp;"",операции!$AB:$AB,"&lt;="&amp;S$9,операции!$L:$L,U$9,операции!$O:$O,$F978))/U1039)</f>
        <v>42227.508177905307</v>
      </c>
      <c r="V1042" s="237">
        <f>IF(V1039=0,0,(SUMIFS(операции!$AH:$AH,операции!$T:$T,"&lt;="&amp;S$9,операции!$X:$X,"",операции!$AB:$AB,"&lt;&gt;"&amp;"",операции!$AB:$AB,"&lt;="&amp;S$9,операции!$L:$L,V$9,операции!$O:$O,$F978)+SUMIFS(операции!$AH:$AH,операции!$T:$T,"&lt;="&amp;S$9,операции!$X:$X,"&gt;"&amp;S$9,операции!$AB:$AB,"&lt;&gt;"&amp;"",операции!$AB:$AB,"&lt;="&amp;S$9,операции!$L:$L,V$9,операции!$O:$O,$F978))/V1039)</f>
        <v>0</v>
      </c>
      <c r="W1042" s="238"/>
      <c r="X1042" s="193">
        <f>IF(X1039=0,0,(SUMIFS(операции!$AH:$AH,операции!$T:$T,"&lt;="&amp;X$9,операции!$X:$X,"",операции!$AB:$AB,"&lt;&gt;"&amp;"",операции!$AB:$AB,"&lt;="&amp;X$9,операции!$O:$O,$F978)+SUMIFS(операции!$AH:$AH,операции!$T:$T,"&lt;="&amp;X$9,операции!$X:$X,"&gt;"&amp;X$9,операции!$AB:$AB,"&lt;&gt;"&amp;"",операции!$AB:$AB,"&lt;="&amp;X$9,операции!$O:$O,$F978))/X1039)</f>
        <v>42205.907654921022</v>
      </c>
      <c r="Y1042" s="196"/>
      <c r="Z1042" s="193">
        <f>IF(Z1039=0,0,(SUMIFS(операции!$AH:$AH,операции!$T:$T,"&lt;="&amp;X$9,операции!$X:$X,"",операции!$AB:$AB,"&lt;&gt;"&amp;"",операции!$AB:$AB,"&lt;="&amp;X$9,операции!$L:$L,Z$9,операции!$O:$O,$F978)+SUMIFS(операции!$AH:$AH,операции!$T:$T,"&lt;="&amp;X$9,операции!$X:$X,"&gt;"&amp;X$9,операции!$AB:$AB,"&lt;&gt;"&amp;"",операции!$AB:$AB,"&lt;="&amp;X$9,операции!$L:$L,Z$9,операции!$O:$O,$F978))/Z1039)</f>
        <v>42205.907654921022</v>
      </c>
      <c r="AA1042" s="237">
        <f>IF(AA1039=0,0,(SUMIFS(операции!$AH:$AH,операции!$T:$T,"&lt;="&amp;X$9,операции!$X:$X,"",операции!$AB:$AB,"&lt;&gt;"&amp;"",операции!$AB:$AB,"&lt;="&amp;X$9,операции!$L:$L,AA$9,операции!$O:$O,$F978)+SUMIFS(операции!$AH:$AH,операции!$T:$T,"&lt;="&amp;X$9,операции!$X:$X,"&gt;"&amp;X$9,операции!$AB:$AB,"&lt;&gt;"&amp;"",операции!$AB:$AB,"&lt;="&amp;X$9,операции!$L:$L,AA$9,операции!$O:$O,$F978))/AA1039)</f>
        <v>0</v>
      </c>
      <c r="AB1042" s="265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</row>
    <row r="1043" spans="1:42" s="192" customFormat="1" ht="11.25">
      <c r="A1043" s="37"/>
      <c r="B1043" s="37"/>
      <c r="C1043" s="37"/>
      <c r="D1043" s="191"/>
      <c r="E1043" s="191" t="s">
        <v>284</v>
      </c>
      <c r="F1043" s="191" t="str">
        <f t="shared" si="1718"/>
        <v>ИгрушкаФест</v>
      </c>
      <c r="G1043" s="191" t="s">
        <v>219</v>
      </c>
      <c r="H1043" s="315"/>
      <c r="I1043" s="329">
        <f>I1042-I1040</f>
        <v>23.934791413528728</v>
      </c>
      <c r="J1043" s="317"/>
      <c r="K1043" s="329">
        <f>K1042-K1040</f>
        <v>23.934791413528728</v>
      </c>
      <c r="L1043" s="330">
        <f>L1042-L1040</f>
        <v>0</v>
      </c>
      <c r="M1043" s="274"/>
      <c r="N1043" s="156">
        <f>N1042-N1040</f>
        <v>22.78766140602238</v>
      </c>
      <c r="O1043" s="196"/>
      <c r="P1043" s="156">
        <f>P1042-P1040</f>
        <v>22.78766140602238</v>
      </c>
      <c r="Q1043" s="245">
        <f>Q1042-Q1040</f>
        <v>0</v>
      </c>
      <c r="R1043" s="238"/>
      <c r="S1043" s="156">
        <f>S1042-S1040</f>
        <v>22.78766140602238</v>
      </c>
      <c r="T1043" s="196"/>
      <c r="U1043" s="156">
        <f>U1042-U1040</f>
        <v>22.78766140602238</v>
      </c>
      <c r="V1043" s="245">
        <f>V1042-V1040</f>
        <v>0</v>
      </c>
      <c r="W1043" s="238"/>
      <c r="X1043" s="156">
        <f>X1042-X1040</f>
        <v>23.934791413528728</v>
      </c>
      <c r="Y1043" s="196"/>
      <c r="Z1043" s="156">
        <f>Z1042-Z1040</f>
        <v>23.934791413528728</v>
      </c>
      <c r="AA1043" s="245">
        <f>AA1042-AA1040</f>
        <v>0</v>
      </c>
      <c r="AB1043" s="265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</row>
    <row r="1044" spans="1:42" s="192" customFormat="1" ht="11.25">
      <c r="A1044" s="37"/>
      <c r="B1044" s="37"/>
      <c r="C1044" s="37"/>
      <c r="D1044" s="191"/>
      <c r="E1044" s="191" t="s">
        <v>285</v>
      </c>
      <c r="F1044" s="191" t="str">
        <f t="shared" si="1718"/>
        <v>ИгрушкаФест</v>
      </c>
      <c r="G1044" s="191" t="s">
        <v>219</v>
      </c>
      <c r="H1044" s="315"/>
      <c r="I1044" s="329">
        <f>I1041-I1043</f>
        <v>163.09234507897781</v>
      </c>
      <c r="J1044" s="317"/>
      <c r="K1044" s="329">
        <f>K1041-K1043</f>
        <v>163.09234507897781</v>
      </c>
      <c r="L1044" s="330">
        <f>L1041-L1043</f>
        <v>0</v>
      </c>
      <c r="M1044" s="274"/>
      <c r="N1044" s="156">
        <f>N1041-N1043</f>
        <v>80.491822094692907</v>
      </c>
      <c r="O1044" s="196"/>
      <c r="P1044" s="156">
        <f>P1041-P1043</f>
        <v>80.491822094692907</v>
      </c>
      <c r="Q1044" s="245">
        <f>Q1041-Q1043</f>
        <v>0</v>
      </c>
      <c r="R1044" s="238"/>
      <c r="S1044" s="156">
        <f>S1041-S1043</f>
        <v>110.49182209469291</v>
      </c>
      <c r="T1044" s="196"/>
      <c r="U1044" s="156">
        <f>U1041-U1043</f>
        <v>110.49182209469291</v>
      </c>
      <c r="V1044" s="245">
        <f>V1041-V1043</f>
        <v>0</v>
      </c>
      <c r="W1044" s="238"/>
      <c r="X1044" s="156">
        <f>X1041-X1043</f>
        <v>163.09234507897781</v>
      </c>
      <c r="Y1044" s="196"/>
      <c r="Z1044" s="156">
        <f>Z1041-Z1043</f>
        <v>163.09234507897781</v>
      </c>
      <c r="AA1044" s="245">
        <f>AA1041-AA1043</f>
        <v>0</v>
      </c>
      <c r="AB1044" s="265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</row>
    <row r="1045" spans="1:42" s="5" customFormat="1">
      <c r="A1045" s="1"/>
      <c r="B1045" s="1"/>
      <c r="C1045" s="1"/>
      <c r="D1045" s="168"/>
      <c r="E1045" s="168" t="s">
        <v>286</v>
      </c>
      <c r="F1045" s="168" t="str">
        <f t="shared" si="1718"/>
        <v>ИгрушкаФест</v>
      </c>
      <c r="G1045" s="168" t="s">
        <v>261</v>
      </c>
      <c r="H1045" s="326"/>
      <c r="I1045" s="327">
        <f>SUMIFS(операции!$V:$V,операции!$T:$T,"&lt;="&amp;I$9,операции!$X:$X,"",операции!$AB:$AB,"",операции!$O:$O,$F978)+SUMIFS(операции!$V:$V,операции!$T:$T,"&lt;="&amp;I$9,операции!$X:$X,"&gt;"&amp;I$9,операции!$AB:$AB,"",операции!$O:$O,$F978)+SUMIFS(операции!$V:$V,операции!$T:$T,"&lt;="&amp;I$9,операции!$X:$X,"",операции!$AB:$AB,"&gt;"&amp;I$9,операции!$O:$O,$F978)+SUMIFS(операции!$V:$V,операции!$T:$T,"&lt;="&amp;I$9,операции!$X:$X,"&gt;"&amp;I$9,операции!$AB:$AB,"&gt;"&amp;I$9,операции!$O:$O,$F978)</f>
        <v>2610</v>
      </c>
      <c r="J1045" s="313">
        <f>I1045-K1045-L1045</f>
        <v>0</v>
      </c>
      <c r="K1045" s="327">
        <f>SUMIFS(операции!$V:$V,операции!$T:$T,"&lt;="&amp;I$9,операции!$X:$X,"",операции!$AB:$AB,"",операции!$L:$L,K$9,операции!$O:$O,$F978)+SUMIFS(операции!$V:$V,операции!$T:$T,"&lt;="&amp;I$9,операции!$X:$X,"&gt;"&amp;I$9,операции!$AB:$AB,"",операции!$L:$L,K$9,операции!$O:$O,$F978)+SUMIFS(операции!$V:$V,операции!$T:$T,"&lt;="&amp;I$9,операции!$X:$X,"",операции!$AB:$AB,"&gt;"&amp;I$9,операции!$L:$L,K$9,операции!$O:$O,$F978)+SUMIFS(операции!$V:$V,операции!$T:$T,"&lt;="&amp;I$9,операции!$X:$X,"&gt;"&amp;I$9,операции!$AB:$AB,"&gt;"&amp;I$9,операции!$L:$L,K$9,операции!$O:$O,$F978)</f>
        <v>1490</v>
      </c>
      <c r="L1045" s="328">
        <f>SUMIFS(операции!$V:$V,операции!$T:$T,"&lt;="&amp;I$9,операции!$X:$X,"",операции!$AB:$AB,"",операции!$L:$L,L$9,операции!$O:$O,$F978)+SUMIFS(операции!$V:$V,операции!$T:$T,"&lt;="&amp;I$9,операции!$X:$X,"&gt;"&amp;I$9,операции!$AB:$AB,"",операции!$L:$L,L$9,операции!$O:$O,$F978)+SUMIFS(операции!$V:$V,операции!$T:$T,"&lt;="&amp;I$9,операции!$X:$X,"",операции!$AB:$AB,"&gt;"&amp;I$9,операции!$L:$L,L$9,операции!$O:$O,$F978)+SUMIFS(операции!$V:$V,операции!$T:$T,"&lt;="&amp;I$9,операции!$X:$X,"&gt;"&amp;I$9,операции!$AB:$AB,"&gt;"&amp;I$9,операции!$L:$L,L$9,операции!$O:$O,$F978)</f>
        <v>1120</v>
      </c>
      <c r="M1045" s="277"/>
      <c r="N1045" s="169">
        <f>SUMIFS(операции!$V:$V,операции!$T:$T,"&lt;="&amp;N$9,операции!$X:$X,"",операции!$AB:$AB,"",операции!$O:$O,$F978)+SUMIFS(операции!$V:$V,операции!$T:$T,"&lt;="&amp;N$9,операции!$X:$X,"&gt;"&amp;N$9,операции!$AB:$AB,"",операции!$O:$O,$F978)+SUMIFS(операции!$V:$V,операции!$T:$T,"&lt;="&amp;N$9,операции!$X:$X,"",операции!$AB:$AB,"&gt;"&amp;N$9,операции!$O:$O,$F978)+SUMIFS(операции!$V:$V,операции!$T:$T,"&lt;="&amp;N$9,операции!$X:$X,"&gt;"&amp;N$9,операции!$AB:$AB,"&gt;"&amp;N$9,операции!$O:$O,$F978)</f>
        <v>6592</v>
      </c>
      <c r="O1045" s="170">
        <f>N1045-P1045-Q1045</f>
        <v>0</v>
      </c>
      <c r="P1045" s="169">
        <f>SUMIFS(операции!$V:$V,операции!$T:$T,"&lt;="&amp;N$9,операции!$X:$X,"",операции!$AB:$AB,"",операции!$L:$L,P$9,операции!$O:$O,$F978)+SUMIFS(операции!$V:$V,операции!$T:$T,"&lt;="&amp;N$9,операции!$X:$X,"&gt;"&amp;N$9,операции!$AB:$AB,"",операции!$L:$L,P$9,операции!$O:$O,$F978)+SUMIFS(операции!$V:$V,операции!$T:$T,"&lt;="&amp;N$9,операции!$X:$X,"",операции!$AB:$AB,"&gt;"&amp;N$9,операции!$L:$L,P$9,операции!$O:$O,$F978)+SUMIFS(операции!$V:$V,операции!$T:$T,"&lt;="&amp;N$9,операции!$X:$X,"&gt;"&amp;N$9,операции!$AB:$AB,"&gt;"&amp;N$9,операции!$L:$L,P$9,операции!$O:$O,$F978)</f>
        <v>2596</v>
      </c>
      <c r="Q1045" s="243">
        <f>SUMIFS(операции!$V:$V,операции!$T:$T,"&lt;="&amp;N$9,операции!$X:$X,"",операции!$AB:$AB,"",операции!$L:$L,Q$9,операции!$O:$O,$F978)+SUMIFS(операции!$V:$V,операции!$T:$T,"&lt;="&amp;N$9,операции!$X:$X,"&gt;"&amp;N$9,операции!$AB:$AB,"",операции!$L:$L,Q$9,операции!$O:$O,$F978)+SUMIFS(операции!$V:$V,операции!$T:$T,"&lt;="&amp;N$9,операции!$X:$X,"",операции!$AB:$AB,"&gt;"&amp;N$9,операции!$L:$L,Q$9,операции!$O:$O,$F978)+SUMIFS(операции!$V:$V,операции!$T:$T,"&lt;="&amp;N$9,операции!$X:$X,"&gt;"&amp;N$9,операции!$AB:$AB,"&gt;"&amp;N$9,операции!$L:$L,Q$9,операции!$O:$O,$F978)</f>
        <v>3996</v>
      </c>
      <c r="R1045" s="244"/>
      <c r="S1045" s="169">
        <f>SUMIFS(операции!$V:$V,операции!$T:$T,"&lt;="&amp;S$9,операции!$X:$X,"",операции!$AB:$AB,"",операции!$O:$O,$F978)+SUMIFS(операции!$V:$V,операции!$T:$T,"&lt;="&amp;S$9,операции!$X:$X,"&gt;"&amp;S$9,операции!$AB:$AB,"",операции!$O:$O,$F978)+SUMIFS(операции!$V:$V,операции!$T:$T,"&lt;="&amp;S$9,операции!$X:$X,"",операции!$AB:$AB,"&gt;"&amp;S$9,операции!$O:$O,$F978)+SUMIFS(операции!$V:$V,операции!$T:$T,"&lt;="&amp;S$9,операции!$X:$X,"&gt;"&amp;S$9,операции!$AB:$AB,"&gt;"&amp;S$9,операции!$O:$O,$F978)</f>
        <v>4135</v>
      </c>
      <c r="T1045" s="170">
        <f>S1045-U1045-V1045</f>
        <v>0</v>
      </c>
      <c r="U1045" s="169">
        <f>SUMIFS(операции!$V:$V,операции!$T:$T,"&lt;="&amp;S$9,операции!$X:$X,"",операции!$AB:$AB,"",операции!$L:$L,U$9,операции!$O:$O,$F978)+SUMIFS(операции!$V:$V,операции!$T:$T,"&lt;="&amp;S$9,операции!$X:$X,"&gt;"&amp;S$9,операции!$AB:$AB,"",операции!$L:$L,U$9,операции!$O:$O,$F978)+SUMIFS(операции!$V:$V,операции!$T:$T,"&lt;="&amp;S$9,операции!$X:$X,"",операции!$AB:$AB,"&gt;"&amp;S$9,операции!$L:$L,U$9,операции!$O:$O,$F978)+SUMIFS(операции!$V:$V,операции!$T:$T,"&lt;="&amp;S$9,операции!$X:$X,"&gt;"&amp;S$9,операции!$AB:$AB,"&gt;"&amp;S$9,операции!$L:$L,U$9,операции!$O:$O,$F978)</f>
        <v>1490</v>
      </c>
      <c r="V1045" s="243">
        <f>SUMIFS(операции!$V:$V,операции!$T:$T,"&lt;="&amp;S$9,операции!$X:$X,"",операции!$AB:$AB,"",операции!$L:$L,V$9,операции!$O:$O,$F978)+SUMIFS(операции!$V:$V,операции!$T:$T,"&lt;="&amp;S$9,операции!$X:$X,"&gt;"&amp;S$9,операции!$AB:$AB,"",операции!$L:$L,V$9,операции!$O:$O,$F978)+SUMIFS(операции!$V:$V,операции!$T:$T,"&lt;="&amp;S$9,операции!$X:$X,"",операции!$AB:$AB,"&gt;"&amp;S$9,операции!$L:$L,V$9,операции!$O:$O,$F978)+SUMIFS(операции!$V:$V,операции!$T:$T,"&lt;="&amp;S$9,операции!$X:$X,"&gt;"&amp;S$9,операции!$AB:$AB,"&gt;"&amp;S$9,операции!$L:$L,V$9,операции!$O:$O,$F978)</f>
        <v>2645</v>
      </c>
      <c r="W1045" s="244"/>
      <c r="X1045" s="169">
        <f>SUMIFS(операции!$V:$V,операции!$T:$T,"&lt;="&amp;X$9,операции!$X:$X,"",операции!$AB:$AB,"",операции!$O:$O,$F978)+SUMIFS(операции!$V:$V,операции!$T:$T,"&lt;="&amp;X$9,операции!$X:$X,"&gt;"&amp;X$9,операции!$AB:$AB,"",операции!$O:$O,$F978)+SUMIFS(операции!$V:$V,операции!$T:$T,"&lt;="&amp;X$9,операции!$X:$X,"",операции!$AB:$AB,"&gt;"&amp;X$9,операции!$O:$O,$F978)+SUMIFS(операции!$V:$V,операции!$T:$T,"&lt;="&amp;X$9,операции!$X:$X,"&gt;"&amp;X$9,операции!$AB:$AB,"&gt;"&amp;X$9,операции!$O:$O,$F978)</f>
        <v>2610</v>
      </c>
      <c r="Y1045" s="170">
        <f>X1045-Z1045-AA1045</f>
        <v>0</v>
      </c>
      <c r="Z1045" s="169">
        <f>SUMIFS(операции!$V:$V,операции!$T:$T,"&lt;="&amp;X$9,операции!$X:$X,"",операции!$AB:$AB,"",операции!$L:$L,Z$9,операции!$O:$O,$F978)+SUMIFS(операции!$V:$V,операции!$T:$T,"&lt;="&amp;X$9,операции!$X:$X,"&gt;"&amp;X$9,операции!$AB:$AB,"",операции!$L:$L,Z$9,операции!$O:$O,$F978)+SUMIFS(операции!$V:$V,операции!$T:$T,"&lt;="&amp;X$9,операции!$X:$X,"",операции!$AB:$AB,"&gt;"&amp;X$9,операции!$L:$L,Z$9,операции!$O:$O,$F978)+SUMIFS(операции!$V:$V,операции!$T:$T,"&lt;="&amp;X$9,операции!$X:$X,"&gt;"&amp;X$9,операции!$AB:$AB,"&gt;"&amp;X$9,операции!$L:$L,Z$9,операции!$O:$O,$F978)</f>
        <v>1490</v>
      </c>
      <c r="AA1045" s="243">
        <f>SUMIFS(операции!$V:$V,операции!$T:$T,"&lt;="&amp;X$9,операции!$X:$X,"",операции!$AB:$AB,"",операции!$L:$L,AA$9,операции!$O:$O,$F978)+SUMIFS(операции!$V:$V,операции!$T:$T,"&lt;="&amp;X$9,операции!$X:$X,"&gt;"&amp;X$9,операции!$AB:$AB,"",операции!$L:$L,AA$9,операции!$O:$O,$F978)+SUMIFS(операции!$V:$V,операции!$T:$T,"&lt;="&amp;X$9,операции!$X:$X,"",операции!$AB:$AB,"&gt;"&amp;X$9,операции!$L:$L,AA$9,операции!$O:$O,$F978)+SUMIFS(операции!$V:$V,операции!$T:$T,"&lt;="&amp;X$9,операции!$X:$X,"&gt;"&amp;X$9,операции!$AB:$AB,"&gt;"&amp;X$9,операции!$L:$L,AA$9,операции!$O:$O,$F978)</f>
        <v>1120</v>
      </c>
      <c r="AB1045" s="266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</row>
    <row r="1046" spans="1:42" s="192" customFormat="1" ht="11.25">
      <c r="A1046" s="37"/>
      <c r="B1046" s="37"/>
      <c r="C1046" s="37"/>
      <c r="D1046" s="191"/>
      <c r="E1046" s="191" t="s">
        <v>255</v>
      </c>
      <c r="F1046" s="191" t="str">
        <f t="shared" si="1718"/>
        <v>ИгрушкаФест</v>
      </c>
      <c r="G1046" s="191" t="s">
        <v>262</v>
      </c>
      <c r="H1046" s="315"/>
      <c r="I1046" s="316">
        <f>IF(I1045=0,0,(SUMIFS(операции!$AF:$AF,операции!$T:$T,"&lt;="&amp;I$9,операции!$X:$X,"",операции!$AB:$AB,"",операции!$O:$O,$F978)+SUMIFS(операции!$AF:$AF,операции!$T:$T,"&lt;="&amp;I$9,операции!$X:$X,"&gt;"&amp;I$9,операции!$AB:$AB,"",операции!$O:$O,$F978)+SUMIFS(операции!$AF:$AF,операции!$T:$T,"&lt;="&amp;I$9,операции!$X:$X,"",операции!$AB:$AB,"&gt;"&amp;I$9,операции!$O:$O,$F978)+SUMIFS(операции!$AF:$AF,операции!$T:$T,"&lt;="&amp;I$9,операции!$X:$X,"&gt;"&amp;I$9,операции!$AB:$AB,"&gt;"&amp;I$9,операции!$O:$O,$F978))/I1045)</f>
        <v>42238.252873563215</v>
      </c>
      <c r="J1046" s="317"/>
      <c r="K1046" s="316">
        <f>IF(K1045=0,0,(SUMIFS(операции!$AF:$AF,операции!$T:$T,"&lt;="&amp;I$9,операции!$X:$X,"",операции!$AB:$AB,"",операции!$L:$L,K$9,операции!$O:$O,$F978)+SUMIFS(операции!$AF:$AF,операции!$T:$T,"&lt;="&amp;I$9,операции!$X:$X,"&gt;"&amp;I$9,операции!$AB:$AB,"",операции!$L:$L,K$9,операции!$O:$O,$F978)+SUMIFS(операции!$AF:$AF,операции!$T:$T,"&lt;="&amp;I$9,операции!$X:$X,"",операции!$AB:$AB,"&gt;"&amp;I$9,операции!$L:$L,K$9,операции!$O:$O,$F978)+SUMIFS(операции!$AF:$AF,операции!$T:$T,"&lt;="&amp;I$9,операции!$X:$X,"&gt;"&amp;I$9,операции!$AB:$AB,"&gt;"&amp;I$9,операции!$L:$L,K$9,операции!$O:$O,$F978))/K1045)</f>
        <v>42152</v>
      </c>
      <c r="L1046" s="318">
        <f>IF(L1045=0,0,(SUMIFS(операции!$AF:$AF,операции!$T:$T,"&lt;="&amp;I$9,операции!$X:$X,"",операции!$AB:$AB,"",операции!$L:$L,L$9,операции!$O:$O,$F978)+SUMIFS(операции!$AF:$AF,операции!$T:$T,"&lt;="&amp;I$9,операции!$X:$X,"&gt;"&amp;I$9,операции!$AB:$AB,"",операции!$L:$L,L$9,операции!$O:$O,$F978)+SUMIFS(операции!$AF:$AF,операции!$T:$T,"&lt;="&amp;I$9,операции!$X:$X,"",операции!$AB:$AB,"&gt;"&amp;I$9,операции!$L:$L,L$9,операции!$O:$O,$F978)+SUMIFS(операции!$AF:$AF,операции!$T:$T,"&lt;="&amp;I$9,операции!$X:$X,"&gt;"&amp;I$9,операции!$AB:$AB,"&gt;"&amp;I$9,операции!$L:$L,L$9,операции!$O:$O,$F978))/L1045)</f>
        <v>42353</v>
      </c>
      <c r="M1046" s="274"/>
      <c r="N1046" s="193">
        <f>IF(N1045=0,0,(SUMIFS(операции!$AF:$AF,операции!$T:$T,"&lt;="&amp;N$9,операции!$X:$X,"",операции!$AB:$AB,"",операции!$O:$O,$F978)+SUMIFS(операции!$AF:$AF,операции!$T:$T,"&lt;="&amp;N$9,операции!$X:$X,"&gt;"&amp;N$9,операции!$AB:$AB,"",операции!$O:$O,$F978)+SUMIFS(операции!$AF:$AF,операции!$T:$T,"&lt;="&amp;N$9,операции!$X:$X,"",операции!$AB:$AB,"&gt;"&amp;N$9,операции!$O:$O,$F978)+SUMIFS(операции!$AF:$AF,операции!$T:$T,"&lt;="&amp;N$9,операции!$X:$X,"&gt;"&amp;N$9,операции!$AB:$AB,"&gt;"&amp;N$9,операции!$O:$O,$F978))/N1045)</f>
        <v>42260.138349514564</v>
      </c>
      <c r="O1046" s="196"/>
      <c r="P1046" s="193">
        <f>IF(P1045=0,0,(SUMIFS(операции!$AF:$AF,операции!$T:$T,"&lt;="&amp;N$9,операции!$X:$X,"",операции!$AB:$AB,"",операции!$L:$L,P$9,операции!$O:$O,$F978)+SUMIFS(операции!$AF:$AF,операции!$T:$T,"&lt;="&amp;N$9,операции!$X:$X,"&gt;"&amp;N$9,операции!$AB:$AB,"",операции!$L:$L,P$9,операции!$O:$O,$F978)+SUMIFS(операции!$AF:$AF,операции!$T:$T,"&lt;="&amp;N$9,операции!$X:$X,"",операции!$AB:$AB,"&gt;"&amp;N$9,операции!$L:$L,P$9,операции!$O:$O,$F978)+SUMIFS(операции!$AF:$AF,операции!$T:$T,"&lt;="&amp;N$9,операции!$X:$X,"&gt;"&amp;N$9,операции!$AB:$AB,"&gt;"&amp;N$9,операции!$L:$L,P$9,операции!$O:$O,$F978))/P1045)</f>
        <v>42188.213405238828</v>
      </c>
      <c r="Q1046" s="237">
        <f>IF(Q1045=0,0,(SUMIFS(операции!$AF:$AF,операции!$T:$T,"&lt;="&amp;N$9,операции!$X:$X,"",операции!$AB:$AB,"",операции!$L:$L,Q$9,операции!$O:$O,$F978)+SUMIFS(операции!$AF:$AF,операции!$T:$T,"&lt;="&amp;N$9,операции!$X:$X,"&gt;"&amp;N$9,операции!$AB:$AB,"",операции!$L:$L,Q$9,операции!$O:$O,$F978)+SUMIFS(операции!$AF:$AF,операции!$T:$T,"&lt;="&amp;N$9,операции!$X:$X,"",операции!$AB:$AB,"&gt;"&amp;N$9,операции!$L:$L,Q$9,операции!$O:$O,$F978)+SUMIFS(операции!$AF:$AF,операции!$T:$T,"&lt;="&amp;N$9,операции!$X:$X,"&gt;"&amp;N$9,операции!$AB:$AB,"&gt;"&amp;N$9,операции!$L:$L,Q$9,операции!$O:$O,$F978))/Q1045)</f>
        <v>42306.864364364366</v>
      </c>
      <c r="R1046" s="238"/>
      <c r="S1046" s="193">
        <f>IF(S1045=0,0,(SUMIFS(операции!$AF:$AF,операции!$T:$T,"&lt;="&amp;S$9,операции!$X:$X,"",операции!$AB:$AB,"",операции!$O:$O,$F978)+SUMIFS(операции!$AF:$AF,операции!$T:$T,"&lt;="&amp;S$9,операции!$X:$X,"&gt;"&amp;S$9,операции!$AB:$AB,"",операции!$O:$O,$F978)+SUMIFS(операции!$AF:$AF,операции!$T:$T,"&lt;="&amp;S$9,операции!$X:$X,"",операции!$AB:$AB,"&gt;"&amp;S$9,операции!$O:$O,$F978)+SUMIFS(операции!$AF:$AF,операции!$T:$T,"&lt;="&amp;S$9,операции!$X:$X,"&gt;"&amp;S$9,операции!$AB:$AB,"&gt;"&amp;S$9,операции!$O:$O,$F978))/S1045)</f>
        <v>42269.77025392987</v>
      </c>
      <c r="T1046" s="196"/>
      <c r="U1046" s="193">
        <f>IF(U1045=0,0,(SUMIFS(операции!$AF:$AF,операции!$T:$T,"&lt;="&amp;S$9,операции!$X:$X,"",операции!$AB:$AB,"",операции!$L:$L,U$9,операции!$O:$O,$F978)+SUMIFS(операции!$AF:$AF,операции!$T:$T,"&lt;="&amp;S$9,операции!$X:$X,"&gt;"&amp;S$9,операции!$AB:$AB,"",операции!$L:$L,U$9,операции!$O:$O,$F978)+SUMIFS(операции!$AF:$AF,операции!$T:$T,"&lt;="&amp;S$9,операции!$X:$X,"",операции!$AB:$AB,"&gt;"&amp;S$9,операции!$L:$L,U$9,операции!$O:$O,$F978)+SUMIFS(операции!$AF:$AF,операции!$T:$T,"&lt;="&amp;S$9,операции!$X:$X,"&gt;"&amp;S$9,операции!$AB:$AB,"&gt;"&amp;S$9,операции!$L:$L,U$9,операции!$O:$O,$F978))/U1045)</f>
        <v>42152</v>
      </c>
      <c r="V1046" s="237">
        <f>IF(V1045=0,0,(SUMIFS(операции!$AF:$AF,операции!$T:$T,"&lt;="&amp;S$9,операции!$X:$X,"",операции!$AB:$AB,"",операции!$L:$L,V$9,операции!$O:$O,$F978)+SUMIFS(операции!$AF:$AF,операции!$T:$T,"&lt;="&amp;S$9,операции!$X:$X,"&gt;"&amp;S$9,операции!$AB:$AB,"",операции!$L:$L,V$9,операции!$O:$O,$F978)+SUMIFS(операции!$AF:$AF,операции!$T:$T,"&lt;="&amp;S$9,операции!$X:$X,"",операции!$AB:$AB,"&gt;"&amp;S$9,операции!$L:$L,V$9,операции!$O:$O,$F978)+SUMIFS(операции!$AF:$AF,операции!$T:$T,"&lt;="&amp;S$9,операции!$X:$X,"&gt;"&amp;S$9,операции!$AB:$AB,"&gt;"&amp;S$9,операции!$L:$L,V$9,операции!$O:$O,$F978))/V1045)</f>
        <v>42336.113421550093</v>
      </c>
      <c r="W1046" s="238"/>
      <c r="X1046" s="193">
        <f>IF(X1045=0,0,(SUMIFS(операции!$AF:$AF,операции!$T:$T,"&lt;="&amp;X$9,операции!$X:$X,"",операции!$AB:$AB,"",операции!$O:$O,$F978)+SUMIFS(операции!$AF:$AF,операции!$T:$T,"&lt;="&amp;X$9,операции!$X:$X,"&gt;"&amp;X$9,операции!$AB:$AB,"",операции!$O:$O,$F978)+SUMIFS(операции!$AF:$AF,операции!$T:$T,"&lt;="&amp;X$9,операции!$X:$X,"",операции!$AB:$AB,"&gt;"&amp;X$9,операции!$O:$O,$F978)+SUMIFS(операции!$AF:$AF,операции!$T:$T,"&lt;="&amp;X$9,операции!$X:$X,"&gt;"&amp;X$9,операции!$AB:$AB,"&gt;"&amp;X$9,операции!$O:$O,$F978))/X1045)</f>
        <v>42238.252873563215</v>
      </c>
      <c r="Y1046" s="196"/>
      <c r="Z1046" s="193">
        <f>IF(Z1045=0,0,(SUMIFS(операции!$AF:$AF,операции!$T:$T,"&lt;="&amp;X$9,операции!$X:$X,"",операции!$AB:$AB,"",операции!$L:$L,Z$9,операции!$O:$O,$F978)+SUMIFS(операции!$AF:$AF,операции!$T:$T,"&lt;="&amp;X$9,операции!$X:$X,"&gt;"&amp;X$9,операции!$AB:$AB,"",операции!$L:$L,Z$9,операции!$O:$O,$F978)+SUMIFS(операции!$AF:$AF,операции!$T:$T,"&lt;="&amp;X$9,операции!$X:$X,"",операции!$AB:$AB,"&gt;"&amp;X$9,операции!$L:$L,Z$9,операции!$O:$O,$F978)+SUMIFS(операции!$AF:$AF,операции!$T:$T,"&lt;="&amp;X$9,операции!$X:$X,"&gt;"&amp;X$9,операции!$AB:$AB,"&gt;"&amp;X$9,операции!$L:$L,Z$9,операции!$O:$O,$F978))/Z1045)</f>
        <v>42152</v>
      </c>
      <c r="AA1046" s="237">
        <f>IF(AA1045=0,0,(SUMIFS(операции!$AF:$AF,операции!$T:$T,"&lt;="&amp;X$9,операции!$X:$X,"",операции!$AB:$AB,"",операции!$L:$L,AA$9,операции!$O:$O,$F978)+SUMIFS(операции!$AF:$AF,операции!$T:$T,"&lt;="&amp;X$9,операции!$X:$X,"&gt;"&amp;X$9,операции!$AB:$AB,"",операции!$L:$L,AA$9,операции!$O:$O,$F978)+SUMIFS(операции!$AF:$AF,операции!$T:$T,"&lt;="&amp;X$9,операции!$X:$X,"",операции!$AB:$AB,"&gt;"&amp;X$9,операции!$L:$L,AA$9,операции!$O:$O,$F978)+SUMIFS(операции!$AF:$AF,операции!$T:$T,"&lt;="&amp;X$9,операции!$X:$X,"&gt;"&amp;X$9,операции!$AB:$AB,"&gt;"&amp;X$9,операции!$L:$L,AA$9,операции!$O:$O,$F978))/AA1045)</f>
        <v>42353</v>
      </c>
      <c r="AB1046" s="265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</row>
    <row r="1047" spans="1:42" s="192" customFormat="1" ht="11.25">
      <c r="A1047" s="37"/>
      <c r="B1047" s="37"/>
      <c r="C1047" s="37"/>
      <c r="D1047" s="191"/>
      <c r="E1047" s="191" t="s">
        <v>287</v>
      </c>
      <c r="F1047" s="191" t="str">
        <f t="shared" ref="F1047:F1050" si="1851">F1046</f>
        <v>ИгрушкаФест</v>
      </c>
      <c r="G1047" s="191" t="s">
        <v>219</v>
      </c>
      <c r="H1047" s="315"/>
      <c r="I1047" s="329">
        <f>IF(I1045=0,0,I$9-I1046)</f>
        <v>130.74712643678504</v>
      </c>
      <c r="J1047" s="317"/>
      <c r="K1047" s="329">
        <f>IF(K1045=0,0,I$9-K1046)</f>
        <v>217</v>
      </c>
      <c r="L1047" s="330">
        <f>IF(L1045=0,0,I$9-L1046)</f>
        <v>16</v>
      </c>
      <c r="M1047" s="274"/>
      <c r="N1047" s="156">
        <f>IF(N1045=0,0,N$9-N1046)</f>
        <v>47.861650485436257</v>
      </c>
      <c r="O1047" s="196"/>
      <c r="P1047" s="156">
        <f>IF(P1045=0,0,N$9-P1046)</f>
        <v>119.78659476117173</v>
      </c>
      <c r="Q1047" s="245">
        <f>IF(Q1045=0,0,N$9-Q1046)</f>
        <v>1.1356356356336619</v>
      </c>
      <c r="R1047" s="238"/>
      <c r="S1047" s="156">
        <f>IF(S1045=0,0,S$9-S1046)</f>
        <v>68.229746070130204</v>
      </c>
      <c r="T1047" s="196"/>
      <c r="U1047" s="156">
        <f>IF(U1045=0,0,S$9-U1046)</f>
        <v>186</v>
      </c>
      <c r="V1047" s="245">
        <f>IF(V1045=0,0,S$9-V1046)</f>
        <v>1.8865784499066649</v>
      </c>
      <c r="W1047" s="238"/>
      <c r="X1047" s="156">
        <f>IF(X1045=0,0,X$9-X1046)</f>
        <v>130.74712643678504</v>
      </c>
      <c r="Y1047" s="196"/>
      <c r="Z1047" s="156">
        <f>IF(Z1045=0,0,X$9-Z1046)</f>
        <v>217</v>
      </c>
      <c r="AA1047" s="245">
        <f>IF(AA1045=0,0,X$9-AA1046)</f>
        <v>16</v>
      </c>
      <c r="AB1047" s="265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</row>
    <row r="1048" spans="1:42" s="192" customFormat="1" ht="11.25">
      <c r="A1048" s="37"/>
      <c r="B1048" s="37"/>
      <c r="C1048" s="37"/>
      <c r="D1048" s="191"/>
      <c r="E1048" s="191" t="s">
        <v>311</v>
      </c>
      <c r="F1048" s="191" t="str">
        <f t="shared" si="1851"/>
        <v>ИгрушкаФест</v>
      </c>
      <c r="G1048" s="191" t="s">
        <v>262</v>
      </c>
      <c r="H1048" s="315"/>
      <c r="I1048" s="316">
        <f>I$9</f>
        <v>42369</v>
      </c>
      <c r="J1048" s="317"/>
      <c r="K1048" s="316">
        <f>I$9</f>
        <v>42369</v>
      </c>
      <c r="L1048" s="318">
        <f>I$9</f>
        <v>42369</v>
      </c>
      <c r="M1048" s="274"/>
      <c r="N1048" s="193">
        <f>N$9</f>
        <v>42308</v>
      </c>
      <c r="O1048" s="196"/>
      <c r="P1048" s="193">
        <f>N$9</f>
        <v>42308</v>
      </c>
      <c r="Q1048" s="237">
        <f>N$9</f>
        <v>42308</v>
      </c>
      <c r="R1048" s="238"/>
      <c r="S1048" s="193">
        <f>S$9</f>
        <v>42338</v>
      </c>
      <c r="T1048" s="196"/>
      <c r="U1048" s="193">
        <f>S$9</f>
        <v>42338</v>
      </c>
      <c r="V1048" s="237">
        <f>S$9</f>
        <v>42338</v>
      </c>
      <c r="W1048" s="238"/>
      <c r="X1048" s="193">
        <f>X$9</f>
        <v>42369</v>
      </c>
      <c r="Y1048" s="196"/>
      <c r="Z1048" s="193">
        <f>X$9</f>
        <v>42369</v>
      </c>
      <c r="AA1048" s="237">
        <f>X$9</f>
        <v>42369</v>
      </c>
      <c r="AB1048" s="265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</row>
    <row r="1049" spans="1:42" s="192" customFormat="1" ht="11.25">
      <c r="A1049" s="37"/>
      <c r="B1049" s="37"/>
      <c r="C1049" s="37"/>
      <c r="D1049" s="191"/>
      <c r="E1049" s="191" t="s">
        <v>288</v>
      </c>
      <c r="F1049" s="191" t="str">
        <f t="shared" si="1851"/>
        <v>ИгрушкаФест</v>
      </c>
      <c r="G1049" s="191" t="s">
        <v>219</v>
      </c>
      <c r="H1049" s="315"/>
      <c r="I1049" s="329">
        <f>IF(I1045=0,0,I1048-I1046)</f>
        <v>130.74712643678504</v>
      </c>
      <c r="J1049" s="317"/>
      <c r="K1049" s="329">
        <f>IF(K1045=0,0,K1048-K1046)</f>
        <v>217</v>
      </c>
      <c r="L1049" s="330">
        <f>IF(L1045=0,0,L1048-L1046)</f>
        <v>16</v>
      </c>
      <c r="M1049" s="274"/>
      <c r="N1049" s="156">
        <f>IF(N1045=0,0,N1048-N1046)</f>
        <v>47.861650485436257</v>
      </c>
      <c r="O1049" s="196"/>
      <c r="P1049" s="156">
        <f>IF(P1045=0,0,P1048-P1046)</f>
        <v>119.78659476117173</v>
      </c>
      <c r="Q1049" s="245">
        <f>IF(Q1045=0,0,Q1048-Q1046)</f>
        <v>1.1356356356336619</v>
      </c>
      <c r="R1049" s="238"/>
      <c r="S1049" s="156">
        <f>IF(S1045=0,0,S1048-S1046)</f>
        <v>68.229746070130204</v>
      </c>
      <c r="T1049" s="196"/>
      <c r="U1049" s="156">
        <f>IF(U1045=0,0,U1048-U1046)</f>
        <v>186</v>
      </c>
      <c r="V1049" s="245">
        <f>IF(V1045=0,0,V1048-V1046)</f>
        <v>1.8865784499066649</v>
      </c>
      <c r="W1049" s="238"/>
      <c r="X1049" s="156">
        <f>IF(X1045=0,0,X1048-X1046)</f>
        <v>130.74712643678504</v>
      </c>
      <c r="Y1049" s="196"/>
      <c r="Z1049" s="156">
        <f>IF(Z1045=0,0,Z1048-Z1046)</f>
        <v>217</v>
      </c>
      <c r="AA1049" s="245">
        <f>IF(AA1045=0,0,AA1048-AA1046)</f>
        <v>16</v>
      </c>
      <c r="AB1049" s="265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</row>
    <row r="1050" spans="1:42" s="192" customFormat="1" ht="12" thickBot="1">
      <c r="A1050" s="37"/>
      <c r="B1050" s="37"/>
      <c r="C1050" s="37"/>
      <c r="D1050" s="297"/>
      <c r="E1050" s="297" t="s">
        <v>289</v>
      </c>
      <c r="F1050" s="297" t="str">
        <f t="shared" si="1851"/>
        <v>ИгрушкаФест</v>
      </c>
      <c r="G1050" s="297" t="s">
        <v>219</v>
      </c>
      <c r="H1050" s="377"/>
      <c r="I1050" s="378">
        <f>I1047-I1049</f>
        <v>0</v>
      </c>
      <c r="J1050" s="379"/>
      <c r="K1050" s="378">
        <f>K1047-K1049</f>
        <v>0</v>
      </c>
      <c r="L1050" s="380">
        <f>L1047-L1049</f>
        <v>0</v>
      </c>
      <c r="M1050" s="300"/>
      <c r="N1050" s="298">
        <f>N1047-N1049</f>
        <v>0</v>
      </c>
      <c r="O1050" s="299"/>
      <c r="P1050" s="298">
        <f>P1047-P1049</f>
        <v>0</v>
      </c>
      <c r="Q1050" s="301">
        <f>Q1047-Q1049</f>
        <v>0</v>
      </c>
      <c r="R1050" s="302"/>
      <c r="S1050" s="298">
        <f>S1047-S1049</f>
        <v>0</v>
      </c>
      <c r="T1050" s="299"/>
      <c r="U1050" s="298">
        <f>U1047-U1049</f>
        <v>0</v>
      </c>
      <c r="V1050" s="301">
        <f>V1047-V1049</f>
        <v>0</v>
      </c>
      <c r="W1050" s="302"/>
      <c r="X1050" s="298">
        <f>X1047-X1049</f>
        <v>0</v>
      </c>
      <c r="Y1050" s="299"/>
      <c r="Z1050" s="298">
        <f>Z1047-Z1049</f>
        <v>0</v>
      </c>
      <c r="AA1050" s="301">
        <f>AA1047-AA1049</f>
        <v>0</v>
      </c>
      <c r="AB1050" s="265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</row>
    <row r="1051" spans="1:42" s="111" customFormat="1" ht="11.25">
      <c r="A1051" s="108"/>
      <c r="B1051" s="108"/>
      <c r="C1051" s="108" t="s">
        <v>271</v>
      </c>
      <c r="D1051" s="291"/>
      <c r="E1051" s="291"/>
      <c r="F1051" s="291" t="str">
        <f>F1052</f>
        <v>ИнтКид</v>
      </c>
      <c r="G1051" s="291"/>
      <c r="H1051" s="373"/>
      <c r="I1051" s="374">
        <f>I1052-K1052-L1052</f>
        <v>0</v>
      </c>
      <c r="J1051" s="375">
        <f>N1051+N1069+N1107+SUM(O:O)+S1051+S1069+S1107+SUM(T:T)+X1051+X1069+X1107+SUM(Y:Y)</f>
        <v>3.7104683769939584E-9</v>
      </c>
      <c r="K1051" s="373"/>
      <c r="L1051" s="376"/>
      <c r="M1051" s="293"/>
      <c r="N1051" s="292">
        <f>N1052-P1052-Q1052</f>
        <v>0</v>
      </c>
      <c r="O1051" s="294"/>
      <c r="P1051" s="291"/>
      <c r="Q1051" s="295"/>
      <c r="R1051" s="296"/>
      <c r="S1051" s="292">
        <f>S1052-U1052-V1052</f>
        <v>0</v>
      </c>
      <c r="T1051" s="294"/>
      <c r="U1051" s="291"/>
      <c r="V1051" s="295"/>
      <c r="W1051" s="296"/>
      <c r="X1051" s="292">
        <f>X1052-Z1052-AA1052</f>
        <v>0</v>
      </c>
      <c r="Y1051" s="294"/>
      <c r="Z1051" s="291"/>
      <c r="AA1051" s="295"/>
      <c r="AB1051" s="263"/>
      <c r="AC1051" s="108"/>
      <c r="AD1051" s="108"/>
      <c r="AE1051" s="108"/>
      <c r="AF1051" s="108"/>
      <c r="AG1051" s="108"/>
      <c r="AH1051" s="108"/>
      <c r="AI1051" s="108"/>
      <c r="AJ1051" s="108"/>
      <c r="AK1051" s="108"/>
      <c r="AL1051" s="108"/>
      <c r="AM1051" s="108"/>
      <c r="AN1051" s="108"/>
      <c r="AO1051" s="108"/>
      <c r="AP1051" s="108"/>
    </row>
    <row r="1052" spans="1:42" s="93" customFormat="1" ht="15">
      <c r="A1052" s="92"/>
      <c r="B1052" s="92"/>
      <c r="C1052" s="92"/>
      <c r="D1052" s="151" t="s">
        <v>256</v>
      </c>
      <c r="E1052" s="151"/>
      <c r="F1052" s="286" t="str">
        <f>микс!$H$31</f>
        <v>ИнтКид</v>
      </c>
      <c r="G1052" s="151" t="s">
        <v>261</v>
      </c>
      <c r="H1052" s="311"/>
      <c r="I1052" s="312">
        <f>SUMIFS(операции!$V:$V,операции!$T:$T,"&lt;"&amp;I$8,операции!$X:$X,"",операции!$O:$O,$F1052)+SUMIFS(операции!$V:$V,операции!$T:$T,"&lt;"&amp;I$8,операции!$X:$X,"&gt;="&amp;I$8,операции!$O:$O,$F1052)</f>
        <v>14585.609999999999</v>
      </c>
      <c r="J1052" s="313">
        <f>I1052-I1057-I1063</f>
        <v>0</v>
      </c>
      <c r="K1052" s="312">
        <f>SUMIFS(операции!$V:$V,операции!$T:$T,"&lt;"&amp;I$8,операции!$X:$X,"",операции!$L:$L,K$9,операции!$O:$O,$F1052)+SUMIFS(операции!$V:$V,операции!$T:$T,"&lt;"&amp;I$8,операции!$X:$X,"&gt;="&amp;I$8,операции!$L:$L,K$9,операции!$O:$O,$F1052)</f>
        <v>14585.609999999999</v>
      </c>
      <c r="L1052" s="314">
        <f>SUMIFS(операции!$V:$V,операции!$T:$T,"&lt;"&amp;I$8,операции!$X:$X,"",операции!$L:$L,L$9,операции!$O:$O,$F1052)+SUMIFS(операции!$V:$V,операции!$T:$T,"&lt;"&amp;I$8,операции!$X:$X,"&gt;="&amp;I$8,операции!$L:$L,L$9,операции!$O:$O,$F1052)</f>
        <v>0</v>
      </c>
      <c r="M1052" s="273"/>
      <c r="N1052" s="152">
        <f>SUMIFS(операции!$V:$V,операции!$T:$T,"&lt;"&amp;N$8,операции!$X:$X,"",операции!$O:$O,$F1052)+SUMIFS(операции!$V:$V,операции!$T:$T,"&lt;"&amp;N$8,операции!$X:$X,"&gt;="&amp;N$8,операции!$O:$O,$F1052)</f>
        <v>14585.609999999999</v>
      </c>
      <c r="O1052" s="170">
        <f>N1052-N1057-N1063</f>
        <v>0</v>
      </c>
      <c r="P1052" s="152">
        <f>SUMIFS(операции!$V:$V,операции!$T:$T,"&lt;"&amp;N$8,операции!$X:$X,"",операции!$L:$L,P$9,операции!$O:$O,$F1052)+SUMIFS(операции!$V:$V,операции!$T:$T,"&lt;"&amp;N$8,операции!$X:$X,"&gt;="&amp;N$8,операции!$L:$L,P$9,операции!$O:$O,$F1052)</f>
        <v>14585.609999999999</v>
      </c>
      <c r="Q1052" s="235">
        <f>SUMIFS(операции!$V:$V,операции!$T:$T,"&lt;"&amp;N$8,операции!$X:$X,"",операции!$L:$L,Q$9,операции!$O:$O,$F1052)+SUMIFS(операции!$V:$V,операции!$T:$T,"&lt;"&amp;N$8,операции!$X:$X,"&gt;="&amp;N$8,операции!$L:$L,Q$9,операции!$O:$O,$F1052)</f>
        <v>0</v>
      </c>
      <c r="R1052" s="236"/>
      <c r="S1052" s="152">
        <f>SUMIFS(операции!$V:$V,операции!$T:$T,"&lt;"&amp;S$8,операции!$X:$X,"",операции!$O:$O,$F1052)+SUMIFS(операции!$V:$V,операции!$T:$T,"&lt;"&amp;S$8,операции!$X:$X,"&gt;="&amp;S$8,операции!$O:$O,$F1052)</f>
        <v>8853.48</v>
      </c>
      <c r="T1052" s="170">
        <f>S1052-S1057-S1063</f>
        <v>0</v>
      </c>
      <c r="U1052" s="152">
        <f>SUMIFS(операции!$V:$V,операции!$T:$T,"&lt;"&amp;S$8,операции!$X:$X,"",операции!$L:$L,U$9,операции!$O:$O,$F1052)+SUMIFS(операции!$V:$V,операции!$T:$T,"&lt;"&amp;S$8,операции!$X:$X,"&gt;="&amp;S$8,операции!$L:$L,U$9,операции!$O:$O,$F1052)</f>
        <v>8853.48</v>
      </c>
      <c r="V1052" s="235">
        <f>SUMIFS(операции!$V:$V,операции!$T:$T,"&lt;"&amp;S$8,операции!$X:$X,"",операции!$L:$L,V$9,операции!$O:$O,$F1052)+SUMIFS(операции!$V:$V,операции!$T:$T,"&lt;"&amp;S$8,операции!$X:$X,"&gt;="&amp;S$8,операции!$L:$L,V$9,операции!$O:$O,$F1052)</f>
        <v>0</v>
      </c>
      <c r="W1052" s="236"/>
      <c r="X1052" s="152">
        <f>SUMIFS(операции!$V:$V,операции!$T:$T,"&lt;"&amp;X$8,операции!$X:$X,"",операции!$O:$O,$F1052)+SUMIFS(операции!$V:$V,операции!$T:$T,"&lt;"&amp;X$8,операции!$X:$X,"&gt;="&amp;X$8,операции!$O:$O,$F1052)</f>
        <v>67210.409999999989</v>
      </c>
      <c r="Y1052" s="170">
        <f>X1052-X1057-X1063</f>
        <v>0</v>
      </c>
      <c r="Z1052" s="152">
        <f>SUMIFS(операции!$V:$V,операции!$T:$T,"&lt;"&amp;X$8,операции!$X:$X,"",операции!$L:$L,Z$9,операции!$O:$O,$F1052)+SUMIFS(операции!$V:$V,операции!$T:$T,"&lt;"&amp;X$8,операции!$X:$X,"&gt;="&amp;X$8,операции!$L:$L,Z$9,операции!$O:$O,$F1052)</f>
        <v>2313.86</v>
      </c>
      <c r="AA1052" s="235">
        <f>SUMIFS(операции!$V:$V,операции!$T:$T,"&lt;"&amp;X$8,операции!$X:$X,"",операции!$L:$L,AA$9,операции!$O:$O,$F1052)+SUMIFS(операции!$V:$V,операции!$T:$T,"&lt;"&amp;X$8,операции!$X:$X,"&gt;="&amp;X$8,операции!$L:$L,AA$9,операции!$O:$O,$F1052)</f>
        <v>64896.549999999996</v>
      </c>
      <c r="AB1052" s="264"/>
      <c r="AC1052" s="92"/>
      <c r="AD1052" s="92"/>
      <c r="AE1052" s="92"/>
      <c r="AF1052" s="92"/>
      <c r="AG1052" s="92"/>
      <c r="AH1052" s="92"/>
      <c r="AI1052" s="92"/>
      <c r="AJ1052" s="92"/>
      <c r="AK1052" s="92"/>
      <c r="AL1052" s="92"/>
      <c r="AM1052" s="92"/>
      <c r="AN1052" s="92"/>
      <c r="AO1052" s="92"/>
      <c r="AP1052" s="92"/>
    </row>
    <row r="1053" spans="1:42" s="192" customFormat="1" ht="11.25">
      <c r="A1053" s="37"/>
      <c r="B1053" s="37"/>
      <c r="C1053" s="37"/>
      <c r="D1053" s="191" t="s">
        <v>255</v>
      </c>
      <c r="E1053" s="191"/>
      <c r="F1053" s="191" t="str">
        <f>F1052</f>
        <v>ИнтКид</v>
      </c>
      <c r="G1053" s="191" t="s">
        <v>262</v>
      </c>
      <c r="H1053" s="315"/>
      <c r="I1053" s="316">
        <f>IF(I1052=0,0,(SUMIFS(операции!$AF:$AF,операции!$T:$T,"&lt;"&amp;I$8,операции!$X:$X,"",операции!$O:$O,$F1052)+SUMIFS(операции!$AF:$AF,операции!$T:$T,"&lt;"&amp;I$8,операции!$X:$X,"&gt;="&amp;I$8,операции!$O:$O,$F1052))/I1052)</f>
        <v>42217.970749937784</v>
      </c>
      <c r="J1053" s="317"/>
      <c r="K1053" s="316">
        <f>IF(K1052=0,0,(SUMIFS(операции!$AF:$AF,операции!$T:$T,"&lt;"&amp;I$8,операции!$X:$X,"",операции!$L:$L,K$9,операции!$O:$O,$F1052)+SUMIFS(операции!$AF:$AF,операции!$T:$T,"&lt;"&amp;I$8,операции!$X:$X,"&gt;="&amp;I$8,операции!$L:$L,K$9,операции!$O:$O,$F1052))/K1052)</f>
        <v>42217.970749937784</v>
      </c>
      <c r="L1053" s="318">
        <f>IF(L1052=0,0,(SUMIFS(операции!$AF:$AF,операции!$T:$T,"&lt;"&amp;I$8,операции!$X:$X,"",операции!$L:$L,L$9,операции!$O:$O,$F1052)+SUMIFS(операции!$AF:$AF,операции!$T:$T,"&lt;"&amp;I$8,операции!$X:$X,"&gt;="&amp;I$8,операции!$L:$L,L$9,операции!$O:$O,$F1052))/L1052)</f>
        <v>0</v>
      </c>
      <c r="M1053" s="274"/>
      <c r="N1053" s="193">
        <f>IF(N1052=0,0,(SUMIFS(операции!$AF:$AF,операции!$T:$T,"&lt;"&amp;N$8,операции!$X:$X,"",операции!$O:$O,$F1052)+SUMIFS(операции!$AF:$AF,операции!$T:$T,"&lt;"&amp;N$8,операции!$X:$X,"&gt;="&amp;N$8,операции!$O:$O,$F1052))/N1052)</f>
        <v>42217.970749937784</v>
      </c>
      <c r="O1053" s="196"/>
      <c r="P1053" s="193">
        <f>IF(P1052=0,0,(SUMIFS(операции!$AF:$AF,операции!$T:$T,"&lt;"&amp;N$8,операции!$X:$X,"",операции!$L:$L,P$9,операции!$O:$O,$F1052)+SUMIFS(операции!$AF:$AF,операции!$T:$T,"&lt;"&amp;N$8,операции!$X:$X,"&gt;="&amp;N$8,операции!$L:$L,P$9,операции!$O:$O,$F1052))/P1052)</f>
        <v>42217.970749937784</v>
      </c>
      <c r="Q1053" s="237">
        <f>IF(Q1052=0,0,(SUMIFS(операции!$AF:$AF,операции!$T:$T,"&lt;"&amp;N$8,операции!$X:$X,"",операции!$L:$L,Q$9,операции!$O:$O,$F1052)+SUMIFS(операции!$AF:$AF,операции!$T:$T,"&lt;"&amp;N$8,операции!$X:$X,"&gt;="&amp;N$8,операции!$L:$L,Q$9,операции!$O:$O,$F1052))/Q1052)</f>
        <v>0</v>
      </c>
      <c r="R1053" s="238"/>
      <c r="S1053" s="193">
        <f>IF(S1052=0,0,(SUMIFS(операции!$AF:$AF,операции!$T:$T,"&lt;"&amp;S$8,операции!$X:$X,"",операции!$O:$O,$F1052)+SUMIFS(операции!$AF:$AF,операции!$T:$T,"&lt;"&amp;S$8,операции!$X:$X,"&gt;="&amp;S$8,операции!$O:$O,$F1052))/S1052)</f>
        <v>42232.012354464008</v>
      </c>
      <c r="T1053" s="196"/>
      <c r="U1053" s="193">
        <f>IF(U1052=0,0,(SUMIFS(операции!$AF:$AF,операции!$T:$T,"&lt;"&amp;S$8,операции!$X:$X,"",операции!$L:$L,U$9,операции!$O:$O,$F1052)+SUMIFS(операции!$AF:$AF,операции!$T:$T,"&lt;"&amp;S$8,операции!$X:$X,"&gt;="&amp;S$8,операции!$L:$L,U$9,операции!$O:$O,$F1052))/U1052)</f>
        <v>42232.012354464008</v>
      </c>
      <c r="V1053" s="237">
        <f>IF(V1052=0,0,(SUMIFS(операции!$AF:$AF,операции!$T:$T,"&lt;"&amp;S$8,операции!$X:$X,"",операции!$L:$L,V$9,операции!$O:$O,$F1052)+SUMIFS(операции!$AF:$AF,операции!$T:$T,"&lt;"&amp;S$8,операции!$X:$X,"&gt;="&amp;S$8,операции!$L:$L,V$9,операции!$O:$O,$F1052))/V1052)</f>
        <v>0</v>
      </c>
      <c r="W1053" s="238"/>
      <c r="X1053" s="193">
        <f>IF(X1052=0,0,(SUMIFS(операции!$AF:$AF,операции!$T:$T,"&lt;"&amp;X$8,операции!$X:$X,"",операции!$O:$O,$F1052)+SUMIFS(операции!$AF:$AF,операции!$T:$T,"&lt;"&amp;X$8,операции!$X:$X,"&gt;="&amp;X$8,операции!$O:$O,$F1052))/X1052)</f>
        <v>42332.509191358906</v>
      </c>
      <c r="Y1053" s="196"/>
      <c r="Z1053" s="193">
        <f>IF(Z1052=0,0,(SUMIFS(операции!$AF:$AF,операции!$T:$T,"&lt;"&amp;X$8,операции!$X:$X,"",операции!$L:$L,Z$9,операции!$O:$O,$F1052)+SUMIFS(операции!$AF:$AF,операции!$T:$T,"&lt;"&amp;X$8,операции!$X:$X,"&gt;="&amp;X$8,операции!$L:$L,Z$9,операции!$O:$O,$F1052))/Z1052)</f>
        <v>42222.478732507581</v>
      </c>
      <c r="AA1053" s="237">
        <f>IF(AA1052=0,0,(SUMIFS(операции!$AF:$AF,операции!$T:$T,"&lt;"&amp;X$8,операции!$X:$X,"",операции!$L:$L,AA$9,операции!$O:$O,$F1052)+SUMIFS(операции!$AF:$AF,операции!$T:$T,"&lt;"&amp;X$8,операции!$X:$X,"&gt;="&amp;X$8,операции!$L:$L,AA$9,операции!$O:$O,$F1052))/AA1052)</f>
        <v>42336.432282455695</v>
      </c>
      <c r="AB1053" s="265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</row>
    <row r="1054" spans="1:42" s="50" customFormat="1" ht="11.25">
      <c r="A1054" s="48"/>
      <c r="B1054" s="48"/>
      <c r="C1054" s="48"/>
      <c r="D1054" s="154" t="s">
        <v>257</v>
      </c>
      <c r="E1054" s="154"/>
      <c r="F1054" s="154" t="str">
        <f t="shared" ref="F1054:F1120" si="1852">F1053</f>
        <v>ИнтКид</v>
      </c>
      <c r="G1054" s="154" t="s">
        <v>219</v>
      </c>
      <c r="H1054" s="319"/>
      <c r="I1054" s="320">
        <f>IF(I1052=0,0,I$8-I1053)</f>
        <v>60.029250062216306</v>
      </c>
      <c r="J1054" s="321">
        <f>I1054-IF(I1052=0,0,(I1057*I1059+I1063*I1065)/I1052)</f>
        <v>-6.1106675275368616E-13</v>
      </c>
      <c r="K1054" s="320">
        <f>IF(K1052=0,0,I$8-K1053)</f>
        <v>60.029250062216306</v>
      </c>
      <c r="L1054" s="322">
        <f>IF(L1052=0,0,I$8-L1053)</f>
        <v>0</v>
      </c>
      <c r="M1054" s="275"/>
      <c r="N1054" s="155">
        <f>IF(N1052=0,0,N$8-N1053)</f>
        <v>60.029250062216306</v>
      </c>
      <c r="O1054" s="173">
        <f>N1054-IF(N1052=0,0,(N1057*N1059+N1063*N1065)/N1052)</f>
        <v>-6.1106675275368616E-13</v>
      </c>
      <c r="P1054" s="155">
        <f>IF(P1052=0,0,N$8-P1053)</f>
        <v>60.029250062216306</v>
      </c>
      <c r="Q1054" s="239">
        <f>IF(Q1052=0,0,N$8-Q1053)</f>
        <v>0</v>
      </c>
      <c r="R1054" s="240"/>
      <c r="S1054" s="155">
        <f>IF(S1052=0,0,S$8-S1053)</f>
        <v>76.98764553599176</v>
      </c>
      <c r="T1054" s="173">
        <f>S1054-IF(S1052=0,0,(S1057*S1059+S1063*S1065)/S1052)</f>
        <v>1.2647660696529783E-12</v>
      </c>
      <c r="U1054" s="155">
        <f>IF(U1052=0,0,S$8-U1053)</f>
        <v>76.98764553599176</v>
      </c>
      <c r="V1054" s="239">
        <f>IF(V1052=0,0,S$8-V1053)</f>
        <v>0</v>
      </c>
      <c r="W1054" s="240"/>
      <c r="X1054" s="155">
        <f>IF(X1052=0,0,X$8-X1053)</f>
        <v>6.4908086410941905</v>
      </c>
      <c r="Y1054" s="173">
        <f>X1054-IF(X1052=0,0,(X1057*X1059+X1063*X1065)/X1052)</f>
        <v>-6.0111915445304476E-12</v>
      </c>
      <c r="Z1054" s="155">
        <f>IF(Z1052=0,0,X$8-Z1053)</f>
        <v>116.5212674924187</v>
      </c>
      <c r="AA1054" s="239">
        <f>IF(AA1052=0,0,X$8-AA1053)</f>
        <v>2.5677175443051965</v>
      </c>
      <c r="AB1054" s="230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</row>
    <row r="1055" spans="1:42" s="93" customFormat="1" ht="15">
      <c r="A1055" s="92"/>
      <c r="B1055" s="92"/>
      <c r="C1055" s="92"/>
      <c r="D1055" s="198" t="s">
        <v>267</v>
      </c>
      <c r="E1055" s="198"/>
      <c r="F1055" s="198" t="str">
        <f t="shared" si="1852"/>
        <v>ИнтКид</v>
      </c>
      <c r="G1055" s="198" t="s">
        <v>219</v>
      </c>
      <c r="H1055" s="323"/>
      <c r="I1055" s="324">
        <f>IF(I1052=0,0,(I1057*I1061+I1063*I1067)/I1052)</f>
        <v>30.390257246695224</v>
      </c>
      <c r="J1055" s="321"/>
      <c r="K1055" s="324">
        <f t="shared" ref="K1055" si="1853">IF(K1052=0,0,(K1057*K1061+K1063*K1067)/K1052)</f>
        <v>30.390257246695224</v>
      </c>
      <c r="L1055" s="325">
        <f>IF(L1052=0,0,(L1057*L1061+L1063*L1067)/L1052)</f>
        <v>0</v>
      </c>
      <c r="M1055" s="276"/>
      <c r="N1055" s="199">
        <f>IF(N1052=0,0,(N1057*N1061+N1063*N1067)/N1052)</f>
        <v>30.390257246695224</v>
      </c>
      <c r="O1055" s="173"/>
      <c r="P1055" s="199">
        <f t="shared" ref="P1055" si="1854">IF(P1052=0,0,(P1057*P1061+P1063*P1067)/P1052)</f>
        <v>30.390257246695224</v>
      </c>
      <c r="Q1055" s="241">
        <f>IF(Q1052=0,0,(Q1057*Q1061+Q1063*Q1067)/Q1052)</f>
        <v>0</v>
      </c>
      <c r="R1055" s="242"/>
      <c r="S1055" s="199">
        <f>IF(S1052=0,0,(S1057*S1061+S1063*S1067)/S1052)</f>
        <v>33.639941582294831</v>
      </c>
      <c r="T1055" s="173"/>
      <c r="U1055" s="199">
        <f t="shared" ref="U1055" si="1855">IF(U1052=0,0,(U1057*U1061+U1063*U1067)/U1052)</f>
        <v>33.639941582294831</v>
      </c>
      <c r="V1055" s="241">
        <f>IF(V1052=0,0,(V1057*V1061+V1063*V1067)/V1052)</f>
        <v>0</v>
      </c>
      <c r="W1055" s="242"/>
      <c r="X1055" s="199">
        <f>IF(X1052=0,0,(X1057*X1061+X1063*X1067)/X1052)</f>
        <v>2.965504302084931</v>
      </c>
      <c r="Y1055" s="173"/>
      <c r="Z1055" s="199">
        <f t="shared" ref="Z1055" si="1856">IF(Z1052=0,0,(Z1057*Z1061+Z1063*Z1067)/Z1052)</f>
        <v>14.122181117272703</v>
      </c>
      <c r="AA1055" s="241">
        <f>IF(AA1052=0,0,(AA1057*AA1061+AA1063*AA1067)/AA1052)</f>
        <v>2.5677175443051969</v>
      </c>
      <c r="AB1055" s="264"/>
      <c r="AC1055" s="92"/>
      <c r="AD1055" s="92"/>
      <c r="AE1055" s="92"/>
      <c r="AF1055" s="92"/>
      <c r="AG1055" s="92"/>
      <c r="AH1055" s="92"/>
      <c r="AI1055" s="92"/>
      <c r="AJ1055" s="92"/>
      <c r="AK1055" s="92"/>
      <c r="AL1055" s="92"/>
      <c r="AM1055" s="92"/>
      <c r="AN1055" s="92"/>
      <c r="AO1055" s="92"/>
      <c r="AP1055" s="92"/>
    </row>
    <row r="1056" spans="1:42" s="50" customFormat="1" ht="11.25">
      <c r="A1056" s="48"/>
      <c r="B1056" s="48"/>
      <c r="C1056" s="48"/>
      <c r="D1056" s="154" t="s">
        <v>270</v>
      </c>
      <c r="E1056" s="154"/>
      <c r="F1056" s="154" t="str">
        <f t="shared" si="1852"/>
        <v>ИнтКид</v>
      </c>
      <c r="G1056" s="154" t="s">
        <v>219</v>
      </c>
      <c r="H1056" s="319"/>
      <c r="I1056" s="320">
        <f>I1054-I1055</f>
        <v>29.638992815521082</v>
      </c>
      <c r="J1056" s="321"/>
      <c r="K1056" s="320">
        <f t="shared" ref="K1056" si="1857">K1054-K1055</f>
        <v>29.638992815521082</v>
      </c>
      <c r="L1056" s="322">
        <f t="shared" ref="L1056" si="1858">L1054-L1055</f>
        <v>0</v>
      </c>
      <c r="M1056" s="275"/>
      <c r="N1056" s="155">
        <f>N1054-N1055</f>
        <v>29.638992815521082</v>
      </c>
      <c r="O1056" s="173"/>
      <c r="P1056" s="155">
        <f t="shared" ref="P1056" si="1859">P1054-P1055</f>
        <v>29.638992815521082</v>
      </c>
      <c r="Q1056" s="239">
        <f t="shared" ref="Q1056" si="1860">Q1054-Q1055</f>
        <v>0</v>
      </c>
      <c r="R1056" s="240"/>
      <c r="S1056" s="155">
        <f>S1054-S1055</f>
        <v>43.347703953696929</v>
      </c>
      <c r="T1056" s="173"/>
      <c r="U1056" s="155">
        <f t="shared" ref="U1056" si="1861">U1054-U1055</f>
        <v>43.347703953696929</v>
      </c>
      <c r="V1056" s="239">
        <f t="shared" ref="V1056" si="1862">V1054-V1055</f>
        <v>0</v>
      </c>
      <c r="W1056" s="240"/>
      <c r="X1056" s="155">
        <f>X1054-X1055</f>
        <v>3.5253043390092595</v>
      </c>
      <c r="Y1056" s="173"/>
      <c r="Z1056" s="155">
        <f t="shared" ref="Z1056" si="1863">Z1054-Z1055</f>
        <v>102.399086375146</v>
      </c>
      <c r="AA1056" s="239">
        <f t="shared" ref="AA1056" si="1864">AA1054-AA1055</f>
        <v>0</v>
      </c>
      <c r="AB1056" s="230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</row>
    <row r="1057" spans="1:42" s="5" customFormat="1">
      <c r="A1057" s="1"/>
      <c r="B1057" s="1"/>
      <c r="C1057" s="1"/>
      <c r="D1057" s="168"/>
      <c r="E1057" s="168" t="s">
        <v>258</v>
      </c>
      <c r="F1057" s="168" t="str">
        <f t="shared" si="1852"/>
        <v>ИнтКид</v>
      </c>
      <c r="G1057" s="168" t="s">
        <v>261</v>
      </c>
      <c r="H1057" s="326"/>
      <c r="I1057" s="327">
        <f>SUMIFS(операции!$V:$V,операции!$T:$T,"&lt;"&amp;I$8,операции!$X:$X,"",операции!$AB:$AB,"&lt;&gt;"&amp;"",операции!$AB:$AB,"&lt;"&amp;I$8,операции!$O:$O,$F1052)+SUMIFS(операции!$V:$V,операции!$T:$T,"&lt;"&amp;I$8,операции!$X:$X,"&gt;="&amp;I$8,операции!$AB:$AB,"&lt;&gt;"&amp;"",операции!$AB:$AB,"&lt;"&amp;I$8,операции!$O:$O,$F1052)</f>
        <v>11164.02</v>
      </c>
      <c r="J1057" s="313">
        <f>I1057-K1057-L1057</f>
        <v>0</v>
      </c>
      <c r="K1057" s="327">
        <f>SUMIFS(операции!$V:$V,операции!$T:$T,"&lt;"&amp;I$8,операции!$X:$X,"",операции!$AB:$AB,"&lt;&gt;"&amp;"",операции!$AB:$AB,"&lt;"&amp;I$8,операции!$L:$L,K$9,операции!$O:$O,$F1052)+SUMIFS(операции!$V:$V,операции!$T:$T,"&lt;"&amp;I$8,операции!$X:$X,"&gt;="&amp;I$8,операции!$AB:$AB,"&lt;&gt;"&amp;"",операции!$AB:$AB,"&lt;"&amp;I$8,операции!$L:$L,K$9,операции!$O:$O,$F1052)</f>
        <v>11164.02</v>
      </c>
      <c r="L1057" s="328">
        <f>SUMIFS(операции!$V:$V,операции!$T:$T,"&lt;"&amp;I$8,операции!$X:$X,"",операции!$AB:$AB,"&lt;&gt;"&amp;"",операции!$AB:$AB,"&lt;"&amp;I$8,операции!$L:$L,L$9,операции!$O:$O,$F1052)+SUMIFS(операции!$V:$V,операции!$T:$T,"&lt;"&amp;I$8,операции!$X:$X,"&gt;="&amp;I$8,операции!$AB:$AB,"&lt;&gt;"&amp;"",операции!$AB:$AB,"&lt;"&amp;I$8,операции!$L:$L,L$9,операции!$O:$O,$F1052)</f>
        <v>0</v>
      </c>
      <c r="M1057" s="277"/>
      <c r="N1057" s="169">
        <f>SUMIFS(операции!$V:$V,операции!$T:$T,"&lt;"&amp;N$8,операции!$X:$X,"",операции!$AB:$AB,"&lt;&gt;"&amp;"",операции!$AB:$AB,"&lt;"&amp;N$8,операции!$O:$O,$F1052)+SUMIFS(операции!$V:$V,операции!$T:$T,"&lt;"&amp;N$8,операции!$X:$X,"&gt;="&amp;N$8,операции!$AB:$AB,"&lt;&gt;"&amp;"",операции!$AB:$AB,"&lt;"&amp;N$8,операции!$O:$O,$F1052)</f>
        <v>11164.02</v>
      </c>
      <c r="O1057" s="170">
        <f>N1057-P1057-Q1057</f>
        <v>0</v>
      </c>
      <c r="P1057" s="169">
        <f>SUMIFS(операции!$V:$V,операции!$T:$T,"&lt;"&amp;N$8,операции!$X:$X,"",операции!$AB:$AB,"&lt;&gt;"&amp;"",операции!$AB:$AB,"&lt;"&amp;N$8,операции!$L:$L,P$9,операции!$O:$O,$F1052)+SUMIFS(операции!$V:$V,операции!$T:$T,"&lt;"&amp;N$8,операции!$X:$X,"&gt;="&amp;N$8,операции!$AB:$AB,"&lt;&gt;"&amp;"",операции!$AB:$AB,"&lt;"&amp;N$8,операции!$L:$L,P$9,операции!$O:$O,$F1052)</f>
        <v>11164.02</v>
      </c>
      <c r="Q1057" s="243">
        <f>SUMIFS(операции!$V:$V,операции!$T:$T,"&lt;"&amp;N$8,операции!$X:$X,"",операции!$AB:$AB,"&lt;&gt;"&amp;"",операции!$AB:$AB,"&lt;"&amp;N$8,операции!$L:$L,Q$9,операции!$O:$O,$F1052)+SUMIFS(операции!$V:$V,операции!$T:$T,"&lt;"&amp;N$8,операции!$X:$X,"&gt;="&amp;N$8,операции!$AB:$AB,"&lt;&gt;"&amp;"",операции!$AB:$AB,"&lt;"&amp;N$8,операции!$L:$L,Q$9,операции!$O:$O,$F1052)</f>
        <v>0</v>
      </c>
      <c r="R1057" s="244"/>
      <c r="S1057" s="169">
        <f>SUMIFS(операции!$V:$V,операции!$T:$T,"&lt;"&amp;S$8,операции!$X:$X,"",операции!$AB:$AB,"&lt;&gt;"&amp;"",операции!$AB:$AB,"&lt;"&amp;S$8,операции!$O:$O,$F1052)+SUMIFS(операции!$V:$V,операции!$T:$T,"&lt;"&amp;S$8,операции!$X:$X,"&gt;="&amp;S$8,операции!$AB:$AB,"&lt;&gt;"&amp;"",операции!$AB:$AB,"&lt;"&amp;S$8,операции!$O:$O,$F1052)</f>
        <v>7142.68</v>
      </c>
      <c r="T1057" s="170">
        <f>S1057-U1057-V1057</f>
        <v>0</v>
      </c>
      <c r="U1057" s="169">
        <f>SUMIFS(операции!$V:$V,операции!$T:$T,"&lt;"&amp;S$8,операции!$X:$X,"",операции!$AB:$AB,"&lt;&gt;"&amp;"",операции!$AB:$AB,"&lt;"&amp;S$8,операции!$L:$L,U$9,операции!$O:$O,$F1052)+SUMIFS(операции!$V:$V,операции!$T:$T,"&lt;"&amp;S$8,операции!$X:$X,"&gt;="&amp;S$8,операции!$AB:$AB,"&lt;&gt;"&amp;"",операции!$AB:$AB,"&lt;"&amp;S$8,операции!$L:$L,U$9,операции!$O:$O,$F1052)</f>
        <v>7142.68</v>
      </c>
      <c r="V1057" s="243">
        <f>SUMIFS(операции!$V:$V,операции!$T:$T,"&lt;"&amp;S$8,операции!$X:$X,"",операции!$AB:$AB,"&lt;&gt;"&amp;"",операции!$AB:$AB,"&lt;"&amp;S$8,операции!$L:$L,V$9,операции!$O:$O,$F1052)+SUMIFS(операции!$V:$V,операции!$T:$T,"&lt;"&amp;S$8,операции!$X:$X,"&gt;="&amp;S$8,операции!$AB:$AB,"&lt;&gt;"&amp;"",операции!$AB:$AB,"&lt;"&amp;S$8,операции!$L:$L,V$9,операции!$O:$O,$F1052)</f>
        <v>0</v>
      </c>
      <c r="W1057" s="244"/>
      <c r="X1057" s="169">
        <f>SUMIFS(операции!$V:$V,операции!$T:$T,"&lt;"&amp;X$8,операции!$X:$X,"",операции!$AB:$AB,"&lt;&gt;"&amp;"",операции!$AB:$AB,"&lt;"&amp;X$8,операции!$O:$O,$F1052)+SUMIFS(операции!$V:$V,операции!$T:$T,"&lt;"&amp;X$8,операции!$X:$X,"&gt;="&amp;X$8,операции!$AB:$AB,"&lt;&gt;"&amp;"",операции!$AB:$AB,"&lt;"&amp;X$8,операции!$O:$O,$F1052)</f>
        <v>2313.86</v>
      </c>
      <c r="Y1057" s="170">
        <f>X1057-Z1057-AA1057</f>
        <v>0</v>
      </c>
      <c r="Z1057" s="169">
        <f>SUMIFS(операции!$V:$V,операции!$T:$T,"&lt;"&amp;X$8,операции!$X:$X,"",операции!$AB:$AB,"&lt;&gt;"&amp;"",операции!$AB:$AB,"&lt;"&amp;X$8,операции!$L:$L,Z$9,операции!$O:$O,$F1052)+SUMIFS(операции!$V:$V,операции!$T:$T,"&lt;"&amp;X$8,операции!$X:$X,"&gt;="&amp;X$8,операции!$AB:$AB,"&lt;&gt;"&amp;"",операции!$AB:$AB,"&lt;"&amp;X$8,операции!$L:$L,Z$9,операции!$O:$O,$F1052)</f>
        <v>2313.86</v>
      </c>
      <c r="AA1057" s="243">
        <f>SUMIFS(операции!$V:$V,операции!$T:$T,"&lt;"&amp;X$8,операции!$X:$X,"",операции!$AB:$AB,"&lt;&gt;"&amp;"",операции!$AB:$AB,"&lt;"&amp;X$8,операции!$L:$L,AA$9,операции!$O:$O,$F1052)+SUMIFS(операции!$V:$V,операции!$T:$T,"&lt;"&amp;X$8,операции!$X:$X,"&gt;="&amp;X$8,операции!$AB:$AB,"&lt;&gt;"&amp;"",операции!$AB:$AB,"&lt;"&amp;X$8,операции!$L:$L,AA$9,операции!$O:$O,$F1052)</f>
        <v>0</v>
      </c>
      <c r="AB1057" s="266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</row>
    <row r="1058" spans="1:42" s="192" customFormat="1" ht="11.25">
      <c r="A1058" s="37"/>
      <c r="B1058" s="37"/>
      <c r="C1058" s="37"/>
      <c r="D1058" s="191"/>
      <c r="E1058" s="191" t="s">
        <v>255</v>
      </c>
      <c r="F1058" s="191" t="str">
        <f t="shared" si="1852"/>
        <v>ИнтКид</v>
      </c>
      <c r="G1058" s="191" t="s">
        <v>262</v>
      </c>
      <c r="H1058" s="315"/>
      <c r="I1058" s="316">
        <f>IF(I1057=0,0,(SUMIFS(операции!$AF:$AF,операции!$T:$T,"&lt;"&amp;I$8,операции!$X:$X,"",операции!$AB:$AB,"&lt;&gt;"&amp;"",операции!$AB:$AB,"&lt;"&amp;I$8,операции!$O:$O,$F1052)+SUMIFS(операции!$AF:$AF,операции!$T:$T,"&lt;"&amp;I$8,операции!$X:$X,"&gt;="&amp;I$8,операции!$AB:$AB,"&lt;&gt;"&amp;"",операции!$AB:$AB,"&lt;"&amp;I$8,операции!$O:$O,$F1052))/I1057)</f>
        <v>42213.97749018723</v>
      </c>
      <c r="J1058" s="317"/>
      <c r="K1058" s="316">
        <f>IF(K1057=0,0,(SUMIFS(операции!$AF:$AF,операции!$T:$T,"&lt;"&amp;I$8,операции!$X:$X,"",операции!$AB:$AB,"&lt;&gt;"&amp;"",операции!$AB:$AB,"&lt;"&amp;I$8,операции!$L:$L,K$9,операции!$O:$O,$F1052)+SUMIFS(операции!$AF:$AF,операции!$T:$T,"&lt;"&amp;I$8,операции!$X:$X,"&gt;="&amp;I$8,операции!$AB:$AB,"&lt;&gt;"&amp;"",операции!$AB:$AB,"&lt;"&amp;I$8,операции!$L:$L,K$9,операции!$O:$O,$F1052))/K1057)</f>
        <v>42213.97749018723</v>
      </c>
      <c r="L1058" s="318">
        <f>IF(L1057=0,0,(SUMIFS(операции!$AF:$AF,операции!$T:$T,"&lt;"&amp;I$8,операции!$X:$X,"",операции!$AB:$AB,"&lt;&gt;"&amp;"",операции!$AB:$AB,"&lt;"&amp;I$8,операции!$L:$L,L$9,операции!$O:$O,$F1052)+SUMIFS(операции!$AF:$AF,операции!$T:$T,"&lt;"&amp;I$8,операции!$X:$X,"&gt;="&amp;I$8,операции!$AB:$AB,"&lt;&gt;"&amp;"",операции!$AB:$AB,"&lt;"&amp;I$8,операции!$L:$L,L$9,операции!$O:$O,$F1052))/L1057)</f>
        <v>0</v>
      </c>
      <c r="M1058" s="274"/>
      <c r="N1058" s="193">
        <f>IF(N1057=0,0,(SUMIFS(операции!$AF:$AF,операции!$T:$T,"&lt;"&amp;N$8,операции!$X:$X,"",операции!$AB:$AB,"&lt;&gt;"&amp;"",операции!$AB:$AB,"&lt;"&amp;N$8,операции!$O:$O,$F1052)+SUMIFS(операции!$AF:$AF,операции!$T:$T,"&lt;"&amp;N$8,операции!$X:$X,"&gt;="&amp;N$8,операции!$AB:$AB,"&lt;&gt;"&amp;"",операции!$AB:$AB,"&lt;"&amp;N$8,операции!$O:$O,$F1052))/N1057)</f>
        <v>42213.97749018723</v>
      </c>
      <c r="O1058" s="196"/>
      <c r="P1058" s="193">
        <f>IF(P1057=0,0,(SUMIFS(операции!$AF:$AF,операции!$T:$T,"&lt;"&amp;N$8,операции!$X:$X,"",операции!$AB:$AB,"&lt;&gt;"&amp;"",операции!$AB:$AB,"&lt;"&amp;N$8,операции!$L:$L,P$9,операции!$O:$O,$F1052)+SUMIFS(операции!$AF:$AF,операции!$T:$T,"&lt;"&amp;N$8,операции!$X:$X,"&gt;="&amp;N$8,операции!$AB:$AB,"&lt;&gt;"&amp;"",операции!$AB:$AB,"&lt;"&amp;N$8,операции!$L:$L,P$9,операции!$O:$O,$F1052))/P1057)</f>
        <v>42213.97749018723</v>
      </c>
      <c r="Q1058" s="237">
        <f>IF(Q1057=0,0,(SUMIFS(операции!$AF:$AF,операции!$T:$T,"&lt;"&amp;N$8,операции!$X:$X,"",операции!$AB:$AB,"&lt;&gt;"&amp;"",операции!$AB:$AB,"&lt;"&amp;N$8,операции!$L:$L,Q$9,операции!$O:$O,$F1052)+SUMIFS(операции!$AF:$AF,операции!$T:$T,"&lt;"&amp;N$8,операции!$X:$X,"&gt;="&amp;N$8,операции!$AB:$AB,"&lt;&gt;"&amp;"",операции!$AB:$AB,"&lt;"&amp;N$8,операции!$L:$L,Q$9,операции!$O:$O,$F1052))/Q1057)</f>
        <v>0</v>
      </c>
      <c r="R1058" s="238"/>
      <c r="S1058" s="193">
        <f>IF(S1057=0,0,(SUMIFS(операции!$AF:$AF,операции!$T:$T,"&lt;"&amp;S$8,операции!$X:$X,"",операции!$AB:$AB,"&lt;&gt;"&amp;"",операции!$AB:$AB,"&lt;"&amp;S$8,операции!$O:$O,$F1052)+SUMIFS(операции!$AF:$AF,операции!$T:$T,"&lt;"&amp;S$8,операции!$X:$X,"&gt;="&amp;S$8,операции!$AB:$AB,"&lt;&gt;"&amp;"",операции!$AB:$AB,"&lt;"&amp;S$8,операции!$O:$O,$F1052))/S1057)</f>
        <v>42230.338687999465</v>
      </c>
      <c r="T1058" s="196"/>
      <c r="U1058" s="193">
        <f>IF(U1057=0,0,(SUMIFS(операции!$AF:$AF,операции!$T:$T,"&lt;"&amp;S$8,операции!$X:$X,"",операции!$AB:$AB,"&lt;&gt;"&amp;"",операции!$AB:$AB,"&lt;"&amp;S$8,операции!$L:$L,U$9,операции!$O:$O,$F1052)+SUMIFS(операции!$AF:$AF,операции!$T:$T,"&lt;"&amp;S$8,операции!$X:$X,"&gt;="&amp;S$8,операции!$AB:$AB,"&lt;&gt;"&amp;"",операции!$AB:$AB,"&lt;"&amp;S$8,операции!$L:$L,U$9,операции!$O:$O,$F1052))/U1057)</f>
        <v>42230.338687999465</v>
      </c>
      <c r="V1058" s="237">
        <f>IF(V1057=0,0,(SUMIFS(операции!$AF:$AF,операции!$T:$T,"&lt;"&amp;S$8,операции!$X:$X,"",операции!$AB:$AB,"&lt;&gt;"&amp;"",операции!$AB:$AB,"&lt;"&amp;S$8,операции!$L:$L,V$9,операции!$O:$O,$F1052)+SUMIFS(операции!$AF:$AF,операции!$T:$T,"&lt;"&amp;S$8,операции!$X:$X,"&gt;="&amp;S$8,операции!$AB:$AB,"&lt;&gt;"&amp;"",операции!$AB:$AB,"&lt;"&amp;S$8,операции!$L:$L,V$9,операции!$O:$O,$F1052))/V1057)</f>
        <v>0</v>
      </c>
      <c r="W1058" s="238"/>
      <c r="X1058" s="193">
        <f>IF(X1057=0,0,(SUMIFS(операции!$AF:$AF,операции!$T:$T,"&lt;"&amp;X$8,операции!$X:$X,"",операции!$AB:$AB,"&lt;&gt;"&amp;"",операции!$AB:$AB,"&lt;"&amp;X$8,операции!$O:$O,$F1052)+SUMIFS(операции!$AF:$AF,операции!$T:$T,"&lt;"&amp;X$8,операции!$X:$X,"&gt;="&amp;X$8,операции!$AB:$AB,"&lt;&gt;"&amp;"",операции!$AB:$AB,"&lt;"&amp;X$8,операции!$O:$O,$F1052))/X1057)</f>
        <v>42222.478732507581</v>
      </c>
      <c r="Y1058" s="196"/>
      <c r="Z1058" s="193">
        <f>IF(Z1057=0,0,(SUMIFS(операции!$AF:$AF,операции!$T:$T,"&lt;"&amp;X$8,операции!$X:$X,"",операции!$AB:$AB,"&lt;&gt;"&amp;"",операции!$AB:$AB,"&lt;"&amp;X$8,операции!$L:$L,Z$9,операции!$O:$O,$F1052)+SUMIFS(операции!$AF:$AF,операции!$T:$T,"&lt;"&amp;X$8,операции!$X:$X,"&gt;="&amp;X$8,операции!$AB:$AB,"&lt;&gt;"&amp;"",операции!$AB:$AB,"&lt;"&amp;X$8,операции!$L:$L,Z$9,операции!$O:$O,$F1052))/Z1057)</f>
        <v>42222.478732507581</v>
      </c>
      <c r="AA1058" s="237">
        <f>IF(AA1057=0,0,(SUMIFS(операции!$AF:$AF,операции!$T:$T,"&lt;"&amp;X$8,операции!$X:$X,"",операции!$AB:$AB,"&lt;&gt;"&amp;"",операции!$AB:$AB,"&lt;"&amp;X$8,операции!$L:$L,AA$9,операции!$O:$O,$F1052)+SUMIFS(операции!$AF:$AF,операции!$T:$T,"&lt;"&amp;X$8,операции!$X:$X,"&gt;="&amp;X$8,операции!$AB:$AB,"&lt;&gt;"&amp;"",операции!$AB:$AB,"&lt;"&amp;X$8,операции!$L:$L,AA$9,операции!$O:$O,$F1052))/AA1057)</f>
        <v>0</v>
      </c>
      <c r="AB1058" s="265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</row>
    <row r="1059" spans="1:42" s="192" customFormat="1" ht="11.25">
      <c r="A1059" s="37"/>
      <c r="B1059" s="37"/>
      <c r="C1059" s="37"/>
      <c r="D1059" s="191"/>
      <c r="E1059" s="191" t="s">
        <v>260</v>
      </c>
      <c r="F1059" s="191" t="str">
        <f t="shared" si="1852"/>
        <v>ИнтКид</v>
      </c>
      <c r="G1059" s="191" t="s">
        <v>219</v>
      </c>
      <c r="H1059" s="315"/>
      <c r="I1059" s="329">
        <f>IF(I1057=0,0,I$8-I1058)</f>
        <v>64.022509812770295</v>
      </c>
      <c r="J1059" s="317"/>
      <c r="K1059" s="329">
        <f>IF(K1057=0,0,I$8-K1058)</f>
        <v>64.022509812770295</v>
      </c>
      <c r="L1059" s="330">
        <f>IF(L1057=0,0,I$8-L1058)</f>
        <v>0</v>
      </c>
      <c r="M1059" s="274"/>
      <c r="N1059" s="156">
        <f>IF(N1057=0,0,N$8-N1058)</f>
        <v>64.022509812770295</v>
      </c>
      <c r="O1059" s="196"/>
      <c r="P1059" s="156">
        <f>IF(P1057=0,0,N$8-P1058)</f>
        <v>64.022509812770295</v>
      </c>
      <c r="Q1059" s="245">
        <f>IF(Q1057=0,0,N$8-Q1058)</f>
        <v>0</v>
      </c>
      <c r="R1059" s="238"/>
      <c r="S1059" s="156">
        <f>IF(S1057=0,0,S$8-S1058)</f>
        <v>78.661312000534963</v>
      </c>
      <c r="T1059" s="196"/>
      <c r="U1059" s="156">
        <f>IF(U1057=0,0,S$8-U1058)</f>
        <v>78.661312000534963</v>
      </c>
      <c r="V1059" s="245">
        <f>IF(V1057=0,0,S$8-V1058)</f>
        <v>0</v>
      </c>
      <c r="W1059" s="238"/>
      <c r="X1059" s="156">
        <f>IF(X1057=0,0,X$8-X1058)</f>
        <v>116.5212674924187</v>
      </c>
      <c r="Y1059" s="196"/>
      <c r="Z1059" s="156">
        <f>IF(Z1057=0,0,X$8-Z1058)</f>
        <v>116.5212674924187</v>
      </c>
      <c r="AA1059" s="245">
        <f>IF(AA1057=0,0,X$8-AA1058)</f>
        <v>0</v>
      </c>
      <c r="AB1059" s="265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</row>
    <row r="1060" spans="1:42" s="192" customFormat="1" ht="11.25">
      <c r="A1060" s="37"/>
      <c r="B1060" s="37"/>
      <c r="C1060" s="37"/>
      <c r="D1060" s="191"/>
      <c r="E1060" s="191" t="s">
        <v>259</v>
      </c>
      <c r="F1060" s="191" t="str">
        <f t="shared" si="1852"/>
        <v>ИнтКид</v>
      </c>
      <c r="G1060" s="191" t="s">
        <v>262</v>
      </c>
      <c r="H1060" s="315"/>
      <c r="I1060" s="316">
        <f>IF(I1057=0,0,(SUMIFS(операции!$AH:$AH,операции!$T:$T,"&lt;"&amp;I$8,операции!$X:$X,"",операции!$AB:$AB,"&lt;&gt;"&amp;"",операции!$AB:$AB,"&lt;"&amp;I$8,операции!$O:$O,$F1052)+SUMIFS(операции!$AH:$AH,операции!$T:$T,"&lt;"&amp;I$8,операции!$X:$X,"&gt;="&amp;I$8,операции!$AB:$AB,"&lt;&gt;"&amp;"",операции!$AB:$AB,"&lt;"&amp;I$8,операции!$O:$O,$F1052))/I1057)</f>
        <v>42239.277139417522</v>
      </c>
      <c r="J1060" s="317"/>
      <c r="K1060" s="316">
        <f>IF(K1057=0,0,(SUMIFS(операции!$AH:$AH,операции!$T:$T,"&lt;"&amp;I$8,операции!$X:$X,"",операции!$AB:$AB,"&lt;&gt;"&amp;"",операции!$AB:$AB,"&lt;"&amp;I$8,операции!$L:$L,K$9,операции!$O:$O,$F1052)+SUMIFS(операции!$AH:$AH,операции!$T:$T,"&lt;"&amp;I$8,операции!$X:$X,"&gt;="&amp;I$8,операции!$AB:$AB,"&lt;&gt;"&amp;"",операции!$AB:$AB,"&lt;"&amp;I$8,операции!$L:$L,K$9,операции!$O:$O,$F1052))/K1057)</f>
        <v>42239.277139417522</v>
      </c>
      <c r="L1060" s="318">
        <f>IF(L1057=0,0,(SUMIFS(операции!$AH:$AH,операции!$T:$T,"&lt;"&amp;I$8,операции!$X:$X,"",операции!$AB:$AB,"&lt;&gt;"&amp;"",операции!$AB:$AB,"&lt;"&amp;I$8,операции!$L:$L,L$9,операции!$O:$O,$F1052)+SUMIFS(операции!$AH:$AH,операции!$T:$T,"&lt;"&amp;I$8,операции!$X:$X,"&gt;="&amp;I$8,операции!$AB:$AB,"&lt;&gt;"&amp;"",операции!$AB:$AB,"&lt;"&amp;I$8,операции!$L:$L,L$9,операции!$O:$O,$F1052))/L1057)</f>
        <v>0</v>
      </c>
      <c r="M1060" s="274"/>
      <c r="N1060" s="193">
        <f>IF(N1057=0,0,(SUMIFS(операции!$AH:$AH,операции!$T:$T,"&lt;"&amp;N$8,операции!$X:$X,"",операции!$AB:$AB,"&lt;&gt;"&amp;"",операции!$AB:$AB,"&lt;"&amp;N$8,операции!$O:$O,$F1052)+SUMIFS(операции!$AH:$AH,операции!$T:$T,"&lt;"&amp;N$8,операции!$X:$X,"&gt;="&amp;N$8,операции!$AB:$AB,"&lt;&gt;"&amp;"",операции!$AB:$AB,"&lt;"&amp;N$8,операции!$O:$O,$F1052))/N1057)</f>
        <v>42239.277139417522</v>
      </c>
      <c r="O1060" s="196"/>
      <c r="P1060" s="193">
        <f>IF(P1057=0,0,(SUMIFS(операции!$AH:$AH,операции!$T:$T,"&lt;"&amp;N$8,операции!$X:$X,"",операции!$AB:$AB,"&lt;&gt;"&amp;"",операции!$AB:$AB,"&lt;"&amp;N$8,операции!$L:$L,P$9,операции!$O:$O,$F1052)+SUMIFS(операции!$AH:$AH,операции!$T:$T,"&lt;"&amp;N$8,операции!$X:$X,"&gt;="&amp;N$8,операции!$AB:$AB,"&lt;&gt;"&amp;"",операции!$AB:$AB,"&lt;"&amp;N$8,операции!$L:$L,P$9,операции!$O:$O,$F1052))/P1057)</f>
        <v>42239.277139417522</v>
      </c>
      <c r="Q1060" s="237">
        <f>IF(Q1057=0,0,(SUMIFS(операции!$AH:$AH,операции!$T:$T,"&lt;"&amp;N$8,операции!$X:$X,"",операции!$AB:$AB,"&lt;&gt;"&amp;"",операции!$AB:$AB,"&lt;"&amp;N$8,операции!$L:$L,Q$9,операции!$O:$O,$F1052)+SUMIFS(операции!$AH:$AH,операции!$T:$T,"&lt;"&amp;N$8,операции!$X:$X,"&gt;="&amp;N$8,операции!$AB:$AB,"&lt;&gt;"&amp;"",операции!$AB:$AB,"&lt;"&amp;N$8,операции!$L:$L,Q$9,операции!$O:$O,$F1052))/Q1057)</f>
        <v>0</v>
      </c>
      <c r="R1060" s="238"/>
      <c r="S1060" s="193">
        <f>IF(S1057=0,0,(SUMIFS(операции!$AH:$AH,операции!$T:$T,"&lt;"&amp;S$8,операции!$X:$X,"",операции!$AB:$AB,"&lt;&gt;"&amp;"",операции!$AB:$AB,"&lt;"&amp;S$8,операции!$O:$O,$F1052)+SUMIFS(операции!$AH:$AH,операции!$T:$T,"&lt;"&amp;S$8,операции!$X:$X,"&gt;="&amp;S$8,операции!$AB:$AB,"&lt;&gt;"&amp;"",операции!$AB:$AB,"&lt;"&amp;S$8,операции!$O:$O,$F1052))/S1057)</f>
        <v>42255.269743289638</v>
      </c>
      <c r="T1060" s="196"/>
      <c r="U1060" s="193">
        <f>IF(U1057=0,0,(SUMIFS(операции!$AH:$AH,операции!$T:$T,"&lt;"&amp;S$8,операции!$X:$X,"",операции!$AB:$AB,"&lt;&gt;"&amp;"",операции!$AB:$AB,"&lt;"&amp;S$8,операции!$L:$L,U$9,операции!$O:$O,$F1052)+SUMIFS(операции!$AH:$AH,операции!$T:$T,"&lt;"&amp;S$8,операции!$X:$X,"&gt;="&amp;S$8,операции!$AB:$AB,"&lt;&gt;"&amp;"",операции!$AB:$AB,"&lt;"&amp;S$8,операции!$L:$L,U$9,операции!$O:$O,$F1052))/U1057)</f>
        <v>42255.269743289638</v>
      </c>
      <c r="V1060" s="237">
        <f>IF(V1057=0,0,(SUMIFS(операции!$AH:$AH,операции!$T:$T,"&lt;"&amp;S$8,операции!$X:$X,"",операции!$AB:$AB,"&lt;&gt;"&amp;"",операции!$AB:$AB,"&lt;"&amp;S$8,операции!$L:$L,V$9,операции!$O:$O,$F1052)+SUMIFS(операции!$AH:$AH,операции!$T:$T,"&lt;"&amp;S$8,операции!$X:$X,"&gt;="&amp;S$8,операции!$AB:$AB,"&lt;&gt;"&amp;"",операции!$AB:$AB,"&lt;"&amp;S$8,операции!$L:$L,V$9,операции!$O:$O,$F1052))/V1057)</f>
        <v>0</v>
      </c>
      <c r="W1060" s="238"/>
      <c r="X1060" s="193">
        <f>IF(X1057=0,0,(SUMIFS(операции!$AH:$AH,операции!$T:$T,"&lt;"&amp;X$8,операции!$X:$X,"",операции!$AB:$AB,"&lt;&gt;"&amp;"",операции!$AB:$AB,"&lt;"&amp;X$8,операции!$O:$O,$F1052)+SUMIFS(операции!$AH:$AH,операции!$T:$T,"&lt;"&amp;X$8,операции!$X:$X,"&gt;="&amp;X$8,операции!$AB:$AB,"&lt;&gt;"&amp;"",операции!$AB:$AB,"&lt;"&amp;X$8,операции!$O:$O,$F1052))/X1057)</f>
        <v>42236.600913624854</v>
      </c>
      <c r="Y1060" s="196"/>
      <c r="Z1060" s="193">
        <f>IF(Z1057=0,0,(SUMIFS(операции!$AH:$AH,операции!$T:$T,"&lt;"&amp;X$8,операции!$X:$X,"",операции!$AB:$AB,"&lt;&gt;"&amp;"",операции!$AB:$AB,"&lt;"&amp;X$8,операции!$L:$L,Z$9,операции!$O:$O,$F1052)+SUMIFS(операции!$AH:$AH,операции!$T:$T,"&lt;"&amp;X$8,операции!$X:$X,"&gt;="&amp;X$8,операции!$AB:$AB,"&lt;&gt;"&amp;"",операции!$AB:$AB,"&lt;"&amp;X$8,операции!$L:$L,Z$9,операции!$O:$O,$F1052))/Z1057)</f>
        <v>42236.600913624854</v>
      </c>
      <c r="AA1060" s="237">
        <f>IF(AA1057=0,0,(SUMIFS(операции!$AH:$AH,операции!$T:$T,"&lt;"&amp;X$8,операции!$X:$X,"",операции!$AB:$AB,"&lt;&gt;"&amp;"",операции!$AB:$AB,"&lt;"&amp;X$8,операции!$L:$L,AA$9,операции!$O:$O,$F1052)+SUMIFS(операции!$AH:$AH,операции!$T:$T,"&lt;"&amp;X$8,операции!$X:$X,"&gt;="&amp;X$8,операции!$AB:$AB,"&lt;&gt;"&amp;"",операции!$AB:$AB,"&lt;"&amp;X$8,операции!$L:$L,AA$9,операции!$O:$O,$F1052))/AA1057)</f>
        <v>0</v>
      </c>
      <c r="AB1060" s="265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</row>
    <row r="1061" spans="1:42" s="192" customFormat="1" ht="11.25">
      <c r="A1061" s="37"/>
      <c r="B1061" s="37"/>
      <c r="C1061" s="37"/>
      <c r="D1061" s="191"/>
      <c r="E1061" s="191" t="s">
        <v>265</v>
      </c>
      <c r="F1061" s="191" t="str">
        <f t="shared" si="1852"/>
        <v>ИнтКид</v>
      </c>
      <c r="G1061" s="191" t="s">
        <v>219</v>
      </c>
      <c r="H1061" s="315"/>
      <c r="I1061" s="329">
        <f>I1060-I1058</f>
        <v>25.299649230291834</v>
      </c>
      <c r="J1061" s="317"/>
      <c r="K1061" s="329">
        <f t="shared" ref="K1061" si="1865">K1060-K1058</f>
        <v>25.299649230291834</v>
      </c>
      <c r="L1061" s="330">
        <f>L1060-L1058</f>
        <v>0</v>
      </c>
      <c r="M1061" s="274"/>
      <c r="N1061" s="156">
        <f>N1060-N1058</f>
        <v>25.299649230291834</v>
      </c>
      <c r="O1061" s="196"/>
      <c r="P1061" s="156">
        <f t="shared" ref="P1061" si="1866">P1060-P1058</f>
        <v>25.299649230291834</v>
      </c>
      <c r="Q1061" s="245">
        <f>Q1060-Q1058</f>
        <v>0</v>
      </c>
      <c r="R1061" s="238"/>
      <c r="S1061" s="156">
        <f>S1060-S1058</f>
        <v>24.93105529017339</v>
      </c>
      <c r="T1061" s="196"/>
      <c r="U1061" s="156">
        <f t="shared" ref="U1061" si="1867">U1060-U1058</f>
        <v>24.93105529017339</v>
      </c>
      <c r="V1061" s="245">
        <f>V1060-V1058</f>
        <v>0</v>
      </c>
      <c r="W1061" s="238"/>
      <c r="X1061" s="156">
        <f>X1060-X1058</f>
        <v>14.122181117272703</v>
      </c>
      <c r="Y1061" s="196"/>
      <c r="Z1061" s="156">
        <f t="shared" ref="Z1061" si="1868">Z1060-Z1058</f>
        <v>14.122181117272703</v>
      </c>
      <c r="AA1061" s="245">
        <f>AA1060-AA1058</f>
        <v>0</v>
      </c>
      <c r="AB1061" s="265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</row>
    <row r="1062" spans="1:42" s="192" customFormat="1" ht="11.25">
      <c r="A1062" s="37"/>
      <c r="B1062" s="37"/>
      <c r="C1062" s="37"/>
      <c r="D1062" s="191"/>
      <c r="E1062" s="191" t="s">
        <v>268</v>
      </c>
      <c r="F1062" s="191" t="str">
        <f t="shared" si="1852"/>
        <v>ИнтКид</v>
      </c>
      <c r="G1062" s="191" t="s">
        <v>219</v>
      </c>
      <c r="H1062" s="315"/>
      <c r="I1062" s="329">
        <f>I1059-I1061</f>
        <v>38.722860582478461</v>
      </c>
      <c r="J1062" s="317"/>
      <c r="K1062" s="329">
        <f t="shared" ref="K1062" si="1869">K1059-K1061</f>
        <v>38.722860582478461</v>
      </c>
      <c r="L1062" s="330">
        <f t="shared" ref="L1062" si="1870">L1059-L1061</f>
        <v>0</v>
      </c>
      <c r="M1062" s="274"/>
      <c r="N1062" s="156">
        <f>N1059-N1061</f>
        <v>38.722860582478461</v>
      </c>
      <c r="O1062" s="196"/>
      <c r="P1062" s="156">
        <f t="shared" ref="P1062" si="1871">P1059-P1061</f>
        <v>38.722860582478461</v>
      </c>
      <c r="Q1062" s="245">
        <f t="shared" ref="Q1062" si="1872">Q1059-Q1061</f>
        <v>0</v>
      </c>
      <c r="R1062" s="238"/>
      <c r="S1062" s="156">
        <f>S1059-S1061</f>
        <v>53.730256710361573</v>
      </c>
      <c r="T1062" s="196"/>
      <c r="U1062" s="156">
        <f t="shared" ref="U1062" si="1873">U1059-U1061</f>
        <v>53.730256710361573</v>
      </c>
      <c r="V1062" s="245">
        <f t="shared" ref="V1062" si="1874">V1059-V1061</f>
        <v>0</v>
      </c>
      <c r="W1062" s="238"/>
      <c r="X1062" s="156">
        <f>X1059-X1061</f>
        <v>102.399086375146</v>
      </c>
      <c r="Y1062" s="196"/>
      <c r="Z1062" s="156">
        <f t="shared" ref="Z1062" si="1875">Z1059-Z1061</f>
        <v>102.399086375146</v>
      </c>
      <c r="AA1062" s="245">
        <f t="shared" ref="AA1062" si="1876">AA1059-AA1061</f>
        <v>0</v>
      </c>
      <c r="AB1062" s="265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</row>
    <row r="1063" spans="1:42" s="5" customFormat="1">
      <c r="A1063" s="1"/>
      <c r="B1063" s="1"/>
      <c r="C1063" s="1"/>
      <c r="D1063" s="168"/>
      <c r="E1063" s="168" t="s">
        <v>276</v>
      </c>
      <c r="F1063" s="168" t="str">
        <f t="shared" si="1852"/>
        <v>ИнтКид</v>
      </c>
      <c r="G1063" s="168" t="s">
        <v>261</v>
      </c>
      <c r="H1063" s="326"/>
      <c r="I1063" s="327">
        <f>SUMIFS(операции!$V:$V,операции!$T:$T,"&lt;"&amp;I$8,операции!$X:$X,"",операции!$AB:$AB,"",операции!$O:$O,$F1052)+SUMIFS(операции!$V:$V,операции!$T:$T,"&lt;"&amp;I$8,операции!$X:$X,"&gt;="&amp;I$8,операции!$AB:$AB,"",операции!$O:$O,$F1052)+SUMIFS(операции!$V:$V,операции!$T:$T,"&lt;"&amp;I$8,операции!$X:$X,"",операции!$AB:$AB,"&gt;="&amp;I$8,операции!$O:$O,$F1052)+SUMIFS(операции!$V:$V,операции!$T:$T,"&lt;"&amp;I$8,операции!$X:$X,"&gt;="&amp;I$8,операции!$AB:$AB,"&gt;="&amp;I$8,операции!$O:$O,$F1052)</f>
        <v>3421.59</v>
      </c>
      <c r="J1063" s="313">
        <f>I1063-K1063-L1063</f>
        <v>0</v>
      </c>
      <c r="K1063" s="327">
        <f>SUMIFS(операции!$V:$V,операции!$T:$T,"&lt;"&amp;I$8,операции!$X:$X,"",операции!$AB:$AB,"",операции!$L:$L,K$9,операции!$O:$O,$F1052)+SUMIFS(операции!$V:$V,операции!$T:$T,"&lt;"&amp;I$8,операции!$X:$X,"&gt;="&amp;I$8,операции!$AB:$AB,"",операции!$L:$L,K$9,операции!$O:$O,$F1052)+SUMIFS(операции!$V:$V,операции!$T:$T,"&lt;"&amp;I$8,операции!$X:$X,"",операции!$AB:$AB,"&gt;="&amp;I$8,операции!$L:$L,K$9,операции!$O:$O,$F1052)+SUMIFS(операции!$V:$V,операции!$T:$T,"&lt;"&amp;I$8,операции!$X:$X,"&gt;="&amp;I$8,операции!$AB:$AB,"&gt;="&amp;I$8,операции!$L:$L,K$9,операции!$O:$O,$F1052)</f>
        <v>3421.59</v>
      </c>
      <c r="L1063" s="328">
        <f>SUMIFS(операции!$V:$V,операции!$T:$T,"&lt;"&amp;I$8,операции!$X:$X,"",операции!$AB:$AB,"",операции!$L:$L,L$9,операции!$O:$O,$F1052)+SUMIFS(операции!$V:$V,операции!$T:$T,"&lt;"&amp;I$8,операции!$X:$X,"&gt;="&amp;I$8,операции!$AB:$AB,"",операции!$L:$L,L$9,операции!$O:$O,$F1052)+SUMIFS(операции!$V:$V,операции!$T:$T,"&lt;"&amp;I$8,операции!$X:$X,"",операции!$AB:$AB,"&gt;="&amp;I$8,операции!$L:$L,L$9,операции!$O:$O,$F1052)+SUMIFS(операции!$V:$V,операции!$T:$T,"&lt;"&amp;I$8,операции!$X:$X,"&gt;="&amp;I$8,операции!$AB:$AB,"&gt;="&amp;I$8,операции!$L:$L,L$9,операции!$O:$O,$F1052)</f>
        <v>0</v>
      </c>
      <c r="M1063" s="277"/>
      <c r="N1063" s="169">
        <f>SUMIFS(операции!$V:$V,операции!$T:$T,"&lt;"&amp;N$8,операции!$X:$X,"",операции!$AB:$AB,"",операции!$O:$O,$F1052)+SUMIFS(операции!$V:$V,операции!$T:$T,"&lt;"&amp;N$8,операции!$X:$X,"&gt;="&amp;N$8,операции!$AB:$AB,"",операции!$O:$O,$F1052)+SUMIFS(операции!$V:$V,операции!$T:$T,"&lt;"&amp;N$8,операции!$X:$X,"",операции!$AB:$AB,"&gt;="&amp;N$8,операции!$O:$O,$F1052)+SUMIFS(операции!$V:$V,операции!$T:$T,"&lt;"&amp;N$8,операции!$X:$X,"&gt;="&amp;N$8,операции!$AB:$AB,"&gt;="&amp;N$8,операции!$O:$O,$F1052)</f>
        <v>3421.59</v>
      </c>
      <c r="O1063" s="170">
        <f>N1063-P1063-Q1063</f>
        <v>0</v>
      </c>
      <c r="P1063" s="169">
        <f>SUMIFS(операции!$V:$V,операции!$T:$T,"&lt;"&amp;N$8,операции!$X:$X,"",операции!$AB:$AB,"",операции!$L:$L,P$9,операции!$O:$O,$F1052)+SUMIFS(операции!$V:$V,операции!$T:$T,"&lt;"&amp;N$8,операции!$X:$X,"&gt;="&amp;N$8,операции!$AB:$AB,"",операции!$L:$L,P$9,операции!$O:$O,$F1052)+SUMIFS(операции!$V:$V,операции!$T:$T,"&lt;"&amp;N$8,операции!$X:$X,"",операции!$AB:$AB,"&gt;="&amp;N$8,операции!$L:$L,P$9,операции!$O:$O,$F1052)+SUMIFS(операции!$V:$V,операции!$T:$T,"&lt;"&amp;N$8,операции!$X:$X,"&gt;="&amp;N$8,операции!$AB:$AB,"&gt;="&amp;N$8,операции!$L:$L,P$9,операции!$O:$O,$F1052)</f>
        <v>3421.59</v>
      </c>
      <c r="Q1063" s="243">
        <f>SUMIFS(операции!$V:$V,операции!$T:$T,"&lt;"&amp;N$8,операции!$X:$X,"",операции!$AB:$AB,"",операции!$L:$L,Q$9,операции!$O:$O,$F1052)+SUMIFS(операции!$V:$V,операции!$T:$T,"&lt;"&amp;N$8,операции!$X:$X,"&gt;="&amp;N$8,операции!$AB:$AB,"",операции!$L:$L,Q$9,операции!$O:$O,$F1052)+SUMIFS(операции!$V:$V,операции!$T:$T,"&lt;"&amp;N$8,операции!$X:$X,"",операции!$AB:$AB,"&gt;="&amp;N$8,операции!$L:$L,Q$9,операции!$O:$O,$F1052)+SUMIFS(операции!$V:$V,операции!$T:$T,"&lt;"&amp;N$8,операции!$X:$X,"&gt;="&amp;N$8,операции!$AB:$AB,"&gt;="&amp;N$8,операции!$L:$L,Q$9,операции!$O:$O,$F1052)</f>
        <v>0</v>
      </c>
      <c r="R1063" s="244"/>
      <c r="S1063" s="169">
        <f>SUMIFS(операции!$V:$V,операции!$T:$T,"&lt;"&amp;S$8,операции!$X:$X,"",операции!$AB:$AB,"",операции!$O:$O,$F1052)+SUMIFS(операции!$V:$V,операции!$T:$T,"&lt;"&amp;S$8,операции!$X:$X,"&gt;="&amp;S$8,операции!$AB:$AB,"",операции!$O:$O,$F1052)+SUMIFS(операции!$V:$V,операции!$T:$T,"&lt;"&amp;S$8,операции!$X:$X,"",операции!$AB:$AB,"&gt;="&amp;S$8,операции!$O:$O,$F1052)+SUMIFS(операции!$V:$V,операции!$T:$T,"&lt;"&amp;S$8,операции!$X:$X,"&gt;="&amp;S$8,операции!$AB:$AB,"&gt;="&amp;S$8,операции!$O:$O,$F1052)</f>
        <v>1710.8</v>
      </c>
      <c r="T1063" s="170">
        <f>S1063-U1063-V1063</f>
        <v>0</v>
      </c>
      <c r="U1063" s="169">
        <f>SUMIFS(операции!$V:$V,операции!$T:$T,"&lt;"&amp;S$8,операции!$X:$X,"",операции!$AB:$AB,"",операции!$L:$L,U$9,операции!$O:$O,$F1052)+SUMIFS(операции!$V:$V,операции!$T:$T,"&lt;"&amp;S$8,операции!$X:$X,"&gt;="&amp;S$8,операции!$AB:$AB,"",операции!$L:$L,U$9,операции!$O:$O,$F1052)+SUMIFS(операции!$V:$V,операции!$T:$T,"&lt;"&amp;S$8,операции!$X:$X,"",операции!$AB:$AB,"&gt;="&amp;S$8,операции!$L:$L,U$9,операции!$O:$O,$F1052)+SUMIFS(операции!$V:$V,операции!$T:$T,"&lt;"&amp;S$8,операции!$X:$X,"&gt;="&amp;S$8,операции!$AB:$AB,"&gt;="&amp;S$8,операции!$L:$L,U$9,операции!$O:$O,$F1052)</f>
        <v>1710.8</v>
      </c>
      <c r="V1063" s="243">
        <f>SUMIFS(операции!$V:$V,операции!$T:$T,"&lt;"&amp;S$8,операции!$X:$X,"",операции!$AB:$AB,"",операции!$L:$L,V$9,операции!$O:$O,$F1052)+SUMIFS(операции!$V:$V,операции!$T:$T,"&lt;"&amp;S$8,операции!$X:$X,"&gt;="&amp;S$8,операции!$AB:$AB,"",операции!$L:$L,V$9,операции!$O:$O,$F1052)+SUMIFS(операции!$V:$V,операции!$T:$T,"&lt;"&amp;S$8,операции!$X:$X,"",операции!$AB:$AB,"&gt;="&amp;S$8,операции!$L:$L,V$9,операции!$O:$O,$F1052)+SUMIFS(операции!$V:$V,операции!$T:$T,"&lt;"&amp;S$8,операции!$X:$X,"&gt;="&amp;S$8,операции!$AB:$AB,"&gt;="&amp;S$8,операции!$L:$L,V$9,операции!$O:$O,$F1052)</f>
        <v>0</v>
      </c>
      <c r="W1063" s="244"/>
      <c r="X1063" s="169">
        <f>SUMIFS(операции!$V:$V,операции!$T:$T,"&lt;"&amp;X$8,операции!$X:$X,"",операции!$AB:$AB,"",операции!$O:$O,$F1052)+SUMIFS(операции!$V:$V,операции!$T:$T,"&lt;"&amp;X$8,операции!$X:$X,"&gt;="&amp;X$8,операции!$AB:$AB,"",операции!$O:$O,$F1052)+SUMIFS(операции!$V:$V,операции!$T:$T,"&lt;"&amp;X$8,операции!$X:$X,"",операции!$AB:$AB,"&gt;="&amp;X$8,операции!$O:$O,$F1052)+SUMIFS(операции!$V:$V,операции!$T:$T,"&lt;"&amp;X$8,операции!$X:$X,"&gt;="&amp;X$8,операции!$AB:$AB,"&gt;="&amp;X$8,операции!$O:$O,$F1052)</f>
        <v>64896.55</v>
      </c>
      <c r="Y1063" s="170">
        <f>X1063-Z1063-AA1063</f>
        <v>0</v>
      </c>
      <c r="Z1063" s="169">
        <f>SUMIFS(операции!$V:$V,операции!$T:$T,"&lt;"&amp;X$8,операции!$X:$X,"",операции!$AB:$AB,"",операции!$L:$L,Z$9,операции!$O:$O,$F1052)+SUMIFS(операции!$V:$V,операции!$T:$T,"&lt;"&amp;X$8,операции!$X:$X,"&gt;="&amp;X$8,операции!$AB:$AB,"",операции!$L:$L,Z$9,операции!$O:$O,$F1052)+SUMIFS(операции!$V:$V,операции!$T:$T,"&lt;"&amp;X$8,операции!$X:$X,"",операции!$AB:$AB,"&gt;="&amp;X$8,операции!$L:$L,Z$9,операции!$O:$O,$F1052)+SUMIFS(операции!$V:$V,операции!$T:$T,"&lt;"&amp;X$8,операции!$X:$X,"&gt;="&amp;X$8,операции!$AB:$AB,"&gt;="&amp;X$8,операции!$L:$L,Z$9,операции!$O:$O,$F1052)</f>
        <v>0</v>
      </c>
      <c r="AA1063" s="243">
        <f>SUMIFS(операции!$V:$V,операции!$T:$T,"&lt;"&amp;X$8,операции!$X:$X,"",операции!$AB:$AB,"",операции!$L:$L,AA$9,операции!$O:$O,$F1052)+SUMIFS(операции!$V:$V,операции!$T:$T,"&lt;"&amp;X$8,операции!$X:$X,"&gt;="&amp;X$8,операции!$AB:$AB,"",операции!$L:$L,AA$9,операции!$O:$O,$F1052)+SUMIFS(операции!$V:$V,операции!$T:$T,"&lt;"&amp;X$8,операции!$X:$X,"",операции!$AB:$AB,"&gt;="&amp;X$8,операции!$L:$L,AA$9,операции!$O:$O,$F1052)+SUMIFS(операции!$V:$V,операции!$T:$T,"&lt;"&amp;X$8,операции!$X:$X,"&gt;="&amp;X$8,операции!$AB:$AB,"&gt;="&amp;X$8,операции!$L:$L,AA$9,операции!$O:$O,$F1052)</f>
        <v>64896.55</v>
      </c>
      <c r="AB1063" s="266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</row>
    <row r="1064" spans="1:42" s="192" customFormat="1" ht="11.25">
      <c r="A1064" s="37"/>
      <c r="B1064" s="37"/>
      <c r="C1064" s="37"/>
      <c r="D1064" s="191"/>
      <c r="E1064" s="191" t="s">
        <v>255</v>
      </c>
      <c r="F1064" s="191" t="str">
        <f t="shared" si="1852"/>
        <v>ИнтКид</v>
      </c>
      <c r="G1064" s="191" t="s">
        <v>262</v>
      </c>
      <c r="H1064" s="315"/>
      <c r="I1064" s="316">
        <f>IF(I1063=0,0,(SUMIFS(операции!$AF:$AF,операции!$T:$T,"&lt;"&amp;I$8,операции!$X:$X,"",операции!$AB:$AB,"",операции!$O:$O,$F1052)+SUMIFS(операции!$AF:$AF,операции!$T:$T,"&lt;"&amp;I$8,операции!$X:$X,"&gt;="&amp;I$8,операции!$AB:$AB,"",операции!$O:$O,$F1052)+SUMIFS(операции!$AF:$AF,операции!$T:$T,"&lt;"&amp;I$8,операции!$X:$X,"",операции!$AB:$AB,"&gt;="&amp;I$8,операции!$O:$O,$F1052)+SUMIFS(операции!$AF:$AF,операции!$T:$T,"&lt;"&amp;I$8,операции!$X:$X,"&gt;="&amp;I$8,операции!$AB:$AB,"&gt;="&amp;I$8,операции!$O:$O,$F1052))/I1063)</f>
        <v>42231.000023380941</v>
      </c>
      <c r="J1064" s="317"/>
      <c r="K1064" s="316">
        <f>IF(K1063=0,0,(SUMIFS(операции!$AF:$AF,операции!$T:$T,"&lt;"&amp;I$8,операции!$X:$X,"",операции!$AB:$AB,"",операции!$L:$L,K$9,операции!$O:$O,$F1052)+SUMIFS(операции!$AF:$AF,операции!$T:$T,"&lt;"&amp;I$8,операции!$X:$X,"&gt;="&amp;I$8,операции!$AB:$AB,"",операции!$L:$L,K$9,операции!$O:$O,$F1052)+SUMIFS(операции!$AF:$AF,операции!$T:$T,"&lt;"&amp;I$8,операции!$X:$X,"",операции!$AB:$AB,"&gt;="&amp;I$8,операции!$L:$L,K$9,операции!$O:$O,$F1052)+SUMIFS(операции!$AF:$AF,операции!$T:$T,"&lt;"&amp;I$8,операции!$X:$X,"&gt;="&amp;I$8,операции!$AB:$AB,"&gt;="&amp;I$8,операции!$L:$L,K$9,операции!$O:$O,$F1052))/K1063)</f>
        <v>42231.000023380941</v>
      </c>
      <c r="L1064" s="318">
        <f>IF(L1063=0,0,(SUMIFS(операции!$AF:$AF,операции!$T:$T,"&lt;"&amp;I$8,операции!$X:$X,"",операции!$AB:$AB,"",операции!$L:$L,L$9,операции!$O:$O,$F1052)+SUMIFS(операции!$AF:$AF,операции!$T:$T,"&lt;"&amp;I$8,операции!$X:$X,"&gt;="&amp;I$8,операции!$AB:$AB,"",операции!$L:$L,L$9,операции!$O:$O,$F1052)+SUMIFS(операции!$AF:$AF,операции!$T:$T,"&lt;"&amp;I$8,операции!$X:$X,"",операции!$AB:$AB,"&gt;="&amp;I$8,операции!$L:$L,L$9,операции!$O:$O,$F1052)+SUMIFS(операции!$AF:$AF,операции!$T:$T,"&lt;"&amp;I$8,операции!$X:$X,"&gt;="&amp;I$8,операции!$AB:$AB,"&gt;="&amp;I$8,операции!$L:$L,L$9,операции!$O:$O,$F1052))/L1063)</f>
        <v>0</v>
      </c>
      <c r="M1064" s="274"/>
      <c r="N1064" s="193">
        <f>IF(N1063=0,0,(SUMIFS(операции!$AF:$AF,операции!$T:$T,"&lt;"&amp;N$8,операции!$X:$X,"",операции!$AB:$AB,"",операции!$O:$O,$F1052)+SUMIFS(операции!$AF:$AF,операции!$T:$T,"&lt;"&amp;N$8,операции!$X:$X,"&gt;="&amp;N$8,операции!$AB:$AB,"",операции!$O:$O,$F1052)+SUMIFS(операции!$AF:$AF,операции!$T:$T,"&lt;"&amp;N$8,операции!$X:$X,"",операции!$AB:$AB,"&gt;="&amp;N$8,операции!$O:$O,$F1052)+SUMIFS(операции!$AF:$AF,операции!$T:$T,"&lt;"&amp;N$8,операции!$X:$X,"&gt;="&amp;N$8,операции!$AB:$AB,"&gt;="&amp;N$8,операции!$O:$O,$F1052))/N1063)</f>
        <v>42231.000023380941</v>
      </c>
      <c r="O1064" s="196"/>
      <c r="P1064" s="193">
        <f>IF(P1063=0,0,(SUMIFS(операции!$AF:$AF,операции!$T:$T,"&lt;"&amp;N$8,операции!$X:$X,"",операции!$AB:$AB,"",операции!$L:$L,P$9,операции!$O:$O,$F1052)+SUMIFS(операции!$AF:$AF,операции!$T:$T,"&lt;"&amp;N$8,операции!$X:$X,"&gt;="&amp;N$8,операции!$AB:$AB,"",операции!$L:$L,P$9,операции!$O:$O,$F1052)+SUMIFS(операции!$AF:$AF,операции!$T:$T,"&lt;"&amp;N$8,операции!$X:$X,"",операции!$AB:$AB,"&gt;="&amp;N$8,операции!$L:$L,P$9,операции!$O:$O,$F1052)+SUMIFS(операции!$AF:$AF,операции!$T:$T,"&lt;"&amp;N$8,операции!$X:$X,"&gt;="&amp;N$8,операции!$AB:$AB,"&gt;="&amp;N$8,операции!$L:$L,P$9,операции!$O:$O,$F1052))/P1063)</f>
        <v>42231.000023380941</v>
      </c>
      <c r="Q1064" s="237">
        <f>IF(Q1063=0,0,(SUMIFS(операции!$AF:$AF,операции!$T:$T,"&lt;"&amp;N$8,операции!$X:$X,"",операции!$AB:$AB,"",операции!$L:$L,Q$9,операции!$O:$O,$F1052)+SUMIFS(операции!$AF:$AF,операции!$T:$T,"&lt;"&amp;N$8,операции!$X:$X,"&gt;="&amp;N$8,операции!$AB:$AB,"",операции!$L:$L,Q$9,операции!$O:$O,$F1052)+SUMIFS(операции!$AF:$AF,операции!$T:$T,"&lt;"&amp;N$8,операции!$X:$X,"",операции!$AB:$AB,"&gt;="&amp;N$8,операции!$L:$L,Q$9,операции!$O:$O,$F1052)+SUMIFS(операции!$AF:$AF,операции!$T:$T,"&lt;"&amp;N$8,операции!$X:$X,"&gt;="&amp;N$8,операции!$AB:$AB,"&gt;="&amp;N$8,операции!$L:$L,Q$9,операции!$O:$O,$F1052))/Q1063)</f>
        <v>0</v>
      </c>
      <c r="R1064" s="238"/>
      <c r="S1064" s="193">
        <f>IF(S1063=0,0,(SUMIFS(операции!$AF:$AF,операции!$T:$T,"&lt;"&amp;S$8,операции!$X:$X,"",операции!$AB:$AB,"",операции!$O:$O,$F1052)+SUMIFS(операции!$AF:$AF,операции!$T:$T,"&lt;"&amp;S$8,операции!$X:$X,"&gt;="&amp;S$8,операции!$AB:$AB,"",операции!$O:$O,$F1052)+SUMIFS(операции!$AF:$AF,операции!$T:$T,"&lt;"&amp;S$8,операции!$X:$X,"",операции!$AB:$AB,"&gt;="&amp;S$8,операции!$O:$O,$F1052)+SUMIFS(операции!$AF:$AF,операции!$T:$T,"&lt;"&amp;S$8,операции!$X:$X,"&gt;="&amp;S$8,операции!$AB:$AB,"&gt;="&amp;S$8,операции!$O:$O,$F1052))/S1063)</f>
        <v>42239</v>
      </c>
      <c r="T1064" s="196"/>
      <c r="U1064" s="193">
        <f>IF(U1063=0,0,(SUMIFS(операции!$AF:$AF,операции!$T:$T,"&lt;"&amp;S$8,операции!$X:$X,"",операции!$AB:$AB,"",операции!$L:$L,U$9,операции!$O:$O,$F1052)+SUMIFS(операции!$AF:$AF,операции!$T:$T,"&lt;"&amp;S$8,операции!$X:$X,"&gt;="&amp;S$8,операции!$AB:$AB,"",операции!$L:$L,U$9,операции!$O:$O,$F1052)+SUMIFS(операции!$AF:$AF,операции!$T:$T,"&lt;"&amp;S$8,операции!$X:$X,"",операции!$AB:$AB,"&gt;="&amp;S$8,операции!$L:$L,U$9,операции!$O:$O,$F1052)+SUMIFS(операции!$AF:$AF,операции!$T:$T,"&lt;"&amp;S$8,операции!$X:$X,"&gt;="&amp;S$8,операции!$AB:$AB,"&gt;="&amp;S$8,операции!$L:$L,U$9,операции!$O:$O,$F1052))/U1063)</f>
        <v>42239</v>
      </c>
      <c r="V1064" s="237">
        <f>IF(V1063=0,0,(SUMIFS(операции!$AF:$AF,операции!$T:$T,"&lt;"&amp;S$8,операции!$X:$X,"",операции!$AB:$AB,"",операции!$L:$L,V$9,операции!$O:$O,$F1052)+SUMIFS(операции!$AF:$AF,операции!$T:$T,"&lt;"&amp;S$8,операции!$X:$X,"&gt;="&amp;S$8,операции!$AB:$AB,"",операции!$L:$L,V$9,операции!$O:$O,$F1052)+SUMIFS(операции!$AF:$AF,операции!$T:$T,"&lt;"&amp;S$8,операции!$X:$X,"",операции!$AB:$AB,"&gt;="&amp;S$8,операции!$L:$L,V$9,операции!$O:$O,$F1052)+SUMIFS(операции!$AF:$AF,операции!$T:$T,"&lt;"&amp;S$8,операции!$X:$X,"&gt;="&amp;S$8,операции!$AB:$AB,"&gt;="&amp;S$8,операции!$L:$L,V$9,операции!$O:$O,$F1052))/V1063)</f>
        <v>0</v>
      </c>
      <c r="W1064" s="238"/>
      <c r="X1064" s="193">
        <f>IF(X1063=0,0,(SUMIFS(операции!$AF:$AF,операции!$T:$T,"&lt;"&amp;X$8,операции!$X:$X,"",операции!$AB:$AB,"",операции!$O:$O,$F1052)+SUMIFS(операции!$AF:$AF,операции!$T:$T,"&lt;"&amp;X$8,операции!$X:$X,"&gt;="&amp;X$8,операции!$AB:$AB,"",операции!$O:$O,$F1052)+SUMIFS(операции!$AF:$AF,операции!$T:$T,"&lt;"&amp;X$8,операции!$X:$X,"",операции!$AB:$AB,"&gt;="&amp;X$8,операции!$O:$O,$F1052)+SUMIFS(операции!$AF:$AF,операции!$T:$T,"&lt;"&amp;X$8,операции!$X:$X,"&gt;="&amp;X$8,операции!$AB:$AB,"&gt;="&amp;X$8,операции!$O:$O,$F1052))/X1063)</f>
        <v>42336.432282455695</v>
      </c>
      <c r="Y1064" s="196"/>
      <c r="Z1064" s="193">
        <f>IF(Z1063=0,0,(SUMIFS(операции!$AF:$AF,операции!$T:$T,"&lt;"&amp;X$8,операции!$X:$X,"",операции!$AB:$AB,"",операции!$L:$L,Z$9,операции!$O:$O,$F1052)+SUMIFS(операции!$AF:$AF,операции!$T:$T,"&lt;"&amp;X$8,операции!$X:$X,"&gt;="&amp;X$8,операции!$AB:$AB,"",операции!$L:$L,Z$9,операции!$O:$O,$F1052)+SUMIFS(операции!$AF:$AF,операции!$T:$T,"&lt;"&amp;X$8,операции!$X:$X,"",операции!$AB:$AB,"&gt;="&amp;X$8,операции!$L:$L,Z$9,операции!$O:$O,$F1052)+SUMIFS(операции!$AF:$AF,операции!$T:$T,"&lt;"&amp;X$8,операции!$X:$X,"&gt;="&amp;X$8,операции!$AB:$AB,"&gt;="&amp;X$8,операции!$L:$L,Z$9,операции!$O:$O,$F1052))/Z1063)</f>
        <v>0</v>
      </c>
      <c r="AA1064" s="237">
        <f>IF(AA1063=0,0,(SUMIFS(операции!$AF:$AF,операции!$T:$T,"&lt;"&amp;X$8,операции!$X:$X,"",операции!$AB:$AB,"",операции!$L:$L,AA$9,операции!$O:$O,$F1052)+SUMIFS(операции!$AF:$AF,операции!$T:$T,"&lt;"&amp;X$8,операции!$X:$X,"&gt;="&amp;X$8,операции!$AB:$AB,"",операции!$L:$L,AA$9,операции!$O:$O,$F1052)+SUMIFS(операции!$AF:$AF,операции!$T:$T,"&lt;"&amp;X$8,операции!$X:$X,"",операции!$AB:$AB,"&gt;="&amp;X$8,операции!$L:$L,AA$9,операции!$O:$O,$F1052)+SUMIFS(операции!$AF:$AF,операции!$T:$T,"&lt;"&amp;X$8,операции!$X:$X,"&gt;="&amp;X$8,операции!$AB:$AB,"&gt;="&amp;X$8,операции!$L:$L,AA$9,операции!$O:$O,$F1052))/AA1063)</f>
        <v>42336.432282455695</v>
      </c>
      <c r="AB1064" s="265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</row>
    <row r="1065" spans="1:42" s="192" customFormat="1" ht="11.25">
      <c r="A1065" s="37"/>
      <c r="B1065" s="37"/>
      <c r="C1065" s="37"/>
      <c r="D1065" s="191"/>
      <c r="E1065" s="191" t="s">
        <v>263</v>
      </c>
      <c r="F1065" s="191" t="str">
        <f t="shared" si="1852"/>
        <v>ИнтКид</v>
      </c>
      <c r="G1065" s="191" t="s">
        <v>219</v>
      </c>
      <c r="H1065" s="315"/>
      <c r="I1065" s="329">
        <f>IF(I1063=0,0,I$8-I1064)</f>
        <v>46.999976619059453</v>
      </c>
      <c r="J1065" s="317"/>
      <c r="K1065" s="329">
        <f>IF(K1063=0,0,I$8-K1064)</f>
        <v>46.999976619059453</v>
      </c>
      <c r="L1065" s="330">
        <f>IF(L1063=0,0,I$8-L1064)</f>
        <v>0</v>
      </c>
      <c r="M1065" s="274"/>
      <c r="N1065" s="156">
        <f>IF(N1063=0,0,N$8-N1064)</f>
        <v>46.999976619059453</v>
      </c>
      <c r="O1065" s="196"/>
      <c r="P1065" s="156">
        <f>IF(P1063=0,0,N$8-P1064)</f>
        <v>46.999976619059453</v>
      </c>
      <c r="Q1065" s="245">
        <f>IF(Q1063=0,0,N$8-Q1064)</f>
        <v>0</v>
      </c>
      <c r="R1065" s="238"/>
      <c r="S1065" s="156">
        <f>IF(S1063=0,0,S$8-S1064)</f>
        <v>70</v>
      </c>
      <c r="T1065" s="196"/>
      <c r="U1065" s="156">
        <f>IF(U1063=0,0,S$8-U1064)</f>
        <v>70</v>
      </c>
      <c r="V1065" s="245">
        <f>IF(V1063=0,0,S$8-V1064)</f>
        <v>0</v>
      </c>
      <c r="W1065" s="238"/>
      <c r="X1065" s="156">
        <f>IF(X1063=0,0,X$8-X1064)</f>
        <v>2.5677175443051965</v>
      </c>
      <c r="Y1065" s="196"/>
      <c r="Z1065" s="156">
        <f>IF(Z1063=0,0,X$8-Z1064)</f>
        <v>0</v>
      </c>
      <c r="AA1065" s="245">
        <f>IF(AA1063=0,0,X$8-AA1064)</f>
        <v>2.5677175443051965</v>
      </c>
      <c r="AB1065" s="265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</row>
    <row r="1066" spans="1:42" s="192" customFormat="1" ht="11.25">
      <c r="A1066" s="37"/>
      <c r="B1066" s="37"/>
      <c r="C1066" s="37"/>
      <c r="D1066" s="191"/>
      <c r="E1066" s="191" t="s">
        <v>311</v>
      </c>
      <c r="F1066" s="191" t="str">
        <f t="shared" si="1852"/>
        <v>ИнтКид</v>
      </c>
      <c r="G1066" s="191" t="s">
        <v>262</v>
      </c>
      <c r="H1066" s="315"/>
      <c r="I1066" s="316">
        <f>I$8</f>
        <v>42278</v>
      </c>
      <c r="J1066" s="317"/>
      <c r="K1066" s="316">
        <f>I$8</f>
        <v>42278</v>
      </c>
      <c r="L1066" s="318">
        <f>I$8</f>
        <v>42278</v>
      </c>
      <c r="M1066" s="274"/>
      <c r="N1066" s="193">
        <f>N$8</f>
        <v>42278</v>
      </c>
      <c r="O1066" s="196"/>
      <c r="P1066" s="193">
        <f>N$8</f>
        <v>42278</v>
      </c>
      <c r="Q1066" s="237">
        <f>N$8</f>
        <v>42278</v>
      </c>
      <c r="R1066" s="238"/>
      <c r="S1066" s="193">
        <f>S$8</f>
        <v>42309</v>
      </c>
      <c r="T1066" s="196"/>
      <c r="U1066" s="193">
        <f>S$8</f>
        <v>42309</v>
      </c>
      <c r="V1066" s="237">
        <f>S$8</f>
        <v>42309</v>
      </c>
      <c r="W1066" s="238"/>
      <c r="X1066" s="193">
        <f>X$8</f>
        <v>42339</v>
      </c>
      <c r="Y1066" s="196"/>
      <c r="Z1066" s="193">
        <f>X$8</f>
        <v>42339</v>
      </c>
      <c r="AA1066" s="237">
        <f>X$8</f>
        <v>42339</v>
      </c>
      <c r="AB1066" s="265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</row>
    <row r="1067" spans="1:42" s="192" customFormat="1" ht="11.25">
      <c r="A1067" s="37"/>
      <c r="B1067" s="37"/>
      <c r="C1067" s="37"/>
      <c r="D1067" s="191"/>
      <c r="E1067" s="191" t="s">
        <v>264</v>
      </c>
      <c r="F1067" s="191" t="str">
        <f t="shared" si="1852"/>
        <v>ИнтКид</v>
      </c>
      <c r="G1067" s="191" t="s">
        <v>219</v>
      </c>
      <c r="H1067" s="315"/>
      <c r="I1067" s="329">
        <f>IF(I1063=0,0,I1066-I1064)</f>
        <v>46.999976619059453</v>
      </c>
      <c r="J1067" s="317"/>
      <c r="K1067" s="329">
        <f>IF(K1063=0,0,K1066-K1064)</f>
        <v>46.999976619059453</v>
      </c>
      <c r="L1067" s="330">
        <f>IF(L1063=0,0,L1066-L1064)</f>
        <v>0</v>
      </c>
      <c r="M1067" s="274"/>
      <c r="N1067" s="156">
        <f>IF(N1063=0,0,N1066-N1064)</f>
        <v>46.999976619059453</v>
      </c>
      <c r="O1067" s="196"/>
      <c r="P1067" s="156">
        <f>IF(P1063=0,0,P1066-P1064)</f>
        <v>46.999976619059453</v>
      </c>
      <c r="Q1067" s="245">
        <f>IF(Q1063=0,0,Q1066-Q1064)</f>
        <v>0</v>
      </c>
      <c r="R1067" s="238"/>
      <c r="S1067" s="156">
        <f>IF(S1063=0,0,S1066-S1064)</f>
        <v>70</v>
      </c>
      <c r="T1067" s="196"/>
      <c r="U1067" s="156">
        <f>IF(U1063=0,0,U1066-U1064)</f>
        <v>70</v>
      </c>
      <c r="V1067" s="245">
        <f>IF(V1063=0,0,V1066-V1064)</f>
        <v>0</v>
      </c>
      <c r="W1067" s="238"/>
      <c r="X1067" s="156">
        <f>IF(X1063=0,0,X1066-X1064)</f>
        <v>2.5677175443051965</v>
      </c>
      <c r="Y1067" s="196"/>
      <c r="Z1067" s="156">
        <f>IF(Z1063=0,0,Z1066-Z1064)</f>
        <v>0</v>
      </c>
      <c r="AA1067" s="245">
        <f>IF(AA1063=0,0,AA1066-AA1064)</f>
        <v>2.5677175443051965</v>
      </c>
      <c r="AB1067" s="265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</row>
    <row r="1068" spans="1:42" s="192" customFormat="1" ht="11.25">
      <c r="A1068" s="37"/>
      <c r="B1068" s="37"/>
      <c r="C1068" s="37"/>
      <c r="D1068" s="207"/>
      <c r="E1068" s="207" t="s">
        <v>269</v>
      </c>
      <c r="F1068" s="207" t="str">
        <f t="shared" si="1852"/>
        <v>ИнтКид</v>
      </c>
      <c r="G1068" s="207" t="s">
        <v>219</v>
      </c>
      <c r="H1068" s="331"/>
      <c r="I1068" s="332">
        <f>I1065-I1067</f>
        <v>0</v>
      </c>
      <c r="J1068" s="333"/>
      <c r="K1068" s="332">
        <f t="shared" ref="K1068" si="1877">K1065-K1067</f>
        <v>0</v>
      </c>
      <c r="L1068" s="334">
        <f>L1065-L1067</f>
        <v>0</v>
      </c>
      <c r="M1068" s="278"/>
      <c r="N1068" s="162">
        <f>N1065-N1067</f>
        <v>0</v>
      </c>
      <c r="O1068" s="208"/>
      <c r="P1068" s="162">
        <f t="shared" ref="P1068" si="1878">P1065-P1067</f>
        <v>0</v>
      </c>
      <c r="Q1068" s="246">
        <f>Q1065-Q1067</f>
        <v>0</v>
      </c>
      <c r="R1068" s="247"/>
      <c r="S1068" s="162">
        <f>S1065-S1067</f>
        <v>0</v>
      </c>
      <c r="T1068" s="208"/>
      <c r="U1068" s="162">
        <f t="shared" ref="U1068" si="1879">U1065-U1067</f>
        <v>0</v>
      </c>
      <c r="V1068" s="246">
        <f>V1065-V1067</f>
        <v>0</v>
      </c>
      <c r="W1068" s="247"/>
      <c r="X1068" s="162">
        <f>X1065-X1067</f>
        <v>0</v>
      </c>
      <c r="Y1068" s="208"/>
      <c r="Z1068" s="162">
        <f t="shared" ref="Z1068" si="1880">Z1065-Z1067</f>
        <v>0</v>
      </c>
      <c r="AA1068" s="246">
        <f>AA1065-AA1067</f>
        <v>0</v>
      </c>
      <c r="AB1068" s="265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</row>
    <row r="1069" spans="1:42" s="111" customFormat="1" ht="11.25">
      <c r="A1069" s="108"/>
      <c r="B1069" s="108"/>
      <c r="C1069" s="108" t="s">
        <v>272</v>
      </c>
      <c r="D1069" s="109"/>
      <c r="E1069" s="109"/>
      <c r="F1069" s="109" t="str">
        <f t="shared" si="1852"/>
        <v>ИнтКид</v>
      </c>
      <c r="G1069" s="109"/>
      <c r="H1069" s="307"/>
      <c r="I1069" s="308">
        <f>I1070-K1070-L1070</f>
        <v>0</v>
      </c>
      <c r="J1069" s="335"/>
      <c r="K1069" s="308"/>
      <c r="L1069" s="336"/>
      <c r="M1069" s="272"/>
      <c r="N1069" s="110">
        <f>N1070-P1070-Q1070</f>
        <v>0</v>
      </c>
      <c r="O1069" s="105"/>
      <c r="P1069" s="110"/>
      <c r="Q1069" s="248"/>
      <c r="R1069" s="234"/>
      <c r="S1069" s="110">
        <f>S1070-U1070-V1070</f>
        <v>0</v>
      </c>
      <c r="T1069" s="105"/>
      <c r="U1069" s="110"/>
      <c r="V1069" s="248"/>
      <c r="W1069" s="234"/>
      <c r="X1069" s="110">
        <f>X1070-Z1070-AA1070</f>
        <v>0</v>
      </c>
      <c r="Y1069" s="105"/>
      <c r="Z1069" s="110"/>
      <c r="AA1069" s="248"/>
      <c r="AB1069" s="263"/>
      <c r="AC1069" s="108"/>
      <c r="AD1069" s="108"/>
      <c r="AE1069" s="108"/>
      <c r="AF1069" s="108"/>
      <c r="AG1069" s="108"/>
      <c r="AH1069" s="108"/>
      <c r="AI1069" s="108"/>
      <c r="AJ1069" s="108"/>
      <c r="AK1069" s="108"/>
      <c r="AL1069" s="108"/>
      <c r="AM1069" s="108"/>
      <c r="AN1069" s="108"/>
      <c r="AO1069" s="108"/>
      <c r="AP1069" s="108"/>
    </row>
    <row r="1070" spans="1:42" s="5" customFormat="1">
      <c r="A1070" s="1"/>
      <c r="B1070" s="1"/>
      <c r="C1070" s="1"/>
      <c r="D1070" s="168" t="s">
        <v>273</v>
      </c>
      <c r="E1070" s="168"/>
      <c r="F1070" s="168" t="str">
        <f t="shared" si="1852"/>
        <v>ИнтКид</v>
      </c>
      <c r="G1070" s="168" t="s">
        <v>261</v>
      </c>
      <c r="H1070" s="326"/>
      <c r="I1070" s="327">
        <f>SUMIFS(операции!$V:$V,операции!$T:$T,"&gt;="&amp;I$8,операции!$T:$T,"&lt;="&amp;I$9,операции!$O:$O,$F1052)</f>
        <v>125993.72000000002</v>
      </c>
      <c r="J1070" s="313"/>
      <c r="K1070" s="327">
        <f>SUMIFS(операции!$V:$V,операции!$T:$T,"&gt;="&amp;I$8,операции!$T:$T,"&lt;="&amp;I$9,операции!$L:$L,K$9,операции!$O:$O,$F1052)</f>
        <v>0</v>
      </c>
      <c r="L1070" s="328">
        <f>SUMIFS(операции!$V:$V,операции!$T:$T,"&gt;="&amp;I$8,операции!$T:$T,"&lt;="&amp;I$9,операции!$L:$L,L$9,операции!$O:$O,$F1052)</f>
        <v>125993.72000000002</v>
      </c>
      <c r="M1070" s="277"/>
      <c r="N1070" s="169">
        <f>SUMIFS(операции!$V:$V,операции!$T:$T,"&gt;="&amp;N$8,операции!$T:$T,"&lt;="&amp;N$9,операции!$O:$O,$F1052)</f>
        <v>0</v>
      </c>
      <c r="O1070" s="170"/>
      <c r="P1070" s="169">
        <f>SUMIFS(операции!$V:$V,операции!$T:$T,"&gt;="&amp;N$8,операции!$T:$T,"&lt;="&amp;N$9,операции!$L:$L,P$9,операции!$O:$O,$F1052)</f>
        <v>0</v>
      </c>
      <c r="Q1070" s="243">
        <f>SUMIFS(операции!$V:$V,операции!$T:$T,"&gt;="&amp;N$8,операции!$T:$T,"&lt;="&amp;N$9,операции!$L:$L,Q$9,операции!$O:$O,$F1052)</f>
        <v>0</v>
      </c>
      <c r="R1070" s="244"/>
      <c r="S1070" s="169">
        <f>SUMIFS(операции!$V:$V,операции!$T:$T,"&gt;="&amp;S$8,операции!$T:$T,"&lt;="&amp;S$9,операции!$O:$O,$F1052)</f>
        <v>95632.170000000013</v>
      </c>
      <c r="T1070" s="170"/>
      <c r="U1070" s="169">
        <f>SUMIFS(операции!$V:$V,операции!$T:$T,"&gt;="&amp;S$8,операции!$T:$T,"&lt;="&amp;S$9,операции!$L:$L,U$9,операции!$O:$O,$F1052)</f>
        <v>0</v>
      </c>
      <c r="V1070" s="243">
        <f>SUMIFS(операции!$V:$V,операции!$T:$T,"&gt;="&amp;S$8,операции!$T:$T,"&lt;="&amp;S$9,операции!$L:$L,V$9,операции!$O:$O,$F1052)</f>
        <v>95632.170000000013</v>
      </c>
      <c r="W1070" s="244"/>
      <c r="X1070" s="169">
        <f>SUMIFS(операции!$V:$V,операции!$T:$T,"&gt;="&amp;X$8,операции!$T:$T,"&lt;="&amp;X$9,операции!$O:$O,$F1052)</f>
        <v>30361.55</v>
      </c>
      <c r="Y1070" s="170"/>
      <c r="Z1070" s="169">
        <f>SUMIFS(операции!$V:$V,операции!$T:$T,"&gt;="&amp;X$8,операции!$T:$T,"&lt;="&amp;X$9,операции!$L:$L,Z$9,операции!$O:$O,$F1052)</f>
        <v>0</v>
      </c>
      <c r="AA1070" s="243">
        <f>SUMIFS(операции!$V:$V,операции!$T:$T,"&gt;="&amp;X$8,операции!$T:$T,"&lt;="&amp;X$9,операции!$L:$L,AA$9,операции!$O:$O,$F1052)</f>
        <v>30361.55</v>
      </c>
      <c r="AB1070" s="266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</row>
    <row r="1071" spans="1:42" s="192" customFormat="1" ht="11.25">
      <c r="A1071" s="37"/>
      <c r="B1071" s="37"/>
      <c r="C1071" s="37"/>
      <c r="D1071" s="207" t="s">
        <v>255</v>
      </c>
      <c r="E1071" s="207"/>
      <c r="F1071" s="207" t="str">
        <f t="shared" si="1852"/>
        <v>ИнтКид</v>
      </c>
      <c r="G1071" s="207" t="s">
        <v>262</v>
      </c>
      <c r="H1071" s="331"/>
      <c r="I1071" s="337">
        <f>IF(I1070=0,0,SUMIFS(операции!$AF:$AF,операции!$T:$T,"&gt;="&amp;I$8,операции!$T:$T,"&lt;="&amp;I$9,операции!$O:$O,$F1052)/I1070)</f>
        <v>42341.833157239897</v>
      </c>
      <c r="J1071" s="333"/>
      <c r="K1071" s="337">
        <f>IF(K1070=0,0,SUMIFS(операции!$AF:$AF,операции!$T:$T,"&gt;="&amp;I$8,операции!$T:$T,"&lt;="&amp;I$9,операции!$L:$L,K$9,операции!$O:$O,$F1052)/K1070)</f>
        <v>0</v>
      </c>
      <c r="L1071" s="338">
        <f>IF(L1070=0,0,SUMIFS(операции!$AF:$AF,операции!$T:$T,"&gt;="&amp;I$8,операции!$T:$T,"&lt;="&amp;I$9,операции!$L:$L,L$9,операции!$O:$O,$F1052)/L1070)</f>
        <v>42341.833157239897</v>
      </c>
      <c r="M1071" s="278"/>
      <c r="N1071" s="217">
        <f>IF(N1070=0,0,SUMIFS(операции!$AF:$AF,операции!$T:$T,"&gt;="&amp;N$8,операции!$T:$T,"&lt;="&amp;N$9,операции!$O:$O,$F1052)/N1070)</f>
        <v>0</v>
      </c>
      <c r="O1071" s="208"/>
      <c r="P1071" s="217">
        <f>IF(P1070=0,0,SUMIFS(операции!$AF:$AF,операции!$T:$T,"&gt;="&amp;N$8,операции!$T:$T,"&lt;="&amp;N$9,операции!$L:$L,P$9,операции!$O:$O,$F1052)/P1070)</f>
        <v>0</v>
      </c>
      <c r="Q1071" s="249">
        <f>IF(Q1070=0,0,SUMIFS(операции!$AF:$AF,операции!$T:$T,"&gt;="&amp;N$8,операции!$T:$T,"&lt;="&amp;N$9,операции!$L:$L,Q$9,операции!$O:$O,$F1052)/Q1070)</f>
        <v>0</v>
      </c>
      <c r="R1071" s="247"/>
      <c r="S1071" s="217">
        <f>IF(S1070=0,0,SUMIFS(операции!$AF:$AF,операции!$T:$T,"&gt;="&amp;S$8,операции!$T:$T,"&lt;="&amp;S$9,операции!$O:$O,$F1052)/S1070)</f>
        <v>42333.736188878698</v>
      </c>
      <c r="T1071" s="208"/>
      <c r="U1071" s="217">
        <f>IF(U1070=0,0,SUMIFS(операции!$AF:$AF,операции!$T:$T,"&gt;="&amp;S$8,операции!$T:$T,"&lt;="&amp;S$9,операции!$L:$L,U$9,операции!$O:$O,$F1052)/U1070)</f>
        <v>0</v>
      </c>
      <c r="V1071" s="249">
        <f>IF(V1070=0,0,SUMIFS(операции!$AF:$AF,операции!$T:$T,"&gt;="&amp;S$8,операции!$T:$T,"&lt;="&amp;S$9,операции!$L:$L,V$9,операции!$O:$O,$F1052)/V1070)</f>
        <v>42333.736188878698</v>
      </c>
      <c r="W1071" s="247"/>
      <c r="X1071" s="217">
        <f>IF(X1070=0,0,SUMIFS(операции!$AF:$AF,операции!$T:$T,"&gt;="&amp;X$8,операции!$T:$T,"&lt;="&amp;X$9,операции!$O:$O,$F1052)/X1070)</f>
        <v>42367.336817454976</v>
      </c>
      <c r="Y1071" s="208"/>
      <c r="Z1071" s="217">
        <f>IF(Z1070=0,0,SUMIFS(операции!$AF:$AF,операции!$T:$T,"&gt;="&amp;X$8,операции!$T:$T,"&lt;="&amp;X$9,операции!$L:$L,Z$9,операции!$O:$O,$F1052)/Z1070)</f>
        <v>0</v>
      </c>
      <c r="AA1071" s="249">
        <f>IF(AA1070=0,0,SUMIFS(операции!$AF:$AF,операции!$T:$T,"&gt;="&amp;X$8,операции!$T:$T,"&lt;="&amp;X$9,операции!$L:$L,AA$9,операции!$O:$O,$F1052)/AA1070)</f>
        <v>42367.336817454976</v>
      </c>
      <c r="AB1071" s="265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</row>
    <row r="1072" spans="1:42" s="93" customFormat="1" ht="15">
      <c r="A1072" s="92"/>
      <c r="B1072" s="92"/>
      <c r="C1072" s="92"/>
      <c r="D1072" s="212" t="s">
        <v>274</v>
      </c>
      <c r="E1072" s="212"/>
      <c r="F1072" s="212" t="str">
        <f t="shared" si="1852"/>
        <v>ИнтКид</v>
      </c>
      <c r="G1072" s="212" t="s">
        <v>261</v>
      </c>
      <c r="H1072" s="339"/>
      <c r="I1072" s="340">
        <f>SUMIFS(операции!$Z:$Z,операции!$X:$X,"&gt;="&amp;I$8,операции!$X:$X,"&lt;="&amp;I$9,операции!$O:$O,$F1052)</f>
        <v>125314</v>
      </c>
      <c r="J1072" s="341">
        <f>I1072-I1085-I1095</f>
        <v>0</v>
      </c>
      <c r="K1072" s="340">
        <f>SUMIFS(операции!$Z:$Z,операции!$X:$X,"&gt;="&amp;I$8,операции!$X:$X,"&lt;="&amp;I$9,операции!$L:$L,K$9,операции!$O:$O,$F1052)</f>
        <v>18514</v>
      </c>
      <c r="L1072" s="342">
        <f>SUMIFS(операции!$Z:$Z,операции!$X:$X,"&gt;="&amp;I$8,операции!$X:$X,"&lt;="&amp;I$9,операции!$L:$L,L$9,операции!$O:$O,$F1052)</f>
        <v>106800</v>
      </c>
      <c r="M1072" s="279"/>
      <c r="N1072" s="213">
        <f>SUMIFS(операции!$Z:$Z,операции!$X:$X,"&gt;="&amp;N$8,операции!$X:$X,"&lt;="&amp;N$9,операции!$O:$O,$F1052)</f>
        <v>10156</v>
      </c>
      <c r="O1072" s="216">
        <f>N1072-N1085-N1095</f>
        <v>0</v>
      </c>
      <c r="P1072" s="213">
        <f>SUMIFS(операции!$Z:$Z,операции!$X:$X,"&gt;="&amp;N$8,операции!$X:$X,"&lt;="&amp;N$9,операции!$L:$L,P$9,операции!$O:$O,$F1052)</f>
        <v>10156</v>
      </c>
      <c r="Q1072" s="250">
        <f>SUMIFS(операции!$Z:$Z,операции!$X:$X,"&gt;="&amp;N$8,операции!$X:$X,"&lt;="&amp;N$9,операции!$L:$L,Q$9,операции!$O:$O,$F1052)</f>
        <v>0</v>
      </c>
      <c r="R1072" s="251"/>
      <c r="S1072" s="213">
        <f>SUMIFS(операции!$Z:$Z,операции!$X:$X,"&gt;="&amp;S$8,операции!$X:$X,"&lt;="&amp;S$9,операции!$O:$O,$F1052)</f>
        <v>44026</v>
      </c>
      <c r="T1072" s="216">
        <f>S1072-S1085-S1095</f>
        <v>0</v>
      </c>
      <c r="U1072" s="213">
        <f>SUMIFS(операции!$Z:$Z,операции!$X:$X,"&gt;="&amp;S$8,операции!$X:$X,"&lt;="&amp;S$9,операции!$L:$L,U$9,операции!$O:$O,$F1052)</f>
        <v>8358</v>
      </c>
      <c r="V1072" s="250">
        <f>SUMIFS(операции!$Z:$Z,операции!$X:$X,"&gt;="&amp;S$8,операции!$X:$X,"&lt;="&amp;S$9,операции!$L:$L,V$9,операции!$O:$O,$F1052)</f>
        <v>35668</v>
      </c>
      <c r="W1072" s="251"/>
      <c r="X1072" s="213">
        <f>SUMIFS(операции!$Z:$Z,операции!$X:$X,"&gt;="&amp;X$8,операции!$X:$X,"&lt;="&amp;X$9,операции!$O:$O,$F1052)</f>
        <v>71132</v>
      </c>
      <c r="Y1072" s="216">
        <f>X1072-X1085-X1095</f>
        <v>0</v>
      </c>
      <c r="Z1072" s="213">
        <f>SUMIFS(операции!$Z:$Z,операции!$X:$X,"&gt;="&amp;X$8,операции!$X:$X,"&lt;="&amp;X$9,операции!$L:$L,Z$9,операции!$O:$O,$F1052)</f>
        <v>0</v>
      </c>
      <c r="AA1072" s="250">
        <f>SUMIFS(операции!$Z:$Z,операции!$X:$X,"&gt;="&amp;X$8,операции!$X:$X,"&lt;="&amp;X$9,операции!$L:$L,AA$9,операции!$O:$O,$F1052)</f>
        <v>71132</v>
      </c>
      <c r="AB1072" s="264"/>
      <c r="AC1072" s="92"/>
      <c r="AD1072" s="92"/>
      <c r="AE1072" s="92"/>
      <c r="AF1072" s="92"/>
      <c r="AG1072" s="92"/>
      <c r="AH1072" s="92"/>
      <c r="AI1072" s="92"/>
      <c r="AJ1072" s="92"/>
      <c r="AK1072" s="92"/>
      <c r="AL1072" s="92"/>
      <c r="AM1072" s="92"/>
      <c r="AN1072" s="92"/>
      <c r="AO1072" s="92"/>
      <c r="AP1072" s="92"/>
    </row>
    <row r="1073" spans="1:42" s="407" customFormat="1" ht="11.25">
      <c r="A1073" s="404"/>
      <c r="B1073" s="404"/>
      <c r="C1073" s="404"/>
      <c r="D1073" s="405" t="s">
        <v>332</v>
      </c>
      <c r="E1073" s="405"/>
      <c r="F1073" s="405" t="str">
        <f>F1071</f>
        <v>ИнтКид</v>
      </c>
      <c r="G1073" s="405" t="s">
        <v>218</v>
      </c>
      <c r="H1073" s="408"/>
      <c r="I1073" s="408">
        <f>IF(I$31=0,0,I1072/I$31)</f>
        <v>3.3779398001388766E-2</v>
      </c>
      <c r="J1073" s="409"/>
      <c r="K1073" s="408">
        <f t="shared" ref="K1073" si="1881">IF(K$31=0,0,K1072/K$31)</f>
        <v>1.4221038287883467E-2</v>
      </c>
      <c r="L1073" s="410">
        <f t="shared" ref="L1073" si="1882">IF(L$31=0,0,L1072/L$31)</f>
        <v>4.435396457164785E-2</v>
      </c>
      <c r="M1073" s="411"/>
      <c r="N1073" s="412">
        <f t="shared" ref="N1073" si="1883">IF(N$31=0,0,N1072/N$31)</f>
        <v>1.3104465402069412E-2</v>
      </c>
      <c r="O1073" s="413"/>
      <c r="P1073" s="412">
        <f t="shared" ref="P1073" si="1884">IF(P$31=0,0,P1072/P$31)</f>
        <v>2.0292681367338295E-2</v>
      </c>
      <c r="Q1073" s="414">
        <f t="shared" ref="Q1073" si="1885">IF(Q$31=0,0,Q1072/Q$31)</f>
        <v>0</v>
      </c>
      <c r="R1073" s="415"/>
      <c r="S1073" s="412">
        <f t="shared" ref="S1073" si="1886">IF(S$31=0,0,S1072/S$31)</f>
        <v>2.4807643003445661E-2</v>
      </c>
      <c r="T1073" s="413"/>
      <c r="U1073" s="412">
        <f t="shared" ref="U1073" si="1887">IF(U$31=0,0,U1072/U$31)</f>
        <v>1.3271827933085088E-2</v>
      </c>
      <c r="V1073" s="414">
        <f t="shared" ref="V1073" si="1888">IF(V$31=0,0,V1072/V$31)</f>
        <v>3.1152724160218002E-2</v>
      </c>
      <c r="W1073" s="415"/>
      <c r="X1073" s="412">
        <f t="shared" ref="X1073" si="1889">IF(X$31=0,0,X1072/X$31)</f>
        <v>6.131656664465665E-2</v>
      </c>
      <c r="Y1073" s="413"/>
      <c r="Z1073" s="412">
        <f t="shared" ref="Z1073" si="1890">IF(Z$31=0,0,Z1072/Z$31)</f>
        <v>0</v>
      </c>
      <c r="AA1073" s="414">
        <f t="shared" ref="AA1073" si="1891">IF(AA$31=0,0,AA1072/AA$31)</f>
        <v>7.1964266744904831E-2</v>
      </c>
      <c r="AB1073" s="406"/>
      <c r="AC1073" s="404"/>
      <c r="AD1073" s="404"/>
      <c r="AE1073" s="404"/>
      <c r="AF1073" s="404"/>
      <c r="AG1073" s="404"/>
      <c r="AH1073" s="404"/>
      <c r="AI1073" s="404"/>
      <c r="AJ1073" s="404"/>
      <c r="AK1073" s="404"/>
      <c r="AL1073" s="404"/>
      <c r="AM1073" s="404"/>
      <c r="AN1073" s="404"/>
      <c r="AO1073" s="404"/>
      <c r="AP1073" s="404"/>
    </row>
    <row r="1074" spans="1:42" s="192" customFormat="1" ht="11.25">
      <c r="A1074" s="37"/>
      <c r="B1074" s="37"/>
      <c r="C1074" s="37"/>
      <c r="D1074" s="191" t="s">
        <v>331</v>
      </c>
      <c r="E1074" s="191"/>
      <c r="F1074" s="191" t="str">
        <f>F1072</f>
        <v>ИнтКид</v>
      </c>
      <c r="G1074" s="191" t="s">
        <v>334</v>
      </c>
      <c r="H1074" s="315"/>
      <c r="I1074" s="329">
        <f>SUMIFS(операции!$R:$R,операции!$X:$X,"&gt;="&amp;I$8,операции!$X:$X,"&lt;="&amp;I$9,операции!$O:$O,$F1052)</f>
        <v>30</v>
      </c>
      <c r="J1074" s="317">
        <f>I1074-K1074-L1074</f>
        <v>0</v>
      </c>
      <c r="K1074" s="329">
        <f>SUMIFS(операции!$R:$R,операции!$X:$X,"&gt;="&amp;I$8,операции!$X:$X,"&lt;="&amp;I$9,операции!$L:$L,K$9,операции!$O:$O,$F1052)</f>
        <v>7</v>
      </c>
      <c r="L1074" s="330">
        <f>SUMIFS(операции!$R:$R,операции!$X:$X,"&gt;="&amp;I$8,операции!$X:$X,"&lt;="&amp;I$9,операции!$L:$L,L$9,операции!$O:$O,$F1052)</f>
        <v>23</v>
      </c>
      <c r="M1074" s="402"/>
      <c r="N1074" s="156">
        <f>SUMIFS(операции!$R:$R,операции!$X:$X,"&gt;="&amp;N$8,операции!$X:$X,"&lt;="&amp;N$9,операции!$O:$O,$F1052)</f>
        <v>4</v>
      </c>
      <c r="O1074" s="196">
        <f t="shared" ref="O1074" si="1892">N1074-P1074-Q1074</f>
        <v>0</v>
      </c>
      <c r="P1074" s="156">
        <f>SUMIFS(операции!$R:$R,операции!$X:$X,"&gt;="&amp;N$8,операции!$X:$X,"&lt;="&amp;N$9,операции!$L:$L,P$9,операции!$O:$O,$F1052)</f>
        <v>4</v>
      </c>
      <c r="Q1074" s="245">
        <f>SUMIFS(операции!$R:$R,операции!$X:$X,"&gt;="&amp;N$8,операции!$X:$X,"&lt;="&amp;N$9,операции!$L:$L,Q$9,операции!$O:$O,$F1052)</f>
        <v>0</v>
      </c>
      <c r="R1074" s="403"/>
      <c r="S1074" s="156">
        <f>SUMIFS(операции!$R:$R,операции!$X:$X,"&gt;="&amp;S$8,операции!$X:$X,"&lt;="&amp;S$9,операции!$O:$O,$F1052)</f>
        <v>13</v>
      </c>
      <c r="T1074" s="196">
        <f t="shared" ref="T1074" si="1893">S1074-U1074-V1074</f>
        <v>0</v>
      </c>
      <c r="U1074" s="156">
        <f>SUMIFS(операции!$R:$R,операции!$X:$X,"&gt;="&amp;S$8,операции!$X:$X,"&lt;="&amp;S$9,операции!$L:$L,U$9,операции!$O:$O,$F1052)</f>
        <v>3</v>
      </c>
      <c r="V1074" s="245">
        <f>SUMIFS(операции!$R:$R,операции!$X:$X,"&gt;="&amp;S$8,операции!$X:$X,"&lt;="&amp;S$9,операции!$L:$L,V$9,операции!$O:$O,$F1052)</f>
        <v>10</v>
      </c>
      <c r="W1074" s="403"/>
      <c r="X1074" s="156">
        <f>SUMIFS(операции!$R:$R,операции!$X:$X,"&gt;="&amp;X$8,операции!$X:$X,"&lt;="&amp;X$9,операции!$O:$O,$F1052)</f>
        <v>13</v>
      </c>
      <c r="Y1074" s="196">
        <f t="shared" ref="Y1074" si="1894">X1074-Z1074-AA1074</f>
        <v>0</v>
      </c>
      <c r="Z1074" s="156">
        <f>SUMIFS(операции!$R:$R,операции!$X:$X,"&gt;="&amp;X$8,операции!$X:$X,"&lt;="&amp;X$9,операции!$L:$L,Z$9,операции!$O:$O,$F1052)</f>
        <v>0</v>
      </c>
      <c r="AA1074" s="245">
        <f>SUMIFS(операции!$R:$R,операции!$X:$X,"&gt;="&amp;X$8,операции!$X:$X,"&lt;="&amp;X$9,операции!$L:$L,AA$9,операции!$O:$O,$F1052)</f>
        <v>13</v>
      </c>
      <c r="AB1074" s="265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</row>
    <row r="1075" spans="1:42" s="192" customFormat="1" ht="11.25">
      <c r="A1075" s="37"/>
      <c r="B1075" s="37"/>
      <c r="C1075" s="37"/>
      <c r="D1075" s="191" t="s">
        <v>333</v>
      </c>
      <c r="E1075" s="191"/>
      <c r="F1075" s="191" t="str">
        <f t="shared" si="1852"/>
        <v>ИнтКид</v>
      </c>
      <c r="G1075" s="191" t="s">
        <v>261</v>
      </c>
      <c r="H1075" s="315"/>
      <c r="I1075" s="329">
        <f>IF(I1074=0,0,I1072/I1074)</f>
        <v>4177.1333333333332</v>
      </c>
      <c r="J1075" s="317"/>
      <c r="K1075" s="329">
        <f t="shared" ref="K1075" si="1895">IF(K1074=0,0,K1072/K1074)</f>
        <v>2644.8571428571427</v>
      </c>
      <c r="L1075" s="330">
        <f t="shared" ref="L1075" si="1896">IF(L1074=0,0,L1072/L1074)</f>
        <v>4643.478260869565</v>
      </c>
      <c r="M1075" s="402"/>
      <c r="N1075" s="156">
        <f>IF(N1074=0,0,N1072/N1074)</f>
        <v>2539</v>
      </c>
      <c r="O1075" s="196"/>
      <c r="P1075" s="156">
        <f>IF(P1074=0,0,P1072/P1074)</f>
        <v>2539</v>
      </c>
      <c r="Q1075" s="245">
        <f>IF(Q1074=0,0,Q1072/Q1074)</f>
        <v>0</v>
      </c>
      <c r="R1075" s="403"/>
      <c r="S1075" s="156">
        <f>IF(S1074=0,0,S1072/S1074)</f>
        <v>3386.6153846153848</v>
      </c>
      <c r="T1075" s="196"/>
      <c r="U1075" s="156">
        <f>IF(U1074=0,0,U1072/U1074)</f>
        <v>2786</v>
      </c>
      <c r="V1075" s="245">
        <f>IF(V1074=0,0,V1072/V1074)</f>
        <v>3566.8</v>
      </c>
      <c r="W1075" s="403"/>
      <c r="X1075" s="156">
        <f>IF(X1074=0,0,X1072/X1074)</f>
        <v>5471.6923076923076</v>
      </c>
      <c r="Y1075" s="196"/>
      <c r="Z1075" s="156">
        <f>IF(Z1074=0,0,Z1072/Z1074)</f>
        <v>0</v>
      </c>
      <c r="AA1075" s="245">
        <f>IF(AA1074=0,0,AA1072/AA1074)</f>
        <v>5471.6923076923076</v>
      </c>
      <c r="AB1075" s="265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</row>
    <row r="1076" spans="1:42" s="192" customFormat="1" ht="11.25">
      <c r="A1076" s="37"/>
      <c r="B1076" s="37"/>
      <c r="C1076" s="37"/>
      <c r="D1076" s="191" t="s">
        <v>290</v>
      </c>
      <c r="E1076" s="191"/>
      <c r="F1076" s="191" t="str">
        <f>F1072</f>
        <v>ИнтКид</v>
      </c>
      <c r="G1076" s="191" t="s">
        <v>262</v>
      </c>
      <c r="H1076" s="315"/>
      <c r="I1076" s="316">
        <f>IF(I1072=0,0,SUMIFS(операции!$AG:$AG,операции!$X:$X,"&gt;="&amp;I$8,операции!$X:$X,"&lt;="&amp;I$9,операции!$O:$O,$F1052)/I1072)</f>
        <v>42334.775707422952</v>
      </c>
      <c r="J1076" s="317"/>
      <c r="K1076" s="316">
        <f>IF(K1072=0,0,SUMIFS(операции!$AG:$AG,операции!$X:$X,"&gt;="&amp;I$8,операции!$X:$X,"&lt;="&amp;I$9,операции!$L:$L,K$9,операции!$O:$O,$F1052)/K1072)</f>
        <v>42308.811494004534</v>
      </c>
      <c r="L1076" s="318">
        <f>IF(L1072=0,0,SUMIFS(операции!$AG:$AG,операции!$X:$X,"&gt;="&amp;I$8,операции!$X:$X,"&lt;="&amp;I$9,операции!$L:$L,L$9,операции!$O:$O,$F1052)/L1072)</f>
        <v>42339.276657303373</v>
      </c>
      <c r="M1076" s="274"/>
      <c r="N1076" s="193">
        <f>IF(N1072=0,0,SUMIFS(операции!$AG:$AG,операции!$X:$X,"&gt;="&amp;N$8,операции!$X:$X,"&lt;="&amp;N$9,операции!$O:$O,$F1052)/N1072)</f>
        <v>42301.795194958642</v>
      </c>
      <c r="O1076" s="196"/>
      <c r="P1076" s="193">
        <f>IF(P1072=0,0,SUMIFS(операции!$AG:$AG,операции!$X:$X,"&gt;="&amp;N$8,операции!$X:$X,"&lt;="&amp;N$9,операции!$L:$L,P$9,операции!$O:$O,$F1052)/P1072)</f>
        <v>42301.795194958642</v>
      </c>
      <c r="Q1076" s="237">
        <f>IF(Q1072=0,0,SUMIFS(операции!$AG:$AG,операции!$X:$X,"&gt;="&amp;N$8,операции!$X:$X,"&lt;="&amp;N$9,операции!$L:$L,Q$9,операции!$O:$O,$F1052)/Q1072)</f>
        <v>0</v>
      </c>
      <c r="R1076" s="238"/>
      <c r="S1076" s="193">
        <f>IF(S1072=0,0,SUMIFS(операции!$AG:$AG,операции!$X:$X,"&gt;="&amp;S$8,операции!$X:$X,"&lt;="&amp;S$9,операции!$O:$O,$F1052)/S1072)</f>
        <v>42330.660518784352</v>
      </c>
      <c r="T1076" s="196"/>
      <c r="U1076" s="193">
        <f>IF(U1072=0,0,SUMIFS(операции!$AG:$AG,операции!$X:$X,"&gt;="&amp;S$8,операции!$X:$X,"&lt;="&amp;S$9,операции!$L:$L,U$9,операции!$O:$O,$F1052)/U1072)</f>
        <v>42317.337162000476</v>
      </c>
      <c r="V1076" s="237">
        <f>IF(V1072=0,0,SUMIFS(операции!$AG:$AG,операции!$X:$X,"&gt;="&amp;S$8,операции!$X:$X,"&lt;="&amp;S$9,операции!$L:$L,V$9,операции!$O:$O,$F1052)/V1072)</f>
        <v>42333.782550185038</v>
      </c>
      <c r="W1076" s="238"/>
      <c r="X1076" s="193">
        <f>IF(X1072=0,0,SUMIFS(операции!$AG:$AG,операции!$X:$X,"&gt;="&amp;X$8,операции!$X:$X,"&lt;="&amp;X$9,операции!$O:$O,$F1052)/X1072)</f>
        <v>42342.031589158185</v>
      </c>
      <c r="Y1076" s="196"/>
      <c r="Z1076" s="193">
        <f>IF(Z1072=0,0,SUMIFS(операции!$AG:$AG,операции!$X:$X,"&gt;="&amp;X$8,операции!$X:$X,"&lt;="&amp;X$9,операции!$L:$L,Z$9,операции!$O:$O,$F1052)/Z1072)</f>
        <v>0</v>
      </c>
      <c r="AA1076" s="237">
        <f>IF(AA1072=0,0,SUMIFS(операции!$AG:$AG,операции!$X:$X,"&gt;="&amp;X$8,операции!$X:$X,"&lt;="&amp;X$9,операции!$L:$L,AA$9,операции!$O:$O,$F1052)/AA1072)</f>
        <v>42342.031589158185</v>
      </c>
      <c r="AB1076" s="265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</row>
    <row r="1077" spans="1:42" s="93" customFormat="1" ht="15">
      <c r="A1077" s="92"/>
      <c r="B1077" s="92"/>
      <c r="C1077" s="92"/>
      <c r="D1077" s="151" t="s">
        <v>275</v>
      </c>
      <c r="E1077" s="151"/>
      <c r="F1077" s="151" t="str">
        <f t="shared" si="1852"/>
        <v>ИнтКид</v>
      </c>
      <c r="G1077" s="151" t="s">
        <v>261</v>
      </c>
      <c r="H1077" s="311"/>
      <c r="I1077" s="312">
        <f>SUMIFS(операции!$V:$V,операции!$X:$X,"&gt;="&amp;I$8,операции!$X:$X,"&lt;="&amp;I$9,операции!$O:$O,$F1052)</f>
        <v>107903.92000000003</v>
      </c>
      <c r="J1077" s="313">
        <f>I1077-I1087-I1097</f>
        <v>0</v>
      </c>
      <c r="K1077" s="312">
        <f>SUMIFS(операции!$V:$V,операции!$X:$X,"&gt;="&amp;I$8,операции!$X:$X,"&lt;="&amp;I$9,операции!$L:$L,K$9,операции!$O:$O,$F1052)</f>
        <v>12271.749999999998</v>
      </c>
      <c r="L1077" s="314">
        <f>SUMIFS(операции!$V:$V,операции!$X:$X,"&gt;="&amp;I$8,операции!$X:$X,"&lt;="&amp;I$9,операции!$L:$L,L$9,операции!$O:$O,$F1052)</f>
        <v>95632.170000000013</v>
      </c>
      <c r="M1077" s="273"/>
      <c r="N1077" s="152">
        <f>SUMIFS(операции!$V:$V,операции!$X:$X,"&gt;="&amp;N$8,операции!$X:$X,"&lt;="&amp;N$9,операции!$O:$O,$F1052)</f>
        <v>5732.1299999999992</v>
      </c>
      <c r="O1077" s="170">
        <f>N1077-N1087-N1097</f>
        <v>0</v>
      </c>
      <c r="P1077" s="152">
        <f>SUMIFS(операции!$V:$V,операции!$X:$X,"&gt;="&amp;N$8,операции!$X:$X,"&lt;="&amp;N$9,операции!$L:$L,P$9,операции!$O:$O,$F1052)</f>
        <v>5732.1299999999992</v>
      </c>
      <c r="Q1077" s="235">
        <f>SUMIFS(операции!$V:$V,операции!$X:$X,"&gt;="&amp;N$8,операции!$X:$X,"&lt;="&amp;N$9,операции!$L:$L,Q$9,операции!$O:$O,$F1052)</f>
        <v>0</v>
      </c>
      <c r="R1077" s="236"/>
      <c r="S1077" s="152">
        <f>SUMIFS(операции!$V:$V,операции!$X:$X,"&gt;="&amp;S$8,операции!$X:$X,"&lt;="&amp;S$9,операции!$O:$O,$F1052)</f>
        <v>37275.240000000005</v>
      </c>
      <c r="T1077" s="170">
        <f>S1077-S1087-S1097</f>
        <v>0</v>
      </c>
      <c r="U1077" s="152">
        <f>SUMIFS(операции!$V:$V,операции!$X:$X,"&gt;="&amp;S$8,операции!$X:$X,"&lt;="&amp;S$9,операции!$L:$L,U$9,операции!$O:$O,$F1052)</f>
        <v>6539.62</v>
      </c>
      <c r="V1077" s="235">
        <f>SUMIFS(операции!$V:$V,операции!$X:$X,"&gt;="&amp;S$8,операции!$X:$X,"&lt;="&amp;S$9,операции!$L:$L,V$9,операции!$O:$O,$F1052)</f>
        <v>30735.62</v>
      </c>
      <c r="W1077" s="236"/>
      <c r="X1077" s="152">
        <f>SUMIFS(операции!$V:$V,операции!$X:$X,"&gt;="&amp;X$8,операции!$X:$X,"&lt;="&amp;X$9,операции!$O:$O,$F1052)</f>
        <v>64896.549999999996</v>
      </c>
      <c r="Y1077" s="170">
        <f>X1077-X1087-X1097</f>
        <v>0</v>
      </c>
      <c r="Z1077" s="152">
        <f>SUMIFS(операции!$V:$V,операции!$X:$X,"&gt;="&amp;X$8,операции!$X:$X,"&lt;="&amp;X$9,операции!$L:$L,Z$9,операции!$O:$O,$F1052)</f>
        <v>0</v>
      </c>
      <c r="AA1077" s="235">
        <f>SUMIFS(операции!$V:$V,операции!$X:$X,"&gt;="&amp;X$8,операции!$X:$X,"&lt;="&amp;X$9,операции!$L:$L,AA$9,операции!$O:$O,$F1052)</f>
        <v>64896.549999999996</v>
      </c>
      <c r="AB1077" s="264"/>
      <c r="AC1077" s="92"/>
      <c r="AD1077" s="92"/>
      <c r="AE1077" s="92"/>
      <c r="AF1077" s="92"/>
      <c r="AG1077" s="92"/>
      <c r="AH1077" s="92"/>
      <c r="AI1077" s="92"/>
      <c r="AJ1077" s="92"/>
      <c r="AK1077" s="92"/>
      <c r="AL1077" s="92"/>
      <c r="AM1077" s="92"/>
      <c r="AN1077" s="92"/>
      <c r="AO1077" s="92"/>
      <c r="AP1077" s="92"/>
    </row>
    <row r="1078" spans="1:42" s="192" customFormat="1" ht="11.25">
      <c r="A1078" s="37"/>
      <c r="B1078" s="37"/>
      <c r="C1078" s="37"/>
      <c r="D1078" s="191" t="s">
        <v>291</v>
      </c>
      <c r="E1078" s="191"/>
      <c r="F1078" s="191" t="str">
        <f t="shared" si="1852"/>
        <v>ИнтКид</v>
      </c>
      <c r="G1078" s="191" t="s">
        <v>262</v>
      </c>
      <c r="H1078" s="315"/>
      <c r="I1078" s="316">
        <f>IF(I1077=0,0,SUMIFS(операции!$AF:$AF,операции!$X:$X,"&gt;="&amp;I$8,операции!$X:$X,"&lt;="&amp;I$9,операции!$O:$O,$F1052)/I1077)</f>
        <v>42320.473692336651</v>
      </c>
      <c r="J1078" s="317"/>
      <c r="K1078" s="316">
        <f>IF(K1077=0,0,SUMIFS(операции!$AF:$AF,операции!$X:$X,"&gt;="&amp;I$8,операции!$X:$X,"&lt;="&amp;I$9,операции!$L:$L,K$9,операции!$O:$O,$F1052)/K1077)</f>
        <v>42217.120761912534</v>
      </c>
      <c r="L1078" s="318">
        <f>IF(L1077=0,0,SUMIFS(операции!$AF:$AF,операции!$X:$X,"&gt;="&amp;I$8,операции!$X:$X,"&lt;="&amp;I$9,операции!$L:$L,L$9,операции!$O:$O,$F1052)/L1077)</f>
        <v>42333.736188878698</v>
      </c>
      <c r="M1078" s="274"/>
      <c r="N1078" s="193">
        <f>IF(N1077=0,0,SUMIFS(операции!$AF:$AF,операции!$X:$X,"&gt;="&amp;N$8,операции!$X:$X,"&lt;="&amp;N$9,операции!$O:$O,$F1052)/N1077)</f>
        <v>42196.282989045962</v>
      </c>
      <c r="O1078" s="196"/>
      <c r="P1078" s="193">
        <f>IF(P1077=0,0,SUMIFS(операции!$AF:$AF,операции!$X:$X,"&gt;="&amp;N$8,операции!$X:$X,"&lt;="&amp;N$9,операции!$L:$L,P$9,операции!$O:$O,$F1052)/P1077)</f>
        <v>42196.282989045962</v>
      </c>
      <c r="Q1078" s="237">
        <f>IF(Q1077=0,0,SUMIFS(операции!$AF:$AF,операции!$X:$X,"&gt;="&amp;N$8,операции!$X:$X,"&lt;="&amp;N$9,операции!$L:$L,Q$9,операции!$O:$O,$F1052)/Q1077)</f>
        <v>0</v>
      </c>
      <c r="R1078" s="238"/>
      <c r="S1078" s="193">
        <f>IF(S1077=0,0,SUMIFS(операции!$AF:$AF,операции!$X:$X,"&gt;="&amp;S$8,операции!$X:$X,"&lt;="&amp;S$9,операции!$O:$O,$F1052)/S1077)</f>
        <v>42311.787492448071</v>
      </c>
      <c r="T1078" s="196"/>
      <c r="U1078" s="193">
        <f>IF(U1077=0,0,SUMIFS(операции!$AF:$AF,операции!$X:$X,"&gt;="&amp;S$8,операции!$X:$X,"&lt;="&amp;S$9,операции!$L:$L,U$9,операции!$O:$O,$F1052)/U1077)</f>
        <v>42235.385557570626</v>
      </c>
      <c r="V1078" s="237">
        <f>IF(V1077=0,0,SUMIFS(операции!$AF:$AF,операции!$X:$X,"&gt;="&amp;S$8,операции!$X:$X,"&lt;="&amp;S$9,операции!$L:$L,V$9,операции!$O:$O,$F1052)/V1077)</f>
        <v>42328.043537433121</v>
      </c>
      <c r="W1078" s="238"/>
      <c r="X1078" s="193">
        <f>IF(X1077=0,0,SUMIFS(операции!$AF:$AF,операции!$X:$X,"&gt;="&amp;X$8,операции!$X:$X,"&lt;="&amp;X$9,операции!$O:$O,$F1052)/X1077)</f>
        <v>42336.432282455695</v>
      </c>
      <c r="Y1078" s="196"/>
      <c r="Z1078" s="193">
        <f>IF(Z1077=0,0,SUMIFS(операции!$AF:$AF,операции!$X:$X,"&gt;="&amp;X$8,операции!$X:$X,"&lt;="&amp;X$9,операции!$L:$L,Z$9,операции!$O:$O,$F1052)/Z1077)</f>
        <v>0</v>
      </c>
      <c r="AA1078" s="237">
        <f>IF(AA1077=0,0,SUMIFS(операции!$AF:$AF,операции!$X:$X,"&gt;="&amp;X$8,операции!$X:$X,"&lt;="&amp;X$9,операции!$L:$L,AA$9,операции!$O:$O,$F1052)/AA1077)</f>
        <v>42336.432282455695</v>
      </c>
      <c r="AB1078" s="265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</row>
    <row r="1079" spans="1:42" s="192" customFormat="1" ht="11.25">
      <c r="A1079" s="37"/>
      <c r="B1079" s="37"/>
      <c r="C1079" s="37"/>
      <c r="D1079" s="191" t="s">
        <v>308</v>
      </c>
      <c r="E1079" s="191"/>
      <c r="F1079" s="191" t="str">
        <f t="shared" si="1852"/>
        <v>ИнтКид</v>
      </c>
      <c r="G1079" s="191" t="s">
        <v>262</v>
      </c>
      <c r="H1079" s="315"/>
      <c r="I1079" s="316">
        <f>IF(I1077=0,0,(I1087*I1089+I1097*I1099)/I1077)</f>
        <v>42353.403824624715</v>
      </c>
      <c r="J1079" s="317"/>
      <c r="K1079" s="316">
        <f t="shared" ref="K1079:L1079" si="1897">IF(K1077=0,0,(K1087*K1089+K1097*K1099)/K1077)</f>
        <v>42275.9508700878</v>
      </c>
      <c r="L1079" s="318">
        <f t="shared" si="1897"/>
        <v>42363.342773984943</v>
      </c>
      <c r="M1079" s="274"/>
      <c r="N1079" s="193">
        <f>IF(N1077=0,0,(N1087*N1089+N1097*N1099)/N1077)</f>
        <v>42239.859877567331</v>
      </c>
      <c r="O1079" s="196"/>
      <c r="P1079" s="193">
        <f t="shared" ref="P1079:Q1079" si="1898">IF(P1077=0,0,(P1087*P1089+P1097*P1099)/P1077)</f>
        <v>42239.859877567331</v>
      </c>
      <c r="Q1079" s="237">
        <f t="shared" si="1898"/>
        <v>0</v>
      </c>
      <c r="R1079" s="238"/>
      <c r="S1079" s="193">
        <f>IF(S1077=0,0,(S1087*S1089+S1097*S1099)/S1077)</f>
        <v>42332.954100899144</v>
      </c>
      <c r="T1079" s="196"/>
      <c r="U1079" s="193">
        <f t="shared" ref="U1079:V1079" si="1899">IF(U1077=0,0,(U1087*U1089+U1097*U1099)/U1077)</f>
        <v>42283.517864952395</v>
      </c>
      <c r="V1079" s="237">
        <f t="shared" si="1899"/>
        <v>42343.472652251694</v>
      </c>
      <c r="W1079" s="238"/>
      <c r="X1079" s="193">
        <f>IF(X1077=0,0,(X1087*X1089+X1097*X1099)/X1077)</f>
        <v>42366.142080280079</v>
      </c>
      <c r="Y1079" s="196"/>
      <c r="Z1079" s="193">
        <f t="shared" ref="Z1079:AA1079" si="1900">IF(Z1077=0,0,(Z1087*Z1089+Z1097*Z1099)/Z1077)</f>
        <v>0</v>
      </c>
      <c r="AA1079" s="237">
        <f t="shared" si="1900"/>
        <v>42366.142080280079</v>
      </c>
      <c r="AB1079" s="265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</row>
    <row r="1080" spans="1:42" s="93" customFormat="1" ht="15">
      <c r="A1080" s="92"/>
      <c r="B1080" s="92"/>
      <c r="C1080" s="92"/>
      <c r="D1080" s="151" t="s">
        <v>278</v>
      </c>
      <c r="E1080" s="151"/>
      <c r="F1080" s="151" t="str">
        <f t="shared" si="1852"/>
        <v>ИнтКид</v>
      </c>
      <c r="G1080" s="151" t="s">
        <v>261</v>
      </c>
      <c r="H1080" s="311"/>
      <c r="I1080" s="312">
        <f>I1072-I1077</f>
        <v>17410.079999999973</v>
      </c>
      <c r="J1080" s="313">
        <f>I1080-K1080-L1080</f>
        <v>-1.6370904631912708E-11</v>
      </c>
      <c r="K1080" s="312">
        <f t="shared" ref="K1080:L1080" si="1901">K1072-K1077</f>
        <v>6242.2500000000018</v>
      </c>
      <c r="L1080" s="314">
        <f t="shared" si="1901"/>
        <v>11167.829999999987</v>
      </c>
      <c r="M1080" s="273"/>
      <c r="N1080" s="152">
        <f>N1072-N1077</f>
        <v>4423.8700000000008</v>
      </c>
      <c r="O1080" s="170">
        <f>N1080-P1080-Q1080</f>
        <v>0</v>
      </c>
      <c r="P1080" s="152">
        <f t="shared" ref="P1080:Q1080" si="1902">P1072-P1077</f>
        <v>4423.8700000000008</v>
      </c>
      <c r="Q1080" s="235">
        <f t="shared" si="1902"/>
        <v>0</v>
      </c>
      <c r="R1080" s="236"/>
      <c r="S1080" s="152">
        <f>S1072-S1077</f>
        <v>6750.7599999999948</v>
      </c>
      <c r="T1080" s="170">
        <f>S1080-U1080-V1080</f>
        <v>0</v>
      </c>
      <c r="U1080" s="152">
        <f t="shared" ref="U1080:V1080" si="1903">U1072-U1077</f>
        <v>1818.38</v>
      </c>
      <c r="V1080" s="235">
        <f t="shared" si="1903"/>
        <v>4932.380000000001</v>
      </c>
      <c r="W1080" s="236"/>
      <c r="X1080" s="152">
        <f>X1072-X1077</f>
        <v>6235.4500000000044</v>
      </c>
      <c r="Y1080" s="170">
        <f>X1080-Z1080-AA1080</f>
        <v>0</v>
      </c>
      <c r="Z1080" s="152">
        <f t="shared" ref="Z1080:AA1080" si="1904">Z1072-Z1077</f>
        <v>0</v>
      </c>
      <c r="AA1080" s="235">
        <f t="shared" si="1904"/>
        <v>6235.4500000000044</v>
      </c>
      <c r="AB1080" s="264"/>
      <c r="AC1080" s="92"/>
      <c r="AD1080" s="92"/>
      <c r="AE1080" s="92"/>
      <c r="AF1080" s="92"/>
      <c r="AG1080" s="92"/>
      <c r="AH1080" s="92"/>
      <c r="AI1080" s="92"/>
      <c r="AJ1080" s="92"/>
      <c r="AK1080" s="92"/>
      <c r="AL1080" s="92"/>
      <c r="AM1080" s="92"/>
      <c r="AN1080" s="92"/>
      <c r="AO1080" s="92"/>
      <c r="AP1080" s="92"/>
    </row>
    <row r="1081" spans="1:42" s="211" customFormat="1">
      <c r="A1081" s="210"/>
      <c r="B1081" s="210"/>
      <c r="C1081" s="210"/>
      <c r="D1081" s="218" t="s">
        <v>277</v>
      </c>
      <c r="E1081" s="218"/>
      <c r="F1081" s="218" t="str">
        <f t="shared" si="1852"/>
        <v>ИнтКид</v>
      </c>
      <c r="G1081" s="218" t="s">
        <v>218</v>
      </c>
      <c r="H1081" s="343"/>
      <c r="I1081" s="344">
        <f>IF(I1072=0,0,(I1080/I1072))</f>
        <v>0.13893164371099775</v>
      </c>
      <c r="J1081" s="345"/>
      <c r="K1081" s="344">
        <f t="shared" ref="K1081" si="1905">IF(K1072=0,0,(K1080/K1072))</f>
        <v>0.33716376795938219</v>
      </c>
      <c r="L1081" s="346">
        <f t="shared" ref="L1081" si="1906">IF(L1072=0,0,(L1080/L1072))</f>
        <v>0.10456769662921336</v>
      </c>
      <c r="M1081" s="280"/>
      <c r="N1081" s="219">
        <f>IF(N1072=0,0,(N1080/N1072))</f>
        <v>0.43559176841276098</v>
      </c>
      <c r="O1081" s="220"/>
      <c r="P1081" s="219">
        <f t="shared" ref="P1081" si="1907">IF(P1072=0,0,(P1080/P1072))</f>
        <v>0.43559176841276098</v>
      </c>
      <c r="Q1081" s="252">
        <f t="shared" ref="Q1081" si="1908">IF(Q1072=0,0,(Q1080/Q1072))</f>
        <v>0</v>
      </c>
      <c r="R1081" s="253"/>
      <c r="S1081" s="219">
        <f>IF(S1072=0,0,(S1080/S1072))</f>
        <v>0.15333575614409656</v>
      </c>
      <c r="T1081" s="220"/>
      <c r="U1081" s="219">
        <f t="shared" ref="U1081" si="1909">IF(U1072=0,0,(U1080/U1072))</f>
        <v>0.21756161761186887</v>
      </c>
      <c r="V1081" s="252">
        <f t="shared" ref="V1081" si="1910">IF(V1072=0,0,(V1080/V1072))</f>
        <v>0.13828585847258049</v>
      </c>
      <c r="W1081" s="253"/>
      <c r="X1081" s="219">
        <f>IF(X1072=0,0,(X1080/X1072))</f>
        <v>8.7660265422032341E-2</v>
      </c>
      <c r="Y1081" s="220"/>
      <c r="Z1081" s="219">
        <f t="shared" ref="Z1081" si="1911">IF(Z1072=0,0,(Z1080/Z1072))</f>
        <v>0</v>
      </c>
      <c r="AA1081" s="252">
        <f t="shared" ref="AA1081" si="1912">IF(AA1072=0,0,(AA1080/AA1072))</f>
        <v>8.7660265422032341E-2</v>
      </c>
      <c r="AB1081" s="267"/>
      <c r="AC1081" s="210"/>
      <c r="AD1081" s="210"/>
      <c r="AE1081" s="210"/>
      <c r="AF1081" s="210"/>
      <c r="AG1081" s="210"/>
      <c r="AH1081" s="210"/>
      <c r="AI1081" s="210"/>
      <c r="AJ1081" s="210"/>
      <c r="AK1081" s="210"/>
      <c r="AL1081" s="210"/>
      <c r="AM1081" s="210"/>
      <c r="AN1081" s="210"/>
      <c r="AO1081" s="210"/>
      <c r="AP1081" s="210"/>
    </row>
    <row r="1082" spans="1:42" s="93" customFormat="1" ht="15">
      <c r="A1082" s="92"/>
      <c r="B1082" s="92"/>
      <c r="C1082" s="92"/>
      <c r="D1082" s="198" t="s">
        <v>220</v>
      </c>
      <c r="E1082" s="198"/>
      <c r="F1082" s="198" t="str">
        <f t="shared" si="1852"/>
        <v>ИнтКид</v>
      </c>
      <c r="G1082" s="198" t="s">
        <v>219</v>
      </c>
      <c r="H1082" s="323"/>
      <c r="I1082" s="324">
        <f>I1076-I1078</f>
        <v>14.302015086301253</v>
      </c>
      <c r="J1082" s="321">
        <f>I1082-SUMIFS(ПОбТЗ!$I:$I,ПОбТЗ!$E:$E,$D1082,ПОбТЗ!$F:$F,$F1082)</f>
        <v>0</v>
      </c>
      <c r="K1082" s="324">
        <f t="shared" ref="K1082:L1082" si="1913">K1076-K1078</f>
        <v>91.690732091999962</v>
      </c>
      <c r="L1082" s="325">
        <f t="shared" si="1913"/>
        <v>5.5404684246750548</v>
      </c>
      <c r="M1082" s="276"/>
      <c r="N1082" s="199">
        <f>N1076-N1078</f>
        <v>105.51220591268066</v>
      </c>
      <c r="O1082" s="173">
        <f>N1082-SUMIFS(ПОбТЗ_3!$J:$J,ПОбТЗ_3!$D:$D,$D1082,ПОбТЗ_3!$E:$E,$F1082)</f>
        <v>0</v>
      </c>
      <c r="P1082" s="199">
        <f t="shared" ref="P1082:Q1082" si="1914">P1076-P1078</f>
        <v>105.51220591268066</v>
      </c>
      <c r="Q1082" s="241">
        <f t="shared" si="1914"/>
        <v>0</v>
      </c>
      <c r="R1082" s="242"/>
      <c r="S1082" s="199">
        <f>S1076-S1078</f>
        <v>18.873026336281328</v>
      </c>
      <c r="T1082" s="173">
        <f>S1082-SUMIFS(ПОбТЗ_3!$K:$K,ПОбТЗ_3!$D:$D,$D1082,ПОбТЗ_3!$E:$E,$F1082)</f>
        <v>0</v>
      </c>
      <c r="U1082" s="199">
        <f t="shared" ref="U1082:V1082" si="1915">U1076-U1078</f>
        <v>81.951604429850704</v>
      </c>
      <c r="V1082" s="241">
        <f t="shared" si="1915"/>
        <v>5.7390127519174712</v>
      </c>
      <c r="W1082" s="242"/>
      <c r="X1082" s="199">
        <f>X1076-X1078</f>
        <v>5.5993067024901393</v>
      </c>
      <c r="Y1082" s="173">
        <f>X1082-SUMIFS(ПОбТЗ_3!$L:$L,ПОбТЗ_3!$D:$D,$D1082,ПОбТЗ_3!$E:$E,$F1082)</f>
        <v>0</v>
      </c>
      <c r="Z1082" s="199">
        <f t="shared" ref="Z1082:AA1082" si="1916">Z1076-Z1078</f>
        <v>0</v>
      </c>
      <c r="AA1082" s="241">
        <f t="shared" si="1916"/>
        <v>5.5993067024901393</v>
      </c>
      <c r="AB1082" s="264"/>
      <c r="AC1082" s="92"/>
      <c r="AD1082" s="92"/>
      <c r="AE1082" s="92"/>
      <c r="AF1082" s="92"/>
      <c r="AG1082" s="92"/>
      <c r="AH1082" s="92"/>
      <c r="AI1082" s="92"/>
      <c r="AJ1082" s="92"/>
      <c r="AK1082" s="92"/>
      <c r="AL1082" s="92"/>
      <c r="AM1082" s="92"/>
      <c r="AN1082" s="92"/>
      <c r="AO1082" s="92"/>
      <c r="AP1082" s="92"/>
    </row>
    <row r="1083" spans="1:42" s="5" customFormat="1">
      <c r="A1083" s="1"/>
      <c r="B1083" s="1"/>
      <c r="C1083" s="1"/>
      <c r="D1083" s="227" t="s">
        <v>309</v>
      </c>
      <c r="E1083" s="227"/>
      <c r="F1083" s="227" t="str">
        <f t="shared" si="1852"/>
        <v>ИнтКид</v>
      </c>
      <c r="G1083" s="227" t="s">
        <v>219</v>
      </c>
      <c r="H1083" s="347"/>
      <c r="I1083" s="348">
        <f>I1079-I1078</f>
        <v>32.93013228806376</v>
      </c>
      <c r="J1083" s="321"/>
      <c r="K1083" s="348">
        <f t="shared" ref="K1083:L1083" si="1917">K1079-K1078</f>
        <v>58.830108175265195</v>
      </c>
      <c r="L1083" s="349">
        <f t="shared" si="1917"/>
        <v>29.606585106244893</v>
      </c>
      <c r="M1083" s="281"/>
      <c r="N1083" s="228">
        <f>N1079-N1078</f>
        <v>43.576888521369256</v>
      </c>
      <c r="O1083" s="173"/>
      <c r="P1083" s="228">
        <f t="shared" ref="P1083:Q1083" si="1918">P1079-P1078</f>
        <v>43.576888521369256</v>
      </c>
      <c r="Q1083" s="254">
        <f t="shared" si="1918"/>
        <v>0</v>
      </c>
      <c r="R1083" s="255"/>
      <c r="S1083" s="228">
        <f>S1079-S1078</f>
        <v>21.166608451072534</v>
      </c>
      <c r="T1083" s="173"/>
      <c r="U1083" s="228">
        <f t="shared" ref="U1083:V1083" si="1919">U1079-U1078</f>
        <v>48.132307381769351</v>
      </c>
      <c r="V1083" s="254">
        <f t="shared" si="1919"/>
        <v>15.429114818572998</v>
      </c>
      <c r="W1083" s="255"/>
      <c r="X1083" s="228">
        <f>X1079-X1078</f>
        <v>29.709797824383713</v>
      </c>
      <c r="Y1083" s="173"/>
      <c r="Z1083" s="228">
        <f t="shared" ref="Z1083:AA1083" si="1920">Z1079-Z1078</f>
        <v>0</v>
      </c>
      <c r="AA1083" s="254">
        <f t="shared" si="1920"/>
        <v>29.709797824383713</v>
      </c>
      <c r="AB1083" s="266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</row>
    <row r="1084" spans="1:42" s="5" customFormat="1">
      <c r="A1084" s="1"/>
      <c r="B1084" s="1"/>
      <c r="C1084" s="1"/>
      <c r="D1084" s="225" t="s">
        <v>310</v>
      </c>
      <c r="E1084" s="225"/>
      <c r="F1084" s="225" t="str">
        <f t="shared" si="1852"/>
        <v>ИнтКид</v>
      </c>
      <c r="G1084" s="225" t="s">
        <v>219</v>
      </c>
      <c r="H1084" s="350"/>
      <c r="I1084" s="351">
        <f>I1082-I1083</f>
        <v>-18.628117201762507</v>
      </c>
      <c r="J1084" s="352"/>
      <c r="K1084" s="351">
        <f t="shared" ref="K1084" si="1921">K1082-K1083</f>
        <v>32.860623916734767</v>
      </c>
      <c r="L1084" s="353">
        <f t="shared" ref="L1084" si="1922">L1082-L1083</f>
        <v>-24.066116681569838</v>
      </c>
      <c r="M1084" s="282"/>
      <c r="N1084" s="226">
        <f>N1082-N1083</f>
        <v>61.935317391311401</v>
      </c>
      <c r="O1084" s="181"/>
      <c r="P1084" s="226">
        <f t="shared" ref="P1084" si="1923">P1082-P1083</f>
        <v>61.935317391311401</v>
      </c>
      <c r="Q1084" s="256">
        <f t="shared" ref="Q1084" si="1924">Q1082-Q1083</f>
        <v>0</v>
      </c>
      <c r="R1084" s="257"/>
      <c r="S1084" s="226">
        <f>S1082-S1083</f>
        <v>-2.2935821147912065</v>
      </c>
      <c r="T1084" s="181"/>
      <c r="U1084" s="226">
        <f t="shared" ref="U1084" si="1925">U1082-U1083</f>
        <v>33.819297048081353</v>
      </c>
      <c r="V1084" s="256">
        <f t="shared" ref="V1084" si="1926">V1082-V1083</f>
        <v>-9.6901020666555269</v>
      </c>
      <c r="W1084" s="257"/>
      <c r="X1084" s="226">
        <f>X1082-X1083</f>
        <v>-24.110491121893574</v>
      </c>
      <c r="Y1084" s="181"/>
      <c r="Z1084" s="226">
        <f t="shared" ref="Z1084" si="1927">Z1082-Z1083</f>
        <v>0</v>
      </c>
      <c r="AA1084" s="256">
        <f t="shared" ref="AA1084" si="1928">AA1082-AA1083</f>
        <v>-24.110491121893574</v>
      </c>
      <c r="AB1084" s="266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</row>
    <row r="1085" spans="1:42" s="5" customFormat="1">
      <c r="A1085" s="1"/>
      <c r="B1085" s="1"/>
      <c r="C1085" s="1"/>
      <c r="D1085" s="223"/>
      <c r="E1085" s="223" t="s">
        <v>293</v>
      </c>
      <c r="F1085" s="223" t="str">
        <f t="shared" si="1852"/>
        <v>ИнтКид</v>
      </c>
      <c r="G1085" s="223" t="s">
        <v>261</v>
      </c>
      <c r="H1085" s="354"/>
      <c r="I1085" s="355">
        <f>SUMIFS(операции!$Z:$Z,операции!$X:$X,"&gt;="&amp;I$8,операции!$X:$X,"&lt;="&amp;I$9,операции!$AB:$AB,"&lt;&gt;"&amp;"",операции!$O:$O,$F1052)</f>
        <v>66012</v>
      </c>
      <c r="J1085" s="341">
        <f>I1085-K1085-L1085</f>
        <v>0</v>
      </c>
      <c r="K1085" s="355">
        <f>SUMIFS(операции!$Z:$Z,операции!$X:$X,"&gt;="&amp;I$8,операции!$X:$X,"&lt;="&amp;I$9,операции!$AB:$AB,"&lt;&gt;"&amp;"",операции!$L:$L,K$9,операции!$O:$O,$F1052)</f>
        <v>12244</v>
      </c>
      <c r="L1085" s="356">
        <f>SUMIFS(операции!$Z:$Z,операции!$X:$X,"&gt;="&amp;I$8,операции!$X:$X,"&lt;="&amp;I$9,операции!$AB:$AB,"&lt;&gt;"&amp;"",операции!$L:$L,L$9,операции!$O:$O,$F1052)</f>
        <v>53768</v>
      </c>
      <c r="M1085" s="283"/>
      <c r="N1085" s="224">
        <f>SUMIFS(операции!$Z:$Z,операции!$X:$X,"&gt;="&amp;N$8,операции!$X:$X,"&lt;="&amp;N$9,операции!$AB:$AB,"&lt;&gt;"&amp;"",операции!$O:$O,$F1052)</f>
        <v>6656</v>
      </c>
      <c r="O1085" s="216">
        <f>N1085-P1085-Q1085</f>
        <v>0</v>
      </c>
      <c r="P1085" s="224">
        <f>SUMIFS(операции!$Z:$Z,операции!$X:$X,"&gt;="&amp;N$8,операции!$X:$X,"&lt;="&amp;N$9,операции!$AB:$AB,"&lt;&gt;"&amp;"",операции!$L:$L,P$9,операции!$O:$O,$F1052)</f>
        <v>6656</v>
      </c>
      <c r="Q1085" s="258">
        <f>SUMIFS(операции!$Z:$Z,операции!$X:$X,"&gt;="&amp;N$8,операции!$X:$X,"&lt;="&amp;N$9,операции!$AB:$AB,"&lt;&gt;"&amp;"",операции!$L:$L,Q$9,операции!$O:$O,$F1052)</f>
        <v>0</v>
      </c>
      <c r="R1085" s="259"/>
      <c r="S1085" s="224">
        <f>SUMIFS(операции!$Z:$Z,операции!$X:$X,"&gt;="&amp;S$8,операции!$X:$X,"&lt;="&amp;S$9,операции!$AB:$AB,"&lt;&gt;"&amp;"",операции!$O:$O,$F1052)</f>
        <v>25725</v>
      </c>
      <c r="T1085" s="216">
        <f>S1085-U1085-V1085</f>
        <v>0</v>
      </c>
      <c r="U1085" s="224">
        <f>SUMIFS(операции!$Z:$Z,операции!$X:$X,"&gt;="&amp;S$8,операции!$X:$X,"&lt;="&amp;S$9,операции!$AB:$AB,"&lt;&gt;"&amp;"",операции!$L:$L,U$9,операции!$O:$O,$F1052)</f>
        <v>5588</v>
      </c>
      <c r="V1085" s="258">
        <f>SUMIFS(операции!$Z:$Z,операции!$X:$X,"&gt;="&amp;S$8,операции!$X:$X,"&lt;="&amp;S$9,операции!$AB:$AB,"&lt;&gt;"&amp;"",операции!$L:$L,V$9,операции!$O:$O,$F1052)</f>
        <v>20137</v>
      </c>
      <c r="W1085" s="259"/>
      <c r="X1085" s="224">
        <f>SUMIFS(операции!$Z:$Z,операции!$X:$X,"&gt;="&amp;X$8,операции!$X:$X,"&lt;="&amp;X$9,операции!$AB:$AB,"&lt;&gt;"&amp;"",операции!$O:$O,$F1052)</f>
        <v>33631</v>
      </c>
      <c r="Y1085" s="216">
        <f>X1085-Z1085-AA1085</f>
        <v>0</v>
      </c>
      <c r="Z1085" s="224">
        <f>SUMIFS(операции!$Z:$Z,операции!$X:$X,"&gt;="&amp;X$8,операции!$X:$X,"&lt;="&amp;X$9,операции!$AB:$AB,"&lt;&gt;"&amp;"",операции!$L:$L,Z$9,операции!$O:$O,$F1052)</f>
        <v>0</v>
      </c>
      <c r="AA1085" s="258">
        <f>SUMIFS(операции!$Z:$Z,операции!$X:$X,"&gt;="&amp;X$8,операции!$X:$X,"&lt;="&amp;X$9,операции!$AB:$AB,"&lt;&gt;"&amp;"",операции!$L:$L,AA$9,операции!$O:$O,$F1052)</f>
        <v>33631</v>
      </c>
      <c r="AB1085" s="266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</row>
    <row r="1086" spans="1:42" s="192" customFormat="1" ht="11.25">
      <c r="A1086" s="37"/>
      <c r="B1086" s="37"/>
      <c r="C1086" s="37"/>
      <c r="D1086" s="191"/>
      <c r="E1086" s="191" t="s">
        <v>295</v>
      </c>
      <c r="F1086" s="191" t="str">
        <f t="shared" si="1852"/>
        <v>ИнтКид</v>
      </c>
      <c r="G1086" s="191" t="s">
        <v>262</v>
      </c>
      <c r="H1086" s="315"/>
      <c r="I1086" s="316">
        <f>IF(I1085=0,0,SUMIFS(операции!$AG:$AG,операции!$X:$X,"&gt;="&amp;I$8,операции!$X:$X,"&lt;="&amp;I$9,операции!$AB:$AB,"&lt;&gt;"&amp;"",операции!$O:$O,$F1052)/I1085)</f>
        <v>42332.807944010179</v>
      </c>
      <c r="J1086" s="317"/>
      <c r="K1086" s="316">
        <f>IF(K1085=0,0,SUMIFS(операции!$AG:$AG,операции!$X:$X,"&gt;="&amp;I$8,операции!$X:$X,"&lt;="&amp;I$9,операции!$AB:$AB,"&lt;&gt;"&amp;"",операции!$L:$L,K$9,операции!$O:$O,$F1052)/K1085)</f>
        <v>42306.91734727213</v>
      </c>
      <c r="L1086" s="318">
        <f>IF(L1085=0,0,SUMIFS(операции!$AG:$AG,операции!$X:$X,"&gt;="&amp;I$8,операции!$X:$X,"&lt;="&amp;I$9,операции!$AB:$AB,"&lt;&gt;"&amp;"",операции!$L:$L,L$9,операции!$O:$O,$F1052)/L1085)</f>
        <v>42338.703727123939</v>
      </c>
      <c r="M1086" s="274"/>
      <c r="N1086" s="193">
        <f>IF(N1085=0,0,SUMIFS(операции!$AG:$AG,операции!$X:$X,"&gt;="&amp;N$8,операции!$X:$X,"&lt;="&amp;N$9,операции!$AB:$AB,"&lt;&gt;"&amp;"",операции!$O:$O,$F1052)/N1085)</f>
        <v>42300.109975961539</v>
      </c>
      <c r="O1086" s="196"/>
      <c r="P1086" s="193">
        <f>IF(P1085=0,0,SUMIFS(операции!$AG:$AG,операции!$X:$X,"&gt;="&amp;N$8,операции!$X:$X,"&lt;="&amp;N$9,операции!$AB:$AB,"&lt;&gt;"&amp;"",операции!$L:$L,P$9,операции!$O:$O,$F1052)/P1085)</f>
        <v>42300.109975961539</v>
      </c>
      <c r="Q1086" s="237">
        <f>IF(Q1085=0,0,SUMIFS(операции!$AG:$AG,операции!$X:$X,"&gt;="&amp;N$8,операции!$X:$X,"&lt;="&amp;N$9,операции!$AB:$AB,"&lt;&gt;"&amp;"",операции!$L:$L,Q$9,операции!$O:$O,$F1052)/Q1085)</f>
        <v>0</v>
      </c>
      <c r="R1086" s="238"/>
      <c r="S1086" s="193">
        <f>IF(S1085=0,0,SUMIFS(операции!$AG:$AG,операции!$X:$X,"&gt;="&amp;S$8,операции!$X:$X,"&lt;="&amp;S$9,операции!$AB:$AB,"&lt;&gt;"&amp;"",операции!$O:$O,$F1052)/S1085)</f>
        <v>42329.124586977647</v>
      </c>
      <c r="T1086" s="196"/>
      <c r="U1086" s="193">
        <f>IF(U1085=0,0,SUMIFS(операции!$AG:$AG,операции!$X:$X,"&gt;="&amp;S$8,операции!$X:$X,"&lt;="&amp;S$9,операции!$AB:$AB,"&lt;&gt;"&amp;"",операции!$L:$L,U$9,операции!$O:$O,$F1052)/U1085)</f>
        <v>42315.025769506086</v>
      </c>
      <c r="V1086" s="237">
        <f>IF(V1085=0,0,SUMIFS(операции!$AG:$AG,операции!$X:$X,"&gt;="&amp;S$8,операции!$X:$X,"&lt;="&amp;S$9,операции!$AB:$AB,"&lt;&gt;"&amp;"",операции!$L:$L,V$9,операции!$O:$O,$F1052)/V1085)</f>
        <v>42333.036996573472</v>
      </c>
      <c r="W1086" s="238"/>
      <c r="X1086" s="193">
        <f>IF(X1085=0,0,SUMIFS(операции!$AG:$AG,операции!$X:$X,"&gt;="&amp;X$8,операции!$X:$X,"&lt;="&amp;X$9,операции!$AB:$AB,"&lt;&gt;"&amp;"",операции!$O:$O,$F1052)/X1085)</f>
        <v>42342.096755969193</v>
      </c>
      <c r="Y1086" s="196"/>
      <c r="Z1086" s="193">
        <f>IF(Z1085=0,0,SUMIFS(операции!$AG:$AG,операции!$X:$X,"&gt;="&amp;X$8,операции!$X:$X,"&lt;="&amp;X$9,операции!$AB:$AB,"&lt;&gt;"&amp;"",операции!$L:$L,Z$9,операции!$O:$O,$F1052)/Z1085)</f>
        <v>0</v>
      </c>
      <c r="AA1086" s="237">
        <f>IF(AA1085=0,0,SUMIFS(операции!$AG:$AG,операции!$X:$X,"&gt;="&amp;X$8,операции!$X:$X,"&lt;="&amp;X$9,операции!$AB:$AB,"&lt;&gt;"&amp;"",операции!$L:$L,AA$9,операции!$O:$O,$F1052)/AA1085)</f>
        <v>42342.096755969193</v>
      </c>
      <c r="AB1086" s="265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</row>
    <row r="1087" spans="1:42" s="93" customFormat="1" ht="15">
      <c r="A1087" s="92"/>
      <c r="B1087" s="92"/>
      <c r="C1087" s="92"/>
      <c r="D1087" s="151"/>
      <c r="E1087" s="151" t="s">
        <v>292</v>
      </c>
      <c r="F1087" s="151" t="str">
        <f t="shared" si="1852"/>
        <v>ИнтКид</v>
      </c>
      <c r="G1087" s="151" t="s">
        <v>261</v>
      </c>
      <c r="H1087" s="311"/>
      <c r="I1087" s="312">
        <f>SUMIFS(операции!$V:$V,операции!$X:$X,"&gt;="&amp;I$8,операции!$X:$X,"&lt;="&amp;I$9,операции!$AB:$AB,"&lt;&gt;"&amp;"",операции!$O:$O,$F1052)</f>
        <v>56631.61</v>
      </c>
      <c r="J1087" s="313">
        <f>I1087-K1087-L1087</f>
        <v>0</v>
      </c>
      <c r="K1087" s="312">
        <f>SUMIFS(операции!$V:$V,операции!$X:$X,"&gt;="&amp;I$8,операции!$X:$X,"&lt;="&amp;I$9,операции!$AB:$AB,"&lt;&gt;"&amp;"",операции!$L:$L,K$9,операции!$O:$O,$F1052)</f>
        <v>8850.16</v>
      </c>
      <c r="L1087" s="314">
        <f>SUMIFS(операции!$V:$V,операции!$X:$X,"&gt;="&amp;I$8,операции!$X:$X,"&lt;="&amp;I$9,операции!$AB:$AB,"&lt;&gt;"&amp;"",операции!$L:$L,L$9,операции!$O:$O,$F1052)</f>
        <v>47781.45</v>
      </c>
      <c r="M1087" s="273"/>
      <c r="N1087" s="152">
        <f>SUMIFS(операции!$V:$V,операции!$X:$X,"&gt;="&amp;N$8,операции!$X:$X,"&lt;="&amp;N$9,операции!$AB:$AB,"&lt;&gt;"&amp;"",операции!$O:$O,$F1052)</f>
        <v>4021.34</v>
      </c>
      <c r="O1087" s="170">
        <f>N1087-P1087-Q1087</f>
        <v>0</v>
      </c>
      <c r="P1087" s="152">
        <f>SUMIFS(операции!$V:$V,операции!$X:$X,"&gt;="&amp;N$8,операции!$X:$X,"&lt;="&amp;N$9,операции!$AB:$AB,"&lt;&gt;"&amp;"",операции!$L:$L,P$9,операции!$O:$O,$F1052)</f>
        <v>4021.34</v>
      </c>
      <c r="Q1087" s="235">
        <f>SUMIFS(операции!$V:$V,операции!$X:$X,"&gt;="&amp;N$8,операции!$X:$X,"&lt;="&amp;N$9,операции!$AB:$AB,"&lt;&gt;"&amp;"",операции!$L:$L,Q$9,операции!$O:$O,$F1052)</f>
        <v>0</v>
      </c>
      <c r="R1087" s="236"/>
      <c r="S1087" s="152">
        <f>SUMIFS(операции!$V:$V,операции!$X:$X,"&gt;="&amp;S$8,операции!$X:$X,"&lt;="&amp;S$9,операции!$AB:$AB,"&lt;&gt;"&amp;"",операции!$O:$O,$F1052)</f>
        <v>21723.949999999997</v>
      </c>
      <c r="T1087" s="170">
        <f>S1087-U1087-V1087</f>
        <v>0</v>
      </c>
      <c r="U1087" s="152">
        <f>SUMIFS(операции!$V:$V,операции!$X:$X,"&gt;="&amp;S$8,операции!$X:$X,"&lt;="&amp;S$9,операции!$AB:$AB,"&lt;&gt;"&amp;"",операции!$L:$L,U$9,операции!$O:$O,$F1052)</f>
        <v>4828.82</v>
      </c>
      <c r="V1087" s="235">
        <f>SUMIFS(операции!$V:$V,операции!$X:$X,"&gt;="&amp;S$8,операции!$X:$X,"&lt;="&amp;S$9,операции!$AB:$AB,"&lt;&gt;"&amp;"",операции!$L:$L,V$9,операции!$O:$O,$F1052)</f>
        <v>16895.129999999997</v>
      </c>
      <c r="W1087" s="236"/>
      <c r="X1087" s="152">
        <f>SUMIFS(операции!$V:$V,операции!$X:$X,"&gt;="&amp;X$8,операции!$X:$X,"&lt;="&amp;X$9,операции!$AB:$AB,"&lt;&gt;"&amp;"",операции!$O:$O,$F1052)</f>
        <v>30886.32</v>
      </c>
      <c r="Y1087" s="170">
        <f>X1087-Z1087-AA1087</f>
        <v>0</v>
      </c>
      <c r="Z1087" s="152">
        <f>SUMIFS(операции!$V:$V,операции!$X:$X,"&gt;="&amp;X$8,операции!$X:$X,"&lt;="&amp;X$9,операции!$AB:$AB,"&lt;&gt;"&amp;"",операции!$L:$L,Z$9,операции!$O:$O,$F1052)</f>
        <v>0</v>
      </c>
      <c r="AA1087" s="235">
        <f>SUMIFS(операции!$V:$V,операции!$X:$X,"&gt;="&amp;X$8,операции!$X:$X,"&lt;="&amp;X$9,операции!$AB:$AB,"&lt;&gt;"&amp;"",операции!$L:$L,AA$9,операции!$O:$O,$F1052)</f>
        <v>30886.32</v>
      </c>
      <c r="AB1087" s="264"/>
      <c r="AC1087" s="92"/>
      <c r="AD1087" s="92"/>
      <c r="AE1087" s="92"/>
      <c r="AF1087" s="92"/>
      <c r="AG1087" s="92"/>
      <c r="AH1087" s="92"/>
      <c r="AI1087" s="92"/>
      <c r="AJ1087" s="92"/>
      <c r="AK1087" s="92"/>
      <c r="AL1087" s="92"/>
      <c r="AM1087" s="92"/>
      <c r="AN1087" s="92"/>
      <c r="AO1087" s="92"/>
      <c r="AP1087" s="92"/>
    </row>
    <row r="1088" spans="1:42" s="192" customFormat="1" ht="11.25">
      <c r="A1088" s="37"/>
      <c r="B1088" s="37"/>
      <c r="C1088" s="37"/>
      <c r="D1088" s="191"/>
      <c r="E1088" s="191" t="s">
        <v>294</v>
      </c>
      <c r="F1088" s="191" t="str">
        <f t="shared" si="1852"/>
        <v>ИнтКид</v>
      </c>
      <c r="G1088" s="191" t="s">
        <v>262</v>
      </c>
      <c r="H1088" s="315"/>
      <c r="I1088" s="316">
        <f>IF(I1087=0,0,SUMIFS(операции!$AF:$AF,операции!$X:$X,"&gt;="&amp;I$8,операции!$X:$X,"&lt;="&amp;I$9,операции!$AB:$AB,"&lt;&gt;"&amp;"",операции!$O:$O,$F1052)/I1087)</f>
        <v>42314.575395967026</v>
      </c>
      <c r="J1088" s="317"/>
      <c r="K1088" s="316">
        <f>IF(K1087=0,0,SUMIFS(операции!$AF:$AF,операции!$X:$X,"&gt;="&amp;I$8,операции!$X:$X,"&lt;="&amp;I$9,операции!$AB:$AB,"&lt;&gt;"&amp;"",операции!$L:$L,K$9,операции!$O:$O,$F1052)/K1087)</f>
        <v>42211.754854149534</v>
      </c>
      <c r="L1088" s="318">
        <f>IF(L1087=0,0,SUMIFS(операции!$AF:$AF,операции!$X:$X,"&gt;="&amp;I$8,операции!$X:$X,"&lt;="&amp;I$9,операции!$AB:$AB,"&lt;&gt;"&amp;"",операции!$L:$L,L$9,операции!$O:$O,$F1052)/L1087)</f>
        <v>42333.619988510189</v>
      </c>
      <c r="M1088" s="274"/>
      <c r="N1088" s="193">
        <f>IF(N1087=0,0,SUMIFS(операции!$AF:$AF,операции!$X:$X,"&gt;="&amp;N$8,операции!$X:$X,"&lt;="&amp;N$9,операции!$AB:$AB,"&lt;&gt;"&amp;"",операции!$O:$O,$F1052)/N1087)</f>
        <v>42184.916828718786</v>
      </c>
      <c r="O1088" s="196"/>
      <c r="P1088" s="193">
        <f>IF(P1087=0,0,SUMIFS(операции!$AF:$AF,операции!$X:$X,"&gt;="&amp;N$8,операции!$X:$X,"&lt;="&amp;N$9,операции!$AB:$AB,"&lt;&gt;"&amp;"",операции!$L:$L,P$9,операции!$O:$O,$F1052)/P1087)</f>
        <v>42184.916828718786</v>
      </c>
      <c r="Q1088" s="237">
        <f>IF(Q1087=0,0,SUMIFS(операции!$AF:$AF,операции!$X:$X,"&gt;="&amp;N$8,операции!$X:$X,"&lt;="&amp;N$9,операции!$AB:$AB,"&lt;&gt;"&amp;"",операции!$L:$L,Q$9,операции!$O:$O,$F1052)/Q1087)</f>
        <v>0</v>
      </c>
      <c r="R1088" s="238"/>
      <c r="S1088" s="193">
        <f>IF(S1087=0,0,SUMIFS(операции!$AF:$AF,операции!$X:$X,"&gt;="&amp;S$8,операции!$X:$X,"&lt;="&amp;S$9,операции!$AB:$AB,"&lt;&gt;"&amp;"",операции!$O:$O,$F1052)/S1087)</f>
        <v>42306.793140750189</v>
      </c>
      <c r="T1088" s="196"/>
      <c r="U1088" s="193">
        <f>IF(U1087=0,0,SUMIFS(операции!$AF:$AF,операции!$X:$X,"&gt;="&amp;S$8,операции!$X:$X,"&lt;="&amp;S$9,операции!$AB:$AB,"&lt;&gt;"&amp;"",операции!$L:$L,U$9,операции!$O:$O,$F1052)/U1087)</f>
        <v>42234.104998736759</v>
      </c>
      <c r="V1088" s="237">
        <f>IF(V1087=0,0,SUMIFS(операции!$AF:$AF,операции!$X:$X,"&gt;="&amp;S$8,операции!$X:$X,"&lt;="&amp;S$9,операции!$AB:$AB,"&lt;&gt;"&amp;"",операции!$L:$L,V$9,операции!$O:$O,$F1052)/V1087)</f>
        <v>42327.568237119223</v>
      </c>
      <c r="W1088" s="238"/>
      <c r="X1088" s="193">
        <f>IF(X1087=0,0,SUMIFS(операции!$AF:$AF,операции!$X:$X,"&gt;="&amp;X$8,операции!$X:$X,"&lt;="&amp;X$9,операции!$AB:$AB,"&lt;&gt;"&amp;"",операции!$O:$O,$F1052)/X1087)</f>
        <v>42336.930357841266</v>
      </c>
      <c r="Y1088" s="196"/>
      <c r="Z1088" s="193">
        <f>IF(Z1087=0,0,SUMIFS(операции!$AF:$AF,операции!$X:$X,"&gt;="&amp;X$8,операции!$X:$X,"&lt;="&amp;X$9,операции!$AB:$AB,"&lt;&gt;"&amp;"",операции!$L:$L,Z$9,операции!$O:$O,$F1052)/Z1087)</f>
        <v>0</v>
      </c>
      <c r="AA1088" s="237">
        <f>IF(AA1087=0,0,SUMIFS(операции!$AF:$AF,операции!$X:$X,"&gt;="&amp;X$8,операции!$X:$X,"&lt;="&amp;X$9,операции!$AB:$AB,"&lt;&gt;"&amp;"",операции!$L:$L,AA$9,операции!$O:$O,$F1052)/AA1087)</f>
        <v>42336.930357841266</v>
      </c>
      <c r="AB1088" s="265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</row>
    <row r="1089" spans="1:42" s="192" customFormat="1" ht="11.25">
      <c r="A1089" s="37"/>
      <c r="B1089" s="37"/>
      <c r="C1089" s="37"/>
      <c r="D1089" s="191"/>
      <c r="E1089" s="191" t="s">
        <v>299</v>
      </c>
      <c r="F1089" s="191" t="str">
        <f t="shared" si="1852"/>
        <v>ИнтКид</v>
      </c>
      <c r="G1089" s="191" t="s">
        <v>262</v>
      </c>
      <c r="H1089" s="315"/>
      <c r="I1089" s="316">
        <f>IF(I1087=0,0,SUMIFS(операции!$AH:$AH,операции!$X:$X,"&gt;="&amp;I$8,операции!$X:$X,"&lt;="&amp;I$9,операции!$AB:$AB,"&lt;&gt;"&amp;"",операции!$O:$O,$F1052)/I1087)</f>
        <v>42339.283584379824</v>
      </c>
      <c r="J1089" s="317"/>
      <c r="K1089" s="316">
        <f>IF(K1087=0,0,SUMIFS(операции!$AH:$AH,операции!$X:$X,"&gt;="&amp;I$8,операции!$X:$X,"&lt;="&amp;I$9,операции!$AB:$AB,"&lt;&gt;"&amp;"",операции!$L:$L,K$9,операции!$O:$O,$F1052)/K1087)</f>
        <v>42239.976834317116</v>
      </c>
      <c r="L1089" s="318">
        <f>IF(L1087=0,0,SUMIFS(операции!$AH:$AH,операции!$X:$X,"&gt;="&amp;I$8,операции!$X:$X,"&lt;="&amp;I$9,операции!$AB:$AB,"&lt;&gt;"&amp;"",операции!$L:$L,L$9,операции!$O:$O,$F1052)/L1087)</f>
        <v>42357.677346543482</v>
      </c>
      <c r="M1089" s="274"/>
      <c r="N1089" s="193">
        <f>IF(N1087=0,0,SUMIFS(операции!$AH:$AH,операции!$X:$X,"&gt;="&amp;N$8,операции!$X:$X,"&lt;="&amp;N$9,операции!$AB:$AB,"&lt;&gt;"&amp;"",операции!$O:$O,$F1052)/N1087)</f>
        <v>42210.871172295803</v>
      </c>
      <c r="O1089" s="196"/>
      <c r="P1089" s="193">
        <f>IF(P1087=0,0,SUMIFS(операции!$AH:$AH,операции!$X:$X,"&gt;="&amp;N$8,операции!$X:$X,"&lt;="&amp;N$9,операции!$AB:$AB,"&lt;&gt;"&amp;"",операции!$L:$L,P$9,операции!$O:$O,$F1052)/P1087)</f>
        <v>42210.871172295803</v>
      </c>
      <c r="Q1089" s="237">
        <f>IF(Q1087=0,0,SUMIFS(операции!$AH:$AH,операции!$X:$X,"&gt;="&amp;N$8,операции!$X:$X,"&lt;="&amp;N$9,операции!$AB:$AB,"&lt;&gt;"&amp;"",операции!$L:$L,Q$9,операции!$O:$O,$F1052)/Q1087)</f>
        <v>0</v>
      </c>
      <c r="R1089" s="238"/>
      <c r="S1089" s="193">
        <f>IF(S1087=0,0,SUMIFS(операции!$AH:$AH,операции!$X:$X,"&gt;="&amp;S$8,операции!$X:$X,"&lt;="&amp;S$9,операции!$AB:$AB,"&lt;&gt;"&amp;"",операции!$O:$O,$F1052)/S1087)</f>
        <v>42329.341947481931</v>
      </c>
      <c r="T1089" s="196"/>
      <c r="U1089" s="193">
        <f>IF(U1087=0,0,SUMIFS(операции!$AH:$AH,операции!$X:$X,"&gt;="&amp;S$8,операции!$X:$X,"&lt;="&amp;S$9,операции!$AB:$AB,"&lt;&gt;"&amp;"",операции!$L:$L,U$9,операции!$O:$O,$F1052)/U1087)</f>
        <v>42264.215419087894</v>
      </c>
      <c r="V1089" s="237">
        <f>IF(V1087=0,0,SUMIFS(операции!$AH:$AH,операции!$X:$X,"&gt;="&amp;S$8,операции!$X:$X,"&lt;="&amp;S$9,операции!$AB:$AB,"&lt;&gt;"&amp;"",операции!$L:$L,V$9,операции!$O:$O,$F1052)/V1087)</f>
        <v>42347.955848815611</v>
      </c>
      <c r="W1089" s="238"/>
      <c r="X1089" s="193">
        <f>IF(X1087=0,0,SUMIFS(операции!$AH:$AH,операции!$X:$X,"&gt;="&amp;X$8,операции!$X:$X,"&lt;="&amp;X$9,операции!$AB:$AB,"&lt;&gt;"&amp;"",операции!$O:$O,$F1052)/X1087)</f>
        <v>42362.995104305082</v>
      </c>
      <c r="Y1089" s="196"/>
      <c r="Z1089" s="193">
        <f>IF(Z1087=0,0,SUMIFS(операции!$AH:$AH,операции!$X:$X,"&gt;="&amp;X$8,операции!$X:$X,"&lt;="&amp;X$9,операции!$AB:$AB,"&lt;&gt;"&amp;"",операции!$L:$L,Z$9,операции!$O:$O,$F1052)/Z1087)</f>
        <v>0</v>
      </c>
      <c r="AA1089" s="237">
        <f>IF(AA1087=0,0,SUMIFS(операции!$AH:$AH,операции!$X:$X,"&gt;="&amp;X$8,операции!$X:$X,"&lt;="&amp;X$9,операции!$AB:$AB,"&lt;&gt;"&amp;"",операции!$L:$L,AA$9,операции!$O:$O,$F1052)/AA1087)</f>
        <v>42362.995104305082</v>
      </c>
      <c r="AB1089" s="265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</row>
    <row r="1090" spans="1:42" s="5" customFormat="1">
      <c r="A1090" s="1"/>
      <c r="B1090" s="1"/>
      <c r="C1090" s="1"/>
      <c r="D1090" s="168"/>
      <c r="E1090" s="168" t="s">
        <v>296</v>
      </c>
      <c r="F1090" s="168" t="str">
        <f t="shared" si="1852"/>
        <v>ИнтКид</v>
      </c>
      <c r="G1090" s="168" t="s">
        <v>261</v>
      </c>
      <c r="H1090" s="326"/>
      <c r="I1090" s="327">
        <f>I1085-I1087</f>
        <v>9380.39</v>
      </c>
      <c r="J1090" s="313">
        <f>I1090-K1090-L1090</f>
        <v>0</v>
      </c>
      <c r="K1090" s="327">
        <f t="shared" ref="K1090:L1090" si="1929">K1085-K1087</f>
        <v>3393.84</v>
      </c>
      <c r="L1090" s="328">
        <f t="shared" si="1929"/>
        <v>5986.5500000000029</v>
      </c>
      <c r="M1090" s="277"/>
      <c r="N1090" s="169">
        <f>N1085-N1087</f>
        <v>2634.66</v>
      </c>
      <c r="O1090" s="170">
        <f>N1090-P1090-Q1090</f>
        <v>0</v>
      </c>
      <c r="P1090" s="169">
        <f t="shared" ref="P1090:Q1090" si="1930">P1085-P1087</f>
        <v>2634.66</v>
      </c>
      <c r="Q1090" s="243">
        <f t="shared" si="1930"/>
        <v>0</v>
      </c>
      <c r="R1090" s="244"/>
      <c r="S1090" s="169">
        <f>S1085-S1087</f>
        <v>4001.0500000000029</v>
      </c>
      <c r="T1090" s="170">
        <f>S1090-U1090-V1090</f>
        <v>0</v>
      </c>
      <c r="U1090" s="169">
        <f t="shared" ref="U1090:V1090" si="1931">U1085-U1087</f>
        <v>759.18000000000029</v>
      </c>
      <c r="V1090" s="243">
        <f t="shared" si="1931"/>
        <v>3241.8700000000026</v>
      </c>
      <c r="W1090" s="244"/>
      <c r="X1090" s="169">
        <f>X1085-X1087</f>
        <v>2744.6800000000003</v>
      </c>
      <c r="Y1090" s="170">
        <f>X1090-Z1090-AA1090</f>
        <v>0</v>
      </c>
      <c r="Z1090" s="169">
        <f t="shared" ref="Z1090:AA1090" si="1932">Z1085-Z1087</f>
        <v>0</v>
      </c>
      <c r="AA1090" s="243">
        <f t="shared" si="1932"/>
        <v>2744.6800000000003</v>
      </c>
      <c r="AB1090" s="266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</row>
    <row r="1091" spans="1:42" s="211" customFormat="1">
      <c r="A1091" s="210"/>
      <c r="B1091" s="210"/>
      <c r="C1091" s="210"/>
      <c r="D1091" s="218"/>
      <c r="E1091" s="218" t="s">
        <v>297</v>
      </c>
      <c r="F1091" s="218" t="str">
        <f t="shared" si="1852"/>
        <v>ИнтКид</v>
      </c>
      <c r="G1091" s="218" t="s">
        <v>218</v>
      </c>
      <c r="H1091" s="343"/>
      <c r="I1091" s="344">
        <f>IF(I1085=0,0,(I1090/I1085))</f>
        <v>0.1421012846149185</v>
      </c>
      <c r="J1091" s="345"/>
      <c r="K1091" s="344">
        <f t="shared" ref="K1091" si="1933">IF(K1085=0,0,(K1090/K1085))</f>
        <v>0.27718392682130022</v>
      </c>
      <c r="L1091" s="346">
        <f t="shared" ref="L1091" si="1934">IF(L1085=0,0,(L1090/L1085))</f>
        <v>0.11134038833506923</v>
      </c>
      <c r="M1091" s="280"/>
      <c r="N1091" s="219">
        <f>IF(N1085=0,0,(N1090/N1085))</f>
        <v>0.3958323317307692</v>
      </c>
      <c r="O1091" s="220"/>
      <c r="P1091" s="219">
        <f t="shared" ref="P1091" si="1935">IF(P1085=0,0,(P1090/P1085))</f>
        <v>0.3958323317307692</v>
      </c>
      <c r="Q1091" s="252">
        <f t="shared" ref="Q1091" si="1936">IF(Q1085=0,0,(Q1090/Q1085))</f>
        <v>0</v>
      </c>
      <c r="R1091" s="253"/>
      <c r="S1091" s="219">
        <f>IF(S1085=0,0,(S1090/S1085))</f>
        <v>0.15553158406219642</v>
      </c>
      <c r="T1091" s="220"/>
      <c r="U1091" s="219">
        <f t="shared" ref="U1091" si="1937">IF(U1085=0,0,(U1090/U1085))</f>
        <v>0.13585898353614895</v>
      </c>
      <c r="V1091" s="252">
        <f t="shared" ref="V1091" si="1938">IF(V1085=0,0,(V1090/V1085))</f>
        <v>0.16099071361175957</v>
      </c>
      <c r="W1091" s="253"/>
      <c r="X1091" s="219">
        <f>IF(X1085=0,0,(X1090/X1085))</f>
        <v>8.161160833754573E-2</v>
      </c>
      <c r="Y1091" s="220"/>
      <c r="Z1091" s="219">
        <f t="shared" ref="Z1091" si="1939">IF(Z1085=0,0,(Z1090/Z1085))</f>
        <v>0</v>
      </c>
      <c r="AA1091" s="252">
        <f t="shared" ref="AA1091" si="1940">IF(AA1085=0,0,(AA1090/AA1085))</f>
        <v>8.161160833754573E-2</v>
      </c>
      <c r="AB1091" s="267"/>
      <c r="AC1091" s="210"/>
      <c r="AD1091" s="210"/>
      <c r="AE1091" s="210"/>
      <c r="AF1091" s="210"/>
      <c r="AG1091" s="210"/>
      <c r="AH1091" s="210"/>
      <c r="AI1091" s="210"/>
      <c r="AJ1091" s="210"/>
      <c r="AK1091" s="210"/>
      <c r="AL1091" s="210"/>
      <c r="AM1091" s="210"/>
      <c r="AN1091" s="210"/>
      <c r="AO1091" s="210"/>
      <c r="AP1091" s="210"/>
    </row>
    <row r="1092" spans="1:42" s="5" customFormat="1">
      <c r="A1092" s="1"/>
      <c r="B1092" s="1"/>
      <c r="C1092" s="1"/>
      <c r="D1092" s="227"/>
      <c r="E1092" s="227" t="s">
        <v>298</v>
      </c>
      <c r="F1092" s="227" t="str">
        <f t="shared" si="1852"/>
        <v>ИнтКид</v>
      </c>
      <c r="G1092" s="227" t="s">
        <v>219</v>
      </c>
      <c r="H1092" s="347"/>
      <c r="I1092" s="348">
        <f>I1086-I1088</f>
        <v>18.232548043153656</v>
      </c>
      <c r="J1092" s="321"/>
      <c r="K1092" s="348">
        <f t="shared" ref="K1092:L1092" si="1941">K1086-K1088</f>
        <v>95.162493122596061</v>
      </c>
      <c r="L1092" s="349">
        <f t="shared" si="1941"/>
        <v>5.0837386137500289</v>
      </c>
      <c r="M1092" s="281"/>
      <c r="N1092" s="228">
        <f>N1086-N1088</f>
        <v>115.19314724275318</v>
      </c>
      <c r="O1092" s="173"/>
      <c r="P1092" s="228">
        <f t="shared" ref="P1092:Q1092" si="1942">P1086-P1088</f>
        <v>115.19314724275318</v>
      </c>
      <c r="Q1092" s="254">
        <f t="shared" si="1942"/>
        <v>0</v>
      </c>
      <c r="R1092" s="255"/>
      <c r="S1092" s="228">
        <f>S1086-S1088</f>
        <v>22.331446227457491</v>
      </c>
      <c r="T1092" s="173"/>
      <c r="U1092" s="228">
        <f t="shared" ref="U1092:V1092" si="1943">U1086-U1088</f>
        <v>80.920770769327646</v>
      </c>
      <c r="V1092" s="254">
        <f t="shared" si="1943"/>
        <v>5.4687594542483566</v>
      </c>
      <c r="W1092" s="255"/>
      <c r="X1092" s="228">
        <f>X1086-X1088</f>
        <v>5.1663981279270956</v>
      </c>
      <c r="Y1092" s="173"/>
      <c r="Z1092" s="228">
        <f t="shared" ref="Z1092:AA1092" si="1944">Z1086-Z1088</f>
        <v>0</v>
      </c>
      <c r="AA1092" s="254">
        <f t="shared" si="1944"/>
        <v>5.1663981279270956</v>
      </c>
      <c r="AB1092" s="266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</row>
    <row r="1093" spans="1:42" s="5" customFormat="1">
      <c r="A1093" s="1"/>
      <c r="B1093" s="1"/>
      <c r="C1093" s="1"/>
      <c r="D1093" s="227"/>
      <c r="E1093" s="227" t="s">
        <v>300</v>
      </c>
      <c r="F1093" s="227" t="str">
        <f t="shared" si="1852"/>
        <v>ИнтКид</v>
      </c>
      <c r="G1093" s="227" t="s">
        <v>219</v>
      </c>
      <c r="H1093" s="347"/>
      <c r="I1093" s="348">
        <f>I1089-I1088</f>
        <v>24.708188412798336</v>
      </c>
      <c r="J1093" s="321"/>
      <c r="K1093" s="348">
        <f t="shared" ref="K1093:L1093" si="1945">K1089-K1088</f>
        <v>28.221980167581933</v>
      </c>
      <c r="L1093" s="349">
        <f t="shared" si="1945"/>
        <v>24.057358033292985</v>
      </c>
      <c r="M1093" s="281"/>
      <c r="N1093" s="228">
        <f>N1089-N1088</f>
        <v>25.954343577017426</v>
      </c>
      <c r="O1093" s="173"/>
      <c r="P1093" s="228">
        <f t="shared" ref="P1093:Q1093" si="1946">P1089-P1088</f>
        <v>25.954343577017426</v>
      </c>
      <c r="Q1093" s="254">
        <f t="shared" si="1946"/>
        <v>0</v>
      </c>
      <c r="R1093" s="255"/>
      <c r="S1093" s="228">
        <f>S1089-S1088</f>
        <v>22.548806731741934</v>
      </c>
      <c r="T1093" s="173"/>
      <c r="U1093" s="228">
        <f t="shared" ref="U1093:V1093" si="1947">U1089-U1088</f>
        <v>30.110420351134962</v>
      </c>
      <c r="V1093" s="254">
        <f t="shared" si="1947"/>
        <v>20.387611696387467</v>
      </c>
      <c r="W1093" s="255"/>
      <c r="X1093" s="228">
        <f>X1089-X1088</f>
        <v>26.064746463816846</v>
      </c>
      <c r="Y1093" s="173"/>
      <c r="Z1093" s="228">
        <f t="shared" ref="Z1093:AA1093" si="1948">Z1089-Z1088</f>
        <v>0</v>
      </c>
      <c r="AA1093" s="254">
        <f t="shared" si="1948"/>
        <v>26.064746463816846</v>
      </c>
      <c r="AB1093" s="266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</row>
    <row r="1094" spans="1:42" s="93" customFormat="1" ht="15">
      <c r="A1094" s="92"/>
      <c r="B1094" s="92"/>
      <c r="C1094" s="92"/>
      <c r="D1094" s="221"/>
      <c r="E1094" s="221" t="s">
        <v>301</v>
      </c>
      <c r="F1094" s="221" t="str">
        <f t="shared" si="1852"/>
        <v>ИнтКид</v>
      </c>
      <c r="G1094" s="221" t="s">
        <v>219</v>
      </c>
      <c r="H1094" s="357"/>
      <c r="I1094" s="358">
        <f>I1092-I1093</f>
        <v>-6.4756403696446796</v>
      </c>
      <c r="J1094" s="352"/>
      <c r="K1094" s="358">
        <f t="shared" ref="K1094" si="1949">K1092-K1093</f>
        <v>66.940512955014128</v>
      </c>
      <c r="L1094" s="359">
        <f t="shared" ref="L1094" si="1950">L1092-L1093</f>
        <v>-18.973619419542956</v>
      </c>
      <c r="M1094" s="284"/>
      <c r="N1094" s="222">
        <f>N1092-N1093</f>
        <v>89.238803665735759</v>
      </c>
      <c r="O1094" s="181"/>
      <c r="P1094" s="222">
        <f t="shared" ref="P1094" si="1951">P1092-P1093</f>
        <v>89.238803665735759</v>
      </c>
      <c r="Q1094" s="260">
        <f t="shared" ref="Q1094" si="1952">Q1092-Q1093</f>
        <v>0</v>
      </c>
      <c r="R1094" s="261"/>
      <c r="S1094" s="222">
        <f>S1092-S1093</f>
        <v>-0.21736050428444287</v>
      </c>
      <c r="T1094" s="181"/>
      <c r="U1094" s="222">
        <f t="shared" ref="U1094" si="1953">U1092-U1093</f>
        <v>50.810350418192684</v>
      </c>
      <c r="V1094" s="260">
        <f t="shared" ref="V1094" si="1954">V1092-V1093</f>
        <v>-14.91885224213911</v>
      </c>
      <c r="W1094" s="261"/>
      <c r="X1094" s="222">
        <f>X1092-X1093</f>
        <v>-20.89834833588975</v>
      </c>
      <c r="Y1094" s="181"/>
      <c r="Z1094" s="222">
        <f t="shared" ref="Z1094" si="1955">Z1092-Z1093</f>
        <v>0</v>
      </c>
      <c r="AA1094" s="260">
        <f t="shared" ref="AA1094" si="1956">AA1092-AA1093</f>
        <v>-20.89834833588975</v>
      </c>
      <c r="AB1094" s="264"/>
      <c r="AC1094" s="92"/>
      <c r="AD1094" s="92"/>
      <c r="AE1094" s="92"/>
      <c r="AF1094" s="92"/>
      <c r="AG1094" s="92"/>
      <c r="AH1094" s="92"/>
      <c r="AI1094" s="92"/>
      <c r="AJ1094" s="92"/>
      <c r="AK1094" s="92"/>
      <c r="AL1094" s="92"/>
      <c r="AM1094" s="92"/>
      <c r="AN1094" s="92"/>
      <c r="AO1094" s="92"/>
      <c r="AP1094" s="92"/>
    </row>
    <row r="1095" spans="1:42" s="5" customFormat="1">
      <c r="A1095" s="1"/>
      <c r="B1095" s="1"/>
      <c r="C1095" s="1"/>
      <c r="D1095" s="223"/>
      <c r="E1095" s="223" t="s">
        <v>302</v>
      </c>
      <c r="F1095" s="223" t="str">
        <f t="shared" si="1852"/>
        <v>ИнтКид</v>
      </c>
      <c r="G1095" s="223" t="s">
        <v>261</v>
      </c>
      <c r="H1095" s="354"/>
      <c r="I1095" s="355">
        <f>SUMIFS(операции!$Z:$Z,операции!$X:$X,"&gt;="&amp;I$8,операции!$X:$X,"&lt;="&amp;I$9,операции!$AB:$AB,"",операции!$O:$O,$F1052)</f>
        <v>59302</v>
      </c>
      <c r="J1095" s="341">
        <f>I1095-K1095-L1095</f>
        <v>0</v>
      </c>
      <c r="K1095" s="355">
        <f>SUMIFS(операции!$Z:$Z,операции!$X:$X,"&gt;="&amp;I$8,операции!$X:$X,"&lt;="&amp;I$9,операции!$AB:$AB,"",операции!$L:$L,K$9,операции!$O:$O,$F1052)</f>
        <v>6270</v>
      </c>
      <c r="L1095" s="356">
        <f>SUMIFS(операции!$Z:$Z,операции!$X:$X,"&gt;="&amp;I$8,операции!$X:$X,"&lt;="&amp;I$9,операции!$AB:$AB,"",операции!$L:$L,L$9,операции!$O:$O,$F1052)</f>
        <v>53032</v>
      </c>
      <c r="M1095" s="283"/>
      <c r="N1095" s="224">
        <f>SUMIFS(операции!$Z:$Z,операции!$X:$X,"&gt;="&amp;N$8,операции!$X:$X,"&lt;="&amp;N$9,операции!$AB:$AB,"",операции!$O:$O,$F1052)</f>
        <v>3500</v>
      </c>
      <c r="O1095" s="216">
        <f>N1095-P1095-Q1095</f>
        <v>0</v>
      </c>
      <c r="P1095" s="224">
        <f>SUMIFS(операции!$Z:$Z,операции!$X:$X,"&gt;="&amp;N$8,операции!$X:$X,"&lt;="&amp;N$9,операции!$AB:$AB,"",операции!$L:$L,P$9,операции!$O:$O,$F1052)</f>
        <v>3500</v>
      </c>
      <c r="Q1095" s="258">
        <f>SUMIFS(операции!$Z:$Z,операции!$X:$X,"&gt;="&amp;N$8,операции!$X:$X,"&lt;="&amp;N$9,операции!$AB:$AB,"",операции!$L:$L,Q$9,операции!$O:$O,$F1052)</f>
        <v>0</v>
      </c>
      <c r="R1095" s="259"/>
      <c r="S1095" s="224">
        <f>SUMIFS(операции!$Z:$Z,операции!$X:$X,"&gt;="&amp;S$8,операции!$X:$X,"&lt;="&amp;S$9,операции!$AB:$AB,"",операции!$O:$O,$F1052)</f>
        <v>18301</v>
      </c>
      <c r="T1095" s="216">
        <f>S1095-U1095-V1095</f>
        <v>0</v>
      </c>
      <c r="U1095" s="224">
        <f>SUMIFS(операции!$Z:$Z,операции!$X:$X,"&gt;="&amp;S$8,операции!$X:$X,"&lt;="&amp;S$9,операции!$AB:$AB,"",операции!$L:$L,U$9,операции!$O:$O,$F1052)</f>
        <v>2770</v>
      </c>
      <c r="V1095" s="258">
        <f>SUMIFS(операции!$Z:$Z,операции!$X:$X,"&gt;="&amp;S$8,операции!$X:$X,"&lt;="&amp;S$9,операции!$AB:$AB,"",операции!$L:$L,V$9,операции!$O:$O,$F1052)</f>
        <v>15531</v>
      </c>
      <c r="W1095" s="259"/>
      <c r="X1095" s="224">
        <f>SUMIFS(операции!$Z:$Z,операции!$X:$X,"&gt;="&amp;X$8,операции!$X:$X,"&lt;="&amp;X$9,операции!$AB:$AB,"",операции!$O:$O,$F1052)</f>
        <v>37501</v>
      </c>
      <c r="Y1095" s="216">
        <f>X1095-Z1095-AA1095</f>
        <v>0</v>
      </c>
      <c r="Z1095" s="224">
        <f>SUMIFS(операции!$Z:$Z,операции!$X:$X,"&gt;="&amp;X$8,операции!$X:$X,"&lt;="&amp;X$9,операции!$AB:$AB,"",операции!$L:$L,Z$9,операции!$O:$O,$F1052)</f>
        <v>0</v>
      </c>
      <c r="AA1095" s="258">
        <f>SUMIFS(операции!$Z:$Z,операции!$X:$X,"&gt;="&amp;X$8,операции!$X:$X,"&lt;="&amp;X$9,операции!$AB:$AB,"",операции!$L:$L,AA$9,операции!$O:$O,$F1052)</f>
        <v>37501</v>
      </c>
      <c r="AB1095" s="266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</row>
    <row r="1096" spans="1:42" s="192" customFormat="1" ht="11.25">
      <c r="A1096" s="37"/>
      <c r="B1096" s="37"/>
      <c r="C1096" s="37"/>
      <c r="D1096" s="191"/>
      <c r="E1096" s="191" t="s">
        <v>303</v>
      </c>
      <c r="F1096" s="191" t="str">
        <f t="shared" si="1852"/>
        <v>ИнтКид</v>
      </c>
      <c r="G1096" s="191" t="s">
        <v>262</v>
      </c>
      <c r="H1096" s="315"/>
      <c r="I1096" s="316">
        <f>IF(I1095=0,0,SUMIFS(операции!$AG:$AG,операции!$X:$X,"&gt;="&amp;I$8,операции!$X:$X,"&lt;="&amp;I$9,операции!$AB:$AB,"",операции!$O:$O,$F1052)/I1095)</f>
        <v>42336.966122559104</v>
      </c>
      <c r="J1096" s="317"/>
      <c r="K1096" s="316">
        <f>IF(K1095=0,0,SUMIFS(операции!$AG:$AG,операции!$X:$X,"&gt;="&amp;I$8,операции!$X:$X,"&lt;="&amp;I$9,операции!$AB:$AB,"",операции!$L:$L,K$9,операции!$O:$O,$F1052)/K1095)</f>
        <v>42312.510366826158</v>
      </c>
      <c r="L1096" s="318">
        <f>IF(L1095=0,0,SUMIFS(операции!$AG:$AG,операции!$X:$X,"&gt;="&amp;I$8,операции!$X:$X,"&lt;="&amp;I$9,операции!$AB:$AB,"",операции!$L:$L,L$9,операции!$O:$O,$F1052)/L1095)</f>
        <v>42339.857538844473</v>
      </c>
      <c r="M1096" s="274"/>
      <c r="N1096" s="193">
        <f>IF(N1095=0,0,SUMIFS(операции!$AG:$AG,операции!$X:$X,"&gt;="&amp;N$8,операции!$X:$X,"&lt;="&amp;N$9,операции!$AB:$AB,"",операции!$O:$O,$F1052)/N1095)</f>
        <v>42305</v>
      </c>
      <c r="O1096" s="196"/>
      <c r="P1096" s="193">
        <f>IF(P1095=0,0,SUMIFS(операции!$AG:$AG,операции!$X:$X,"&gt;="&amp;N$8,операции!$X:$X,"&lt;="&amp;N$9,операции!$AB:$AB,"",операции!$L:$L,P$9,операции!$O:$O,$F1052)/P1095)</f>
        <v>42305</v>
      </c>
      <c r="Q1096" s="237">
        <f>IF(Q1095=0,0,SUMIFS(операции!$AG:$AG,операции!$X:$X,"&gt;="&amp;N$8,операции!$X:$X,"&lt;="&amp;N$9,операции!$AB:$AB,"",операции!$L:$L,Q$9,операции!$O:$O,$F1052)/Q1095)</f>
        <v>0</v>
      </c>
      <c r="R1096" s="238"/>
      <c r="S1096" s="193">
        <f>IF(S1095=0,0,SUMIFS(операции!$AG:$AG,операции!$X:$X,"&gt;="&amp;S$8,операции!$X:$X,"&lt;="&amp;S$9,операции!$AB:$AB,"",операции!$O:$O,$F1052)/S1095)</f>
        <v>42332.819518059121</v>
      </c>
      <c r="T1096" s="196"/>
      <c r="U1096" s="193">
        <f>IF(U1095=0,0,SUMIFS(операции!$AG:$AG,операции!$X:$X,"&gt;="&amp;S$8,операции!$X:$X,"&lt;="&amp;S$9,операции!$AB:$AB,"",операции!$L:$L,U$9,операции!$O:$O,$F1052)/U1095)</f>
        <v>42322</v>
      </c>
      <c r="V1096" s="237">
        <f>IF(V1095=0,0,SUMIFS(операции!$AG:$AG,операции!$X:$X,"&gt;="&amp;S$8,операции!$X:$X,"&lt;="&amp;S$9,операции!$AB:$AB,"",операции!$L:$L,V$9,операции!$O:$O,$F1052)/V1095)</f>
        <v>42334.749211254908</v>
      </c>
      <c r="W1096" s="238"/>
      <c r="X1096" s="193">
        <f>IF(X1095=0,0,SUMIFS(операции!$AG:$AG,операции!$X:$X,"&gt;="&amp;X$8,операции!$X:$X,"&lt;="&amp;X$9,операции!$AB:$AB,"",операции!$O:$O,$F1052)/X1095)</f>
        <v>42341.973147382734</v>
      </c>
      <c r="Y1096" s="196"/>
      <c r="Z1096" s="193">
        <f>IF(Z1095=0,0,SUMIFS(операции!$AG:$AG,операции!$X:$X,"&gt;="&amp;X$8,операции!$X:$X,"&lt;="&amp;X$9,операции!$AB:$AB,"",операции!$L:$L,Z$9,операции!$O:$O,$F1052)/Z1095)</f>
        <v>0</v>
      </c>
      <c r="AA1096" s="237">
        <f>IF(AA1095=0,0,SUMIFS(операции!$AG:$AG,операции!$X:$X,"&gt;="&amp;X$8,операции!$X:$X,"&lt;="&amp;X$9,операции!$AB:$AB,"",операции!$L:$L,AA$9,операции!$O:$O,$F1052)/AA1095)</f>
        <v>42341.973147382734</v>
      </c>
      <c r="AB1096" s="265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</row>
    <row r="1097" spans="1:42" s="5" customFormat="1">
      <c r="A1097" s="1"/>
      <c r="B1097" s="1"/>
      <c r="C1097" s="1"/>
      <c r="D1097" s="168"/>
      <c r="E1097" s="168" t="s">
        <v>304</v>
      </c>
      <c r="F1097" s="168" t="str">
        <f t="shared" si="1852"/>
        <v>ИнтКид</v>
      </c>
      <c r="G1097" s="168" t="s">
        <v>261</v>
      </c>
      <c r="H1097" s="326"/>
      <c r="I1097" s="327">
        <f>SUMIFS(операции!$V:$V,операции!$X:$X,"&gt;="&amp;I$8,операции!$X:$X,"&lt;="&amp;I$9,операции!$AB:$AB,"",операции!$O:$O,$F1052)</f>
        <v>51272.310000000005</v>
      </c>
      <c r="J1097" s="313">
        <f>I1097-K1097-L1097</f>
        <v>0</v>
      </c>
      <c r="K1097" s="327">
        <f>SUMIFS(операции!$V:$V,операции!$X:$X,"&gt;="&amp;I$8,операции!$X:$X,"&lt;="&amp;I$9,операции!$AB:$AB,"",операции!$L:$L,K$9,операции!$O:$O,$F1052)</f>
        <v>3421.59</v>
      </c>
      <c r="L1097" s="328">
        <f>SUMIFS(операции!$V:$V,операции!$X:$X,"&gt;="&amp;I$8,операции!$X:$X,"&lt;="&amp;I$9,операции!$AB:$AB,"",операции!$L:$L,L$9,операции!$O:$O,$F1052)</f>
        <v>47850.720000000001</v>
      </c>
      <c r="M1097" s="277"/>
      <c r="N1097" s="169">
        <f>SUMIFS(операции!$V:$V,операции!$X:$X,"&gt;="&amp;N$8,операции!$X:$X,"&lt;="&amp;N$9,операции!$AB:$AB,"",операции!$O:$O,$F1052)</f>
        <v>1710.79</v>
      </c>
      <c r="O1097" s="170">
        <f>N1097-P1097-Q1097</f>
        <v>0</v>
      </c>
      <c r="P1097" s="169">
        <f>SUMIFS(операции!$V:$V,операции!$X:$X,"&gt;="&amp;N$8,операции!$X:$X,"&lt;="&amp;N$9,операции!$AB:$AB,"",операции!$L:$L,P$9,операции!$O:$O,$F1052)</f>
        <v>1710.79</v>
      </c>
      <c r="Q1097" s="243">
        <f>SUMIFS(операции!$V:$V,операции!$X:$X,"&gt;="&amp;N$8,операции!$X:$X,"&lt;="&amp;N$9,операции!$AB:$AB,"",операции!$L:$L,Q$9,операции!$O:$O,$F1052)</f>
        <v>0</v>
      </c>
      <c r="R1097" s="244"/>
      <c r="S1097" s="169">
        <f>SUMIFS(операции!$V:$V,операции!$X:$X,"&gt;="&amp;S$8,операции!$X:$X,"&lt;="&amp;S$9,операции!$AB:$AB,"",операции!$O:$O,$F1052)</f>
        <v>15551.29</v>
      </c>
      <c r="T1097" s="170">
        <f>S1097-U1097-V1097</f>
        <v>0</v>
      </c>
      <c r="U1097" s="169">
        <f>SUMIFS(операции!$V:$V,операции!$X:$X,"&gt;="&amp;S$8,операции!$X:$X,"&lt;="&amp;S$9,операции!$AB:$AB,"",операции!$L:$L,U$9,операции!$O:$O,$F1052)</f>
        <v>1710.8</v>
      </c>
      <c r="V1097" s="243">
        <f>SUMIFS(операции!$V:$V,операции!$X:$X,"&gt;="&amp;S$8,операции!$X:$X,"&lt;="&amp;S$9,операции!$AB:$AB,"",операции!$L:$L,V$9,операции!$O:$O,$F1052)</f>
        <v>13840.49</v>
      </c>
      <c r="W1097" s="244"/>
      <c r="X1097" s="169">
        <f>SUMIFS(операции!$V:$V,операции!$X:$X,"&gt;="&amp;X$8,операции!$X:$X,"&lt;="&amp;X$9,операции!$AB:$AB,"",операции!$O:$O,$F1052)</f>
        <v>34010.230000000003</v>
      </c>
      <c r="Y1097" s="170">
        <f>X1097-Z1097-AA1097</f>
        <v>0</v>
      </c>
      <c r="Z1097" s="169">
        <f>SUMIFS(операции!$V:$V,операции!$X:$X,"&gt;="&amp;X$8,операции!$X:$X,"&lt;="&amp;X$9,операции!$AB:$AB,"",операции!$L:$L,Z$9,операции!$O:$O,$F1052)</f>
        <v>0</v>
      </c>
      <c r="AA1097" s="243">
        <f>SUMIFS(операции!$V:$V,операции!$X:$X,"&gt;="&amp;X$8,операции!$X:$X,"&lt;="&amp;X$9,операции!$AB:$AB,"",операции!$L:$L,AA$9,операции!$O:$O,$F1052)</f>
        <v>34010.230000000003</v>
      </c>
      <c r="AB1097" s="266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</row>
    <row r="1098" spans="1:42" s="192" customFormat="1" ht="11.25">
      <c r="A1098" s="37"/>
      <c r="B1098" s="37"/>
      <c r="C1098" s="37"/>
      <c r="D1098" s="191"/>
      <c r="E1098" s="191" t="s">
        <v>305</v>
      </c>
      <c r="F1098" s="191" t="str">
        <f t="shared" si="1852"/>
        <v>ИнтКид</v>
      </c>
      <c r="G1098" s="191" t="s">
        <v>262</v>
      </c>
      <c r="H1098" s="315"/>
      <c r="I1098" s="316">
        <f>IF(I1097=0,0,SUMIFS(операции!$AF:$AF,операции!$X:$X,"&gt;="&amp;I$8,операции!$X:$X,"&lt;="&amp;I$9,операции!$AB:$AB,"",операции!$O:$O,$F1052)/I1097)</f>
        <v>42326.988515243407</v>
      </c>
      <c r="J1098" s="317"/>
      <c r="K1098" s="316">
        <f>IF(K1097=0,0,SUMIFS(операции!$AF:$AF,операции!$X:$X,"&gt;="&amp;I$8,операции!$X:$X,"&lt;="&amp;I$9,операции!$AB:$AB,"",операции!$L:$L,K$9,операции!$O:$O,$F1052)/K1097)</f>
        <v>42231.000023380941</v>
      </c>
      <c r="L1098" s="318">
        <f>IF(L1097=0,0,SUMIFS(операции!$AF:$AF,операции!$X:$X,"&gt;="&amp;I$8,операции!$X:$X,"&lt;="&amp;I$9,операции!$AB:$AB,"",операции!$L:$L,L$9,операции!$O:$O,$F1052)/L1097)</f>
        <v>42333.852221032408</v>
      </c>
      <c r="M1098" s="274"/>
      <c r="N1098" s="193">
        <f>IF(N1097=0,0,SUMIFS(операции!$AF:$AF,операции!$X:$X,"&gt;="&amp;N$8,операции!$X:$X,"&lt;="&amp;N$9,операции!$AB:$AB,"",операции!$O:$O,$F1052)/N1097)</f>
        <v>42223</v>
      </c>
      <c r="O1098" s="196"/>
      <c r="P1098" s="193">
        <f>IF(P1097=0,0,SUMIFS(операции!$AF:$AF,операции!$X:$X,"&gt;="&amp;N$8,операции!$X:$X,"&lt;="&amp;N$9,операции!$AB:$AB,"",операции!$L:$L,P$9,операции!$O:$O,$F1052)/P1097)</f>
        <v>42223</v>
      </c>
      <c r="Q1098" s="237">
        <f>IF(Q1097=0,0,SUMIFS(операции!$AF:$AF,операции!$X:$X,"&gt;="&amp;N$8,операции!$X:$X,"&lt;="&amp;N$9,операции!$AB:$AB,"",операции!$L:$L,Q$9,операции!$O:$O,$F1052)/Q1097)</f>
        <v>0</v>
      </c>
      <c r="R1098" s="238"/>
      <c r="S1098" s="193">
        <f>IF(S1097=0,0,SUMIFS(операции!$AF:$AF,операции!$X:$X,"&gt;="&amp;S$8,операции!$X:$X,"&lt;="&amp;S$9,операции!$AB:$AB,"",операции!$O:$O,$F1052)/S1097)</f>
        <v>42318.764215701718</v>
      </c>
      <c r="T1098" s="196"/>
      <c r="U1098" s="193">
        <f>IF(U1097=0,0,SUMIFS(операции!$AF:$AF,операции!$X:$X,"&gt;="&amp;S$8,операции!$X:$X,"&lt;="&amp;S$9,операции!$AB:$AB,"",операции!$L:$L,U$9,операции!$O:$O,$F1052)/U1097)</f>
        <v>42239</v>
      </c>
      <c r="V1098" s="237">
        <f>IF(V1097=0,0,SUMIFS(операции!$AF:$AF,операции!$X:$X,"&gt;="&amp;S$8,операции!$X:$X,"&lt;="&amp;S$9,операции!$AB:$AB,"",операции!$L:$L,V$9,операции!$O:$O,$F1052)/V1097)</f>
        <v>42328.623738032395</v>
      </c>
      <c r="W1098" s="238"/>
      <c r="X1098" s="193">
        <f>IF(X1097=0,0,SUMIFS(операции!$AF:$AF,операции!$X:$X,"&gt;="&amp;X$8,операции!$X:$X,"&lt;="&amp;X$9,операции!$AB:$AB,"",операции!$O:$O,$F1052)/X1097)</f>
        <v>42335.979956324903</v>
      </c>
      <c r="Y1098" s="196"/>
      <c r="Z1098" s="193">
        <f>IF(Z1097=0,0,SUMIFS(операции!$AF:$AF,операции!$X:$X,"&gt;="&amp;X$8,операции!$X:$X,"&lt;="&amp;X$9,операции!$AB:$AB,"",операции!$L:$L,Z$9,операции!$O:$O,$F1052)/Z1097)</f>
        <v>0</v>
      </c>
      <c r="AA1098" s="237">
        <f>IF(AA1097=0,0,SUMIFS(операции!$AF:$AF,операции!$X:$X,"&gt;="&amp;X$8,операции!$X:$X,"&lt;="&amp;X$9,операции!$AB:$AB,"",операции!$L:$L,AA$9,операции!$O:$O,$F1052)/AA1097)</f>
        <v>42335.979956324903</v>
      </c>
      <c r="AB1098" s="265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</row>
    <row r="1099" spans="1:42" s="192" customFormat="1" ht="11.25">
      <c r="A1099" s="37"/>
      <c r="B1099" s="37"/>
      <c r="C1099" s="37"/>
      <c r="D1099" s="191"/>
      <c r="E1099" s="191" t="s">
        <v>307</v>
      </c>
      <c r="F1099" s="191" t="str">
        <f t="shared" si="1852"/>
        <v>ИнтКид</v>
      </c>
      <c r="G1099" s="191" t="s">
        <v>262</v>
      </c>
      <c r="H1099" s="315"/>
      <c r="I1099" s="316">
        <f>I$9</f>
        <v>42369</v>
      </c>
      <c r="J1099" s="317"/>
      <c r="K1099" s="316">
        <f>I$9</f>
        <v>42369</v>
      </c>
      <c r="L1099" s="318">
        <f>I$9</f>
        <v>42369</v>
      </c>
      <c r="M1099" s="274"/>
      <c r="N1099" s="193">
        <f>N$9</f>
        <v>42308</v>
      </c>
      <c r="O1099" s="196"/>
      <c r="P1099" s="193">
        <f>N$9</f>
        <v>42308</v>
      </c>
      <c r="Q1099" s="237">
        <f>N$9</f>
        <v>42308</v>
      </c>
      <c r="R1099" s="238"/>
      <c r="S1099" s="193">
        <f>S$9</f>
        <v>42338</v>
      </c>
      <c r="T1099" s="196"/>
      <c r="U1099" s="193">
        <f>S$9</f>
        <v>42338</v>
      </c>
      <c r="V1099" s="237">
        <f>S$9</f>
        <v>42338</v>
      </c>
      <c r="W1099" s="238"/>
      <c r="X1099" s="193">
        <f>X$9</f>
        <v>42369</v>
      </c>
      <c r="Y1099" s="196"/>
      <c r="Z1099" s="193">
        <f>X$9</f>
        <v>42369</v>
      </c>
      <c r="AA1099" s="237">
        <f>X$9</f>
        <v>42369</v>
      </c>
      <c r="AB1099" s="265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</row>
    <row r="1100" spans="1:42" s="5" customFormat="1">
      <c r="A1100" s="1"/>
      <c r="B1100" s="1"/>
      <c r="C1100" s="1"/>
      <c r="D1100" s="168"/>
      <c r="E1100" s="168" t="s">
        <v>380</v>
      </c>
      <c r="F1100" s="168" t="str">
        <f t="shared" si="1852"/>
        <v>ИнтКид</v>
      </c>
      <c r="G1100" s="168" t="s">
        <v>261</v>
      </c>
      <c r="H1100" s="326"/>
      <c r="I1100" s="327">
        <f>I1095-I1097</f>
        <v>8029.6899999999951</v>
      </c>
      <c r="J1100" s="313">
        <f>I1100-K1100-L1100</f>
        <v>0</v>
      </c>
      <c r="K1100" s="327">
        <f t="shared" ref="K1100:L1100" si="1957">K1095-K1097</f>
        <v>2848.41</v>
      </c>
      <c r="L1100" s="328">
        <f t="shared" si="1957"/>
        <v>5181.2799999999988</v>
      </c>
      <c r="M1100" s="277"/>
      <c r="N1100" s="169">
        <f>N1095-N1097</f>
        <v>1789.21</v>
      </c>
      <c r="O1100" s="170">
        <f>N1100-P1100-Q1100</f>
        <v>0</v>
      </c>
      <c r="P1100" s="169">
        <f t="shared" ref="P1100:Q1100" si="1958">P1095-P1097</f>
        <v>1789.21</v>
      </c>
      <c r="Q1100" s="243">
        <f t="shared" si="1958"/>
        <v>0</v>
      </c>
      <c r="R1100" s="244"/>
      <c r="S1100" s="169">
        <f>S1095-S1097</f>
        <v>2749.7099999999991</v>
      </c>
      <c r="T1100" s="170">
        <f>S1100-U1100-V1100</f>
        <v>0</v>
      </c>
      <c r="U1100" s="169">
        <f t="shared" ref="U1100:V1100" si="1959">U1095-U1097</f>
        <v>1059.2</v>
      </c>
      <c r="V1100" s="243">
        <f t="shared" si="1959"/>
        <v>1690.5100000000002</v>
      </c>
      <c r="W1100" s="244"/>
      <c r="X1100" s="169">
        <f>X1095-X1097</f>
        <v>3490.7699999999968</v>
      </c>
      <c r="Y1100" s="170">
        <f>X1100-Z1100-AA1100</f>
        <v>0</v>
      </c>
      <c r="Z1100" s="169">
        <f t="shared" ref="Z1100:AA1100" si="1960">Z1095-Z1097</f>
        <v>0</v>
      </c>
      <c r="AA1100" s="243">
        <f t="shared" si="1960"/>
        <v>3490.7699999999968</v>
      </c>
      <c r="AB1100" s="266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</row>
    <row r="1101" spans="1:42" s="211" customFormat="1">
      <c r="A1101" s="210"/>
      <c r="B1101" s="210"/>
      <c r="C1101" s="210"/>
      <c r="D1101" s="218"/>
      <c r="E1101" s="218" t="s">
        <v>381</v>
      </c>
      <c r="F1101" s="218" t="str">
        <f t="shared" si="1852"/>
        <v>ИнтКид</v>
      </c>
      <c r="G1101" s="218" t="s">
        <v>218</v>
      </c>
      <c r="H1101" s="343"/>
      <c r="I1101" s="344">
        <f>IF(I1095=0,0,(I1100/I1095))</f>
        <v>0.13540335907726544</v>
      </c>
      <c r="J1101" s="345"/>
      <c r="K1101" s="344">
        <f t="shared" ref="K1101" si="1961">IF(K1095=0,0,(K1100/K1095))</f>
        <v>0.45429186602870814</v>
      </c>
      <c r="L1101" s="346">
        <f t="shared" ref="L1101" si="1962">IF(L1095=0,0,(L1100/L1095))</f>
        <v>9.7701010710514388E-2</v>
      </c>
      <c r="M1101" s="280"/>
      <c r="N1101" s="219">
        <f>IF(N1095=0,0,(N1100/N1095))</f>
        <v>0.51120285714285718</v>
      </c>
      <c r="O1101" s="220"/>
      <c r="P1101" s="219">
        <f t="shared" ref="P1101" si="1963">IF(P1095=0,0,(P1100/P1095))</f>
        <v>0.51120285714285718</v>
      </c>
      <c r="Q1101" s="252">
        <f t="shared" ref="Q1101" si="1964">IF(Q1095=0,0,(Q1100/Q1095))</f>
        <v>0</v>
      </c>
      <c r="R1101" s="253"/>
      <c r="S1101" s="219">
        <f>IF(S1095=0,0,(S1100/S1095))</f>
        <v>0.15024916671220148</v>
      </c>
      <c r="T1101" s="220"/>
      <c r="U1101" s="219">
        <f t="shared" ref="U1101" si="1965">IF(U1095=0,0,(U1100/U1095))</f>
        <v>0.38238267148014443</v>
      </c>
      <c r="V1101" s="252">
        <f t="shared" ref="V1101" si="1966">IF(V1095=0,0,(V1100/V1095))</f>
        <v>0.10884746635760738</v>
      </c>
      <c r="W1101" s="253"/>
      <c r="X1101" s="219">
        <f>IF(X1095=0,0,(X1100/X1095))</f>
        <v>9.3084717740860162E-2</v>
      </c>
      <c r="Y1101" s="220"/>
      <c r="Z1101" s="219">
        <f t="shared" ref="Z1101" si="1967">IF(Z1095=0,0,(Z1100/Z1095))</f>
        <v>0</v>
      </c>
      <c r="AA1101" s="252">
        <f t="shared" ref="AA1101" si="1968">IF(AA1095=0,0,(AA1100/AA1095))</f>
        <v>9.3084717740860162E-2</v>
      </c>
      <c r="AB1101" s="267"/>
      <c r="AC1101" s="210"/>
      <c r="AD1101" s="210"/>
      <c r="AE1101" s="210"/>
      <c r="AF1101" s="210"/>
      <c r="AG1101" s="210"/>
      <c r="AH1101" s="210"/>
      <c r="AI1101" s="210"/>
      <c r="AJ1101" s="210"/>
      <c r="AK1101" s="210"/>
      <c r="AL1101" s="210"/>
      <c r="AM1101" s="210"/>
      <c r="AN1101" s="210"/>
      <c r="AO1101" s="210"/>
      <c r="AP1101" s="210"/>
    </row>
    <row r="1102" spans="1:42" s="5" customFormat="1">
      <c r="A1102" s="1"/>
      <c r="B1102" s="1"/>
      <c r="C1102" s="1"/>
      <c r="D1102" s="227"/>
      <c r="E1102" s="227" t="s">
        <v>306</v>
      </c>
      <c r="F1102" s="227" t="str">
        <f t="shared" si="1852"/>
        <v>ИнтКид</v>
      </c>
      <c r="G1102" s="227" t="s">
        <v>219</v>
      </c>
      <c r="H1102" s="347"/>
      <c r="I1102" s="348">
        <f>I1096-I1098</f>
        <v>9.9776073156972416</v>
      </c>
      <c r="J1102" s="321"/>
      <c r="K1102" s="348">
        <f t="shared" ref="K1102:L1102" si="1969">K1096-K1098</f>
        <v>81.510343445217586</v>
      </c>
      <c r="L1102" s="349">
        <f t="shared" si="1969"/>
        <v>6.0053178120651864</v>
      </c>
      <c r="M1102" s="281"/>
      <c r="N1102" s="228">
        <f>N1096-N1098</f>
        <v>82</v>
      </c>
      <c r="O1102" s="173"/>
      <c r="P1102" s="228">
        <f t="shared" ref="P1102:Q1102" si="1970">P1096-P1098</f>
        <v>82</v>
      </c>
      <c r="Q1102" s="254">
        <f t="shared" si="1970"/>
        <v>0</v>
      </c>
      <c r="R1102" s="255"/>
      <c r="S1102" s="228">
        <f>S1096-S1098</f>
        <v>14.055302357402979</v>
      </c>
      <c r="T1102" s="173"/>
      <c r="U1102" s="228">
        <f t="shared" ref="U1102:V1102" si="1971">U1096-U1098</f>
        <v>83</v>
      </c>
      <c r="V1102" s="254">
        <f t="shared" si="1971"/>
        <v>6.1254732225133921</v>
      </c>
      <c r="W1102" s="255"/>
      <c r="X1102" s="228">
        <f>X1096-X1098</f>
        <v>5.9931910578306997</v>
      </c>
      <c r="Y1102" s="173"/>
      <c r="Z1102" s="228">
        <f t="shared" ref="Z1102:AA1102" si="1972">Z1096-Z1098</f>
        <v>0</v>
      </c>
      <c r="AA1102" s="254">
        <f t="shared" si="1972"/>
        <v>5.9931910578306997</v>
      </c>
      <c r="AB1102" s="266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</row>
    <row r="1103" spans="1:42" s="5" customFormat="1">
      <c r="A1103" s="1"/>
      <c r="B1103" s="1"/>
      <c r="C1103" s="1"/>
      <c r="D1103" s="227"/>
      <c r="E1103" s="227" t="s">
        <v>382</v>
      </c>
      <c r="F1103" s="227" t="str">
        <f t="shared" si="1852"/>
        <v>ИнтКид</v>
      </c>
      <c r="G1103" s="227" t="s">
        <v>219</v>
      </c>
      <c r="H1103" s="347"/>
      <c r="I1103" s="348">
        <f>I1099-I1098</f>
        <v>42.011484756592836</v>
      </c>
      <c r="J1103" s="321"/>
      <c r="K1103" s="348">
        <f t="shared" ref="K1103:L1103" si="1973">K1099-K1098</f>
        <v>137.99997661905945</v>
      </c>
      <c r="L1103" s="349">
        <f t="shared" si="1973"/>
        <v>35.147778967591876</v>
      </c>
      <c r="M1103" s="281"/>
      <c r="N1103" s="228">
        <f>N1099-N1098</f>
        <v>85</v>
      </c>
      <c r="O1103" s="173"/>
      <c r="P1103" s="228">
        <f t="shared" ref="P1103:Q1103" si="1974">P1099-P1098</f>
        <v>85</v>
      </c>
      <c r="Q1103" s="254">
        <f t="shared" si="1974"/>
        <v>42308</v>
      </c>
      <c r="R1103" s="255"/>
      <c r="S1103" s="228">
        <f>S1099-S1098</f>
        <v>19.235784298281942</v>
      </c>
      <c r="T1103" s="173"/>
      <c r="U1103" s="228">
        <f t="shared" ref="U1103:V1103" si="1975">U1099-U1098</f>
        <v>99</v>
      </c>
      <c r="V1103" s="254">
        <f t="shared" si="1975"/>
        <v>9.3762619676053873</v>
      </c>
      <c r="W1103" s="255"/>
      <c r="X1103" s="228">
        <f>X1099-X1098</f>
        <v>33.020043675096531</v>
      </c>
      <c r="Y1103" s="173"/>
      <c r="Z1103" s="228">
        <f t="shared" ref="Z1103:AA1103" si="1976">Z1099-Z1098</f>
        <v>42369</v>
      </c>
      <c r="AA1103" s="254">
        <f t="shared" si="1976"/>
        <v>33.020043675096531</v>
      </c>
      <c r="AB1103" s="266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</row>
    <row r="1104" spans="1:42" s="5" customFormat="1">
      <c r="A1104" s="1"/>
      <c r="B1104" s="1"/>
      <c r="C1104" s="1"/>
      <c r="D1104" s="225"/>
      <c r="E1104" s="225" t="s">
        <v>383</v>
      </c>
      <c r="F1104" s="225" t="str">
        <f t="shared" si="1852"/>
        <v>ИнтКид</v>
      </c>
      <c r="G1104" s="225" t="s">
        <v>219</v>
      </c>
      <c r="H1104" s="350"/>
      <c r="I1104" s="351">
        <f>I1102-I1103</f>
        <v>-32.033877440895594</v>
      </c>
      <c r="J1104" s="352"/>
      <c r="K1104" s="351">
        <f t="shared" ref="K1104" si="1977">K1102-K1103</f>
        <v>-56.489633173841867</v>
      </c>
      <c r="L1104" s="353">
        <f t="shared" ref="L1104" si="1978">L1102-L1103</f>
        <v>-29.142461155526689</v>
      </c>
      <c r="M1104" s="282"/>
      <c r="N1104" s="226">
        <f>N1102-N1103</f>
        <v>-3</v>
      </c>
      <c r="O1104" s="181"/>
      <c r="P1104" s="226">
        <f t="shared" ref="P1104" si="1979">P1102-P1103</f>
        <v>-3</v>
      </c>
      <c r="Q1104" s="256">
        <f t="shared" ref="Q1104" si="1980">Q1102-Q1103</f>
        <v>-42308</v>
      </c>
      <c r="R1104" s="257"/>
      <c r="S1104" s="226">
        <f>S1102-S1103</f>
        <v>-5.1804819408789626</v>
      </c>
      <c r="T1104" s="181"/>
      <c r="U1104" s="226">
        <f t="shared" ref="U1104" si="1981">U1102-U1103</f>
        <v>-16</v>
      </c>
      <c r="V1104" s="256">
        <f t="shared" ref="V1104" si="1982">V1102-V1103</f>
        <v>-3.2507887450919952</v>
      </c>
      <c r="W1104" s="257"/>
      <c r="X1104" s="226">
        <f>X1102-X1103</f>
        <v>-27.026852617265831</v>
      </c>
      <c r="Y1104" s="181"/>
      <c r="Z1104" s="226">
        <f t="shared" ref="Z1104" si="1983">Z1102-Z1103</f>
        <v>-42369</v>
      </c>
      <c r="AA1104" s="256">
        <f t="shared" ref="AA1104" si="1984">AA1102-AA1103</f>
        <v>-27.026852617265831</v>
      </c>
      <c r="AB1104" s="266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</row>
    <row r="1105" spans="1:42" s="5" customFormat="1">
      <c r="A1105" s="1"/>
      <c r="B1105" s="1"/>
      <c r="C1105" s="1"/>
      <c r="D1105" s="168" t="s">
        <v>312</v>
      </c>
      <c r="E1105" s="168"/>
      <c r="F1105" s="168" t="str">
        <f t="shared" si="1852"/>
        <v>ИнтКид</v>
      </c>
      <c r="G1105" s="168" t="s">
        <v>261</v>
      </c>
      <c r="H1105" s="326"/>
      <c r="I1105" s="327">
        <f>SUMIFS(операции!$AC:$AC,операции!$AB:$AB,"&gt;="&amp;I$8,операции!$AB:$AB,"&lt;="&amp;I$9,операции!$O:$O,$F1052)</f>
        <v>47781.45</v>
      </c>
      <c r="J1105" s="313">
        <f>I1105-K1105-L1105</f>
        <v>0</v>
      </c>
      <c r="K1105" s="327">
        <f>SUMIFS(операции!$AC:$AC,операции!$AB:$AB,"&gt;="&amp;I$8,операции!$AB:$AB,"&lt;="&amp;I$9,операции!$L:$L,K$9,операции!$O:$O,$F1052)</f>
        <v>0</v>
      </c>
      <c r="L1105" s="328">
        <f>SUMIFS(операции!$AC:$AC,операции!$AB:$AB,"&gt;="&amp;I$8,операции!$AB:$AB,"&lt;="&amp;I$9,операции!$L:$L,L$9,операции!$O:$O,$F1052)</f>
        <v>47781.45</v>
      </c>
      <c r="M1105" s="277"/>
      <c r="N1105" s="169">
        <f>SUMIFS(операции!$AC:$AC,операции!$AB:$AB,"&gt;="&amp;N$8,операции!$AB:$AB,"&lt;="&amp;N$9,операции!$O:$O,$F1052)</f>
        <v>0</v>
      </c>
      <c r="O1105" s="170">
        <f>N1105-P1105-Q1105</f>
        <v>0</v>
      </c>
      <c r="P1105" s="169">
        <f>SUMIFS(операции!$AC:$AC,операции!$AB:$AB,"&gt;="&amp;N$8,операции!$AB:$AB,"&lt;="&amp;N$9,операции!$L:$L,P$9,операции!$O:$O,$F1052)</f>
        <v>0</v>
      </c>
      <c r="Q1105" s="243">
        <f>SUMIFS(операции!$AC:$AC,операции!$AB:$AB,"&gt;="&amp;N$8,операции!$AB:$AB,"&lt;="&amp;N$9,операции!$L:$L,Q$9,операции!$O:$O,$F1052)</f>
        <v>0</v>
      </c>
      <c r="R1105" s="244"/>
      <c r="S1105" s="169">
        <f>SUMIFS(операции!$AC:$AC,операции!$AB:$AB,"&gt;="&amp;S$8,операции!$AB:$AB,"&lt;="&amp;S$9,операции!$O:$O,$F1052)</f>
        <v>3204.2400000000002</v>
      </c>
      <c r="T1105" s="170">
        <f>S1105-U1105-V1105</f>
        <v>0</v>
      </c>
      <c r="U1105" s="169">
        <f>SUMIFS(операции!$AC:$AC,операции!$AB:$AB,"&gt;="&amp;S$8,операции!$AB:$AB,"&lt;="&amp;S$9,операции!$L:$L,U$9,операции!$O:$O,$F1052)</f>
        <v>0</v>
      </c>
      <c r="V1105" s="243">
        <f>SUMIFS(операции!$AC:$AC,операции!$AB:$AB,"&gt;="&amp;S$8,операции!$AB:$AB,"&lt;="&amp;S$9,операции!$L:$L,V$9,операции!$O:$O,$F1052)</f>
        <v>3204.2400000000002</v>
      </c>
      <c r="W1105" s="244"/>
      <c r="X1105" s="169">
        <f>SUMIFS(операции!$AC:$AC,операции!$AB:$AB,"&gt;="&amp;X$8,операции!$AB:$AB,"&lt;="&amp;X$9,операции!$O:$O,$F1052)</f>
        <v>44577.21</v>
      </c>
      <c r="Y1105" s="170">
        <f>X1105-Z1105-AA1105</f>
        <v>0</v>
      </c>
      <c r="Z1105" s="169">
        <f>SUMIFS(операции!$AC:$AC,операции!$AB:$AB,"&gt;="&amp;X$8,операции!$AB:$AB,"&lt;="&amp;X$9,операции!$L:$L,Z$9,операции!$O:$O,$F1052)</f>
        <v>0</v>
      </c>
      <c r="AA1105" s="243">
        <f>SUMIFS(операции!$AC:$AC,операции!$AB:$AB,"&gt;="&amp;X$8,операции!$AB:$AB,"&lt;="&amp;X$9,операции!$L:$L,AA$9,операции!$O:$O,$F1052)</f>
        <v>44577.21</v>
      </c>
      <c r="AB1105" s="266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</row>
    <row r="1106" spans="1:42" s="192" customFormat="1" ht="11.25">
      <c r="A1106" s="37"/>
      <c r="B1106" s="37"/>
      <c r="C1106" s="37"/>
      <c r="D1106" s="207" t="s">
        <v>255</v>
      </c>
      <c r="E1106" s="207"/>
      <c r="F1106" s="207" t="str">
        <f t="shared" si="1852"/>
        <v>ИнтКид</v>
      </c>
      <c r="G1106" s="207" t="s">
        <v>262</v>
      </c>
      <c r="H1106" s="331"/>
      <c r="I1106" s="337">
        <f>IF(I1105=0,0,SUMIFS(операции!$AH:$AH,операции!$AB:$AB,"&gt;="&amp;I$8,операции!$AB:$AB,"&lt;="&amp;I$9,операции!$O:$O,$F1052)/I1105)</f>
        <v>42357.677346543482</v>
      </c>
      <c r="J1106" s="333"/>
      <c r="K1106" s="337">
        <f>IF(K1105=0,0,SUMIFS(операции!$AH:$AH,операции!$AB:$AB,"&gt;="&amp;I$8,операции!$AB:$AB,"&lt;="&amp;I$9,операции!$L:$L,K$9,операции!$O:$O,$F1052)/K1105)</f>
        <v>0</v>
      </c>
      <c r="L1106" s="338">
        <f>IF(L1105=0,0,SUMIFS(операции!$AH:$AH,операции!$AB:$AB,"&gt;="&amp;I$8,операции!$AB:$AB,"&lt;="&amp;I$9,операции!$L:$L,L$9,операции!$O:$O,$F1052)/L1105)</f>
        <v>42357.677346543482</v>
      </c>
      <c r="M1106" s="278"/>
      <c r="N1106" s="217">
        <f>IF(N1105=0,0,SUMIFS(операции!$AH:$AH,операции!$AB:$AB,"&gt;="&amp;N$8,операции!$AB:$AB,"&lt;="&amp;N$9,операции!$O:$O,$F1052)/N1105)</f>
        <v>0</v>
      </c>
      <c r="O1106" s="208"/>
      <c r="P1106" s="217">
        <f>IF(P1105=0,0,SUMIFS(операции!$AH:$AH,операции!$AB:$AB,"&gt;="&amp;N$8,операции!$AB:$AB,"&lt;="&amp;N$9,операции!$L:$L,P$9,операции!$O:$O,$F1052)/P1105)</f>
        <v>0</v>
      </c>
      <c r="Q1106" s="249">
        <f>IF(Q1105=0,0,SUMIFS(операции!$AH:$AH,операции!$AB:$AB,"&gt;="&amp;N$8,операции!$AB:$AB,"&lt;="&amp;N$9,операции!$L:$L,Q$9,операции!$O:$O,$F1052)/Q1105)</f>
        <v>0</v>
      </c>
      <c r="R1106" s="247"/>
      <c r="S1106" s="217">
        <f>IF(S1105=0,0,SUMIFS(операции!$AH:$AH,операции!$AB:$AB,"&gt;="&amp;S$8,операции!$AB:$AB,"&lt;="&amp;S$9,операции!$O:$O,$F1052)/S1105)</f>
        <v>42331.302127805655</v>
      </c>
      <c r="T1106" s="208"/>
      <c r="U1106" s="217">
        <f>IF(U1105=0,0,SUMIFS(операции!$AH:$AH,операции!$AB:$AB,"&gt;="&amp;S$8,операции!$AB:$AB,"&lt;="&amp;S$9,операции!$L:$L,U$9,операции!$O:$O,$F1052)/U1105)</f>
        <v>0</v>
      </c>
      <c r="V1106" s="249">
        <f>IF(V1105=0,0,SUMIFS(операции!$AH:$AH,операции!$AB:$AB,"&gt;="&amp;S$8,операции!$AB:$AB,"&lt;="&amp;S$9,операции!$L:$L,V$9,операции!$O:$O,$F1052)/V1105)</f>
        <v>42331.302127805655</v>
      </c>
      <c r="W1106" s="247"/>
      <c r="X1106" s="217">
        <f>IF(X1105=0,0,SUMIFS(операции!$AH:$AH,операции!$AB:$AB,"&gt;="&amp;X$8,операции!$AB:$AB,"&lt;="&amp;X$9,операции!$O:$O,$F1052)/X1105)</f>
        <v>42359.573215102515</v>
      </c>
      <c r="Y1106" s="208"/>
      <c r="Z1106" s="217">
        <f>IF(Z1105=0,0,SUMIFS(операции!$AH:$AH,операции!$AB:$AB,"&gt;="&amp;X$8,операции!$AB:$AB,"&lt;="&amp;X$9,операции!$L:$L,Z$9,операции!$O:$O,$F1052)/Z1105)</f>
        <v>0</v>
      </c>
      <c r="AA1106" s="249">
        <f>IF(AA1105=0,0,SUMIFS(операции!$AH:$AH,операции!$AB:$AB,"&gt;="&amp;X$8,операции!$AB:$AB,"&lt;="&amp;X$9,операции!$L:$L,AA$9,операции!$O:$O,$F1052)/AA1105)</f>
        <v>42359.573215102515</v>
      </c>
      <c r="AB1106" s="265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</row>
    <row r="1107" spans="1:42" s="111" customFormat="1" ht="11.25">
      <c r="A1107" s="108"/>
      <c r="B1107" s="108"/>
      <c r="C1107" s="209" t="s">
        <v>279</v>
      </c>
      <c r="D1107" s="109"/>
      <c r="E1107" s="109"/>
      <c r="F1107" s="109" t="str">
        <f t="shared" si="1852"/>
        <v>ИнтКид</v>
      </c>
      <c r="G1107" s="109"/>
      <c r="H1107" s="307"/>
      <c r="I1107" s="308">
        <f>I1108-K1108-L1108+K1107+L1107</f>
        <v>0</v>
      </c>
      <c r="J1107" s="309">
        <f>I1052+I1070-I1077-I1108</f>
        <v>0</v>
      </c>
      <c r="K1107" s="308">
        <f>K1052+K1070-K1077-K1108</f>
        <v>0</v>
      </c>
      <c r="L1107" s="336">
        <f>L1052+L1070-L1077-L1108</f>
        <v>0</v>
      </c>
      <c r="M1107" s="272"/>
      <c r="N1107" s="110">
        <f>N1108-P1108-Q1108</f>
        <v>0</v>
      </c>
      <c r="O1107" s="215">
        <f>N1052+N1070-N1077-N1108</f>
        <v>0</v>
      </c>
      <c r="P1107" s="110">
        <f>P1052+P1070-P1077-P1108</f>
        <v>0</v>
      </c>
      <c r="Q1107" s="248">
        <f>Q1052+Q1070-Q1077-Q1108</f>
        <v>0</v>
      </c>
      <c r="R1107" s="234"/>
      <c r="S1107" s="110">
        <f>S1108-U1108-V1108</f>
        <v>0</v>
      </c>
      <c r="T1107" s="215">
        <f>S1052+S1070-S1077-S1108</f>
        <v>0</v>
      </c>
      <c r="U1107" s="110">
        <f>U1052+U1070-U1077-U1108</f>
        <v>0</v>
      </c>
      <c r="V1107" s="248">
        <f>V1052+V1070-V1077-V1108</f>
        <v>0</v>
      </c>
      <c r="W1107" s="234"/>
      <c r="X1107" s="110">
        <f>X1108-Z1108-AA1108</f>
        <v>0</v>
      </c>
      <c r="Y1107" s="215">
        <f>X1052+X1070-X1077-X1108</f>
        <v>0</v>
      </c>
      <c r="Z1107" s="110">
        <f>Z1052+Z1070-Z1077-Z1108</f>
        <v>0</v>
      </c>
      <c r="AA1107" s="248">
        <f>AA1052+AA1070-AA1077-AA1108</f>
        <v>0</v>
      </c>
      <c r="AB1107" s="263"/>
      <c r="AC1107" s="108"/>
      <c r="AD1107" s="108"/>
      <c r="AE1107" s="108"/>
      <c r="AF1107" s="108"/>
      <c r="AG1107" s="108"/>
      <c r="AH1107" s="108"/>
      <c r="AI1107" s="108"/>
      <c r="AJ1107" s="108"/>
      <c r="AK1107" s="108"/>
      <c r="AL1107" s="108"/>
      <c r="AM1107" s="108"/>
      <c r="AN1107" s="108"/>
      <c r="AO1107" s="108"/>
      <c r="AP1107" s="108"/>
    </row>
    <row r="1108" spans="1:42" s="93" customFormat="1" ht="15">
      <c r="A1108" s="92"/>
      <c r="B1108" s="92"/>
      <c r="C1108" s="214"/>
      <c r="D1108" s="151" t="s">
        <v>238</v>
      </c>
      <c r="E1108" s="151"/>
      <c r="F1108" s="151" t="str">
        <f t="shared" si="1852"/>
        <v>ИнтКид</v>
      </c>
      <c r="G1108" s="151" t="s">
        <v>261</v>
      </c>
      <c r="H1108" s="311"/>
      <c r="I1108" s="312">
        <f>SUMIFS(операции!$V:$V,операции!$T:$T,"&lt;="&amp;I$9,операции!$X:$X,"",операции!$O:$O,$F1052)+SUMIFS(операции!$V:$V,операции!$T:$T,"&lt;="&amp;I$9,операции!$X:$X,"&gt;"&amp;I$9,операции!$O:$O,$F1052)</f>
        <v>32675.41</v>
      </c>
      <c r="J1108" s="313">
        <f>I1108-I1113-I1119</f>
        <v>0</v>
      </c>
      <c r="K1108" s="312">
        <f>SUMIFS(операции!$V:$V,операции!$T:$T,"&lt;="&amp;I$9,операции!$X:$X,"",операции!$L:$L,K$9,операции!$O:$O,$F1052)+SUMIFS(операции!$V:$V,операции!$T:$T,"&lt;="&amp;I$9,операции!$X:$X,"&gt;"&amp;I$9,операции!$L:$L,K$9,операции!$O:$O,$F1052)</f>
        <v>2313.86</v>
      </c>
      <c r="L1108" s="314">
        <f>SUMIFS(операции!$V:$V,операции!$T:$T,"&lt;="&amp;I$9,операции!$X:$X,"",операции!$L:$L,L$9,операции!$O:$O,$F1052)+SUMIFS(операции!$V:$V,операции!$T:$T,"&lt;="&amp;I$9,операции!$X:$X,"&gt;"&amp;I$9,операции!$L:$L,L$9,операции!$O:$O,$F1052)</f>
        <v>30361.55</v>
      </c>
      <c r="M1108" s="273"/>
      <c r="N1108" s="152">
        <f>SUMIFS(операции!$V:$V,операции!$T:$T,"&lt;="&amp;N$9,операции!$X:$X,"",операции!$O:$O,$F1052)+SUMIFS(операции!$V:$V,операции!$T:$T,"&lt;="&amp;N$9,операции!$X:$X,"&gt;"&amp;N$9,операции!$O:$O,$F1052)</f>
        <v>8853.48</v>
      </c>
      <c r="O1108" s="170">
        <f>N1108-N1113-N1119</f>
        <v>0</v>
      </c>
      <c r="P1108" s="152">
        <f>SUMIFS(операции!$V:$V,операции!$T:$T,"&lt;="&amp;N$9,операции!$X:$X,"",операции!$L:$L,P$9,операции!$O:$O,$F1052)+SUMIFS(операции!$V:$V,операции!$T:$T,"&lt;="&amp;N$9,операции!$X:$X,"&gt;"&amp;N$9,операции!$L:$L,P$9,операции!$O:$O,$F1052)</f>
        <v>8853.48</v>
      </c>
      <c r="Q1108" s="235">
        <f>SUMIFS(операции!$V:$V,операции!$T:$T,"&lt;="&amp;N$9,операции!$X:$X,"",операции!$L:$L,Q$9,операции!$O:$O,$F1052)+SUMIFS(операции!$V:$V,операции!$T:$T,"&lt;="&amp;N$9,операции!$X:$X,"&gt;"&amp;N$9,операции!$L:$L,Q$9,операции!$O:$O,$F1052)</f>
        <v>0</v>
      </c>
      <c r="R1108" s="236"/>
      <c r="S1108" s="152">
        <f>SUMIFS(операции!$V:$V,операции!$T:$T,"&lt;="&amp;S$9,операции!$X:$X,"",операции!$O:$O,$F1052)+SUMIFS(операции!$V:$V,операции!$T:$T,"&lt;="&amp;S$9,операции!$X:$X,"&gt;"&amp;S$9,операции!$O:$O,$F1052)</f>
        <v>67210.409999999989</v>
      </c>
      <c r="T1108" s="170">
        <f>S1108-S1113-S1119</f>
        <v>0</v>
      </c>
      <c r="U1108" s="152">
        <f>SUMIFS(операции!$V:$V,операции!$T:$T,"&lt;="&amp;S$9,операции!$X:$X,"",операции!$L:$L,U$9,операции!$O:$O,$F1052)+SUMIFS(операции!$V:$V,операции!$T:$T,"&lt;="&amp;S$9,операции!$X:$X,"&gt;"&amp;S$9,операции!$L:$L,U$9,операции!$O:$O,$F1052)</f>
        <v>2313.86</v>
      </c>
      <c r="V1108" s="235">
        <f>SUMIFS(операции!$V:$V,операции!$T:$T,"&lt;="&amp;S$9,операции!$X:$X,"",операции!$L:$L,V$9,операции!$O:$O,$F1052)+SUMIFS(операции!$V:$V,операции!$T:$T,"&lt;="&amp;S$9,операции!$X:$X,"&gt;"&amp;S$9,операции!$L:$L,V$9,операции!$O:$O,$F1052)</f>
        <v>64896.549999999996</v>
      </c>
      <c r="W1108" s="236"/>
      <c r="X1108" s="152">
        <f>SUMIFS(операции!$V:$V,операции!$T:$T,"&lt;="&amp;X$9,операции!$X:$X,"",операции!$O:$O,$F1052)+SUMIFS(операции!$V:$V,операции!$T:$T,"&lt;="&amp;X$9,операции!$X:$X,"&gt;"&amp;X$9,операции!$O:$O,$F1052)</f>
        <v>32675.41</v>
      </c>
      <c r="Y1108" s="170">
        <f>X1108-X1113-X1119</f>
        <v>0</v>
      </c>
      <c r="Z1108" s="152">
        <f>SUMIFS(операции!$V:$V,операции!$T:$T,"&lt;="&amp;X$9,операции!$X:$X,"",операции!$L:$L,Z$9,операции!$O:$O,$F1052)+SUMIFS(операции!$V:$V,операции!$T:$T,"&lt;="&amp;X$9,операции!$X:$X,"&gt;"&amp;X$9,операции!$L:$L,Z$9,операции!$O:$O,$F1052)</f>
        <v>2313.86</v>
      </c>
      <c r="AA1108" s="235">
        <f>SUMIFS(операции!$V:$V,операции!$T:$T,"&lt;="&amp;X$9,операции!$X:$X,"",операции!$L:$L,AA$9,операции!$O:$O,$F1052)+SUMIFS(операции!$V:$V,операции!$T:$T,"&lt;="&amp;X$9,операции!$X:$X,"&gt;"&amp;X$9,операции!$L:$L,AA$9,операции!$O:$O,$F1052)</f>
        <v>30361.55</v>
      </c>
      <c r="AB1108" s="264"/>
      <c r="AC1108" s="92"/>
      <c r="AD1108" s="92"/>
      <c r="AE1108" s="92"/>
      <c r="AF1108" s="92"/>
      <c r="AG1108" s="92"/>
      <c r="AH1108" s="92"/>
      <c r="AI1108" s="92"/>
      <c r="AJ1108" s="92"/>
      <c r="AK1108" s="92"/>
      <c r="AL1108" s="92"/>
      <c r="AM1108" s="92"/>
      <c r="AN1108" s="92"/>
      <c r="AO1108" s="92"/>
      <c r="AP1108" s="92"/>
    </row>
    <row r="1109" spans="1:42" s="192" customFormat="1" ht="11.25">
      <c r="A1109" s="37"/>
      <c r="B1109" s="37"/>
      <c r="C1109" s="37"/>
      <c r="D1109" s="191" t="s">
        <v>255</v>
      </c>
      <c r="E1109" s="191"/>
      <c r="F1109" s="191" t="str">
        <f t="shared" si="1852"/>
        <v>ИнтКид</v>
      </c>
      <c r="G1109" s="191" t="s">
        <v>262</v>
      </c>
      <c r="H1109" s="315"/>
      <c r="I1109" s="316">
        <f>IF(I1108=0,0,(SUMIFS(операции!$AF:$AF,операции!$T:$T,"&lt;="&amp;I$9,операции!$X:$X,"",операции!$O:$O,$F1052)+SUMIFS(операции!$AF:$AF,операции!$T:$T,"&lt;="&amp;I$9,операции!$X:$X,"&gt;"&amp;I$9,операции!$O:$O,$F1052))/I1108)</f>
        <v>42357.078910103955</v>
      </c>
      <c r="J1109" s="317"/>
      <c r="K1109" s="316">
        <f>IF(K1108=0,0,(SUMIFS(операции!$AF:$AF,операции!$T:$T,"&lt;="&amp;I$9,операции!$X:$X,"",операции!$L:$L,K$9,операции!$O:$O,$F1052)+SUMIFS(операции!$AF:$AF,операции!$T:$T,"&lt;="&amp;I$9,операции!$X:$X,"&gt;"&amp;I$9,операции!$L:$L,K$9,операции!$O:$O,$F1052))/K1108)</f>
        <v>42222.478732507581</v>
      </c>
      <c r="L1109" s="318">
        <f>IF(L1108=0,0,(SUMIFS(операции!$AF:$AF,операции!$T:$T,"&lt;="&amp;I$9,операции!$X:$X,"",операции!$L:$L,L$9,операции!$O:$O,$F1052)+SUMIFS(операции!$AF:$AF,операции!$T:$T,"&lt;="&amp;I$9,операции!$X:$X,"&gt;"&amp;I$9,операции!$L:$L,L$9,операции!$O:$O,$F1052))/L1108)</f>
        <v>42367.336817454976</v>
      </c>
      <c r="M1109" s="274"/>
      <c r="N1109" s="193">
        <f>IF(N1108=0,0,(SUMIFS(операции!$AF:$AF,операции!$T:$T,"&lt;="&amp;N$9,операции!$X:$X,"",операции!$O:$O,$F1052)+SUMIFS(операции!$AF:$AF,операции!$T:$T,"&lt;="&amp;N$9,операции!$X:$X,"&gt;"&amp;N$9,операции!$O:$O,$F1052))/N1108)</f>
        <v>42232.012354464008</v>
      </c>
      <c r="O1109" s="196"/>
      <c r="P1109" s="193">
        <f>IF(P1108=0,0,(SUMIFS(операции!$AF:$AF,операции!$T:$T,"&lt;="&amp;N$9,операции!$X:$X,"",операции!$L:$L,P$9,операции!$O:$O,$F1052)+SUMIFS(операции!$AF:$AF,операции!$T:$T,"&lt;="&amp;N$9,операции!$X:$X,"&gt;"&amp;N$9,операции!$L:$L,P$9,операции!$O:$O,$F1052))/P1108)</f>
        <v>42232.012354464008</v>
      </c>
      <c r="Q1109" s="237">
        <f>IF(Q1108=0,0,(SUMIFS(операции!$AF:$AF,операции!$T:$T,"&lt;="&amp;N$9,операции!$X:$X,"",операции!$L:$L,Q$9,операции!$O:$O,$F1052)+SUMIFS(операции!$AF:$AF,операции!$T:$T,"&lt;="&amp;N$9,операции!$X:$X,"&gt;"&amp;N$9,операции!$L:$L,Q$9,операции!$O:$O,$F1052))/Q1108)</f>
        <v>0</v>
      </c>
      <c r="R1109" s="238"/>
      <c r="S1109" s="193">
        <f>IF(S1108=0,0,(SUMIFS(операции!$AF:$AF,операции!$T:$T,"&lt;="&amp;S$9,операции!$X:$X,"",операции!$O:$O,$F1052)+SUMIFS(операции!$AF:$AF,операции!$T:$T,"&lt;="&amp;S$9,операции!$X:$X,"&gt;"&amp;S$9,операции!$O:$O,$F1052))/S1108)</f>
        <v>42332.509191358906</v>
      </c>
      <c r="T1109" s="196"/>
      <c r="U1109" s="193">
        <f>IF(U1108=0,0,(SUMIFS(операции!$AF:$AF,операции!$T:$T,"&lt;="&amp;S$9,операции!$X:$X,"",операции!$L:$L,U$9,операции!$O:$O,$F1052)+SUMIFS(операции!$AF:$AF,операции!$T:$T,"&lt;="&amp;S$9,операции!$X:$X,"&gt;"&amp;S$9,операции!$L:$L,U$9,операции!$O:$O,$F1052))/U1108)</f>
        <v>42222.478732507581</v>
      </c>
      <c r="V1109" s="237">
        <f>IF(V1108=0,0,(SUMIFS(операции!$AF:$AF,операции!$T:$T,"&lt;="&amp;S$9,операции!$X:$X,"",операции!$L:$L,V$9,операции!$O:$O,$F1052)+SUMIFS(операции!$AF:$AF,операции!$T:$T,"&lt;="&amp;S$9,операции!$X:$X,"&gt;"&amp;S$9,операции!$L:$L,V$9,операции!$O:$O,$F1052))/V1108)</f>
        <v>42336.432282455695</v>
      </c>
      <c r="W1109" s="238"/>
      <c r="X1109" s="193">
        <f>IF(X1108=0,0,(SUMIFS(операции!$AF:$AF,операции!$T:$T,"&lt;="&amp;X$9,операции!$X:$X,"",операции!$O:$O,$F1052)+SUMIFS(операции!$AF:$AF,операции!$T:$T,"&lt;="&amp;X$9,операции!$X:$X,"&gt;"&amp;X$9,операции!$O:$O,$F1052))/X1108)</f>
        <v>42357.078910103955</v>
      </c>
      <c r="Y1109" s="196"/>
      <c r="Z1109" s="193">
        <f>IF(Z1108=0,0,(SUMIFS(операции!$AF:$AF,операции!$T:$T,"&lt;="&amp;X$9,операции!$X:$X,"",операции!$L:$L,Z$9,операции!$O:$O,$F1052)+SUMIFS(операции!$AF:$AF,операции!$T:$T,"&lt;="&amp;X$9,операции!$X:$X,"&gt;"&amp;X$9,операции!$L:$L,Z$9,операции!$O:$O,$F1052))/Z1108)</f>
        <v>42222.478732507581</v>
      </c>
      <c r="AA1109" s="237">
        <f>IF(AA1108=0,0,(SUMIFS(операции!$AF:$AF,операции!$T:$T,"&lt;="&amp;X$9,операции!$X:$X,"",операции!$L:$L,AA$9,операции!$O:$O,$F1052)+SUMIFS(операции!$AF:$AF,операции!$T:$T,"&lt;="&amp;X$9,операции!$X:$X,"&gt;"&amp;X$9,операции!$L:$L,AA$9,операции!$O:$O,$F1052))/AA1108)</f>
        <v>42367.336817454976</v>
      </c>
      <c r="AB1109" s="265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</row>
    <row r="1110" spans="1:42" s="50" customFormat="1" ht="11.25">
      <c r="A1110" s="48"/>
      <c r="B1110" s="48"/>
      <c r="C1110" s="48"/>
      <c r="D1110" s="154" t="s">
        <v>239</v>
      </c>
      <c r="E1110" s="154"/>
      <c r="F1110" s="154" t="str">
        <f t="shared" si="1852"/>
        <v>ИнтКид</v>
      </c>
      <c r="G1110" s="154" t="s">
        <v>219</v>
      </c>
      <c r="H1110" s="319"/>
      <c r="I1110" s="320">
        <f>IF(I1108=0,0,I$9-I1109)</f>
        <v>11.921089896044577</v>
      </c>
      <c r="J1110" s="321">
        <f>I1110-SUMIFS(ПОбТЗ!$I:$I,ПОбТЗ!$E:$E,$D1110,ПОбТЗ!$F:$F,$F1110)</f>
        <v>0</v>
      </c>
      <c r="K1110" s="320">
        <f>IF(K1108=0,0,I$9-K1109)</f>
        <v>146.5212674924187</v>
      </c>
      <c r="L1110" s="322">
        <f>IF(L1108=0,0,I$9-L1109)</f>
        <v>1.6631825450240285</v>
      </c>
      <c r="M1110" s="275"/>
      <c r="N1110" s="155">
        <f>IF(N1108=0,0,N$9-N1109)</f>
        <v>75.98764553599176</v>
      </c>
      <c r="O1110" s="173">
        <f>N1110-SUMIFS(ПОбТЗ_3!$J:$J,ПОбТЗ_3!$D:$D,$D1110,ПОбТЗ_3!$E:$E,$F1110)</f>
        <v>0</v>
      </c>
      <c r="P1110" s="155">
        <f>IF(P1108=0,0,N$9-P1109)</f>
        <v>75.98764553599176</v>
      </c>
      <c r="Q1110" s="239">
        <f>IF(Q1108=0,0,N$9-Q1109)</f>
        <v>0</v>
      </c>
      <c r="R1110" s="240"/>
      <c r="S1110" s="155">
        <f>IF(S1108=0,0,S$9-S1109)</f>
        <v>5.4908086410941905</v>
      </c>
      <c r="T1110" s="173">
        <f>S1110-SUMIFS(ПОбТЗ_3!$K:$K,ПОбТЗ_3!$D:$D,$D1110,ПОбТЗ_3!$E:$E,$F1110)</f>
        <v>0</v>
      </c>
      <c r="U1110" s="155">
        <f>IF(U1108=0,0,S$9-U1109)</f>
        <v>115.5212674924187</v>
      </c>
      <c r="V1110" s="239">
        <f>IF(V1108=0,0,S$9-V1109)</f>
        <v>1.5677175443051965</v>
      </c>
      <c r="W1110" s="240"/>
      <c r="X1110" s="155">
        <f>IF(X1108=0,0,X$9-X1109)</f>
        <v>11.921089896044577</v>
      </c>
      <c r="Y1110" s="173">
        <f>X1110-SUMIFS(ПОбТЗ_3!$L:$L,ПОбТЗ_3!$D:$D,$D1110,ПОбТЗ_3!$E:$E,$F1110)</f>
        <v>0</v>
      </c>
      <c r="Z1110" s="155">
        <f>IF(Z1108=0,0,X$9-Z1109)</f>
        <v>146.5212674924187</v>
      </c>
      <c r="AA1110" s="239">
        <f>IF(AA1108=0,0,X$9-AA1109)</f>
        <v>1.6631825450240285</v>
      </c>
      <c r="AB1110" s="230"/>
      <c r="AC1110" s="48"/>
      <c r="AD1110" s="48"/>
      <c r="AE1110" s="48"/>
      <c r="AF1110" s="48"/>
      <c r="AG1110" s="48"/>
      <c r="AH1110" s="48"/>
      <c r="AI1110" s="48"/>
      <c r="AJ1110" s="48"/>
      <c r="AK1110" s="48"/>
      <c r="AL1110" s="48"/>
      <c r="AM1110" s="48"/>
      <c r="AN1110" s="48"/>
      <c r="AO1110" s="48"/>
      <c r="AP1110" s="48"/>
    </row>
    <row r="1111" spans="1:42" s="93" customFormat="1" ht="15">
      <c r="A1111" s="92"/>
      <c r="B1111" s="92"/>
      <c r="C1111" s="92"/>
      <c r="D1111" s="198" t="s">
        <v>280</v>
      </c>
      <c r="E1111" s="198"/>
      <c r="F1111" s="198" t="str">
        <f t="shared" si="1852"/>
        <v>ИнтКид</v>
      </c>
      <c r="G1111" s="198" t="s">
        <v>219</v>
      </c>
      <c r="H1111" s="323"/>
      <c r="I1111" s="324">
        <f>IF(I1108=0,0,(I1113*I1117+I1119*I1123)/I1108)</f>
        <v>2.5454477847374188</v>
      </c>
      <c r="J1111" s="321"/>
      <c r="K1111" s="324">
        <f>IF(K1108=0,0,(K1113*K1117+K1119*K1123)/K1108)</f>
        <v>14.122181117272703</v>
      </c>
      <c r="L1111" s="325">
        <f>IF(L1108=0,0,(L1113*L1117+L1119*L1123)/L1108)</f>
        <v>1.6631825450240285</v>
      </c>
      <c r="M1111" s="276"/>
      <c r="N1111" s="199">
        <f>IF(N1108=0,0,(N1113*N1117+N1119*N1123)/N1108)</f>
        <v>33.446706831665701</v>
      </c>
      <c r="O1111" s="173"/>
      <c r="P1111" s="199">
        <f>IF(P1108=0,0,(P1113*P1117+P1119*P1123)/P1108)</f>
        <v>33.446706831665701</v>
      </c>
      <c r="Q1111" s="241">
        <f>IF(Q1108=0,0,(Q1113*Q1117+Q1119*Q1123)/Q1108)</f>
        <v>0</v>
      </c>
      <c r="R1111" s="242"/>
      <c r="S1111" s="199">
        <f>IF(S1108=0,0,(S1113*S1117+S1119*S1123)/S1108)</f>
        <v>1.9999314094333309</v>
      </c>
      <c r="T1111" s="173"/>
      <c r="U1111" s="199">
        <f>IF(U1108=0,0,(U1113*U1117+U1119*U1123)/U1108)</f>
        <v>14.122181117272703</v>
      </c>
      <c r="V1111" s="241">
        <f>IF(V1108=0,0,(V1113*V1117+V1119*V1123)/V1108)</f>
        <v>1.5677175443051967</v>
      </c>
      <c r="W1111" s="242"/>
      <c r="X1111" s="199">
        <f>IF(X1108=0,0,(X1113*X1117+X1119*X1123)/X1108)</f>
        <v>2.5454477847374188</v>
      </c>
      <c r="Y1111" s="173"/>
      <c r="Z1111" s="199">
        <f>IF(Z1108=0,0,(Z1113*Z1117+Z1119*Z1123)/Z1108)</f>
        <v>14.122181117272703</v>
      </c>
      <c r="AA1111" s="241">
        <f>IF(AA1108=0,0,(AA1113*AA1117+AA1119*AA1123)/AA1108)</f>
        <v>1.6631825450240285</v>
      </c>
      <c r="AB1111" s="264"/>
      <c r="AC1111" s="92"/>
      <c r="AD1111" s="92"/>
      <c r="AE1111" s="92"/>
      <c r="AF1111" s="92"/>
      <c r="AG1111" s="92"/>
      <c r="AH1111" s="92"/>
      <c r="AI1111" s="92"/>
      <c r="AJ1111" s="92"/>
      <c r="AK1111" s="92"/>
      <c r="AL1111" s="92"/>
      <c r="AM1111" s="92"/>
      <c r="AN1111" s="92"/>
      <c r="AO1111" s="92"/>
      <c r="AP1111" s="92"/>
    </row>
    <row r="1112" spans="1:42" s="50" customFormat="1" ht="11.25">
      <c r="A1112" s="48"/>
      <c r="B1112" s="48"/>
      <c r="C1112" s="48"/>
      <c r="D1112" s="154" t="s">
        <v>281</v>
      </c>
      <c r="E1112" s="154"/>
      <c r="F1112" s="154" t="str">
        <f t="shared" si="1852"/>
        <v>ИнтКид</v>
      </c>
      <c r="G1112" s="154" t="s">
        <v>219</v>
      </c>
      <c r="H1112" s="319"/>
      <c r="I1112" s="320">
        <f>I1110-I1111</f>
        <v>9.3756421113071582</v>
      </c>
      <c r="J1112" s="321"/>
      <c r="K1112" s="320">
        <f>K1110-K1111</f>
        <v>132.399086375146</v>
      </c>
      <c r="L1112" s="322">
        <f>L1110-L1111</f>
        <v>0</v>
      </c>
      <c r="M1112" s="275"/>
      <c r="N1112" s="155">
        <f>N1110-N1111</f>
        <v>42.540938704326059</v>
      </c>
      <c r="O1112" s="173"/>
      <c r="P1112" s="155">
        <f>P1110-P1111</f>
        <v>42.540938704326059</v>
      </c>
      <c r="Q1112" s="239">
        <f>Q1110-Q1111</f>
        <v>0</v>
      </c>
      <c r="R1112" s="240"/>
      <c r="S1112" s="155">
        <f>S1110-S1111</f>
        <v>3.4908772316608596</v>
      </c>
      <c r="T1112" s="173"/>
      <c r="U1112" s="155">
        <f>U1110-U1111</f>
        <v>101.399086375146</v>
      </c>
      <c r="V1112" s="239">
        <f>V1110-V1111</f>
        <v>0</v>
      </c>
      <c r="W1112" s="240"/>
      <c r="X1112" s="155">
        <f>X1110-X1111</f>
        <v>9.3756421113071582</v>
      </c>
      <c r="Y1112" s="173"/>
      <c r="Z1112" s="155">
        <f>Z1110-Z1111</f>
        <v>132.399086375146</v>
      </c>
      <c r="AA1112" s="239">
        <f>AA1110-AA1111</f>
        <v>0</v>
      </c>
      <c r="AB1112" s="230"/>
      <c r="AC1112" s="48"/>
      <c r="AD1112" s="48"/>
      <c r="AE1112" s="48"/>
      <c r="AF1112" s="48"/>
      <c r="AG1112" s="48"/>
      <c r="AH1112" s="48"/>
      <c r="AI1112" s="48"/>
      <c r="AJ1112" s="48"/>
      <c r="AK1112" s="48"/>
      <c r="AL1112" s="48"/>
      <c r="AM1112" s="48"/>
      <c r="AN1112" s="48"/>
      <c r="AO1112" s="48"/>
      <c r="AP1112" s="48"/>
    </row>
    <row r="1113" spans="1:42" s="5" customFormat="1">
      <c r="A1113" s="1"/>
      <c r="B1113" s="1"/>
      <c r="C1113" s="1"/>
      <c r="D1113" s="168"/>
      <c r="E1113" s="168" t="s">
        <v>282</v>
      </c>
      <c r="F1113" s="168" t="str">
        <f t="shared" si="1852"/>
        <v>ИнтКид</v>
      </c>
      <c r="G1113" s="168" t="s">
        <v>261</v>
      </c>
      <c r="H1113" s="326"/>
      <c r="I1113" s="327">
        <f>SUMIFS(операции!$V:$V,операции!$T:$T,"&lt;="&amp;I$9,операции!$X:$X,"",операции!$AB:$AB,"&lt;&gt;"&amp;"",операции!$AB:$AB,"&lt;="&amp;I$9,операции!$O:$O,$F1052)+SUMIFS(операции!$V:$V,операции!$T:$T,"&lt;="&amp;I$9,операции!$X:$X,"&gt;"&amp;I$9,операции!$AB:$AB,"&lt;&gt;"&amp;"",операции!$AB:$AB,"&lt;="&amp;I$9,операции!$O:$O,$F1052)</f>
        <v>2313.86</v>
      </c>
      <c r="J1113" s="313">
        <f>I1113-K1113-L1113</f>
        <v>0</v>
      </c>
      <c r="K1113" s="327">
        <f>SUMIFS(операции!$V:$V,операции!$T:$T,"&lt;="&amp;I$9,операции!$X:$X,"",операции!$AB:$AB,"&lt;&gt;"&amp;"",операции!$AB:$AB,"&lt;="&amp;I$9,операции!$L:$L,K$9,операции!$O:$O,$F1052)+SUMIFS(операции!$V:$V,операции!$T:$T,"&lt;="&amp;I$9,операции!$X:$X,"&gt;"&amp;I$9,операции!$AB:$AB,"&lt;&gt;"&amp;"",операции!$AB:$AB,"&lt;="&amp;I$9,операции!$L:$L,K$9,операции!$O:$O,$F1052)</f>
        <v>2313.86</v>
      </c>
      <c r="L1113" s="328">
        <f>SUMIFS(операции!$V:$V,операции!$T:$T,"&lt;="&amp;I$9,операции!$X:$X,"",операции!$AB:$AB,"&lt;&gt;"&amp;"",операции!$AB:$AB,"&lt;="&amp;I$9,операции!$L:$L,L$9,операции!$O:$O,$F1052)+SUMIFS(операции!$V:$V,операции!$T:$T,"&lt;="&amp;I$9,операции!$X:$X,"&gt;"&amp;I$9,операции!$AB:$AB,"&lt;&gt;"&amp;"",операции!$AB:$AB,"&lt;="&amp;I$9,операции!$L:$L,L$9,операции!$O:$O,$F1052)</f>
        <v>0</v>
      </c>
      <c r="M1113" s="277"/>
      <c r="N1113" s="169">
        <f>SUMIFS(операции!$V:$V,операции!$T:$T,"&lt;="&amp;N$9,операции!$X:$X,"",операции!$AB:$AB,"&lt;&gt;"&amp;"",операции!$AB:$AB,"&lt;="&amp;N$9,операции!$O:$O,$F1052)+SUMIFS(операции!$V:$V,операции!$T:$T,"&lt;="&amp;N$9,операции!$X:$X,"&gt;"&amp;N$9,операции!$AB:$AB,"&lt;&gt;"&amp;"",операции!$AB:$AB,"&lt;="&amp;N$9,операции!$O:$O,$F1052)</f>
        <v>7142.68</v>
      </c>
      <c r="O1113" s="170">
        <f>N1113-P1113-Q1113</f>
        <v>0</v>
      </c>
      <c r="P1113" s="169">
        <f>SUMIFS(операции!$V:$V,операции!$T:$T,"&lt;="&amp;N$9,операции!$X:$X,"",операции!$AB:$AB,"&lt;&gt;"&amp;"",операции!$AB:$AB,"&lt;="&amp;N$9,операции!$L:$L,P$9,операции!$O:$O,$F1052)+SUMIFS(операции!$V:$V,операции!$T:$T,"&lt;="&amp;N$9,операции!$X:$X,"&gt;"&amp;N$9,операции!$AB:$AB,"&lt;&gt;"&amp;"",операции!$AB:$AB,"&lt;="&amp;N$9,операции!$L:$L,P$9,операции!$O:$O,$F1052)</f>
        <v>7142.68</v>
      </c>
      <c r="Q1113" s="243">
        <f>SUMIFS(операции!$V:$V,операции!$T:$T,"&lt;="&amp;N$9,операции!$X:$X,"",операции!$AB:$AB,"&lt;&gt;"&amp;"",операции!$AB:$AB,"&lt;="&amp;N$9,операции!$L:$L,Q$9,операции!$O:$O,$F1052)+SUMIFS(операции!$V:$V,операции!$T:$T,"&lt;="&amp;N$9,операции!$X:$X,"&gt;"&amp;N$9,операции!$AB:$AB,"&lt;&gt;"&amp;"",операции!$AB:$AB,"&lt;="&amp;N$9,операции!$L:$L,Q$9,операции!$O:$O,$F1052)</f>
        <v>0</v>
      </c>
      <c r="R1113" s="244"/>
      <c r="S1113" s="169">
        <f>SUMIFS(операции!$V:$V,операции!$T:$T,"&lt;="&amp;S$9,операции!$X:$X,"",операции!$AB:$AB,"&lt;&gt;"&amp;"",операции!$AB:$AB,"&lt;="&amp;S$9,операции!$O:$O,$F1052)+SUMIFS(операции!$V:$V,операции!$T:$T,"&lt;="&amp;S$9,операции!$X:$X,"&gt;"&amp;S$9,операции!$AB:$AB,"&lt;&gt;"&amp;"",операции!$AB:$AB,"&lt;="&amp;S$9,операции!$O:$O,$F1052)</f>
        <v>2313.86</v>
      </c>
      <c r="T1113" s="170">
        <f>S1113-U1113-V1113</f>
        <v>0</v>
      </c>
      <c r="U1113" s="169">
        <f>SUMIFS(операции!$V:$V,операции!$T:$T,"&lt;="&amp;S$9,операции!$X:$X,"",операции!$AB:$AB,"&lt;&gt;"&amp;"",операции!$AB:$AB,"&lt;="&amp;S$9,операции!$L:$L,U$9,операции!$O:$O,$F1052)+SUMIFS(операции!$V:$V,операции!$T:$T,"&lt;="&amp;S$9,операции!$X:$X,"&gt;"&amp;S$9,операции!$AB:$AB,"&lt;&gt;"&amp;"",операции!$AB:$AB,"&lt;="&amp;S$9,операции!$L:$L,U$9,операции!$O:$O,$F1052)</f>
        <v>2313.86</v>
      </c>
      <c r="V1113" s="243">
        <f>SUMIFS(операции!$V:$V,операции!$T:$T,"&lt;="&amp;S$9,операции!$X:$X,"",операции!$AB:$AB,"&lt;&gt;"&amp;"",операции!$AB:$AB,"&lt;="&amp;S$9,операции!$L:$L,V$9,операции!$O:$O,$F1052)+SUMIFS(операции!$V:$V,операции!$T:$T,"&lt;="&amp;S$9,операции!$X:$X,"&gt;"&amp;S$9,операции!$AB:$AB,"&lt;&gt;"&amp;"",операции!$AB:$AB,"&lt;="&amp;S$9,операции!$L:$L,V$9,операции!$O:$O,$F1052)</f>
        <v>0</v>
      </c>
      <c r="W1113" s="244"/>
      <c r="X1113" s="169">
        <f>SUMIFS(операции!$V:$V,операции!$T:$T,"&lt;="&amp;X$9,операции!$X:$X,"",операции!$AB:$AB,"&lt;&gt;"&amp;"",операции!$AB:$AB,"&lt;="&amp;X$9,операции!$O:$O,$F1052)+SUMIFS(операции!$V:$V,операции!$T:$T,"&lt;="&amp;X$9,операции!$X:$X,"&gt;"&amp;X$9,операции!$AB:$AB,"&lt;&gt;"&amp;"",операции!$AB:$AB,"&lt;="&amp;X$9,операции!$O:$O,$F1052)</f>
        <v>2313.86</v>
      </c>
      <c r="Y1113" s="170">
        <f>X1113-Z1113-AA1113</f>
        <v>0</v>
      </c>
      <c r="Z1113" s="169">
        <f>SUMIFS(операции!$V:$V,операции!$T:$T,"&lt;="&amp;X$9,операции!$X:$X,"",операции!$AB:$AB,"&lt;&gt;"&amp;"",операции!$AB:$AB,"&lt;="&amp;X$9,операции!$L:$L,Z$9,операции!$O:$O,$F1052)+SUMIFS(операции!$V:$V,операции!$T:$T,"&lt;="&amp;X$9,операции!$X:$X,"&gt;"&amp;X$9,операции!$AB:$AB,"&lt;&gt;"&amp;"",операции!$AB:$AB,"&lt;="&amp;X$9,операции!$L:$L,Z$9,операции!$O:$O,$F1052)</f>
        <v>2313.86</v>
      </c>
      <c r="AA1113" s="243">
        <f>SUMIFS(операции!$V:$V,операции!$T:$T,"&lt;="&amp;X$9,операции!$X:$X,"",операции!$AB:$AB,"&lt;&gt;"&amp;"",операции!$AB:$AB,"&lt;="&amp;X$9,операции!$L:$L,AA$9,операции!$O:$O,$F1052)+SUMIFS(операции!$V:$V,операции!$T:$T,"&lt;="&amp;X$9,операции!$X:$X,"&gt;"&amp;X$9,операции!$AB:$AB,"&lt;&gt;"&amp;"",операции!$AB:$AB,"&lt;="&amp;X$9,операции!$L:$L,AA$9,операции!$O:$O,$F1052)</f>
        <v>0</v>
      </c>
      <c r="AB1113" s="266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</row>
    <row r="1114" spans="1:42" s="192" customFormat="1" ht="11.25">
      <c r="A1114" s="37"/>
      <c r="B1114" s="37"/>
      <c r="C1114" s="37"/>
      <c r="D1114" s="191"/>
      <c r="E1114" s="191" t="s">
        <v>255</v>
      </c>
      <c r="F1114" s="191" t="str">
        <f t="shared" si="1852"/>
        <v>ИнтКид</v>
      </c>
      <c r="G1114" s="191" t="s">
        <v>262</v>
      </c>
      <c r="H1114" s="315"/>
      <c r="I1114" s="316">
        <f>IF(I1113=0,0,(SUMIFS(операции!$AF:$AF,операции!$T:$T,"&lt;="&amp;I$9,операции!$X:$X,"",операции!$AB:$AB,"&lt;&gt;"&amp;"",операции!$AB:$AB,"&lt;="&amp;I$9,операции!$O:$O,$F1052)+SUMIFS(операции!$AF:$AF,операции!$T:$T,"&lt;="&amp;I$9,операции!$X:$X,"&gt;"&amp;I$9,операции!$AB:$AB,"&lt;&gt;"&amp;"",операции!$AB:$AB,"&lt;="&amp;I$9,операции!$O:$O,$F1052))/I1113)</f>
        <v>42222.478732507581</v>
      </c>
      <c r="J1114" s="317"/>
      <c r="K1114" s="316">
        <f>IF(K1113=0,0,(SUMIFS(операции!$AF:$AF,операции!$T:$T,"&lt;="&amp;I$9,операции!$X:$X,"",операции!$AB:$AB,"&lt;&gt;"&amp;"",операции!$AB:$AB,"&lt;="&amp;I$9,операции!$L:$L,K$9,операции!$O:$O,$F1052)+SUMIFS(операции!$AF:$AF,операции!$T:$T,"&lt;="&amp;I$9,операции!$X:$X,"&gt;"&amp;I$9,операции!$AB:$AB,"&lt;&gt;"&amp;"",операции!$AB:$AB,"&lt;="&amp;I$9,операции!$L:$L,K$9,операции!$O:$O,$F1052))/K1113)</f>
        <v>42222.478732507581</v>
      </c>
      <c r="L1114" s="318">
        <f>IF(L1113=0,0,(SUMIFS(операции!$AF:$AF,операции!$T:$T,"&lt;="&amp;I$9,операции!$X:$X,"",операции!$AB:$AB,"&lt;&gt;"&amp;"",операции!$AB:$AB,"&lt;="&amp;I$9,операции!$L:$L,L$9,операции!$O:$O,$F1052)+SUMIFS(операции!$AF:$AF,операции!$T:$T,"&lt;="&amp;I$9,операции!$X:$X,"&gt;"&amp;I$9,операции!$AB:$AB,"&lt;&gt;"&amp;"",операции!$AB:$AB,"&lt;="&amp;I$9,операции!$L:$L,L$9,операции!$O:$O,$F1052))/L1113)</f>
        <v>0</v>
      </c>
      <c r="M1114" s="274"/>
      <c r="N1114" s="193">
        <f>IF(N1113=0,0,(SUMIFS(операции!$AF:$AF,операции!$T:$T,"&lt;="&amp;N$9,операции!$X:$X,"",операции!$AB:$AB,"&lt;&gt;"&amp;"",операции!$AB:$AB,"&lt;="&amp;N$9,операции!$O:$O,$F1052)+SUMIFS(операции!$AF:$AF,операции!$T:$T,"&lt;="&amp;N$9,операции!$X:$X,"&gt;"&amp;N$9,операции!$AB:$AB,"&lt;&gt;"&amp;"",операции!$AB:$AB,"&lt;="&amp;N$9,операции!$O:$O,$F1052))/N1113)</f>
        <v>42230.338687999465</v>
      </c>
      <c r="O1114" s="196"/>
      <c r="P1114" s="193">
        <f>IF(P1113=0,0,(SUMIFS(операции!$AF:$AF,операции!$T:$T,"&lt;="&amp;N$9,операции!$X:$X,"",операции!$AB:$AB,"&lt;&gt;"&amp;"",операции!$AB:$AB,"&lt;="&amp;N$9,операции!$L:$L,P$9,операции!$O:$O,$F1052)+SUMIFS(операции!$AF:$AF,операции!$T:$T,"&lt;="&amp;N$9,операции!$X:$X,"&gt;"&amp;N$9,операции!$AB:$AB,"&lt;&gt;"&amp;"",операции!$AB:$AB,"&lt;="&amp;N$9,операции!$L:$L,P$9,операции!$O:$O,$F1052))/P1113)</f>
        <v>42230.338687999465</v>
      </c>
      <c r="Q1114" s="237">
        <f>IF(Q1113=0,0,(SUMIFS(операции!$AF:$AF,операции!$T:$T,"&lt;="&amp;N$9,операции!$X:$X,"",операции!$AB:$AB,"&lt;&gt;"&amp;"",операции!$AB:$AB,"&lt;="&amp;N$9,операции!$L:$L,Q$9,операции!$O:$O,$F1052)+SUMIFS(операции!$AF:$AF,операции!$T:$T,"&lt;="&amp;N$9,операции!$X:$X,"&gt;"&amp;N$9,операции!$AB:$AB,"&lt;&gt;"&amp;"",операции!$AB:$AB,"&lt;="&amp;N$9,операции!$L:$L,Q$9,операции!$O:$O,$F1052))/Q1113)</f>
        <v>0</v>
      </c>
      <c r="R1114" s="238"/>
      <c r="S1114" s="193">
        <f>IF(S1113=0,0,(SUMIFS(операции!$AF:$AF,операции!$T:$T,"&lt;="&amp;S$9,операции!$X:$X,"",операции!$AB:$AB,"&lt;&gt;"&amp;"",операции!$AB:$AB,"&lt;="&amp;S$9,операции!$O:$O,$F1052)+SUMIFS(операции!$AF:$AF,операции!$T:$T,"&lt;="&amp;S$9,операции!$X:$X,"&gt;"&amp;S$9,операции!$AB:$AB,"&lt;&gt;"&amp;"",операции!$AB:$AB,"&lt;="&amp;S$9,операции!$O:$O,$F1052))/S1113)</f>
        <v>42222.478732507581</v>
      </c>
      <c r="T1114" s="196"/>
      <c r="U1114" s="193">
        <f>IF(U1113=0,0,(SUMIFS(операции!$AF:$AF,операции!$T:$T,"&lt;="&amp;S$9,операции!$X:$X,"",операции!$AB:$AB,"&lt;&gt;"&amp;"",операции!$AB:$AB,"&lt;="&amp;S$9,операции!$L:$L,U$9,операции!$O:$O,$F1052)+SUMIFS(операции!$AF:$AF,операции!$T:$T,"&lt;="&amp;S$9,операции!$X:$X,"&gt;"&amp;S$9,операции!$AB:$AB,"&lt;&gt;"&amp;"",операции!$AB:$AB,"&lt;="&amp;S$9,операции!$L:$L,U$9,операции!$O:$O,$F1052))/U1113)</f>
        <v>42222.478732507581</v>
      </c>
      <c r="V1114" s="237">
        <f>IF(V1113=0,0,(SUMIFS(операции!$AF:$AF,операции!$T:$T,"&lt;="&amp;S$9,операции!$X:$X,"",операции!$AB:$AB,"&lt;&gt;"&amp;"",операции!$AB:$AB,"&lt;="&amp;S$9,операции!$L:$L,V$9,операции!$O:$O,$F1052)+SUMIFS(операции!$AF:$AF,операции!$T:$T,"&lt;="&amp;S$9,операции!$X:$X,"&gt;"&amp;S$9,операции!$AB:$AB,"&lt;&gt;"&amp;"",операции!$AB:$AB,"&lt;="&amp;S$9,операции!$L:$L,V$9,операции!$O:$O,$F1052))/V1113)</f>
        <v>0</v>
      </c>
      <c r="W1114" s="238"/>
      <c r="X1114" s="193">
        <f>IF(X1113=0,0,(SUMIFS(операции!$AF:$AF,операции!$T:$T,"&lt;="&amp;X$9,операции!$X:$X,"",операции!$AB:$AB,"&lt;&gt;"&amp;"",операции!$AB:$AB,"&lt;="&amp;X$9,операции!$O:$O,$F1052)+SUMIFS(операции!$AF:$AF,операции!$T:$T,"&lt;="&amp;X$9,операции!$X:$X,"&gt;"&amp;X$9,операции!$AB:$AB,"&lt;&gt;"&amp;"",операции!$AB:$AB,"&lt;="&amp;X$9,операции!$O:$O,$F1052))/X1113)</f>
        <v>42222.478732507581</v>
      </c>
      <c r="Y1114" s="196"/>
      <c r="Z1114" s="193">
        <f>IF(Z1113=0,0,(SUMIFS(операции!$AF:$AF,операции!$T:$T,"&lt;="&amp;X$9,операции!$X:$X,"",операции!$AB:$AB,"&lt;&gt;"&amp;"",операции!$AB:$AB,"&lt;="&amp;X$9,операции!$L:$L,Z$9,операции!$O:$O,$F1052)+SUMIFS(операции!$AF:$AF,операции!$T:$T,"&lt;="&amp;X$9,операции!$X:$X,"&gt;"&amp;X$9,операции!$AB:$AB,"&lt;&gt;"&amp;"",операции!$AB:$AB,"&lt;="&amp;X$9,операции!$L:$L,Z$9,операции!$O:$O,$F1052))/Z1113)</f>
        <v>42222.478732507581</v>
      </c>
      <c r="AA1114" s="237">
        <f>IF(AA1113=0,0,(SUMIFS(операции!$AF:$AF,операции!$T:$T,"&lt;="&amp;X$9,операции!$X:$X,"",операции!$AB:$AB,"&lt;&gt;"&amp;"",операции!$AB:$AB,"&lt;="&amp;X$9,операции!$L:$L,AA$9,операции!$O:$O,$F1052)+SUMIFS(операции!$AF:$AF,операции!$T:$T,"&lt;="&amp;X$9,операции!$X:$X,"&gt;"&amp;X$9,операции!$AB:$AB,"&lt;&gt;"&amp;"",операции!$AB:$AB,"&lt;="&amp;X$9,операции!$L:$L,AA$9,операции!$O:$O,$F1052))/AA1113)</f>
        <v>0</v>
      </c>
      <c r="AB1114" s="265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</row>
    <row r="1115" spans="1:42" s="192" customFormat="1" ht="11.25">
      <c r="A1115" s="37"/>
      <c r="B1115" s="37"/>
      <c r="C1115" s="37"/>
      <c r="D1115" s="191"/>
      <c r="E1115" s="191" t="s">
        <v>283</v>
      </c>
      <c r="F1115" s="191" t="str">
        <f t="shared" si="1852"/>
        <v>ИнтКид</v>
      </c>
      <c r="G1115" s="191" t="s">
        <v>219</v>
      </c>
      <c r="H1115" s="315"/>
      <c r="I1115" s="329">
        <f>IF(I1113=0,0,I$9-I1114)</f>
        <v>146.5212674924187</v>
      </c>
      <c r="J1115" s="317"/>
      <c r="K1115" s="329">
        <f>IF(K1113=0,0,I$9-K1114)</f>
        <v>146.5212674924187</v>
      </c>
      <c r="L1115" s="330">
        <f>IF(L1113=0,0,I$9-L1114)</f>
        <v>0</v>
      </c>
      <c r="M1115" s="274"/>
      <c r="N1115" s="156">
        <f>IF(N1113=0,0,N$9-N1114)</f>
        <v>77.661312000534963</v>
      </c>
      <c r="O1115" s="196"/>
      <c r="P1115" s="156">
        <f>IF(P1113=0,0,N$9-P1114)</f>
        <v>77.661312000534963</v>
      </c>
      <c r="Q1115" s="245">
        <f>IF(Q1113=0,0,N$9-Q1114)</f>
        <v>0</v>
      </c>
      <c r="R1115" s="238"/>
      <c r="S1115" s="156">
        <f>IF(S1113=0,0,S$9-S1114)</f>
        <v>115.5212674924187</v>
      </c>
      <c r="T1115" s="196"/>
      <c r="U1115" s="156">
        <f>IF(U1113=0,0,S$9-U1114)</f>
        <v>115.5212674924187</v>
      </c>
      <c r="V1115" s="245">
        <f>IF(V1113=0,0,S$9-V1114)</f>
        <v>0</v>
      </c>
      <c r="W1115" s="238"/>
      <c r="X1115" s="156">
        <f>IF(X1113=0,0,X$9-X1114)</f>
        <v>146.5212674924187</v>
      </c>
      <c r="Y1115" s="196"/>
      <c r="Z1115" s="156">
        <f>IF(Z1113=0,0,X$9-Z1114)</f>
        <v>146.5212674924187</v>
      </c>
      <c r="AA1115" s="245">
        <f>IF(AA1113=0,0,X$9-AA1114)</f>
        <v>0</v>
      </c>
      <c r="AB1115" s="265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</row>
    <row r="1116" spans="1:42" s="192" customFormat="1" ht="11.25">
      <c r="A1116" s="37"/>
      <c r="B1116" s="37"/>
      <c r="C1116" s="37"/>
      <c r="D1116" s="191"/>
      <c r="E1116" s="191" t="s">
        <v>259</v>
      </c>
      <c r="F1116" s="191" t="str">
        <f t="shared" si="1852"/>
        <v>ИнтКид</v>
      </c>
      <c r="G1116" s="191" t="s">
        <v>262</v>
      </c>
      <c r="H1116" s="315"/>
      <c r="I1116" s="316">
        <f>IF(I1113=0,0,(SUMIFS(операции!$AH:$AH,операции!$T:$T,"&lt;="&amp;I$9,операции!$X:$X,"",операции!$AB:$AB,"&lt;&gt;"&amp;"",операции!$AB:$AB,"&lt;="&amp;I$9,операции!$O:$O,$F1052)+SUMIFS(операции!$AH:$AH,операции!$T:$T,"&lt;="&amp;I$9,операции!$X:$X,"&gt;"&amp;I$9,операции!$AB:$AB,"&lt;&gt;"&amp;"",операции!$AB:$AB,"&lt;="&amp;I$9,операции!$O:$O,$F1052))/I1113)</f>
        <v>42236.600913624854</v>
      </c>
      <c r="J1116" s="317"/>
      <c r="K1116" s="316">
        <f>IF(K1113=0,0,(SUMIFS(операции!$AH:$AH,операции!$T:$T,"&lt;="&amp;I$9,операции!$X:$X,"",операции!$AB:$AB,"&lt;&gt;"&amp;"",операции!$AB:$AB,"&lt;="&amp;I$9,операции!$L:$L,K$9,операции!$O:$O,$F1052)+SUMIFS(операции!$AH:$AH,операции!$T:$T,"&lt;="&amp;I$9,операции!$X:$X,"&gt;"&amp;I$9,операции!$AB:$AB,"&lt;&gt;"&amp;"",операции!$AB:$AB,"&lt;="&amp;I$9,операции!$L:$L,K$9,операции!$O:$O,$F1052))/K1113)</f>
        <v>42236.600913624854</v>
      </c>
      <c r="L1116" s="318">
        <f>IF(L1113=0,0,(SUMIFS(операции!$AH:$AH,операции!$T:$T,"&lt;="&amp;I$9,операции!$X:$X,"",операции!$AB:$AB,"&lt;&gt;"&amp;"",операции!$AB:$AB,"&lt;="&amp;I$9,операции!$L:$L,L$9,операции!$O:$O,$F1052)+SUMIFS(операции!$AH:$AH,операции!$T:$T,"&lt;="&amp;I$9,операции!$X:$X,"&gt;"&amp;I$9,операции!$AB:$AB,"&lt;&gt;"&amp;"",операции!$AB:$AB,"&lt;="&amp;I$9,операции!$L:$L,L$9,операции!$O:$O,$F1052))/L1113)</f>
        <v>0</v>
      </c>
      <c r="M1116" s="274"/>
      <c r="N1116" s="193">
        <f>IF(N1113=0,0,(SUMIFS(операции!$AH:$AH,операции!$T:$T,"&lt;="&amp;N$9,операции!$X:$X,"",операции!$AB:$AB,"&lt;&gt;"&amp;"",операции!$AB:$AB,"&lt;="&amp;N$9,операции!$O:$O,$F1052)+SUMIFS(операции!$AH:$AH,операции!$T:$T,"&lt;="&amp;N$9,операции!$X:$X,"&gt;"&amp;N$9,операции!$AB:$AB,"&lt;&gt;"&amp;"",операции!$AB:$AB,"&lt;="&amp;N$9,операции!$O:$O,$F1052))/N1113)</f>
        <v>42255.269743289638</v>
      </c>
      <c r="O1116" s="196"/>
      <c r="P1116" s="193">
        <f>IF(P1113=0,0,(SUMIFS(операции!$AH:$AH,операции!$T:$T,"&lt;="&amp;N$9,операции!$X:$X,"",операции!$AB:$AB,"&lt;&gt;"&amp;"",операции!$AB:$AB,"&lt;="&amp;N$9,операции!$L:$L,P$9,операции!$O:$O,$F1052)+SUMIFS(операции!$AH:$AH,операции!$T:$T,"&lt;="&amp;N$9,операции!$X:$X,"&gt;"&amp;N$9,операции!$AB:$AB,"&lt;&gt;"&amp;"",операции!$AB:$AB,"&lt;="&amp;N$9,операции!$L:$L,P$9,операции!$O:$O,$F1052))/P1113)</f>
        <v>42255.269743289638</v>
      </c>
      <c r="Q1116" s="237">
        <f>IF(Q1113=0,0,(SUMIFS(операции!$AH:$AH,операции!$T:$T,"&lt;="&amp;N$9,операции!$X:$X,"",операции!$AB:$AB,"&lt;&gt;"&amp;"",операции!$AB:$AB,"&lt;="&amp;N$9,операции!$L:$L,Q$9,операции!$O:$O,$F1052)+SUMIFS(операции!$AH:$AH,операции!$T:$T,"&lt;="&amp;N$9,операции!$X:$X,"&gt;"&amp;N$9,операции!$AB:$AB,"&lt;&gt;"&amp;"",операции!$AB:$AB,"&lt;="&amp;N$9,операции!$L:$L,Q$9,операции!$O:$O,$F1052))/Q1113)</f>
        <v>0</v>
      </c>
      <c r="R1116" s="238"/>
      <c r="S1116" s="193">
        <f>IF(S1113=0,0,(SUMIFS(операции!$AH:$AH,операции!$T:$T,"&lt;="&amp;S$9,операции!$X:$X,"",операции!$AB:$AB,"&lt;&gt;"&amp;"",операции!$AB:$AB,"&lt;="&amp;S$9,операции!$O:$O,$F1052)+SUMIFS(операции!$AH:$AH,операции!$T:$T,"&lt;="&amp;S$9,операции!$X:$X,"&gt;"&amp;S$9,операции!$AB:$AB,"&lt;&gt;"&amp;"",операции!$AB:$AB,"&lt;="&amp;S$9,операции!$O:$O,$F1052))/S1113)</f>
        <v>42236.600913624854</v>
      </c>
      <c r="T1116" s="196"/>
      <c r="U1116" s="193">
        <f>IF(U1113=0,0,(SUMIFS(операции!$AH:$AH,операции!$T:$T,"&lt;="&amp;S$9,операции!$X:$X,"",операции!$AB:$AB,"&lt;&gt;"&amp;"",операции!$AB:$AB,"&lt;="&amp;S$9,операции!$L:$L,U$9,операции!$O:$O,$F1052)+SUMIFS(операции!$AH:$AH,операции!$T:$T,"&lt;="&amp;S$9,операции!$X:$X,"&gt;"&amp;S$9,операции!$AB:$AB,"&lt;&gt;"&amp;"",операции!$AB:$AB,"&lt;="&amp;S$9,операции!$L:$L,U$9,операции!$O:$O,$F1052))/U1113)</f>
        <v>42236.600913624854</v>
      </c>
      <c r="V1116" s="237">
        <f>IF(V1113=0,0,(SUMIFS(операции!$AH:$AH,операции!$T:$T,"&lt;="&amp;S$9,операции!$X:$X,"",операции!$AB:$AB,"&lt;&gt;"&amp;"",операции!$AB:$AB,"&lt;="&amp;S$9,операции!$L:$L,V$9,операции!$O:$O,$F1052)+SUMIFS(операции!$AH:$AH,операции!$T:$T,"&lt;="&amp;S$9,операции!$X:$X,"&gt;"&amp;S$9,операции!$AB:$AB,"&lt;&gt;"&amp;"",операции!$AB:$AB,"&lt;="&amp;S$9,операции!$L:$L,V$9,операции!$O:$O,$F1052))/V1113)</f>
        <v>0</v>
      </c>
      <c r="W1116" s="238"/>
      <c r="X1116" s="193">
        <f>IF(X1113=0,0,(SUMIFS(операции!$AH:$AH,операции!$T:$T,"&lt;="&amp;X$9,операции!$X:$X,"",операции!$AB:$AB,"&lt;&gt;"&amp;"",операции!$AB:$AB,"&lt;="&amp;X$9,операции!$O:$O,$F1052)+SUMIFS(операции!$AH:$AH,операции!$T:$T,"&lt;="&amp;X$9,операции!$X:$X,"&gt;"&amp;X$9,операции!$AB:$AB,"&lt;&gt;"&amp;"",операции!$AB:$AB,"&lt;="&amp;X$9,операции!$O:$O,$F1052))/X1113)</f>
        <v>42236.600913624854</v>
      </c>
      <c r="Y1116" s="196"/>
      <c r="Z1116" s="193">
        <f>IF(Z1113=0,0,(SUMIFS(операции!$AH:$AH,операции!$T:$T,"&lt;="&amp;X$9,операции!$X:$X,"",операции!$AB:$AB,"&lt;&gt;"&amp;"",операции!$AB:$AB,"&lt;="&amp;X$9,операции!$L:$L,Z$9,операции!$O:$O,$F1052)+SUMIFS(операции!$AH:$AH,операции!$T:$T,"&lt;="&amp;X$9,операции!$X:$X,"&gt;"&amp;X$9,операции!$AB:$AB,"&lt;&gt;"&amp;"",операции!$AB:$AB,"&lt;="&amp;X$9,операции!$L:$L,Z$9,операции!$O:$O,$F1052))/Z1113)</f>
        <v>42236.600913624854</v>
      </c>
      <c r="AA1116" s="237">
        <f>IF(AA1113=0,0,(SUMIFS(операции!$AH:$AH,операции!$T:$T,"&lt;="&amp;X$9,операции!$X:$X,"",операции!$AB:$AB,"&lt;&gt;"&amp;"",операции!$AB:$AB,"&lt;="&amp;X$9,операции!$L:$L,AA$9,операции!$O:$O,$F1052)+SUMIFS(операции!$AH:$AH,операции!$T:$T,"&lt;="&amp;X$9,операции!$X:$X,"&gt;"&amp;X$9,операции!$AB:$AB,"&lt;&gt;"&amp;"",операции!$AB:$AB,"&lt;="&amp;X$9,операции!$L:$L,AA$9,операции!$O:$O,$F1052))/AA1113)</f>
        <v>0</v>
      </c>
      <c r="AB1116" s="265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</row>
    <row r="1117" spans="1:42" s="192" customFormat="1" ht="11.25">
      <c r="A1117" s="37"/>
      <c r="B1117" s="37"/>
      <c r="C1117" s="37"/>
      <c r="D1117" s="191"/>
      <c r="E1117" s="191" t="s">
        <v>284</v>
      </c>
      <c r="F1117" s="191" t="str">
        <f t="shared" si="1852"/>
        <v>ИнтКид</v>
      </c>
      <c r="G1117" s="191" t="s">
        <v>219</v>
      </c>
      <c r="H1117" s="315"/>
      <c r="I1117" s="329">
        <f>I1116-I1114</f>
        <v>14.122181117272703</v>
      </c>
      <c r="J1117" s="317"/>
      <c r="K1117" s="329">
        <f>K1116-K1114</f>
        <v>14.122181117272703</v>
      </c>
      <c r="L1117" s="330">
        <f>L1116-L1114</f>
        <v>0</v>
      </c>
      <c r="M1117" s="274"/>
      <c r="N1117" s="156">
        <f>N1116-N1114</f>
        <v>24.93105529017339</v>
      </c>
      <c r="O1117" s="196"/>
      <c r="P1117" s="156">
        <f>P1116-P1114</f>
        <v>24.93105529017339</v>
      </c>
      <c r="Q1117" s="245">
        <f>Q1116-Q1114</f>
        <v>0</v>
      </c>
      <c r="R1117" s="238"/>
      <c r="S1117" s="156">
        <f>S1116-S1114</f>
        <v>14.122181117272703</v>
      </c>
      <c r="T1117" s="196"/>
      <c r="U1117" s="156">
        <f>U1116-U1114</f>
        <v>14.122181117272703</v>
      </c>
      <c r="V1117" s="245">
        <f>V1116-V1114</f>
        <v>0</v>
      </c>
      <c r="W1117" s="238"/>
      <c r="X1117" s="156">
        <f>X1116-X1114</f>
        <v>14.122181117272703</v>
      </c>
      <c r="Y1117" s="196"/>
      <c r="Z1117" s="156">
        <f>Z1116-Z1114</f>
        <v>14.122181117272703</v>
      </c>
      <c r="AA1117" s="245">
        <f>AA1116-AA1114</f>
        <v>0</v>
      </c>
      <c r="AB1117" s="265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</row>
    <row r="1118" spans="1:42" s="192" customFormat="1" ht="11.25">
      <c r="A1118" s="37"/>
      <c r="B1118" s="37"/>
      <c r="C1118" s="37"/>
      <c r="D1118" s="191"/>
      <c r="E1118" s="191" t="s">
        <v>285</v>
      </c>
      <c r="F1118" s="191" t="str">
        <f t="shared" si="1852"/>
        <v>ИнтКид</v>
      </c>
      <c r="G1118" s="191" t="s">
        <v>219</v>
      </c>
      <c r="H1118" s="315"/>
      <c r="I1118" s="329">
        <f>I1115-I1117</f>
        <v>132.399086375146</v>
      </c>
      <c r="J1118" s="317"/>
      <c r="K1118" s="329">
        <f>K1115-K1117</f>
        <v>132.399086375146</v>
      </c>
      <c r="L1118" s="330">
        <f>L1115-L1117</f>
        <v>0</v>
      </c>
      <c r="M1118" s="274"/>
      <c r="N1118" s="156">
        <f>N1115-N1117</f>
        <v>52.730256710361573</v>
      </c>
      <c r="O1118" s="196"/>
      <c r="P1118" s="156">
        <f>P1115-P1117</f>
        <v>52.730256710361573</v>
      </c>
      <c r="Q1118" s="245">
        <f>Q1115-Q1117</f>
        <v>0</v>
      </c>
      <c r="R1118" s="238"/>
      <c r="S1118" s="156">
        <f>S1115-S1117</f>
        <v>101.399086375146</v>
      </c>
      <c r="T1118" s="196"/>
      <c r="U1118" s="156">
        <f>U1115-U1117</f>
        <v>101.399086375146</v>
      </c>
      <c r="V1118" s="245">
        <f>V1115-V1117</f>
        <v>0</v>
      </c>
      <c r="W1118" s="238"/>
      <c r="X1118" s="156">
        <f>X1115-X1117</f>
        <v>132.399086375146</v>
      </c>
      <c r="Y1118" s="196"/>
      <c r="Z1118" s="156">
        <f>Z1115-Z1117</f>
        <v>132.399086375146</v>
      </c>
      <c r="AA1118" s="245">
        <f>AA1115-AA1117</f>
        <v>0</v>
      </c>
      <c r="AB1118" s="265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</row>
    <row r="1119" spans="1:42" s="5" customFormat="1">
      <c r="A1119" s="1"/>
      <c r="B1119" s="1"/>
      <c r="C1119" s="1"/>
      <c r="D1119" s="168"/>
      <c r="E1119" s="168" t="s">
        <v>286</v>
      </c>
      <c r="F1119" s="168" t="str">
        <f t="shared" si="1852"/>
        <v>ИнтКид</v>
      </c>
      <c r="G1119" s="168" t="s">
        <v>261</v>
      </c>
      <c r="H1119" s="326"/>
      <c r="I1119" s="327">
        <f>SUMIFS(операции!$V:$V,операции!$T:$T,"&lt;="&amp;I$9,операции!$X:$X,"",операции!$AB:$AB,"",операции!$O:$O,$F1052)+SUMIFS(операции!$V:$V,операции!$T:$T,"&lt;="&amp;I$9,операции!$X:$X,"&gt;"&amp;I$9,операции!$AB:$AB,"",операции!$O:$O,$F1052)+SUMIFS(операции!$V:$V,операции!$T:$T,"&lt;="&amp;I$9,операции!$X:$X,"",операции!$AB:$AB,"&gt;"&amp;I$9,операции!$O:$O,$F1052)+SUMIFS(операции!$V:$V,операции!$T:$T,"&lt;="&amp;I$9,операции!$X:$X,"&gt;"&amp;I$9,операции!$AB:$AB,"&gt;"&amp;I$9,операции!$O:$O,$F1052)</f>
        <v>30361.55</v>
      </c>
      <c r="J1119" s="313">
        <f>I1119-K1119-L1119</f>
        <v>0</v>
      </c>
      <c r="K1119" s="327">
        <f>SUMIFS(операции!$V:$V,операции!$T:$T,"&lt;="&amp;I$9,операции!$X:$X,"",операции!$AB:$AB,"",операции!$L:$L,K$9,операции!$O:$O,$F1052)+SUMIFS(операции!$V:$V,операции!$T:$T,"&lt;="&amp;I$9,операции!$X:$X,"&gt;"&amp;I$9,операции!$AB:$AB,"",операции!$L:$L,K$9,операции!$O:$O,$F1052)+SUMIFS(операции!$V:$V,операции!$T:$T,"&lt;="&amp;I$9,операции!$X:$X,"",операции!$AB:$AB,"&gt;"&amp;I$9,операции!$L:$L,K$9,операции!$O:$O,$F1052)+SUMIFS(операции!$V:$V,операции!$T:$T,"&lt;="&amp;I$9,операции!$X:$X,"&gt;"&amp;I$9,операции!$AB:$AB,"&gt;"&amp;I$9,операции!$L:$L,K$9,операции!$O:$O,$F1052)</f>
        <v>0</v>
      </c>
      <c r="L1119" s="328">
        <f>SUMIFS(операции!$V:$V,операции!$T:$T,"&lt;="&amp;I$9,операции!$X:$X,"",операции!$AB:$AB,"",операции!$L:$L,L$9,операции!$O:$O,$F1052)+SUMIFS(операции!$V:$V,операции!$T:$T,"&lt;="&amp;I$9,операции!$X:$X,"&gt;"&amp;I$9,операции!$AB:$AB,"",операции!$L:$L,L$9,операции!$O:$O,$F1052)+SUMIFS(операции!$V:$V,операции!$T:$T,"&lt;="&amp;I$9,операции!$X:$X,"",операции!$AB:$AB,"&gt;"&amp;I$9,операции!$L:$L,L$9,операции!$O:$O,$F1052)+SUMIFS(операции!$V:$V,операции!$T:$T,"&lt;="&amp;I$9,операции!$X:$X,"&gt;"&amp;I$9,операции!$AB:$AB,"&gt;"&amp;I$9,операции!$L:$L,L$9,операции!$O:$O,$F1052)</f>
        <v>30361.55</v>
      </c>
      <c r="M1119" s="277"/>
      <c r="N1119" s="169">
        <f>SUMIFS(операции!$V:$V,операции!$T:$T,"&lt;="&amp;N$9,операции!$X:$X,"",операции!$AB:$AB,"",операции!$O:$O,$F1052)+SUMIFS(операции!$V:$V,операции!$T:$T,"&lt;="&amp;N$9,операции!$X:$X,"&gt;"&amp;N$9,операции!$AB:$AB,"",операции!$O:$O,$F1052)+SUMIFS(операции!$V:$V,операции!$T:$T,"&lt;="&amp;N$9,операции!$X:$X,"",операции!$AB:$AB,"&gt;"&amp;N$9,операции!$O:$O,$F1052)+SUMIFS(операции!$V:$V,операции!$T:$T,"&lt;="&amp;N$9,операции!$X:$X,"&gt;"&amp;N$9,операции!$AB:$AB,"&gt;"&amp;N$9,операции!$O:$O,$F1052)</f>
        <v>1710.8</v>
      </c>
      <c r="O1119" s="170">
        <f>N1119-P1119-Q1119</f>
        <v>0</v>
      </c>
      <c r="P1119" s="169">
        <f>SUMIFS(операции!$V:$V,операции!$T:$T,"&lt;="&amp;N$9,операции!$X:$X,"",операции!$AB:$AB,"",операции!$L:$L,P$9,операции!$O:$O,$F1052)+SUMIFS(операции!$V:$V,операции!$T:$T,"&lt;="&amp;N$9,операции!$X:$X,"&gt;"&amp;N$9,операции!$AB:$AB,"",операции!$L:$L,P$9,операции!$O:$O,$F1052)+SUMIFS(операции!$V:$V,операции!$T:$T,"&lt;="&amp;N$9,операции!$X:$X,"",операции!$AB:$AB,"&gt;"&amp;N$9,операции!$L:$L,P$9,операции!$O:$O,$F1052)+SUMIFS(операции!$V:$V,операции!$T:$T,"&lt;="&amp;N$9,операции!$X:$X,"&gt;"&amp;N$9,операции!$AB:$AB,"&gt;"&amp;N$9,операции!$L:$L,P$9,операции!$O:$O,$F1052)</f>
        <v>1710.8</v>
      </c>
      <c r="Q1119" s="243">
        <f>SUMIFS(операции!$V:$V,операции!$T:$T,"&lt;="&amp;N$9,операции!$X:$X,"",операции!$AB:$AB,"",операции!$L:$L,Q$9,операции!$O:$O,$F1052)+SUMIFS(операции!$V:$V,операции!$T:$T,"&lt;="&amp;N$9,операции!$X:$X,"&gt;"&amp;N$9,операции!$AB:$AB,"",операции!$L:$L,Q$9,операции!$O:$O,$F1052)+SUMIFS(операции!$V:$V,операции!$T:$T,"&lt;="&amp;N$9,операции!$X:$X,"",операции!$AB:$AB,"&gt;"&amp;N$9,операции!$L:$L,Q$9,операции!$O:$O,$F1052)+SUMIFS(операции!$V:$V,операции!$T:$T,"&lt;="&amp;N$9,операции!$X:$X,"&gt;"&amp;N$9,операции!$AB:$AB,"&gt;"&amp;N$9,операции!$L:$L,Q$9,операции!$O:$O,$F1052)</f>
        <v>0</v>
      </c>
      <c r="R1119" s="244"/>
      <c r="S1119" s="169">
        <f>SUMIFS(операции!$V:$V,операции!$T:$T,"&lt;="&amp;S$9,операции!$X:$X,"",операции!$AB:$AB,"",операции!$O:$O,$F1052)+SUMIFS(операции!$V:$V,операции!$T:$T,"&lt;="&amp;S$9,операции!$X:$X,"&gt;"&amp;S$9,операции!$AB:$AB,"",операции!$O:$O,$F1052)+SUMIFS(операции!$V:$V,операции!$T:$T,"&lt;="&amp;S$9,операции!$X:$X,"",операции!$AB:$AB,"&gt;"&amp;S$9,операции!$O:$O,$F1052)+SUMIFS(операции!$V:$V,операции!$T:$T,"&lt;="&amp;S$9,операции!$X:$X,"&gt;"&amp;S$9,операции!$AB:$AB,"&gt;"&amp;S$9,операции!$O:$O,$F1052)</f>
        <v>64896.55</v>
      </c>
      <c r="T1119" s="170">
        <f>S1119-U1119-V1119</f>
        <v>0</v>
      </c>
      <c r="U1119" s="169">
        <f>SUMIFS(операции!$V:$V,операции!$T:$T,"&lt;="&amp;S$9,операции!$X:$X,"",операции!$AB:$AB,"",операции!$L:$L,U$9,операции!$O:$O,$F1052)+SUMIFS(операции!$V:$V,операции!$T:$T,"&lt;="&amp;S$9,операции!$X:$X,"&gt;"&amp;S$9,операции!$AB:$AB,"",операции!$L:$L,U$9,операции!$O:$O,$F1052)+SUMIFS(операции!$V:$V,операции!$T:$T,"&lt;="&amp;S$9,операции!$X:$X,"",операции!$AB:$AB,"&gt;"&amp;S$9,операции!$L:$L,U$9,операции!$O:$O,$F1052)+SUMIFS(операции!$V:$V,операции!$T:$T,"&lt;="&amp;S$9,операции!$X:$X,"&gt;"&amp;S$9,операции!$AB:$AB,"&gt;"&amp;S$9,операции!$L:$L,U$9,операции!$O:$O,$F1052)</f>
        <v>0</v>
      </c>
      <c r="V1119" s="243">
        <f>SUMIFS(операции!$V:$V,операции!$T:$T,"&lt;="&amp;S$9,операции!$X:$X,"",операции!$AB:$AB,"",операции!$L:$L,V$9,операции!$O:$O,$F1052)+SUMIFS(операции!$V:$V,операции!$T:$T,"&lt;="&amp;S$9,операции!$X:$X,"&gt;"&amp;S$9,операции!$AB:$AB,"",операции!$L:$L,V$9,операции!$O:$O,$F1052)+SUMIFS(операции!$V:$V,операции!$T:$T,"&lt;="&amp;S$9,операции!$X:$X,"",операции!$AB:$AB,"&gt;"&amp;S$9,операции!$L:$L,V$9,операции!$O:$O,$F1052)+SUMIFS(операции!$V:$V,операции!$T:$T,"&lt;="&amp;S$9,операции!$X:$X,"&gt;"&amp;S$9,операции!$AB:$AB,"&gt;"&amp;S$9,операции!$L:$L,V$9,операции!$O:$O,$F1052)</f>
        <v>64896.55</v>
      </c>
      <c r="W1119" s="244"/>
      <c r="X1119" s="169">
        <f>SUMIFS(операции!$V:$V,операции!$T:$T,"&lt;="&amp;X$9,операции!$X:$X,"",операции!$AB:$AB,"",операции!$O:$O,$F1052)+SUMIFS(операции!$V:$V,операции!$T:$T,"&lt;="&amp;X$9,операции!$X:$X,"&gt;"&amp;X$9,операции!$AB:$AB,"",операции!$O:$O,$F1052)+SUMIFS(операции!$V:$V,операции!$T:$T,"&lt;="&amp;X$9,операции!$X:$X,"",операции!$AB:$AB,"&gt;"&amp;X$9,операции!$O:$O,$F1052)+SUMIFS(операции!$V:$V,операции!$T:$T,"&lt;="&amp;X$9,операции!$X:$X,"&gt;"&amp;X$9,операции!$AB:$AB,"&gt;"&amp;X$9,операции!$O:$O,$F1052)</f>
        <v>30361.55</v>
      </c>
      <c r="Y1119" s="170">
        <f>X1119-Z1119-AA1119</f>
        <v>0</v>
      </c>
      <c r="Z1119" s="169">
        <f>SUMIFS(операции!$V:$V,операции!$T:$T,"&lt;="&amp;X$9,операции!$X:$X,"",операции!$AB:$AB,"",операции!$L:$L,Z$9,операции!$O:$O,$F1052)+SUMIFS(операции!$V:$V,операции!$T:$T,"&lt;="&amp;X$9,операции!$X:$X,"&gt;"&amp;X$9,операции!$AB:$AB,"",операции!$L:$L,Z$9,операции!$O:$O,$F1052)+SUMIFS(операции!$V:$V,операции!$T:$T,"&lt;="&amp;X$9,операции!$X:$X,"",операции!$AB:$AB,"&gt;"&amp;X$9,операции!$L:$L,Z$9,операции!$O:$O,$F1052)+SUMIFS(операции!$V:$V,операции!$T:$T,"&lt;="&amp;X$9,операции!$X:$X,"&gt;"&amp;X$9,операции!$AB:$AB,"&gt;"&amp;X$9,операции!$L:$L,Z$9,операции!$O:$O,$F1052)</f>
        <v>0</v>
      </c>
      <c r="AA1119" s="243">
        <f>SUMIFS(операции!$V:$V,операции!$T:$T,"&lt;="&amp;X$9,операции!$X:$X,"",операции!$AB:$AB,"",операции!$L:$L,AA$9,операции!$O:$O,$F1052)+SUMIFS(операции!$V:$V,операции!$T:$T,"&lt;="&amp;X$9,операции!$X:$X,"&gt;"&amp;X$9,операции!$AB:$AB,"",операции!$L:$L,AA$9,операции!$O:$O,$F1052)+SUMIFS(операции!$V:$V,операции!$T:$T,"&lt;="&amp;X$9,операции!$X:$X,"",операции!$AB:$AB,"&gt;"&amp;X$9,операции!$L:$L,AA$9,операции!$O:$O,$F1052)+SUMIFS(операции!$V:$V,операции!$T:$T,"&lt;="&amp;X$9,операции!$X:$X,"&gt;"&amp;X$9,операции!$AB:$AB,"&gt;"&amp;X$9,операции!$L:$L,AA$9,операции!$O:$O,$F1052)</f>
        <v>30361.55</v>
      </c>
      <c r="AB1119" s="266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</row>
    <row r="1120" spans="1:42" s="192" customFormat="1" ht="11.25">
      <c r="A1120" s="37"/>
      <c r="B1120" s="37"/>
      <c r="C1120" s="37"/>
      <c r="D1120" s="191"/>
      <c r="E1120" s="191" t="s">
        <v>255</v>
      </c>
      <c r="F1120" s="191" t="str">
        <f t="shared" si="1852"/>
        <v>ИнтКид</v>
      </c>
      <c r="G1120" s="191" t="s">
        <v>262</v>
      </c>
      <c r="H1120" s="315"/>
      <c r="I1120" s="316">
        <f>IF(I1119=0,0,(SUMIFS(операции!$AF:$AF,операции!$T:$T,"&lt;="&amp;I$9,операции!$X:$X,"",операции!$AB:$AB,"",операции!$O:$O,$F1052)+SUMIFS(операции!$AF:$AF,операции!$T:$T,"&lt;="&amp;I$9,операции!$X:$X,"&gt;"&amp;I$9,операции!$AB:$AB,"",операции!$O:$O,$F1052)+SUMIFS(операции!$AF:$AF,операции!$T:$T,"&lt;="&amp;I$9,операции!$X:$X,"",операции!$AB:$AB,"&gt;"&amp;I$9,операции!$O:$O,$F1052)+SUMIFS(операции!$AF:$AF,операции!$T:$T,"&lt;="&amp;I$9,операции!$X:$X,"&gt;"&amp;I$9,операции!$AB:$AB,"&gt;"&amp;I$9,операции!$O:$O,$F1052))/I1119)</f>
        <v>42367.336817454976</v>
      </c>
      <c r="J1120" s="317"/>
      <c r="K1120" s="316">
        <f>IF(K1119=0,0,(SUMIFS(операции!$AF:$AF,операции!$T:$T,"&lt;="&amp;I$9,операции!$X:$X,"",операции!$AB:$AB,"",операции!$L:$L,K$9,операции!$O:$O,$F1052)+SUMIFS(операции!$AF:$AF,операции!$T:$T,"&lt;="&amp;I$9,операции!$X:$X,"&gt;"&amp;I$9,операции!$AB:$AB,"",операции!$L:$L,K$9,операции!$O:$O,$F1052)+SUMIFS(операции!$AF:$AF,операции!$T:$T,"&lt;="&amp;I$9,операции!$X:$X,"",операции!$AB:$AB,"&gt;"&amp;I$9,операции!$L:$L,K$9,операции!$O:$O,$F1052)+SUMIFS(операции!$AF:$AF,операции!$T:$T,"&lt;="&amp;I$9,операции!$X:$X,"&gt;"&amp;I$9,операции!$AB:$AB,"&gt;"&amp;I$9,операции!$L:$L,K$9,операции!$O:$O,$F1052))/K1119)</f>
        <v>0</v>
      </c>
      <c r="L1120" s="318">
        <f>IF(L1119=0,0,(SUMIFS(операции!$AF:$AF,операции!$T:$T,"&lt;="&amp;I$9,операции!$X:$X,"",операции!$AB:$AB,"",операции!$L:$L,L$9,операции!$O:$O,$F1052)+SUMIFS(операции!$AF:$AF,операции!$T:$T,"&lt;="&amp;I$9,операции!$X:$X,"&gt;"&amp;I$9,операции!$AB:$AB,"",операции!$L:$L,L$9,операции!$O:$O,$F1052)+SUMIFS(операции!$AF:$AF,операции!$T:$T,"&lt;="&amp;I$9,операции!$X:$X,"",операции!$AB:$AB,"&gt;"&amp;I$9,операции!$L:$L,L$9,операции!$O:$O,$F1052)+SUMIFS(операции!$AF:$AF,операции!$T:$T,"&lt;="&amp;I$9,операции!$X:$X,"&gt;"&amp;I$9,операции!$AB:$AB,"&gt;"&amp;I$9,операции!$L:$L,L$9,операции!$O:$O,$F1052))/L1119)</f>
        <v>42367.336817454976</v>
      </c>
      <c r="M1120" s="274"/>
      <c r="N1120" s="193">
        <f>IF(N1119=0,0,(SUMIFS(операции!$AF:$AF,операции!$T:$T,"&lt;="&amp;N$9,операции!$X:$X,"",операции!$AB:$AB,"",операции!$O:$O,$F1052)+SUMIFS(операции!$AF:$AF,операции!$T:$T,"&lt;="&amp;N$9,операции!$X:$X,"&gt;"&amp;N$9,операции!$AB:$AB,"",операции!$O:$O,$F1052)+SUMIFS(операции!$AF:$AF,операции!$T:$T,"&lt;="&amp;N$9,операции!$X:$X,"",операции!$AB:$AB,"&gt;"&amp;N$9,операции!$O:$O,$F1052)+SUMIFS(операции!$AF:$AF,операции!$T:$T,"&lt;="&amp;N$9,операции!$X:$X,"&gt;"&amp;N$9,операции!$AB:$AB,"&gt;"&amp;N$9,операции!$O:$O,$F1052))/N1119)</f>
        <v>42239</v>
      </c>
      <c r="O1120" s="196"/>
      <c r="P1120" s="193">
        <f>IF(P1119=0,0,(SUMIFS(операции!$AF:$AF,операции!$T:$T,"&lt;="&amp;N$9,операции!$X:$X,"",операции!$AB:$AB,"",операции!$L:$L,P$9,операции!$O:$O,$F1052)+SUMIFS(операции!$AF:$AF,операции!$T:$T,"&lt;="&amp;N$9,операции!$X:$X,"&gt;"&amp;N$9,операции!$AB:$AB,"",операции!$L:$L,P$9,операции!$O:$O,$F1052)+SUMIFS(операции!$AF:$AF,операции!$T:$T,"&lt;="&amp;N$9,операции!$X:$X,"",операции!$AB:$AB,"&gt;"&amp;N$9,операции!$L:$L,P$9,операции!$O:$O,$F1052)+SUMIFS(операции!$AF:$AF,операции!$T:$T,"&lt;="&amp;N$9,операции!$X:$X,"&gt;"&amp;N$9,операции!$AB:$AB,"&gt;"&amp;N$9,операции!$L:$L,P$9,операции!$O:$O,$F1052))/P1119)</f>
        <v>42239</v>
      </c>
      <c r="Q1120" s="237">
        <f>IF(Q1119=0,0,(SUMIFS(операции!$AF:$AF,операции!$T:$T,"&lt;="&amp;N$9,операции!$X:$X,"",операции!$AB:$AB,"",операции!$L:$L,Q$9,операции!$O:$O,$F1052)+SUMIFS(операции!$AF:$AF,операции!$T:$T,"&lt;="&amp;N$9,операции!$X:$X,"&gt;"&amp;N$9,операции!$AB:$AB,"",операции!$L:$L,Q$9,операции!$O:$O,$F1052)+SUMIFS(операции!$AF:$AF,операции!$T:$T,"&lt;="&amp;N$9,операции!$X:$X,"",операции!$AB:$AB,"&gt;"&amp;N$9,операции!$L:$L,Q$9,операции!$O:$O,$F1052)+SUMIFS(операции!$AF:$AF,операции!$T:$T,"&lt;="&amp;N$9,операции!$X:$X,"&gt;"&amp;N$9,операции!$AB:$AB,"&gt;"&amp;N$9,операции!$L:$L,Q$9,операции!$O:$O,$F1052))/Q1119)</f>
        <v>0</v>
      </c>
      <c r="R1120" s="238"/>
      <c r="S1120" s="193">
        <f>IF(S1119=0,0,(SUMIFS(операции!$AF:$AF,операции!$T:$T,"&lt;="&amp;S$9,операции!$X:$X,"",операции!$AB:$AB,"",операции!$O:$O,$F1052)+SUMIFS(операции!$AF:$AF,операции!$T:$T,"&lt;="&amp;S$9,операции!$X:$X,"&gt;"&amp;S$9,операции!$AB:$AB,"",операции!$O:$O,$F1052)+SUMIFS(операции!$AF:$AF,операции!$T:$T,"&lt;="&amp;S$9,операции!$X:$X,"",операции!$AB:$AB,"&gt;"&amp;S$9,операции!$O:$O,$F1052)+SUMIFS(операции!$AF:$AF,операции!$T:$T,"&lt;="&amp;S$9,операции!$X:$X,"&gt;"&amp;S$9,операции!$AB:$AB,"&gt;"&amp;S$9,операции!$O:$O,$F1052))/S1119)</f>
        <v>42336.432282455695</v>
      </c>
      <c r="T1120" s="196"/>
      <c r="U1120" s="193">
        <f>IF(U1119=0,0,(SUMIFS(операции!$AF:$AF,операции!$T:$T,"&lt;="&amp;S$9,операции!$X:$X,"",операции!$AB:$AB,"",операции!$L:$L,U$9,операции!$O:$O,$F1052)+SUMIFS(операции!$AF:$AF,операции!$T:$T,"&lt;="&amp;S$9,операции!$X:$X,"&gt;"&amp;S$9,операции!$AB:$AB,"",операции!$L:$L,U$9,операции!$O:$O,$F1052)+SUMIFS(операции!$AF:$AF,операции!$T:$T,"&lt;="&amp;S$9,операции!$X:$X,"",операции!$AB:$AB,"&gt;"&amp;S$9,операции!$L:$L,U$9,операции!$O:$O,$F1052)+SUMIFS(операции!$AF:$AF,операции!$T:$T,"&lt;="&amp;S$9,операции!$X:$X,"&gt;"&amp;S$9,операции!$AB:$AB,"&gt;"&amp;S$9,операции!$L:$L,U$9,операции!$O:$O,$F1052))/U1119)</f>
        <v>0</v>
      </c>
      <c r="V1120" s="237">
        <f>IF(V1119=0,0,(SUMIFS(операции!$AF:$AF,операции!$T:$T,"&lt;="&amp;S$9,операции!$X:$X,"",операции!$AB:$AB,"",операции!$L:$L,V$9,операции!$O:$O,$F1052)+SUMIFS(операции!$AF:$AF,операции!$T:$T,"&lt;="&amp;S$9,операции!$X:$X,"&gt;"&amp;S$9,операции!$AB:$AB,"",операции!$L:$L,V$9,операции!$O:$O,$F1052)+SUMIFS(операции!$AF:$AF,операции!$T:$T,"&lt;="&amp;S$9,операции!$X:$X,"",операции!$AB:$AB,"&gt;"&amp;S$9,операции!$L:$L,V$9,операции!$O:$O,$F1052)+SUMIFS(операции!$AF:$AF,операции!$T:$T,"&lt;="&amp;S$9,операции!$X:$X,"&gt;"&amp;S$9,операции!$AB:$AB,"&gt;"&amp;S$9,операции!$L:$L,V$9,операции!$O:$O,$F1052))/V1119)</f>
        <v>42336.432282455695</v>
      </c>
      <c r="W1120" s="238"/>
      <c r="X1120" s="193">
        <f>IF(X1119=0,0,(SUMIFS(операции!$AF:$AF,операции!$T:$T,"&lt;="&amp;X$9,операции!$X:$X,"",операции!$AB:$AB,"",операции!$O:$O,$F1052)+SUMIFS(операции!$AF:$AF,операции!$T:$T,"&lt;="&amp;X$9,операции!$X:$X,"&gt;"&amp;X$9,операции!$AB:$AB,"",операции!$O:$O,$F1052)+SUMIFS(операции!$AF:$AF,операции!$T:$T,"&lt;="&amp;X$9,операции!$X:$X,"",операции!$AB:$AB,"&gt;"&amp;X$9,операции!$O:$O,$F1052)+SUMIFS(операции!$AF:$AF,операции!$T:$T,"&lt;="&amp;X$9,операции!$X:$X,"&gt;"&amp;X$9,операции!$AB:$AB,"&gt;"&amp;X$9,операции!$O:$O,$F1052))/X1119)</f>
        <v>42367.336817454976</v>
      </c>
      <c r="Y1120" s="196"/>
      <c r="Z1120" s="193">
        <f>IF(Z1119=0,0,(SUMIFS(операции!$AF:$AF,операции!$T:$T,"&lt;="&amp;X$9,операции!$X:$X,"",операции!$AB:$AB,"",операции!$L:$L,Z$9,операции!$O:$O,$F1052)+SUMIFS(операции!$AF:$AF,операции!$T:$T,"&lt;="&amp;X$9,операции!$X:$X,"&gt;"&amp;X$9,операции!$AB:$AB,"",операции!$L:$L,Z$9,операции!$O:$O,$F1052)+SUMIFS(операции!$AF:$AF,операции!$T:$T,"&lt;="&amp;X$9,операции!$X:$X,"",операции!$AB:$AB,"&gt;"&amp;X$9,операции!$L:$L,Z$9,операции!$O:$O,$F1052)+SUMIFS(операции!$AF:$AF,операции!$T:$T,"&lt;="&amp;X$9,операции!$X:$X,"&gt;"&amp;X$9,операции!$AB:$AB,"&gt;"&amp;X$9,операции!$L:$L,Z$9,операции!$O:$O,$F1052))/Z1119)</f>
        <v>0</v>
      </c>
      <c r="AA1120" s="237">
        <f>IF(AA1119=0,0,(SUMIFS(операции!$AF:$AF,операции!$T:$T,"&lt;="&amp;X$9,операции!$X:$X,"",операции!$AB:$AB,"",операции!$L:$L,AA$9,операции!$O:$O,$F1052)+SUMIFS(операции!$AF:$AF,операции!$T:$T,"&lt;="&amp;X$9,операции!$X:$X,"&gt;"&amp;X$9,операции!$AB:$AB,"",операции!$L:$L,AA$9,операции!$O:$O,$F1052)+SUMIFS(операции!$AF:$AF,операции!$T:$T,"&lt;="&amp;X$9,операции!$X:$X,"",операции!$AB:$AB,"&gt;"&amp;X$9,операции!$L:$L,AA$9,операции!$O:$O,$F1052)+SUMIFS(операции!$AF:$AF,операции!$T:$T,"&lt;="&amp;X$9,операции!$X:$X,"&gt;"&amp;X$9,операции!$AB:$AB,"&gt;"&amp;X$9,операции!$L:$L,AA$9,операции!$O:$O,$F1052))/AA1119)</f>
        <v>42367.336817454976</v>
      </c>
      <c r="AB1120" s="265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</row>
    <row r="1121" spans="1:42" s="192" customFormat="1" ht="11.25">
      <c r="A1121" s="37"/>
      <c r="B1121" s="37"/>
      <c r="C1121" s="37"/>
      <c r="D1121" s="191"/>
      <c r="E1121" s="191" t="s">
        <v>287</v>
      </c>
      <c r="F1121" s="191" t="str">
        <f t="shared" ref="F1121:F1124" si="1985">F1120</f>
        <v>ИнтКид</v>
      </c>
      <c r="G1121" s="191" t="s">
        <v>219</v>
      </c>
      <c r="H1121" s="315"/>
      <c r="I1121" s="329">
        <f>IF(I1119=0,0,I$9-I1120)</f>
        <v>1.6631825450240285</v>
      </c>
      <c r="J1121" s="317"/>
      <c r="K1121" s="329">
        <f>IF(K1119=0,0,I$9-K1120)</f>
        <v>0</v>
      </c>
      <c r="L1121" s="330">
        <f>IF(L1119=0,0,I$9-L1120)</f>
        <v>1.6631825450240285</v>
      </c>
      <c r="M1121" s="274"/>
      <c r="N1121" s="156">
        <f>IF(N1119=0,0,N$9-N1120)</f>
        <v>69</v>
      </c>
      <c r="O1121" s="196"/>
      <c r="P1121" s="156">
        <f>IF(P1119=0,0,N$9-P1120)</f>
        <v>69</v>
      </c>
      <c r="Q1121" s="245">
        <f>IF(Q1119=0,0,N$9-Q1120)</f>
        <v>0</v>
      </c>
      <c r="R1121" s="238"/>
      <c r="S1121" s="156">
        <f>IF(S1119=0,0,S$9-S1120)</f>
        <v>1.5677175443051965</v>
      </c>
      <c r="T1121" s="196"/>
      <c r="U1121" s="156">
        <f>IF(U1119=0,0,S$9-U1120)</f>
        <v>0</v>
      </c>
      <c r="V1121" s="245">
        <f>IF(V1119=0,0,S$9-V1120)</f>
        <v>1.5677175443051965</v>
      </c>
      <c r="W1121" s="238"/>
      <c r="X1121" s="156">
        <f>IF(X1119=0,0,X$9-X1120)</f>
        <v>1.6631825450240285</v>
      </c>
      <c r="Y1121" s="196"/>
      <c r="Z1121" s="156">
        <f>IF(Z1119=0,0,X$9-Z1120)</f>
        <v>0</v>
      </c>
      <c r="AA1121" s="245">
        <f>IF(AA1119=0,0,X$9-AA1120)</f>
        <v>1.6631825450240285</v>
      </c>
      <c r="AB1121" s="265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</row>
    <row r="1122" spans="1:42" s="192" customFormat="1" ht="11.25">
      <c r="A1122" s="37"/>
      <c r="B1122" s="37"/>
      <c r="C1122" s="37"/>
      <c r="D1122" s="191"/>
      <c r="E1122" s="191" t="s">
        <v>311</v>
      </c>
      <c r="F1122" s="191" t="str">
        <f t="shared" si="1985"/>
        <v>ИнтКид</v>
      </c>
      <c r="G1122" s="191" t="s">
        <v>262</v>
      </c>
      <c r="H1122" s="315"/>
      <c r="I1122" s="316">
        <f>I$9</f>
        <v>42369</v>
      </c>
      <c r="J1122" s="317"/>
      <c r="K1122" s="316">
        <f>I$9</f>
        <v>42369</v>
      </c>
      <c r="L1122" s="318">
        <f>I$9</f>
        <v>42369</v>
      </c>
      <c r="M1122" s="274"/>
      <c r="N1122" s="193">
        <f>N$9</f>
        <v>42308</v>
      </c>
      <c r="O1122" s="196"/>
      <c r="P1122" s="193">
        <f>N$9</f>
        <v>42308</v>
      </c>
      <c r="Q1122" s="237">
        <f>N$9</f>
        <v>42308</v>
      </c>
      <c r="R1122" s="238"/>
      <c r="S1122" s="193">
        <f>S$9</f>
        <v>42338</v>
      </c>
      <c r="T1122" s="196"/>
      <c r="U1122" s="193">
        <f>S$9</f>
        <v>42338</v>
      </c>
      <c r="V1122" s="237">
        <f>S$9</f>
        <v>42338</v>
      </c>
      <c r="W1122" s="238"/>
      <c r="X1122" s="193">
        <f>X$9</f>
        <v>42369</v>
      </c>
      <c r="Y1122" s="196"/>
      <c r="Z1122" s="193">
        <f>X$9</f>
        <v>42369</v>
      </c>
      <c r="AA1122" s="237">
        <f>X$9</f>
        <v>42369</v>
      </c>
      <c r="AB1122" s="265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</row>
    <row r="1123" spans="1:42" s="192" customFormat="1" ht="11.25">
      <c r="A1123" s="37"/>
      <c r="B1123" s="37"/>
      <c r="C1123" s="37"/>
      <c r="D1123" s="191"/>
      <c r="E1123" s="191" t="s">
        <v>288</v>
      </c>
      <c r="F1123" s="191" t="str">
        <f t="shared" si="1985"/>
        <v>ИнтКид</v>
      </c>
      <c r="G1123" s="191" t="s">
        <v>219</v>
      </c>
      <c r="H1123" s="315"/>
      <c r="I1123" s="329">
        <f>IF(I1119=0,0,I1122-I1120)</f>
        <v>1.6631825450240285</v>
      </c>
      <c r="J1123" s="317"/>
      <c r="K1123" s="329">
        <f>IF(K1119=0,0,K1122-K1120)</f>
        <v>0</v>
      </c>
      <c r="L1123" s="330">
        <f>IF(L1119=0,0,L1122-L1120)</f>
        <v>1.6631825450240285</v>
      </c>
      <c r="M1123" s="274"/>
      <c r="N1123" s="156">
        <f>IF(N1119=0,0,N1122-N1120)</f>
        <v>69</v>
      </c>
      <c r="O1123" s="196"/>
      <c r="P1123" s="156">
        <f>IF(P1119=0,0,P1122-P1120)</f>
        <v>69</v>
      </c>
      <c r="Q1123" s="245">
        <f>IF(Q1119=0,0,Q1122-Q1120)</f>
        <v>0</v>
      </c>
      <c r="R1123" s="238"/>
      <c r="S1123" s="156">
        <f>IF(S1119=0,0,S1122-S1120)</f>
        <v>1.5677175443051965</v>
      </c>
      <c r="T1123" s="196"/>
      <c r="U1123" s="156">
        <f>IF(U1119=0,0,U1122-U1120)</f>
        <v>0</v>
      </c>
      <c r="V1123" s="245">
        <f>IF(V1119=0,0,V1122-V1120)</f>
        <v>1.5677175443051965</v>
      </c>
      <c r="W1123" s="238"/>
      <c r="X1123" s="156">
        <f>IF(X1119=0,0,X1122-X1120)</f>
        <v>1.6631825450240285</v>
      </c>
      <c r="Y1123" s="196"/>
      <c r="Z1123" s="156">
        <f>IF(Z1119=0,0,Z1122-Z1120)</f>
        <v>0</v>
      </c>
      <c r="AA1123" s="245">
        <f>IF(AA1119=0,0,AA1122-AA1120)</f>
        <v>1.6631825450240285</v>
      </c>
      <c r="AB1123" s="265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</row>
    <row r="1124" spans="1:42" s="192" customFormat="1" ht="12" thickBot="1">
      <c r="A1124" s="37"/>
      <c r="B1124" s="37"/>
      <c r="C1124" s="37"/>
      <c r="D1124" s="297"/>
      <c r="E1124" s="297" t="s">
        <v>289</v>
      </c>
      <c r="F1124" s="297" t="str">
        <f t="shared" si="1985"/>
        <v>ИнтКид</v>
      </c>
      <c r="G1124" s="297" t="s">
        <v>219</v>
      </c>
      <c r="H1124" s="377"/>
      <c r="I1124" s="378">
        <f>I1121-I1123</f>
        <v>0</v>
      </c>
      <c r="J1124" s="379"/>
      <c r="K1124" s="378">
        <f>K1121-K1123</f>
        <v>0</v>
      </c>
      <c r="L1124" s="380">
        <f>L1121-L1123</f>
        <v>0</v>
      </c>
      <c r="M1124" s="300"/>
      <c r="N1124" s="298">
        <f>N1121-N1123</f>
        <v>0</v>
      </c>
      <c r="O1124" s="299"/>
      <c r="P1124" s="298">
        <f>P1121-P1123</f>
        <v>0</v>
      </c>
      <c r="Q1124" s="301">
        <f>Q1121-Q1123</f>
        <v>0</v>
      </c>
      <c r="R1124" s="302"/>
      <c r="S1124" s="298">
        <f>S1121-S1123</f>
        <v>0</v>
      </c>
      <c r="T1124" s="299"/>
      <c r="U1124" s="298">
        <f>U1121-U1123</f>
        <v>0</v>
      </c>
      <c r="V1124" s="301">
        <f>V1121-V1123</f>
        <v>0</v>
      </c>
      <c r="W1124" s="302"/>
      <c r="X1124" s="298">
        <f>X1121-X1123</f>
        <v>0</v>
      </c>
      <c r="Y1124" s="299"/>
      <c r="Z1124" s="298">
        <f>Z1121-Z1123</f>
        <v>0</v>
      </c>
      <c r="AA1124" s="301">
        <f>AA1121-AA1123</f>
        <v>0</v>
      </c>
      <c r="AB1124" s="265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</row>
    <row r="1125" spans="1:42" s="111" customFormat="1" ht="11.25">
      <c r="A1125" s="108"/>
      <c r="B1125" s="108"/>
      <c r="C1125" s="108" t="s">
        <v>271</v>
      </c>
      <c r="D1125" s="291"/>
      <c r="E1125" s="291"/>
      <c r="F1125" s="291" t="str">
        <f>F1126</f>
        <v>КидсТрейд</v>
      </c>
      <c r="G1125" s="291"/>
      <c r="H1125" s="373"/>
      <c r="I1125" s="374">
        <f>I1126-K1126-L1126</f>
        <v>0</v>
      </c>
      <c r="J1125" s="375">
        <f>N1125+N1143+N1181+SUM(O:O)+S1125+S1143+S1181+SUM(T:T)+X1125+X1143+X1181+SUM(Y:Y)</f>
        <v>3.7069440850245883E-9</v>
      </c>
      <c r="K1125" s="373"/>
      <c r="L1125" s="376"/>
      <c r="M1125" s="293"/>
      <c r="N1125" s="292">
        <f>N1126-P1126-Q1126</f>
        <v>0</v>
      </c>
      <c r="O1125" s="294"/>
      <c r="P1125" s="291"/>
      <c r="Q1125" s="295"/>
      <c r="R1125" s="296"/>
      <c r="S1125" s="292">
        <f>S1126-U1126-V1126</f>
        <v>-1.7621459846850485E-12</v>
      </c>
      <c r="T1125" s="294"/>
      <c r="U1125" s="291"/>
      <c r="V1125" s="295"/>
      <c r="W1125" s="296"/>
      <c r="X1125" s="292">
        <f>X1126-Z1126-AA1126</f>
        <v>0</v>
      </c>
      <c r="Y1125" s="294"/>
      <c r="Z1125" s="291"/>
      <c r="AA1125" s="295"/>
      <c r="AB1125" s="263"/>
      <c r="AC1125" s="108"/>
      <c r="AD1125" s="108"/>
      <c r="AE1125" s="108"/>
      <c r="AF1125" s="108"/>
      <c r="AG1125" s="108"/>
      <c r="AH1125" s="108"/>
      <c r="AI1125" s="108"/>
      <c r="AJ1125" s="108"/>
      <c r="AK1125" s="108"/>
      <c r="AL1125" s="108"/>
      <c r="AM1125" s="108"/>
      <c r="AN1125" s="108"/>
      <c r="AO1125" s="108"/>
      <c r="AP1125" s="108"/>
    </row>
    <row r="1126" spans="1:42" s="93" customFormat="1" ht="15">
      <c r="A1126" s="92"/>
      <c r="B1126" s="92"/>
      <c r="C1126" s="92"/>
      <c r="D1126" s="151" t="s">
        <v>256</v>
      </c>
      <c r="E1126" s="151"/>
      <c r="F1126" s="286" t="str">
        <f>микс!$H$32</f>
        <v>КидсТрейд</v>
      </c>
      <c r="G1126" s="151" t="s">
        <v>261</v>
      </c>
      <c r="H1126" s="311"/>
      <c r="I1126" s="312">
        <f>SUMIFS(операции!$V:$V,операции!$T:$T,"&lt;"&amp;I$8,операции!$X:$X,"",операции!$O:$O,$F1126)+SUMIFS(операции!$V:$V,операции!$T:$T,"&lt;"&amp;I$8,операции!$X:$X,"&gt;="&amp;I$8,операции!$O:$O,$F1126)</f>
        <v>88293.95</v>
      </c>
      <c r="J1126" s="313">
        <f>I1126-I1131-I1137</f>
        <v>0</v>
      </c>
      <c r="K1126" s="312">
        <f>SUMIFS(операции!$V:$V,операции!$T:$T,"&lt;"&amp;I$8,операции!$X:$X,"",операции!$L:$L,K$9,операции!$O:$O,$F1126)+SUMIFS(операции!$V:$V,операции!$T:$T,"&lt;"&amp;I$8,операции!$X:$X,"&gt;="&amp;I$8,операции!$L:$L,K$9,операции!$O:$O,$F1126)</f>
        <v>88293.95</v>
      </c>
      <c r="L1126" s="314">
        <f>SUMIFS(операции!$V:$V,операции!$T:$T,"&lt;"&amp;I$8,операции!$X:$X,"",операции!$L:$L,L$9,операции!$O:$O,$F1126)+SUMIFS(операции!$V:$V,операции!$T:$T,"&lt;"&amp;I$8,операции!$X:$X,"&gt;="&amp;I$8,операции!$L:$L,L$9,операции!$O:$O,$F1126)</f>
        <v>0</v>
      </c>
      <c r="M1126" s="273"/>
      <c r="N1126" s="152">
        <f>SUMIFS(операции!$V:$V,операции!$T:$T,"&lt;"&amp;N$8,операции!$X:$X,"",операции!$O:$O,$F1126)+SUMIFS(операции!$V:$V,операции!$T:$T,"&lt;"&amp;N$8,операции!$X:$X,"&gt;="&amp;N$8,операции!$O:$O,$F1126)</f>
        <v>88293.95</v>
      </c>
      <c r="O1126" s="170">
        <f>N1126-N1131-N1137</f>
        <v>0</v>
      </c>
      <c r="P1126" s="152">
        <f>SUMIFS(операции!$V:$V,операции!$T:$T,"&lt;"&amp;N$8,операции!$X:$X,"",операции!$L:$L,P$9,операции!$O:$O,$F1126)+SUMIFS(операции!$V:$V,операции!$T:$T,"&lt;"&amp;N$8,операции!$X:$X,"&gt;="&amp;N$8,операции!$L:$L,P$9,операции!$O:$O,$F1126)</f>
        <v>88293.95</v>
      </c>
      <c r="Q1126" s="235">
        <f>SUMIFS(операции!$V:$V,операции!$T:$T,"&lt;"&amp;N$8,операции!$X:$X,"",операции!$L:$L,Q$9,операции!$O:$O,$F1126)+SUMIFS(операции!$V:$V,операции!$T:$T,"&lt;"&amp;N$8,операции!$X:$X,"&gt;="&amp;N$8,операции!$L:$L,Q$9,операции!$O:$O,$F1126)</f>
        <v>0</v>
      </c>
      <c r="R1126" s="236"/>
      <c r="S1126" s="152">
        <f>SUMIFS(операции!$V:$V,операции!$T:$T,"&lt;"&amp;S$8,операции!$X:$X,"",операции!$O:$O,$F1126)+SUMIFS(операции!$V:$V,операции!$T:$T,"&lt;"&amp;S$8,операции!$X:$X,"&gt;="&amp;S$8,операции!$O:$O,$F1126)</f>
        <v>58248.58</v>
      </c>
      <c r="T1126" s="170">
        <f>S1126-S1131-S1137</f>
        <v>0</v>
      </c>
      <c r="U1126" s="152">
        <f>SUMIFS(операции!$V:$V,операции!$T:$T,"&lt;"&amp;S$8,операции!$X:$X,"",операции!$L:$L,U$9,операции!$O:$O,$F1126)+SUMIFS(операции!$V:$V,операции!$T:$T,"&lt;"&amp;S$8,операции!$X:$X,"&gt;="&amp;S$8,операции!$L:$L,U$9,операции!$O:$O,$F1126)</f>
        <v>57892.160000000003</v>
      </c>
      <c r="V1126" s="235">
        <f>SUMIFS(операции!$V:$V,операции!$T:$T,"&lt;"&amp;S$8,операции!$X:$X,"",операции!$L:$L,V$9,операции!$O:$O,$F1126)+SUMIFS(операции!$V:$V,операции!$T:$T,"&lt;"&amp;S$8,операции!$X:$X,"&gt;="&amp;S$8,операции!$L:$L,V$9,операции!$O:$O,$F1126)</f>
        <v>356.42</v>
      </c>
      <c r="W1126" s="236"/>
      <c r="X1126" s="152">
        <f>SUMIFS(операции!$V:$V,операции!$T:$T,"&lt;"&amp;X$8,операции!$X:$X,"",операции!$O:$O,$F1126)+SUMIFS(операции!$V:$V,операции!$T:$T,"&lt;"&amp;X$8,операции!$X:$X,"&gt;="&amp;X$8,операции!$O:$O,$F1126)</f>
        <v>57624.82</v>
      </c>
      <c r="Y1126" s="170">
        <f>X1126-X1131-X1137</f>
        <v>0</v>
      </c>
      <c r="Z1126" s="152">
        <f>SUMIFS(операции!$V:$V,операции!$T:$T,"&lt;"&amp;X$8,операции!$X:$X,"",операции!$L:$L,Z$9,операции!$O:$O,$F1126)+SUMIFS(операции!$V:$V,операции!$T:$T,"&lt;"&amp;X$8,операции!$X:$X,"&gt;="&amp;X$8,операции!$L:$L,Z$9,операции!$O:$O,$F1126)</f>
        <v>36697.160000000003</v>
      </c>
      <c r="AA1126" s="235">
        <f>SUMIFS(операции!$V:$V,операции!$T:$T,"&lt;"&amp;X$8,операции!$X:$X,"",операции!$L:$L,AA$9,операции!$O:$O,$F1126)+SUMIFS(операции!$V:$V,операции!$T:$T,"&lt;"&amp;X$8,операции!$X:$X,"&gt;="&amp;X$8,операции!$L:$L,AA$9,операции!$O:$O,$F1126)</f>
        <v>20927.659999999996</v>
      </c>
      <c r="AB1126" s="264"/>
      <c r="AC1126" s="92"/>
      <c r="AD1126" s="92"/>
      <c r="AE1126" s="92"/>
      <c r="AF1126" s="92"/>
      <c r="AG1126" s="92"/>
      <c r="AH1126" s="92"/>
      <c r="AI1126" s="92"/>
      <c r="AJ1126" s="92"/>
      <c r="AK1126" s="92"/>
      <c r="AL1126" s="92"/>
      <c r="AM1126" s="92"/>
      <c r="AN1126" s="92"/>
      <c r="AO1126" s="92"/>
      <c r="AP1126" s="92"/>
    </row>
    <row r="1127" spans="1:42" s="192" customFormat="1" ht="11.25">
      <c r="A1127" s="37"/>
      <c r="B1127" s="37"/>
      <c r="C1127" s="37"/>
      <c r="D1127" s="191" t="s">
        <v>255</v>
      </c>
      <c r="E1127" s="191"/>
      <c r="F1127" s="191" t="str">
        <f>F1126</f>
        <v>КидсТрейд</v>
      </c>
      <c r="G1127" s="191" t="s">
        <v>262</v>
      </c>
      <c r="H1127" s="315"/>
      <c r="I1127" s="316">
        <f>IF(I1126=0,0,(SUMIFS(операции!$AF:$AF,операции!$T:$T,"&lt;"&amp;I$8,операции!$X:$X,"",операции!$O:$O,$F1126)+SUMIFS(операции!$AF:$AF,операции!$T:$T,"&lt;"&amp;I$8,операции!$X:$X,"&gt;="&amp;I$8,операции!$O:$O,$F1126))/I1126)</f>
        <v>42180.894111544447</v>
      </c>
      <c r="J1127" s="317"/>
      <c r="K1127" s="316">
        <f>IF(K1126=0,0,(SUMIFS(операции!$AF:$AF,операции!$T:$T,"&lt;"&amp;I$8,операции!$X:$X,"",операции!$L:$L,K$9,операции!$O:$O,$F1126)+SUMIFS(операции!$AF:$AF,операции!$T:$T,"&lt;"&amp;I$8,операции!$X:$X,"&gt;="&amp;I$8,операции!$L:$L,K$9,операции!$O:$O,$F1126))/K1126)</f>
        <v>42180.894111544447</v>
      </c>
      <c r="L1127" s="318">
        <f>IF(L1126=0,0,(SUMIFS(операции!$AF:$AF,операции!$T:$T,"&lt;"&amp;I$8,операции!$X:$X,"",операции!$L:$L,L$9,операции!$O:$O,$F1126)+SUMIFS(операции!$AF:$AF,операции!$T:$T,"&lt;"&amp;I$8,операции!$X:$X,"&gt;="&amp;I$8,операции!$L:$L,L$9,операции!$O:$O,$F1126))/L1126)</f>
        <v>0</v>
      </c>
      <c r="M1127" s="274"/>
      <c r="N1127" s="193">
        <f>IF(N1126=0,0,(SUMIFS(операции!$AF:$AF,операции!$T:$T,"&lt;"&amp;N$8,операции!$X:$X,"",операции!$O:$O,$F1126)+SUMIFS(операции!$AF:$AF,операции!$T:$T,"&lt;"&amp;N$8,операции!$X:$X,"&gt;="&amp;N$8,операции!$O:$O,$F1126))/N1126)</f>
        <v>42180.894111544447</v>
      </c>
      <c r="O1127" s="196"/>
      <c r="P1127" s="193">
        <f>IF(P1126=0,0,(SUMIFS(операции!$AF:$AF,операции!$T:$T,"&lt;"&amp;N$8,операции!$X:$X,"",операции!$L:$L,P$9,операции!$O:$O,$F1126)+SUMIFS(операции!$AF:$AF,операции!$T:$T,"&lt;"&amp;N$8,операции!$X:$X,"&gt;="&amp;N$8,операции!$L:$L,P$9,операции!$O:$O,$F1126))/P1126)</f>
        <v>42180.894111544447</v>
      </c>
      <c r="Q1127" s="237">
        <f>IF(Q1126=0,0,(SUMIFS(операции!$AF:$AF,операции!$T:$T,"&lt;"&amp;N$8,операции!$X:$X,"",операции!$L:$L,Q$9,операции!$O:$O,$F1126)+SUMIFS(операции!$AF:$AF,операции!$T:$T,"&lt;"&amp;N$8,операции!$X:$X,"&gt;="&amp;N$8,операции!$L:$L,Q$9,операции!$O:$O,$F1126))/Q1126)</f>
        <v>0</v>
      </c>
      <c r="R1127" s="238"/>
      <c r="S1127" s="193">
        <f>IF(S1126=0,0,(SUMIFS(операции!$AF:$AF,операции!$T:$T,"&lt;"&amp;S$8,операции!$X:$X,"",операции!$O:$O,$F1126)+SUMIFS(операции!$AF:$AF,операции!$T:$T,"&lt;"&amp;S$8,операции!$X:$X,"&gt;="&amp;S$8,операции!$O:$O,$F1126))/S1126)</f>
        <v>42144.485431576191</v>
      </c>
      <c r="T1127" s="196"/>
      <c r="U1127" s="193">
        <f>IF(U1126=0,0,(SUMIFS(операции!$AF:$AF,операции!$T:$T,"&lt;"&amp;S$8,операции!$X:$X,"",операции!$L:$L,U$9,операции!$O:$O,$F1126)+SUMIFS(операции!$AF:$AF,операции!$T:$T,"&lt;"&amp;S$8,операции!$X:$X,"&gt;="&amp;S$8,операции!$L:$L,U$9,операции!$O:$O,$F1126))/U1126)</f>
        <v>42143.478734598953</v>
      </c>
      <c r="V1127" s="237">
        <f>IF(V1126=0,0,(SUMIFS(операции!$AF:$AF,операции!$T:$T,"&lt;"&amp;S$8,операции!$X:$X,"",операции!$L:$L,V$9,операции!$O:$O,$F1126)+SUMIFS(операции!$AF:$AF,операции!$T:$T,"&lt;"&amp;S$8,операции!$X:$X,"&gt;="&amp;S$8,операции!$L:$L,V$9,операции!$O:$O,$F1126))/V1126)</f>
        <v>42308</v>
      </c>
      <c r="W1127" s="238"/>
      <c r="X1127" s="193">
        <f>IF(X1126=0,0,(SUMIFS(операции!$AF:$AF,операции!$T:$T,"&lt;"&amp;X$8,операции!$X:$X,"",операции!$O:$O,$F1126)+SUMIFS(операции!$AF:$AF,операции!$T:$T,"&lt;"&amp;X$8,операции!$X:$X,"&gt;="&amp;X$8,операции!$O:$O,$F1126))/X1126)</f>
        <v>42232.175623281772</v>
      </c>
      <c r="Y1127" s="196"/>
      <c r="Z1127" s="193">
        <f>IF(Z1126=0,0,(SUMIFS(операции!$AF:$AF,операции!$T:$T,"&lt;"&amp;X$8,операции!$X:$X,"",операции!$L:$L,Z$9,операции!$O:$O,$F1126)+SUMIFS(операции!$AF:$AF,операции!$T:$T,"&lt;"&amp;X$8,операции!$X:$X,"&gt;="&amp;X$8,операции!$L:$L,Z$9,операции!$O:$O,$F1126))/Z1126)</f>
        <v>42177.1650634545</v>
      </c>
      <c r="AA1127" s="237">
        <f>IF(AA1126=0,0,(SUMIFS(операции!$AF:$AF,операции!$T:$T,"&lt;"&amp;X$8,операции!$X:$X,"",операции!$L:$L,AA$9,операции!$O:$O,$F1126)+SUMIFS(операции!$AF:$AF,операции!$T:$T,"&lt;"&amp;X$8,операции!$X:$X,"&gt;="&amp;X$8,операции!$L:$L,AA$9,операции!$O:$O,$F1126))/AA1126)</f>
        <v>42328.637975769874</v>
      </c>
      <c r="AB1127" s="265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</row>
    <row r="1128" spans="1:42" s="50" customFormat="1" ht="11.25">
      <c r="A1128" s="48"/>
      <c r="B1128" s="48"/>
      <c r="C1128" s="48"/>
      <c r="D1128" s="154" t="s">
        <v>257</v>
      </c>
      <c r="E1128" s="154"/>
      <c r="F1128" s="154" t="str">
        <f t="shared" ref="F1128:F1194" si="1986">F1127</f>
        <v>КидсТрейд</v>
      </c>
      <c r="G1128" s="154" t="s">
        <v>219</v>
      </c>
      <c r="H1128" s="319"/>
      <c r="I1128" s="320">
        <f>IF(I1126=0,0,I$8-I1127)</f>
        <v>97.105888455553213</v>
      </c>
      <c r="J1128" s="321">
        <f>I1128-IF(I1126=0,0,(I1131*I1133+I1137*I1139)/I1126)</f>
        <v>3.3679725675028749E-12</v>
      </c>
      <c r="K1128" s="320">
        <f>IF(K1126=0,0,I$8-K1127)</f>
        <v>97.105888455553213</v>
      </c>
      <c r="L1128" s="322">
        <f>IF(L1126=0,0,I$8-L1127)</f>
        <v>0</v>
      </c>
      <c r="M1128" s="275"/>
      <c r="N1128" s="155">
        <f>IF(N1126=0,0,N$8-N1127)</f>
        <v>97.105888455553213</v>
      </c>
      <c r="O1128" s="173">
        <f>N1128-IF(N1126=0,0,(N1131*N1133+N1137*N1139)/N1126)</f>
        <v>3.3679725675028749E-12</v>
      </c>
      <c r="P1128" s="155">
        <f>IF(P1126=0,0,N$8-P1127)</f>
        <v>97.105888455553213</v>
      </c>
      <c r="Q1128" s="239">
        <f>IF(Q1126=0,0,N$8-Q1127)</f>
        <v>0</v>
      </c>
      <c r="R1128" s="240"/>
      <c r="S1128" s="155">
        <f>IF(S1126=0,0,S$8-S1127)</f>
        <v>164.51456842380867</v>
      </c>
      <c r="T1128" s="173">
        <f>S1128-IF(S1126=0,0,(S1131*S1133+S1137*S1139)/S1126)</f>
        <v>-3.2400748750660568E-12</v>
      </c>
      <c r="U1128" s="155">
        <f>IF(U1126=0,0,S$8-U1127)</f>
        <v>165.52126540104655</v>
      </c>
      <c r="V1128" s="239">
        <f>IF(V1126=0,0,S$8-V1127)</f>
        <v>1</v>
      </c>
      <c r="W1128" s="240"/>
      <c r="X1128" s="155">
        <f>IF(X1126=0,0,X$8-X1127)</f>
        <v>106.82437671822845</v>
      </c>
      <c r="Y1128" s="173">
        <f>X1128-IF(X1126=0,0,(X1131*X1133+X1137*X1139)/X1126)</f>
        <v>3.836930773104541E-12</v>
      </c>
      <c r="Z1128" s="155">
        <f>IF(Z1126=0,0,X$8-Z1127)</f>
        <v>161.83493654549966</v>
      </c>
      <c r="AA1128" s="239">
        <f>IF(AA1126=0,0,X$8-AA1127)</f>
        <v>10.362024230125826</v>
      </c>
      <c r="AB1128" s="230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</row>
    <row r="1129" spans="1:42" s="93" customFormat="1" ht="15">
      <c r="A1129" s="92"/>
      <c r="B1129" s="92"/>
      <c r="C1129" s="92"/>
      <c r="D1129" s="198" t="s">
        <v>267</v>
      </c>
      <c r="E1129" s="198"/>
      <c r="F1129" s="198" t="str">
        <f t="shared" si="1986"/>
        <v>КидсТрейд</v>
      </c>
      <c r="G1129" s="198" t="s">
        <v>219</v>
      </c>
      <c r="H1129" s="323"/>
      <c r="I1129" s="324">
        <f>IF(I1126=0,0,(I1131*I1135+I1137*I1141)/I1126)</f>
        <v>34.823022188954567</v>
      </c>
      <c r="J1129" s="321"/>
      <c r="K1129" s="324">
        <f t="shared" ref="K1129" si="1987">IF(K1126=0,0,(K1131*K1135+K1137*K1141)/K1126)</f>
        <v>34.823022188954567</v>
      </c>
      <c r="L1129" s="325">
        <f>IF(L1126=0,0,(L1131*L1135+L1137*L1141)/L1126)</f>
        <v>0</v>
      </c>
      <c r="M1129" s="276"/>
      <c r="N1129" s="199">
        <f>IF(N1126=0,0,(N1131*N1135+N1137*N1141)/N1126)</f>
        <v>34.823022188954567</v>
      </c>
      <c r="O1129" s="173"/>
      <c r="P1129" s="199">
        <f t="shared" ref="P1129" si="1988">IF(P1126=0,0,(P1131*P1135+P1137*P1141)/P1126)</f>
        <v>34.823022188954567</v>
      </c>
      <c r="Q1129" s="241">
        <f>IF(Q1126=0,0,(Q1131*Q1135+Q1137*Q1141)/Q1126)</f>
        <v>0</v>
      </c>
      <c r="R1129" s="242"/>
      <c r="S1129" s="199">
        <f>IF(S1126=0,0,(S1131*S1135+S1137*S1141)/S1126)</f>
        <v>44.117159594278682</v>
      </c>
      <c r="T1129" s="173"/>
      <c r="U1129" s="199">
        <f t="shared" ref="U1129" si="1989">IF(U1126=0,0,(U1131*U1135+U1137*U1141)/U1126)</f>
        <v>44.382615538964274</v>
      </c>
      <c r="V1129" s="241">
        <f>IF(V1126=0,0,(V1131*V1135+V1137*V1141)/V1126)</f>
        <v>1</v>
      </c>
      <c r="W1129" s="242"/>
      <c r="X1129" s="199">
        <f>IF(X1126=0,0,(X1131*X1135+X1137*X1141)/X1126)</f>
        <v>17.424883583145974</v>
      </c>
      <c r="Y1129" s="173"/>
      <c r="Z1129" s="199">
        <f t="shared" ref="Z1129" si="1990">IF(Z1126=0,0,(Z1131*Z1135+Z1137*Z1141)/Z1126)</f>
        <v>21.452691706930636</v>
      </c>
      <c r="AA1129" s="241">
        <f>IF(AA1126=0,0,(AA1131*AA1135+AA1137*AA1141)/AA1126)</f>
        <v>10.362024230125826</v>
      </c>
      <c r="AB1129" s="264"/>
      <c r="AC1129" s="92"/>
      <c r="AD1129" s="92"/>
      <c r="AE1129" s="92"/>
      <c r="AF1129" s="92"/>
      <c r="AG1129" s="92"/>
      <c r="AH1129" s="92"/>
      <c r="AI1129" s="92"/>
      <c r="AJ1129" s="92"/>
      <c r="AK1129" s="92"/>
      <c r="AL1129" s="92"/>
      <c r="AM1129" s="92"/>
      <c r="AN1129" s="92"/>
      <c r="AO1129" s="92"/>
      <c r="AP1129" s="92"/>
    </row>
    <row r="1130" spans="1:42" s="50" customFormat="1" ht="11.25">
      <c r="A1130" s="48"/>
      <c r="B1130" s="48"/>
      <c r="C1130" s="48"/>
      <c r="D1130" s="154" t="s">
        <v>270</v>
      </c>
      <c r="E1130" s="154"/>
      <c r="F1130" s="154" t="str">
        <f t="shared" si="1986"/>
        <v>КидсТрейд</v>
      </c>
      <c r="G1130" s="154" t="s">
        <v>219</v>
      </c>
      <c r="H1130" s="319"/>
      <c r="I1130" s="320">
        <f>I1128-I1129</f>
        <v>62.282866266598646</v>
      </c>
      <c r="J1130" s="321"/>
      <c r="K1130" s="320">
        <f t="shared" ref="K1130" si="1991">K1128-K1129</f>
        <v>62.282866266598646</v>
      </c>
      <c r="L1130" s="322">
        <f t="shared" ref="L1130" si="1992">L1128-L1129</f>
        <v>0</v>
      </c>
      <c r="M1130" s="275"/>
      <c r="N1130" s="155">
        <f>N1128-N1129</f>
        <v>62.282866266598646</v>
      </c>
      <c r="O1130" s="173"/>
      <c r="P1130" s="155">
        <f t="shared" ref="P1130" si="1993">P1128-P1129</f>
        <v>62.282866266598646</v>
      </c>
      <c r="Q1130" s="239">
        <f t="shared" ref="Q1130" si="1994">Q1128-Q1129</f>
        <v>0</v>
      </c>
      <c r="R1130" s="240"/>
      <c r="S1130" s="155">
        <f>S1128-S1129</f>
        <v>120.39740882952998</v>
      </c>
      <c r="T1130" s="173"/>
      <c r="U1130" s="155">
        <f t="shared" ref="U1130" si="1995">U1128-U1129</f>
        <v>121.13864986208227</v>
      </c>
      <c r="V1130" s="239">
        <f t="shared" ref="V1130" si="1996">V1128-V1129</f>
        <v>0</v>
      </c>
      <c r="W1130" s="240"/>
      <c r="X1130" s="155">
        <f>X1128-X1129</f>
        <v>89.39949313508248</v>
      </c>
      <c r="Y1130" s="173"/>
      <c r="Z1130" s="155">
        <f t="shared" ref="Z1130" si="1997">Z1128-Z1129</f>
        <v>140.38224483856902</v>
      </c>
      <c r="AA1130" s="239">
        <f t="shared" ref="AA1130" si="1998">AA1128-AA1129</f>
        <v>0</v>
      </c>
      <c r="AB1130" s="230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</row>
    <row r="1131" spans="1:42" s="5" customFormat="1">
      <c r="A1131" s="1"/>
      <c r="B1131" s="1"/>
      <c r="C1131" s="1"/>
      <c r="D1131" s="168"/>
      <c r="E1131" s="168" t="s">
        <v>258</v>
      </c>
      <c r="F1131" s="168" t="str">
        <f t="shared" si="1986"/>
        <v>КидсТрейд</v>
      </c>
      <c r="G1131" s="168" t="s">
        <v>261</v>
      </c>
      <c r="H1131" s="326"/>
      <c r="I1131" s="327">
        <f>SUMIFS(операции!$V:$V,операции!$T:$T,"&lt;"&amp;I$8,операции!$X:$X,"",операции!$AB:$AB,"&lt;&gt;"&amp;"",операции!$AB:$AB,"&lt;"&amp;I$8,операции!$O:$O,$F1126)+SUMIFS(операции!$V:$V,операции!$T:$T,"&lt;"&amp;I$8,операции!$X:$X,"&gt;="&amp;I$8,операции!$AB:$AB,"&lt;&gt;"&amp;"",операции!$AB:$AB,"&lt;"&amp;I$8,операции!$O:$O,$F1126)</f>
        <v>48648.239999999991</v>
      </c>
      <c r="J1131" s="313">
        <f>I1131-K1131-L1131</f>
        <v>0</v>
      </c>
      <c r="K1131" s="327">
        <f>SUMIFS(операции!$V:$V,операции!$T:$T,"&lt;"&amp;I$8,операции!$X:$X,"",операции!$AB:$AB,"&lt;&gt;"&amp;"",операции!$AB:$AB,"&lt;"&amp;I$8,операции!$L:$L,K$9,операции!$O:$O,$F1126)+SUMIFS(операции!$V:$V,операции!$T:$T,"&lt;"&amp;I$8,операции!$X:$X,"&gt;="&amp;I$8,операции!$AB:$AB,"&lt;&gt;"&amp;"",операции!$AB:$AB,"&lt;"&amp;I$8,операции!$L:$L,K$9,операции!$O:$O,$F1126)</f>
        <v>48648.239999999991</v>
      </c>
      <c r="L1131" s="328">
        <f>SUMIFS(операции!$V:$V,операции!$T:$T,"&lt;"&amp;I$8,операции!$X:$X,"",операции!$AB:$AB,"&lt;&gt;"&amp;"",операции!$AB:$AB,"&lt;"&amp;I$8,операции!$L:$L,L$9,операции!$O:$O,$F1126)+SUMIFS(операции!$V:$V,операции!$T:$T,"&lt;"&amp;I$8,операции!$X:$X,"&gt;="&amp;I$8,операции!$AB:$AB,"&lt;&gt;"&amp;"",операции!$AB:$AB,"&lt;"&amp;I$8,операции!$L:$L,L$9,операции!$O:$O,$F1126)</f>
        <v>0</v>
      </c>
      <c r="M1131" s="277"/>
      <c r="N1131" s="169">
        <f>SUMIFS(операции!$V:$V,операции!$T:$T,"&lt;"&amp;N$8,операции!$X:$X,"",операции!$AB:$AB,"&lt;&gt;"&amp;"",операции!$AB:$AB,"&lt;"&amp;N$8,операции!$O:$O,$F1126)+SUMIFS(операции!$V:$V,операции!$T:$T,"&lt;"&amp;N$8,операции!$X:$X,"&gt;="&amp;N$8,операции!$AB:$AB,"&lt;&gt;"&amp;"",операции!$AB:$AB,"&lt;"&amp;N$8,операции!$O:$O,$F1126)</f>
        <v>48648.239999999991</v>
      </c>
      <c r="O1131" s="170">
        <f>N1131-P1131-Q1131</f>
        <v>0</v>
      </c>
      <c r="P1131" s="169">
        <f>SUMIFS(операции!$V:$V,операции!$T:$T,"&lt;"&amp;N$8,операции!$X:$X,"",операции!$AB:$AB,"&lt;&gt;"&amp;"",операции!$AB:$AB,"&lt;"&amp;N$8,операции!$L:$L,P$9,операции!$O:$O,$F1126)+SUMIFS(операции!$V:$V,операции!$T:$T,"&lt;"&amp;N$8,операции!$X:$X,"&gt;="&amp;N$8,операции!$AB:$AB,"&lt;&gt;"&amp;"",операции!$AB:$AB,"&lt;"&amp;N$8,операции!$L:$L,P$9,операции!$O:$O,$F1126)</f>
        <v>48648.239999999991</v>
      </c>
      <c r="Q1131" s="243">
        <f>SUMIFS(операции!$V:$V,операции!$T:$T,"&lt;"&amp;N$8,операции!$X:$X,"",операции!$AB:$AB,"&lt;&gt;"&amp;"",операции!$AB:$AB,"&lt;"&amp;N$8,операции!$L:$L,Q$9,операции!$O:$O,$F1126)+SUMIFS(операции!$V:$V,операции!$T:$T,"&lt;"&amp;N$8,операции!$X:$X,"&gt;="&amp;N$8,операции!$AB:$AB,"&lt;&gt;"&amp;"",операции!$AB:$AB,"&lt;"&amp;N$8,операции!$L:$L,Q$9,операции!$O:$O,$F1126)</f>
        <v>0</v>
      </c>
      <c r="R1131" s="244"/>
      <c r="S1131" s="169">
        <f>SUMIFS(операции!$V:$V,операции!$T:$T,"&lt;"&amp;S$8,операции!$X:$X,"",операции!$AB:$AB,"&lt;&gt;"&amp;"",операции!$AB:$AB,"&lt;"&amp;S$8,операции!$O:$O,$F1126)+SUMIFS(операции!$V:$V,операции!$T:$T,"&lt;"&amp;S$8,операции!$X:$X,"&gt;="&amp;S$8,операции!$AB:$AB,"&lt;&gt;"&amp;"",операции!$AB:$AB,"&lt;"&amp;S$8,операции!$O:$O,$F1126)</f>
        <v>48895.299999999996</v>
      </c>
      <c r="T1131" s="170">
        <f>S1131-U1131-V1131</f>
        <v>0</v>
      </c>
      <c r="U1131" s="169">
        <f>SUMIFS(операции!$V:$V,операции!$T:$T,"&lt;"&amp;S$8,операции!$X:$X,"",операции!$AB:$AB,"&lt;&gt;"&amp;"",операции!$AB:$AB,"&lt;"&amp;S$8,операции!$L:$L,U$9,операции!$O:$O,$F1126)+SUMIFS(операции!$V:$V,операции!$T:$T,"&lt;"&amp;S$8,операции!$X:$X,"&gt;="&amp;S$8,операции!$AB:$AB,"&lt;&gt;"&amp;"",операции!$AB:$AB,"&lt;"&amp;S$8,операции!$L:$L,U$9,операции!$O:$O,$F1126)</f>
        <v>48895.299999999996</v>
      </c>
      <c r="V1131" s="243">
        <f>SUMIFS(операции!$V:$V,операции!$T:$T,"&lt;"&amp;S$8,операции!$X:$X,"",операции!$AB:$AB,"&lt;&gt;"&amp;"",операции!$AB:$AB,"&lt;"&amp;S$8,операции!$L:$L,V$9,операции!$O:$O,$F1126)+SUMIFS(операции!$V:$V,операции!$T:$T,"&lt;"&amp;S$8,операции!$X:$X,"&gt;="&amp;S$8,операции!$AB:$AB,"&lt;&gt;"&amp;"",операции!$AB:$AB,"&lt;"&amp;S$8,операции!$L:$L,V$9,операции!$O:$O,$F1126)</f>
        <v>0</v>
      </c>
      <c r="W1131" s="244"/>
      <c r="X1131" s="169">
        <f>SUMIFS(операции!$V:$V,операции!$T:$T,"&lt;"&amp;X$8,операции!$X:$X,"",операции!$AB:$AB,"&lt;&gt;"&amp;"",операции!$AB:$AB,"&lt;"&amp;X$8,операции!$O:$O,$F1126)+SUMIFS(операции!$V:$V,операции!$T:$T,"&lt;"&amp;X$8,операции!$X:$X,"&gt;="&amp;X$8,операции!$AB:$AB,"&lt;&gt;"&amp;"",операции!$AB:$AB,"&lt;"&amp;X$8,операции!$O:$O,$F1126)</f>
        <v>36697.160000000003</v>
      </c>
      <c r="Y1131" s="170">
        <f>X1131-Z1131-AA1131</f>
        <v>0</v>
      </c>
      <c r="Z1131" s="169">
        <f>SUMIFS(операции!$V:$V,операции!$T:$T,"&lt;"&amp;X$8,операции!$X:$X,"",операции!$AB:$AB,"&lt;&gt;"&amp;"",операции!$AB:$AB,"&lt;"&amp;X$8,операции!$L:$L,Z$9,операции!$O:$O,$F1126)+SUMIFS(операции!$V:$V,операции!$T:$T,"&lt;"&amp;X$8,операции!$X:$X,"&gt;="&amp;X$8,операции!$AB:$AB,"&lt;&gt;"&amp;"",операции!$AB:$AB,"&lt;"&amp;X$8,операции!$L:$L,Z$9,операции!$O:$O,$F1126)</f>
        <v>36697.160000000003</v>
      </c>
      <c r="AA1131" s="243">
        <f>SUMIFS(операции!$V:$V,операции!$T:$T,"&lt;"&amp;X$8,операции!$X:$X,"",операции!$AB:$AB,"&lt;&gt;"&amp;"",операции!$AB:$AB,"&lt;"&amp;X$8,операции!$L:$L,AA$9,операции!$O:$O,$F1126)+SUMIFS(операции!$V:$V,операции!$T:$T,"&lt;"&amp;X$8,операции!$X:$X,"&gt;="&amp;X$8,операции!$AB:$AB,"&lt;&gt;"&amp;"",операции!$AB:$AB,"&lt;"&amp;X$8,операции!$L:$L,AA$9,операции!$O:$O,$F1126)</f>
        <v>0</v>
      </c>
      <c r="AB1131" s="266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</row>
    <row r="1132" spans="1:42" s="192" customFormat="1" ht="11.25">
      <c r="A1132" s="37"/>
      <c r="B1132" s="37"/>
      <c r="C1132" s="37"/>
      <c r="D1132" s="191"/>
      <c r="E1132" s="191" t="s">
        <v>255</v>
      </c>
      <c r="F1132" s="191" t="str">
        <f t="shared" si="1986"/>
        <v>КидсТрейд</v>
      </c>
      <c r="G1132" s="191" t="s">
        <v>262</v>
      </c>
      <c r="H1132" s="315"/>
      <c r="I1132" s="316">
        <f>IF(I1131=0,0,(SUMIFS(операции!$AF:$AF,операции!$T:$T,"&lt;"&amp;I$8,операции!$X:$X,"",операции!$AB:$AB,"&lt;&gt;"&amp;"",операции!$AB:$AB,"&lt;"&amp;I$8,операции!$O:$O,$F1126)+SUMIFS(операции!$AF:$AF,операции!$T:$T,"&lt;"&amp;I$8,операции!$X:$X,"&gt;="&amp;I$8,операции!$AB:$AB,"&lt;&gt;"&amp;"",операции!$AB:$AB,"&lt;"&amp;I$8,операции!$O:$O,$F1126))/I1131)</f>
        <v>42137.371176017885</v>
      </c>
      <c r="J1132" s="317"/>
      <c r="K1132" s="316">
        <f>IF(K1131=0,0,(SUMIFS(операции!$AF:$AF,операции!$T:$T,"&lt;"&amp;I$8,операции!$X:$X,"",операции!$AB:$AB,"&lt;&gt;"&amp;"",операции!$AB:$AB,"&lt;"&amp;I$8,операции!$L:$L,K$9,операции!$O:$O,$F1126)+SUMIFS(операции!$AF:$AF,операции!$T:$T,"&lt;"&amp;I$8,операции!$X:$X,"&gt;="&amp;I$8,операции!$AB:$AB,"&lt;&gt;"&amp;"",операции!$AB:$AB,"&lt;"&amp;I$8,операции!$L:$L,K$9,операции!$O:$O,$F1126))/K1131)</f>
        <v>42137.371176017885</v>
      </c>
      <c r="L1132" s="318">
        <f>IF(L1131=0,0,(SUMIFS(операции!$AF:$AF,операции!$T:$T,"&lt;"&amp;I$8,операции!$X:$X,"",операции!$AB:$AB,"&lt;&gt;"&amp;"",операции!$AB:$AB,"&lt;"&amp;I$8,операции!$L:$L,L$9,операции!$O:$O,$F1126)+SUMIFS(операции!$AF:$AF,операции!$T:$T,"&lt;"&amp;I$8,операции!$X:$X,"&gt;="&amp;I$8,операции!$AB:$AB,"&lt;&gt;"&amp;"",операции!$AB:$AB,"&lt;"&amp;I$8,операции!$L:$L,L$9,операции!$O:$O,$F1126))/L1131)</f>
        <v>0</v>
      </c>
      <c r="M1132" s="274"/>
      <c r="N1132" s="193">
        <f>IF(N1131=0,0,(SUMIFS(операции!$AF:$AF,операции!$T:$T,"&lt;"&amp;N$8,операции!$X:$X,"",операции!$AB:$AB,"&lt;&gt;"&amp;"",операции!$AB:$AB,"&lt;"&amp;N$8,операции!$O:$O,$F1126)+SUMIFS(операции!$AF:$AF,операции!$T:$T,"&lt;"&amp;N$8,операции!$X:$X,"&gt;="&amp;N$8,операции!$AB:$AB,"&lt;&gt;"&amp;"",операции!$AB:$AB,"&lt;"&amp;N$8,операции!$O:$O,$F1126))/N1131)</f>
        <v>42137.371176017885</v>
      </c>
      <c r="O1132" s="196"/>
      <c r="P1132" s="193">
        <f>IF(P1131=0,0,(SUMIFS(операции!$AF:$AF,операции!$T:$T,"&lt;"&amp;N$8,операции!$X:$X,"",операции!$AB:$AB,"&lt;&gt;"&amp;"",операции!$AB:$AB,"&lt;"&amp;N$8,операции!$L:$L,P$9,операции!$O:$O,$F1126)+SUMIFS(операции!$AF:$AF,операции!$T:$T,"&lt;"&amp;N$8,операции!$X:$X,"&gt;="&amp;N$8,операции!$AB:$AB,"&lt;&gt;"&amp;"",операции!$AB:$AB,"&lt;"&amp;N$8,операции!$L:$L,P$9,операции!$O:$O,$F1126))/P1131)</f>
        <v>42137.371176017885</v>
      </c>
      <c r="Q1132" s="237">
        <f>IF(Q1131=0,0,(SUMIFS(операции!$AF:$AF,операции!$T:$T,"&lt;"&amp;N$8,операции!$X:$X,"",операции!$AB:$AB,"&lt;&gt;"&amp;"",операции!$AB:$AB,"&lt;"&amp;N$8,операции!$L:$L,Q$9,операции!$O:$O,$F1126)+SUMIFS(операции!$AF:$AF,операции!$T:$T,"&lt;"&amp;N$8,операции!$X:$X,"&gt;="&amp;N$8,операции!$AB:$AB,"&lt;&gt;"&amp;"",операции!$AB:$AB,"&lt;"&amp;N$8,операции!$L:$L,Q$9,операции!$O:$O,$F1126))/Q1131)</f>
        <v>0</v>
      </c>
      <c r="R1132" s="238"/>
      <c r="S1132" s="193">
        <f>IF(S1131=0,0,(SUMIFS(операции!$AF:$AF,операции!$T:$T,"&lt;"&amp;S$8,операции!$X:$X,"",операции!$AB:$AB,"&lt;&gt;"&amp;"",операции!$AB:$AB,"&lt;"&amp;S$8,операции!$O:$O,$F1126)+SUMIFS(операции!$AF:$AF,операции!$T:$T,"&lt;"&amp;S$8,операции!$X:$X,"&gt;="&amp;S$8,операции!$AB:$AB,"&lt;&gt;"&amp;"",операции!$AB:$AB,"&lt;"&amp;S$8,операции!$O:$O,$F1126))/S1131)</f>
        <v>42137.869531427357</v>
      </c>
      <c r="T1132" s="196"/>
      <c r="U1132" s="193">
        <f>IF(U1131=0,0,(SUMIFS(операции!$AF:$AF,операции!$T:$T,"&lt;"&amp;S$8,операции!$X:$X,"",операции!$AB:$AB,"&lt;&gt;"&amp;"",операции!$AB:$AB,"&lt;"&amp;S$8,операции!$L:$L,U$9,операции!$O:$O,$F1126)+SUMIFS(операции!$AF:$AF,операции!$T:$T,"&lt;"&amp;S$8,операции!$X:$X,"&gt;="&amp;S$8,операции!$AB:$AB,"&lt;&gt;"&amp;"",операции!$AB:$AB,"&lt;"&amp;S$8,операции!$L:$L,U$9,операции!$O:$O,$F1126))/U1131)</f>
        <v>42137.869531427357</v>
      </c>
      <c r="V1132" s="237">
        <f>IF(V1131=0,0,(SUMIFS(операции!$AF:$AF,операции!$T:$T,"&lt;"&amp;S$8,операции!$X:$X,"",операции!$AB:$AB,"&lt;&gt;"&amp;"",операции!$AB:$AB,"&lt;"&amp;S$8,операции!$L:$L,V$9,операции!$O:$O,$F1126)+SUMIFS(операции!$AF:$AF,операции!$T:$T,"&lt;"&amp;S$8,операции!$X:$X,"&gt;="&amp;S$8,операции!$AB:$AB,"&lt;&gt;"&amp;"",операции!$AB:$AB,"&lt;"&amp;S$8,операции!$L:$L,V$9,операции!$O:$O,$F1126))/V1131)</f>
        <v>0</v>
      </c>
      <c r="W1132" s="238"/>
      <c r="X1132" s="193">
        <f>IF(X1131=0,0,(SUMIFS(операции!$AF:$AF,операции!$T:$T,"&lt;"&amp;X$8,операции!$X:$X,"",операции!$AB:$AB,"&lt;&gt;"&amp;"",операции!$AB:$AB,"&lt;"&amp;X$8,операции!$O:$O,$F1126)+SUMIFS(операции!$AF:$AF,операции!$T:$T,"&lt;"&amp;X$8,операции!$X:$X,"&gt;="&amp;X$8,операции!$AB:$AB,"&lt;&gt;"&amp;"",операции!$AB:$AB,"&lt;"&amp;X$8,операции!$O:$O,$F1126))/X1131)</f>
        <v>42177.1650634545</v>
      </c>
      <c r="Y1132" s="196"/>
      <c r="Z1132" s="193">
        <f>IF(Z1131=0,0,(SUMIFS(операции!$AF:$AF,операции!$T:$T,"&lt;"&amp;X$8,операции!$X:$X,"",операции!$AB:$AB,"&lt;&gt;"&amp;"",операции!$AB:$AB,"&lt;"&amp;X$8,операции!$L:$L,Z$9,операции!$O:$O,$F1126)+SUMIFS(операции!$AF:$AF,операции!$T:$T,"&lt;"&amp;X$8,операции!$X:$X,"&gt;="&amp;X$8,операции!$AB:$AB,"&lt;&gt;"&amp;"",операции!$AB:$AB,"&lt;"&amp;X$8,операции!$L:$L,Z$9,операции!$O:$O,$F1126))/Z1131)</f>
        <v>42177.1650634545</v>
      </c>
      <c r="AA1132" s="237">
        <f>IF(AA1131=0,0,(SUMIFS(операции!$AF:$AF,операции!$T:$T,"&lt;"&amp;X$8,операции!$X:$X,"",операции!$AB:$AB,"&lt;&gt;"&amp;"",операции!$AB:$AB,"&lt;"&amp;X$8,операции!$L:$L,AA$9,операции!$O:$O,$F1126)+SUMIFS(операции!$AF:$AF,операции!$T:$T,"&lt;"&amp;X$8,операции!$X:$X,"&gt;="&amp;X$8,операции!$AB:$AB,"&lt;&gt;"&amp;"",операции!$AB:$AB,"&lt;"&amp;X$8,операции!$L:$L,AA$9,операции!$O:$O,$F1126))/AA1131)</f>
        <v>0</v>
      </c>
      <c r="AB1132" s="265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</row>
    <row r="1133" spans="1:42" s="192" customFormat="1" ht="11.25">
      <c r="A1133" s="37"/>
      <c r="B1133" s="37"/>
      <c r="C1133" s="37"/>
      <c r="D1133" s="191"/>
      <c r="E1133" s="191" t="s">
        <v>260</v>
      </c>
      <c r="F1133" s="191" t="str">
        <f t="shared" si="1986"/>
        <v>КидсТрейд</v>
      </c>
      <c r="G1133" s="191" t="s">
        <v>219</v>
      </c>
      <c r="H1133" s="315"/>
      <c r="I1133" s="329">
        <f>IF(I1131=0,0,I$8-I1132)</f>
        <v>140.62882398211514</v>
      </c>
      <c r="J1133" s="317"/>
      <c r="K1133" s="329">
        <f>IF(K1131=0,0,I$8-K1132)</f>
        <v>140.62882398211514</v>
      </c>
      <c r="L1133" s="330">
        <f>IF(L1131=0,0,I$8-L1132)</f>
        <v>0</v>
      </c>
      <c r="M1133" s="274"/>
      <c r="N1133" s="156">
        <f>IF(N1131=0,0,N$8-N1132)</f>
        <v>140.62882398211514</v>
      </c>
      <c r="O1133" s="196"/>
      <c r="P1133" s="156">
        <f>IF(P1131=0,0,N$8-P1132)</f>
        <v>140.62882398211514</v>
      </c>
      <c r="Q1133" s="245">
        <f>IF(Q1131=0,0,N$8-Q1132)</f>
        <v>0</v>
      </c>
      <c r="R1133" s="238"/>
      <c r="S1133" s="156">
        <f>IF(S1131=0,0,S$8-S1132)</f>
        <v>171.13046857264271</v>
      </c>
      <c r="T1133" s="196"/>
      <c r="U1133" s="156">
        <f>IF(U1131=0,0,S$8-U1132)</f>
        <v>171.13046857264271</v>
      </c>
      <c r="V1133" s="245">
        <f>IF(V1131=0,0,S$8-V1132)</f>
        <v>0</v>
      </c>
      <c r="W1133" s="238"/>
      <c r="X1133" s="156">
        <f>IF(X1131=0,0,X$8-X1132)</f>
        <v>161.83493654549966</v>
      </c>
      <c r="Y1133" s="196"/>
      <c r="Z1133" s="156">
        <f>IF(Z1131=0,0,X$8-Z1132)</f>
        <v>161.83493654549966</v>
      </c>
      <c r="AA1133" s="245">
        <f>IF(AA1131=0,0,X$8-AA1132)</f>
        <v>0</v>
      </c>
      <c r="AB1133" s="265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</row>
    <row r="1134" spans="1:42" s="192" customFormat="1" ht="11.25">
      <c r="A1134" s="37"/>
      <c r="B1134" s="37"/>
      <c r="C1134" s="37"/>
      <c r="D1134" s="191"/>
      <c r="E1134" s="191" t="s">
        <v>259</v>
      </c>
      <c r="F1134" s="191" t="str">
        <f t="shared" si="1986"/>
        <v>КидсТрейд</v>
      </c>
      <c r="G1134" s="191" t="s">
        <v>262</v>
      </c>
      <c r="H1134" s="315"/>
      <c r="I1134" s="316">
        <f>IF(I1131=0,0,(SUMIFS(операции!$AH:$AH,операции!$T:$T,"&lt;"&amp;I$8,операции!$X:$X,"",операции!$AB:$AB,"&lt;&gt;"&amp;"",операции!$AB:$AB,"&lt;"&amp;I$8,операции!$O:$O,$F1126)+SUMIFS(операции!$AH:$AH,операции!$T:$T,"&lt;"&amp;I$8,операции!$X:$X,"&gt;="&amp;I$8,операции!$AB:$AB,"&lt;&gt;"&amp;"",операции!$AB:$AB,"&lt;"&amp;I$8,операции!$O:$O,$F1126))/I1131)</f>
        <v>42164.959933596787</v>
      </c>
      <c r="J1134" s="317"/>
      <c r="K1134" s="316">
        <f>IF(K1131=0,0,(SUMIFS(операции!$AH:$AH,операции!$T:$T,"&lt;"&amp;I$8,операции!$X:$X,"",операции!$AB:$AB,"&lt;&gt;"&amp;"",операции!$AB:$AB,"&lt;"&amp;I$8,операции!$L:$L,K$9,операции!$O:$O,$F1126)+SUMIFS(операции!$AH:$AH,операции!$T:$T,"&lt;"&amp;I$8,операции!$X:$X,"&gt;="&amp;I$8,операции!$AB:$AB,"&lt;&gt;"&amp;"",операции!$AB:$AB,"&lt;"&amp;I$8,операции!$L:$L,K$9,операции!$O:$O,$F1126))/K1131)</f>
        <v>42164.959933596787</v>
      </c>
      <c r="L1134" s="318">
        <f>IF(L1131=0,0,(SUMIFS(операции!$AH:$AH,операции!$T:$T,"&lt;"&amp;I$8,операции!$X:$X,"",операции!$AB:$AB,"&lt;&gt;"&amp;"",операции!$AB:$AB,"&lt;"&amp;I$8,операции!$L:$L,L$9,операции!$O:$O,$F1126)+SUMIFS(операции!$AH:$AH,операции!$T:$T,"&lt;"&amp;I$8,операции!$X:$X,"&gt;="&amp;I$8,операции!$AB:$AB,"&lt;&gt;"&amp;"",операции!$AB:$AB,"&lt;"&amp;I$8,операции!$L:$L,L$9,операции!$O:$O,$F1126))/L1131)</f>
        <v>0</v>
      </c>
      <c r="M1134" s="274"/>
      <c r="N1134" s="193">
        <f>IF(N1131=0,0,(SUMIFS(операции!$AH:$AH,операции!$T:$T,"&lt;"&amp;N$8,операции!$X:$X,"",операции!$AB:$AB,"&lt;&gt;"&amp;"",операции!$AB:$AB,"&lt;"&amp;N$8,операции!$O:$O,$F1126)+SUMIFS(операции!$AH:$AH,операции!$T:$T,"&lt;"&amp;N$8,операции!$X:$X,"&gt;="&amp;N$8,операции!$AB:$AB,"&lt;&gt;"&amp;"",операции!$AB:$AB,"&lt;"&amp;N$8,операции!$O:$O,$F1126))/N1131)</f>
        <v>42164.959933596787</v>
      </c>
      <c r="O1134" s="196"/>
      <c r="P1134" s="193">
        <f>IF(P1131=0,0,(SUMIFS(операции!$AH:$AH,операции!$T:$T,"&lt;"&amp;N$8,операции!$X:$X,"",операции!$AB:$AB,"&lt;&gt;"&amp;"",операции!$AB:$AB,"&lt;"&amp;N$8,операции!$L:$L,P$9,операции!$O:$O,$F1126)+SUMIFS(операции!$AH:$AH,операции!$T:$T,"&lt;"&amp;N$8,операции!$X:$X,"&gt;="&amp;N$8,операции!$AB:$AB,"&lt;&gt;"&amp;"",операции!$AB:$AB,"&lt;"&amp;N$8,операции!$L:$L,P$9,операции!$O:$O,$F1126))/P1131)</f>
        <v>42164.959933596787</v>
      </c>
      <c r="Q1134" s="237">
        <f>IF(Q1131=0,0,(SUMIFS(операции!$AH:$AH,операции!$T:$T,"&lt;"&amp;N$8,операции!$X:$X,"",операции!$AB:$AB,"&lt;&gt;"&amp;"",операции!$AB:$AB,"&lt;"&amp;N$8,операции!$L:$L,Q$9,операции!$O:$O,$F1126)+SUMIFS(операции!$AH:$AH,операции!$T:$T,"&lt;"&amp;N$8,операции!$X:$X,"&gt;="&amp;N$8,операции!$AB:$AB,"&lt;&gt;"&amp;"",операции!$AB:$AB,"&lt;"&amp;N$8,операции!$L:$L,Q$9,операции!$O:$O,$F1126))/Q1131)</f>
        <v>0</v>
      </c>
      <c r="R1134" s="238"/>
      <c r="S1134" s="193">
        <f>IF(S1131=0,0,(SUMIFS(операции!$AH:$AH,операции!$T:$T,"&lt;"&amp;S$8,операции!$X:$X,"",операции!$AB:$AB,"&lt;&gt;"&amp;"",операции!$AB:$AB,"&lt;"&amp;S$8,операции!$O:$O,$F1126)+SUMIFS(операции!$AH:$AH,операции!$T:$T,"&lt;"&amp;S$8,операции!$X:$X,"&gt;="&amp;S$8,операции!$AB:$AB,"&lt;&gt;"&amp;"",операции!$AB:$AB,"&lt;"&amp;S$8,операции!$O:$O,$F1126))/S1131)</f>
        <v>42165.571529369903</v>
      </c>
      <c r="T1134" s="196"/>
      <c r="U1134" s="193">
        <f>IF(U1131=0,0,(SUMIFS(операции!$AH:$AH,операции!$T:$T,"&lt;"&amp;S$8,операции!$X:$X,"",операции!$AB:$AB,"&lt;&gt;"&amp;"",операции!$AB:$AB,"&lt;"&amp;S$8,операции!$L:$L,U$9,операции!$O:$O,$F1126)+SUMIFS(операции!$AH:$AH,операции!$T:$T,"&lt;"&amp;S$8,операции!$X:$X,"&gt;="&amp;S$8,операции!$AB:$AB,"&lt;&gt;"&amp;"",операции!$AB:$AB,"&lt;"&amp;S$8,операции!$L:$L,U$9,операции!$O:$O,$F1126))/U1131)</f>
        <v>42165.571529369903</v>
      </c>
      <c r="V1134" s="237">
        <f>IF(V1131=0,0,(SUMIFS(операции!$AH:$AH,операции!$T:$T,"&lt;"&amp;S$8,операции!$X:$X,"",операции!$AB:$AB,"&lt;&gt;"&amp;"",операции!$AB:$AB,"&lt;"&amp;S$8,операции!$L:$L,V$9,операции!$O:$O,$F1126)+SUMIFS(операции!$AH:$AH,операции!$T:$T,"&lt;"&amp;S$8,операции!$X:$X,"&gt;="&amp;S$8,операции!$AB:$AB,"&lt;&gt;"&amp;"",операции!$AB:$AB,"&lt;"&amp;S$8,операции!$L:$L,V$9,операции!$O:$O,$F1126))/V1131)</f>
        <v>0</v>
      </c>
      <c r="W1134" s="238"/>
      <c r="X1134" s="193">
        <f>IF(X1131=0,0,(SUMIFS(операции!$AH:$AH,операции!$T:$T,"&lt;"&amp;X$8,операции!$X:$X,"",операции!$AB:$AB,"&lt;&gt;"&amp;"",операции!$AB:$AB,"&lt;"&amp;X$8,операции!$O:$O,$F1126)+SUMIFS(операции!$AH:$AH,операции!$T:$T,"&lt;"&amp;X$8,операции!$X:$X,"&gt;="&amp;X$8,операции!$AB:$AB,"&lt;&gt;"&amp;"",операции!$AB:$AB,"&lt;"&amp;X$8,операции!$O:$O,$F1126))/X1131)</f>
        <v>42198.617755161431</v>
      </c>
      <c r="Y1134" s="196"/>
      <c r="Z1134" s="193">
        <f>IF(Z1131=0,0,(SUMIFS(операции!$AH:$AH,операции!$T:$T,"&lt;"&amp;X$8,операции!$X:$X,"",операции!$AB:$AB,"&lt;&gt;"&amp;"",операции!$AB:$AB,"&lt;"&amp;X$8,операции!$L:$L,Z$9,операции!$O:$O,$F1126)+SUMIFS(операции!$AH:$AH,операции!$T:$T,"&lt;"&amp;X$8,операции!$X:$X,"&gt;="&amp;X$8,операции!$AB:$AB,"&lt;&gt;"&amp;"",операции!$AB:$AB,"&lt;"&amp;X$8,операции!$L:$L,Z$9,операции!$O:$O,$F1126))/Z1131)</f>
        <v>42198.617755161431</v>
      </c>
      <c r="AA1134" s="237">
        <f>IF(AA1131=0,0,(SUMIFS(операции!$AH:$AH,операции!$T:$T,"&lt;"&amp;X$8,операции!$X:$X,"",операции!$AB:$AB,"&lt;&gt;"&amp;"",операции!$AB:$AB,"&lt;"&amp;X$8,операции!$L:$L,AA$9,операции!$O:$O,$F1126)+SUMIFS(операции!$AH:$AH,операции!$T:$T,"&lt;"&amp;X$8,операции!$X:$X,"&gt;="&amp;X$8,операции!$AB:$AB,"&lt;&gt;"&amp;"",операции!$AB:$AB,"&lt;"&amp;X$8,операции!$L:$L,AA$9,операции!$O:$O,$F1126))/AA1131)</f>
        <v>0</v>
      </c>
      <c r="AB1134" s="265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</row>
    <row r="1135" spans="1:42" s="192" customFormat="1" ht="11.25">
      <c r="A1135" s="37"/>
      <c r="B1135" s="37"/>
      <c r="C1135" s="37"/>
      <c r="D1135" s="191"/>
      <c r="E1135" s="191" t="s">
        <v>265</v>
      </c>
      <c r="F1135" s="191" t="str">
        <f t="shared" si="1986"/>
        <v>КидсТрейд</v>
      </c>
      <c r="G1135" s="191" t="s">
        <v>219</v>
      </c>
      <c r="H1135" s="315"/>
      <c r="I1135" s="329">
        <f>I1134-I1132</f>
        <v>27.588757578902005</v>
      </c>
      <c r="J1135" s="317"/>
      <c r="K1135" s="329">
        <f t="shared" ref="K1135" si="1999">K1134-K1132</f>
        <v>27.588757578902005</v>
      </c>
      <c r="L1135" s="330">
        <f>L1134-L1132</f>
        <v>0</v>
      </c>
      <c r="M1135" s="274"/>
      <c r="N1135" s="156">
        <f>N1134-N1132</f>
        <v>27.588757578902005</v>
      </c>
      <c r="O1135" s="196"/>
      <c r="P1135" s="156">
        <f t="shared" ref="P1135" si="2000">P1134-P1132</f>
        <v>27.588757578902005</v>
      </c>
      <c r="Q1135" s="245">
        <f>Q1134-Q1132</f>
        <v>0</v>
      </c>
      <c r="R1135" s="238"/>
      <c r="S1135" s="156">
        <f>S1134-S1132</f>
        <v>27.701997942545859</v>
      </c>
      <c r="T1135" s="196"/>
      <c r="U1135" s="156">
        <f t="shared" ref="U1135" si="2001">U1134-U1132</f>
        <v>27.701997942545859</v>
      </c>
      <c r="V1135" s="245">
        <f>V1134-V1132</f>
        <v>0</v>
      </c>
      <c r="W1135" s="238"/>
      <c r="X1135" s="156">
        <f>X1134-X1132</f>
        <v>21.452691706930636</v>
      </c>
      <c r="Y1135" s="196"/>
      <c r="Z1135" s="156">
        <f t="shared" ref="Z1135" si="2002">Z1134-Z1132</f>
        <v>21.452691706930636</v>
      </c>
      <c r="AA1135" s="245">
        <f>AA1134-AA1132</f>
        <v>0</v>
      </c>
      <c r="AB1135" s="265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</row>
    <row r="1136" spans="1:42" s="192" customFormat="1" ht="11.25">
      <c r="A1136" s="37"/>
      <c r="B1136" s="37"/>
      <c r="C1136" s="37"/>
      <c r="D1136" s="191"/>
      <c r="E1136" s="191" t="s">
        <v>268</v>
      </c>
      <c r="F1136" s="191" t="str">
        <f t="shared" si="1986"/>
        <v>КидсТрейд</v>
      </c>
      <c r="G1136" s="191" t="s">
        <v>219</v>
      </c>
      <c r="H1136" s="315"/>
      <c r="I1136" s="329">
        <f>I1133-I1135</f>
        <v>113.04006640321313</v>
      </c>
      <c r="J1136" s="317"/>
      <c r="K1136" s="329">
        <f t="shared" ref="K1136" si="2003">K1133-K1135</f>
        <v>113.04006640321313</v>
      </c>
      <c r="L1136" s="330">
        <f t="shared" ref="L1136" si="2004">L1133-L1135</f>
        <v>0</v>
      </c>
      <c r="M1136" s="274"/>
      <c r="N1136" s="156">
        <f>N1133-N1135</f>
        <v>113.04006640321313</v>
      </c>
      <c r="O1136" s="196"/>
      <c r="P1136" s="156">
        <f t="shared" ref="P1136" si="2005">P1133-P1135</f>
        <v>113.04006640321313</v>
      </c>
      <c r="Q1136" s="245">
        <f t="shared" ref="Q1136" si="2006">Q1133-Q1135</f>
        <v>0</v>
      </c>
      <c r="R1136" s="238"/>
      <c r="S1136" s="156">
        <f>S1133-S1135</f>
        <v>143.42847063009685</v>
      </c>
      <c r="T1136" s="196"/>
      <c r="U1136" s="156">
        <f t="shared" ref="U1136" si="2007">U1133-U1135</f>
        <v>143.42847063009685</v>
      </c>
      <c r="V1136" s="245">
        <f t="shared" ref="V1136" si="2008">V1133-V1135</f>
        <v>0</v>
      </c>
      <c r="W1136" s="238"/>
      <c r="X1136" s="156">
        <f>X1133-X1135</f>
        <v>140.38224483856902</v>
      </c>
      <c r="Y1136" s="196"/>
      <c r="Z1136" s="156">
        <f t="shared" ref="Z1136" si="2009">Z1133-Z1135</f>
        <v>140.38224483856902</v>
      </c>
      <c r="AA1136" s="245">
        <f t="shared" ref="AA1136" si="2010">AA1133-AA1135</f>
        <v>0</v>
      </c>
      <c r="AB1136" s="265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</row>
    <row r="1137" spans="1:42" s="5" customFormat="1">
      <c r="A1137" s="1"/>
      <c r="B1137" s="1"/>
      <c r="C1137" s="1"/>
      <c r="D1137" s="168"/>
      <c r="E1137" s="168" t="s">
        <v>276</v>
      </c>
      <c r="F1137" s="168" t="str">
        <f t="shared" si="1986"/>
        <v>КидсТрейд</v>
      </c>
      <c r="G1137" s="168" t="s">
        <v>261</v>
      </c>
      <c r="H1137" s="326"/>
      <c r="I1137" s="327">
        <f>SUMIFS(операции!$V:$V,операции!$T:$T,"&lt;"&amp;I$8,операции!$X:$X,"",операции!$AB:$AB,"",операции!$O:$O,$F1126)+SUMIFS(операции!$V:$V,операции!$T:$T,"&lt;"&amp;I$8,операции!$X:$X,"&gt;="&amp;I$8,операции!$AB:$AB,"",операции!$O:$O,$F1126)+SUMIFS(операции!$V:$V,операции!$T:$T,"&lt;"&amp;I$8,операции!$X:$X,"",операции!$AB:$AB,"&gt;="&amp;I$8,операции!$O:$O,$F1126)+SUMIFS(операции!$V:$V,операции!$T:$T,"&lt;"&amp;I$8,операции!$X:$X,"&gt;="&amp;I$8,операции!$AB:$AB,"&gt;="&amp;I$8,операции!$O:$O,$F1126)</f>
        <v>39645.71</v>
      </c>
      <c r="J1137" s="313">
        <f>I1137-K1137-L1137</f>
        <v>0</v>
      </c>
      <c r="K1137" s="327">
        <f>SUMIFS(операции!$V:$V,операции!$T:$T,"&lt;"&amp;I$8,операции!$X:$X,"",операции!$AB:$AB,"",операции!$L:$L,K$9,операции!$O:$O,$F1126)+SUMIFS(операции!$V:$V,операции!$T:$T,"&lt;"&amp;I$8,операции!$X:$X,"&gt;="&amp;I$8,операции!$AB:$AB,"",операции!$L:$L,K$9,операции!$O:$O,$F1126)+SUMIFS(операции!$V:$V,операции!$T:$T,"&lt;"&amp;I$8,операции!$X:$X,"",операции!$AB:$AB,"&gt;="&amp;I$8,операции!$L:$L,K$9,операции!$O:$O,$F1126)+SUMIFS(операции!$V:$V,операции!$T:$T,"&lt;"&amp;I$8,операции!$X:$X,"&gt;="&amp;I$8,операции!$AB:$AB,"&gt;="&amp;I$8,операции!$L:$L,K$9,операции!$O:$O,$F1126)</f>
        <v>39645.71</v>
      </c>
      <c r="L1137" s="328">
        <f>SUMIFS(операции!$V:$V,операции!$T:$T,"&lt;"&amp;I$8,операции!$X:$X,"",операции!$AB:$AB,"",операции!$L:$L,L$9,операции!$O:$O,$F1126)+SUMIFS(операции!$V:$V,операции!$T:$T,"&lt;"&amp;I$8,операции!$X:$X,"&gt;="&amp;I$8,операции!$AB:$AB,"",операции!$L:$L,L$9,операции!$O:$O,$F1126)+SUMIFS(операции!$V:$V,операции!$T:$T,"&lt;"&amp;I$8,операции!$X:$X,"",операции!$AB:$AB,"&gt;="&amp;I$8,операции!$L:$L,L$9,операции!$O:$O,$F1126)+SUMIFS(операции!$V:$V,операции!$T:$T,"&lt;"&amp;I$8,операции!$X:$X,"&gt;="&amp;I$8,операции!$AB:$AB,"&gt;="&amp;I$8,операции!$L:$L,L$9,операции!$O:$O,$F1126)</f>
        <v>0</v>
      </c>
      <c r="M1137" s="277"/>
      <c r="N1137" s="169">
        <f>SUMIFS(операции!$V:$V,операции!$T:$T,"&lt;"&amp;N$8,операции!$X:$X,"",операции!$AB:$AB,"",операции!$O:$O,$F1126)+SUMIFS(операции!$V:$V,операции!$T:$T,"&lt;"&amp;N$8,операции!$X:$X,"&gt;="&amp;N$8,операции!$AB:$AB,"",операции!$O:$O,$F1126)+SUMIFS(операции!$V:$V,операции!$T:$T,"&lt;"&amp;N$8,операции!$X:$X,"",операции!$AB:$AB,"&gt;="&amp;N$8,операции!$O:$O,$F1126)+SUMIFS(операции!$V:$V,операции!$T:$T,"&lt;"&amp;N$8,операции!$X:$X,"&gt;="&amp;N$8,операции!$AB:$AB,"&gt;="&amp;N$8,операции!$O:$O,$F1126)</f>
        <v>39645.71</v>
      </c>
      <c r="O1137" s="170">
        <f>N1137-P1137-Q1137</f>
        <v>0</v>
      </c>
      <c r="P1137" s="169">
        <f>SUMIFS(операции!$V:$V,операции!$T:$T,"&lt;"&amp;N$8,операции!$X:$X,"",операции!$AB:$AB,"",операции!$L:$L,P$9,операции!$O:$O,$F1126)+SUMIFS(операции!$V:$V,операции!$T:$T,"&lt;"&amp;N$8,операции!$X:$X,"&gt;="&amp;N$8,операции!$AB:$AB,"",операции!$L:$L,P$9,операции!$O:$O,$F1126)+SUMIFS(операции!$V:$V,операции!$T:$T,"&lt;"&amp;N$8,операции!$X:$X,"",операции!$AB:$AB,"&gt;="&amp;N$8,операции!$L:$L,P$9,операции!$O:$O,$F1126)+SUMIFS(операции!$V:$V,операции!$T:$T,"&lt;"&amp;N$8,операции!$X:$X,"&gt;="&amp;N$8,операции!$AB:$AB,"&gt;="&amp;N$8,операции!$L:$L,P$9,операции!$O:$O,$F1126)</f>
        <v>39645.71</v>
      </c>
      <c r="Q1137" s="243">
        <f>SUMIFS(операции!$V:$V,операции!$T:$T,"&lt;"&amp;N$8,операции!$X:$X,"",операции!$AB:$AB,"",операции!$L:$L,Q$9,операции!$O:$O,$F1126)+SUMIFS(операции!$V:$V,операции!$T:$T,"&lt;"&amp;N$8,операции!$X:$X,"&gt;="&amp;N$8,операции!$AB:$AB,"",операции!$L:$L,Q$9,операции!$O:$O,$F1126)+SUMIFS(операции!$V:$V,операции!$T:$T,"&lt;"&amp;N$8,операции!$X:$X,"",операции!$AB:$AB,"&gt;="&amp;N$8,операции!$L:$L,Q$9,операции!$O:$O,$F1126)+SUMIFS(операции!$V:$V,операции!$T:$T,"&lt;"&amp;N$8,операции!$X:$X,"&gt;="&amp;N$8,операции!$AB:$AB,"&gt;="&amp;N$8,операции!$L:$L,Q$9,операции!$O:$O,$F1126)</f>
        <v>0</v>
      </c>
      <c r="R1137" s="244"/>
      <c r="S1137" s="169">
        <f>SUMIFS(операции!$V:$V,операции!$T:$T,"&lt;"&amp;S$8,операции!$X:$X,"",операции!$AB:$AB,"",операции!$O:$O,$F1126)+SUMIFS(операции!$V:$V,операции!$T:$T,"&lt;"&amp;S$8,операции!$X:$X,"&gt;="&amp;S$8,операции!$AB:$AB,"",операции!$O:$O,$F1126)+SUMIFS(операции!$V:$V,операции!$T:$T,"&lt;"&amp;S$8,операции!$X:$X,"",операции!$AB:$AB,"&gt;="&amp;S$8,операции!$O:$O,$F1126)+SUMIFS(операции!$V:$V,операции!$T:$T,"&lt;"&amp;S$8,операции!$X:$X,"&gt;="&amp;S$8,операции!$AB:$AB,"&gt;="&amp;S$8,операции!$O:$O,$F1126)</f>
        <v>9353.2799999999988</v>
      </c>
      <c r="T1137" s="170">
        <f>S1137-U1137-V1137</f>
        <v>-1.7621459846850485E-12</v>
      </c>
      <c r="U1137" s="169">
        <f>SUMIFS(операции!$V:$V,операции!$T:$T,"&lt;"&amp;S$8,операции!$X:$X,"",операции!$AB:$AB,"",операции!$L:$L,U$9,операции!$O:$O,$F1126)+SUMIFS(операции!$V:$V,операции!$T:$T,"&lt;"&amp;S$8,операции!$X:$X,"&gt;="&amp;S$8,операции!$AB:$AB,"",операции!$L:$L,U$9,операции!$O:$O,$F1126)+SUMIFS(операции!$V:$V,операции!$T:$T,"&lt;"&amp;S$8,операции!$X:$X,"",операции!$AB:$AB,"&gt;="&amp;S$8,операции!$L:$L,U$9,операции!$O:$O,$F1126)+SUMIFS(операции!$V:$V,операции!$T:$T,"&lt;"&amp;S$8,операции!$X:$X,"&gt;="&amp;S$8,операции!$AB:$AB,"&gt;="&amp;S$8,операции!$L:$L,U$9,операции!$O:$O,$F1126)</f>
        <v>8996.86</v>
      </c>
      <c r="V1137" s="243">
        <f>SUMIFS(операции!$V:$V,операции!$T:$T,"&lt;"&amp;S$8,операции!$X:$X,"",операции!$AB:$AB,"",операции!$L:$L,V$9,операции!$O:$O,$F1126)+SUMIFS(операции!$V:$V,операции!$T:$T,"&lt;"&amp;S$8,операции!$X:$X,"&gt;="&amp;S$8,операции!$AB:$AB,"",операции!$L:$L,V$9,операции!$O:$O,$F1126)+SUMIFS(операции!$V:$V,операции!$T:$T,"&lt;"&amp;S$8,операции!$X:$X,"",операции!$AB:$AB,"&gt;="&amp;S$8,операции!$L:$L,V$9,операции!$O:$O,$F1126)+SUMIFS(операции!$V:$V,операции!$T:$T,"&lt;"&amp;S$8,операции!$X:$X,"&gt;="&amp;S$8,операции!$AB:$AB,"&gt;="&amp;S$8,операции!$L:$L,V$9,операции!$O:$O,$F1126)</f>
        <v>356.42</v>
      </c>
      <c r="W1137" s="244"/>
      <c r="X1137" s="169">
        <f>SUMIFS(операции!$V:$V,операции!$T:$T,"&lt;"&amp;X$8,операции!$X:$X,"",операции!$AB:$AB,"",операции!$O:$O,$F1126)+SUMIFS(операции!$V:$V,операции!$T:$T,"&lt;"&amp;X$8,операции!$X:$X,"&gt;="&amp;X$8,операции!$AB:$AB,"",операции!$O:$O,$F1126)+SUMIFS(операции!$V:$V,операции!$T:$T,"&lt;"&amp;X$8,операции!$X:$X,"",операции!$AB:$AB,"&gt;="&amp;X$8,операции!$O:$O,$F1126)+SUMIFS(операции!$V:$V,операции!$T:$T,"&lt;"&amp;X$8,операции!$X:$X,"&gt;="&amp;X$8,операции!$AB:$AB,"&gt;="&amp;X$8,операции!$O:$O,$F1126)</f>
        <v>20927.659999999996</v>
      </c>
      <c r="Y1137" s="170">
        <f>X1137-Z1137-AA1137</f>
        <v>0</v>
      </c>
      <c r="Z1137" s="169">
        <f>SUMIFS(операции!$V:$V,операции!$T:$T,"&lt;"&amp;X$8,операции!$X:$X,"",операции!$AB:$AB,"",операции!$L:$L,Z$9,операции!$O:$O,$F1126)+SUMIFS(операции!$V:$V,операции!$T:$T,"&lt;"&amp;X$8,операции!$X:$X,"&gt;="&amp;X$8,операции!$AB:$AB,"",операции!$L:$L,Z$9,операции!$O:$O,$F1126)+SUMIFS(операции!$V:$V,операции!$T:$T,"&lt;"&amp;X$8,операции!$X:$X,"",операции!$AB:$AB,"&gt;="&amp;X$8,операции!$L:$L,Z$9,операции!$O:$O,$F1126)+SUMIFS(операции!$V:$V,операции!$T:$T,"&lt;"&amp;X$8,операции!$X:$X,"&gt;="&amp;X$8,операции!$AB:$AB,"&gt;="&amp;X$8,операции!$L:$L,Z$9,операции!$O:$O,$F1126)</f>
        <v>0</v>
      </c>
      <c r="AA1137" s="243">
        <f>SUMIFS(операции!$V:$V,операции!$T:$T,"&lt;"&amp;X$8,операции!$X:$X,"",операции!$AB:$AB,"",операции!$L:$L,AA$9,операции!$O:$O,$F1126)+SUMIFS(операции!$V:$V,операции!$T:$T,"&lt;"&amp;X$8,операции!$X:$X,"&gt;="&amp;X$8,операции!$AB:$AB,"",операции!$L:$L,AA$9,операции!$O:$O,$F1126)+SUMIFS(операции!$V:$V,операции!$T:$T,"&lt;"&amp;X$8,операции!$X:$X,"",операции!$AB:$AB,"&gt;="&amp;X$8,операции!$L:$L,AA$9,операции!$O:$O,$F1126)+SUMIFS(операции!$V:$V,операции!$T:$T,"&lt;"&amp;X$8,операции!$X:$X,"&gt;="&amp;X$8,операции!$AB:$AB,"&gt;="&amp;X$8,операции!$L:$L,AA$9,операции!$O:$O,$F1126)</f>
        <v>20927.659999999996</v>
      </c>
      <c r="AB1137" s="266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</row>
    <row r="1138" spans="1:42" s="192" customFormat="1" ht="11.25">
      <c r="A1138" s="37"/>
      <c r="B1138" s="37"/>
      <c r="C1138" s="37"/>
      <c r="D1138" s="191"/>
      <c r="E1138" s="191" t="s">
        <v>255</v>
      </c>
      <c r="F1138" s="191" t="str">
        <f t="shared" si="1986"/>
        <v>КидсТрейд</v>
      </c>
      <c r="G1138" s="191" t="s">
        <v>262</v>
      </c>
      <c r="H1138" s="315"/>
      <c r="I1138" s="316">
        <f>IF(I1137=0,0,(SUMIFS(операции!$AF:$AF,операции!$T:$T,"&lt;"&amp;I$8,операции!$X:$X,"",операции!$AB:$AB,"",операции!$O:$O,$F1126)+SUMIFS(операции!$AF:$AF,операции!$T:$T,"&lt;"&amp;I$8,операции!$X:$X,"&gt;="&amp;I$8,операции!$AB:$AB,"",операции!$O:$O,$F1126)+SUMIFS(операции!$AF:$AF,операции!$T:$T,"&lt;"&amp;I$8,операции!$X:$X,"",операции!$AB:$AB,"&gt;="&amp;I$8,операции!$O:$O,$F1126)+SUMIFS(операции!$AF:$AF,операции!$T:$T,"&lt;"&amp;I$8,операции!$X:$X,"&gt;="&amp;I$8,операции!$AB:$AB,"&gt;="&amp;I$8,операции!$O:$O,$F1126))/I1137)</f>
        <v>42234.299996140813</v>
      </c>
      <c r="J1138" s="317"/>
      <c r="K1138" s="316">
        <f>IF(K1137=0,0,(SUMIFS(операции!$AF:$AF,операции!$T:$T,"&lt;"&amp;I$8,операции!$X:$X,"",операции!$AB:$AB,"",операции!$L:$L,K$9,операции!$O:$O,$F1126)+SUMIFS(операции!$AF:$AF,операции!$T:$T,"&lt;"&amp;I$8,операции!$X:$X,"&gt;="&amp;I$8,операции!$AB:$AB,"",операции!$L:$L,K$9,операции!$O:$O,$F1126)+SUMIFS(операции!$AF:$AF,операции!$T:$T,"&lt;"&amp;I$8,операции!$X:$X,"",операции!$AB:$AB,"&gt;="&amp;I$8,операции!$L:$L,K$9,операции!$O:$O,$F1126)+SUMIFS(операции!$AF:$AF,операции!$T:$T,"&lt;"&amp;I$8,операции!$X:$X,"&gt;="&amp;I$8,операции!$AB:$AB,"&gt;="&amp;I$8,операции!$L:$L,K$9,операции!$O:$O,$F1126))/K1137)</f>
        <v>42234.299996140813</v>
      </c>
      <c r="L1138" s="318">
        <f>IF(L1137=0,0,(SUMIFS(операции!$AF:$AF,операции!$T:$T,"&lt;"&amp;I$8,операции!$X:$X,"",операции!$AB:$AB,"",операции!$L:$L,L$9,операции!$O:$O,$F1126)+SUMIFS(операции!$AF:$AF,операции!$T:$T,"&lt;"&amp;I$8,операции!$X:$X,"&gt;="&amp;I$8,операции!$AB:$AB,"",операции!$L:$L,L$9,операции!$O:$O,$F1126)+SUMIFS(операции!$AF:$AF,операции!$T:$T,"&lt;"&amp;I$8,операции!$X:$X,"",операции!$AB:$AB,"&gt;="&amp;I$8,операции!$L:$L,L$9,операции!$O:$O,$F1126)+SUMIFS(операции!$AF:$AF,операции!$T:$T,"&lt;"&amp;I$8,операции!$X:$X,"&gt;="&amp;I$8,операции!$AB:$AB,"&gt;="&amp;I$8,операции!$L:$L,L$9,операции!$O:$O,$F1126))/L1137)</f>
        <v>0</v>
      </c>
      <c r="M1138" s="274"/>
      <c r="N1138" s="193">
        <f>IF(N1137=0,0,(SUMIFS(операции!$AF:$AF,операции!$T:$T,"&lt;"&amp;N$8,операции!$X:$X,"",операции!$AB:$AB,"",операции!$O:$O,$F1126)+SUMIFS(операции!$AF:$AF,операции!$T:$T,"&lt;"&amp;N$8,операции!$X:$X,"&gt;="&amp;N$8,операции!$AB:$AB,"",операции!$O:$O,$F1126)+SUMIFS(операции!$AF:$AF,операции!$T:$T,"&lt;"&amp;N$8,операции!$X:$X,"",операции!$AB:$AB,"&gt;="&amp;N$8,операции!$O:$O,$F1126)+SUMIFS(операции!$AF:$AF,операции!$T:$T,"&lt;"&amp;N$8,операции!$X:$X,"&gt;="&amp;N$8,операции!$AB:$AB,"&gt;="&amp;N$8,операции!$O:$O,$F1126))/N1137)</f>
        <v>42234.299996140813</v>
      </c>
      <c r="O1138" s="196"/>
      <c r="P1138" s="193">
        <f>IF(P1137=0,0,(SUMIFS(операции!$AF:$AF,операции!$T:$T,"&lt;"&amp;N$8,операции!$X:$X,"",операции!$AB:$AB,"",операции!$L:$L,P$9,операции!$O:$O,$F1126)+SUMIFS(операции!$AF:$AF,операции!$T:$T,"&lt;"&amp;N$8,операции!$X:$X,"&gt;="&amp;N$8,операции!$AB:$AB,"",операции!$L:$L,P$9,операции!$O:$O,$F1126)+SUMIFS(операции!$AF:$AF,операции!$T:$T,"&lt;"&amp;N$8,операции!$X:$X,"",операции!$AB:$AB,"&gt;="&amp;N$8,операции!$L:$L,P$9,операции!$O:$O,$F1126)+SUMIFS(операции!$AF:$AF,операции!$T:$T,"&lt;"&amp;N$8,операции!$X:$X,"&gt;="&amp;N$8,операции!$AB:$AB,"&gt;="&amp;N$8,операции!$L:$L,P$9,операции!$O:$O,$F1126))/P1137)</f>
        <v>42234.299996140813</v>
      </c>
      <c r="Q1138" s="237">
        <f>IF(Q1137=0,0,(SUMIFS(операции!$AF:$AF,операции!$T:$T,"&lt;"&amp;N$8,операции!$X:$X,"",операции!$AB:$AB,"",операции!$L:$L,Q$9,операции!$O:$O,$F1126)+SUMIFS(операции!$AF:$AF,операции!$T:$T,"&lt;"&amp;N$8,операции!$X:$X,"&gt;="&amp;N$8,операции!$AB:$AB,"",операции!$L:$L,Q$9,операции!$O:$O,$F1126)+SUMIFS(операции!$AF:$AF,операции!$T:$T,"&lt;"&amp;N$8,операции!$X:$X,"",операции!$AB:$AB,"&gt;="&amp;N$8,операции!$L:$L,Q$9,операции!$O:$O,$F1126)+SUMIFS(операции!$AF:$AF,операции!$T:$T,"&lt;"&amp;N$8,операции!$X:$X,"&gt;="&amp;N$8,операции!$AB:$AB,"&gt;="&amp;N$8,операции!$L:$L,Q$9,операции!$O:$O,$F1126))/Q1137)</f>
        <v>0</v>
      </c>
      <c r="R1138" s="238"/>
      <c r="S1138" s="193">
        <f>IF(S1137=0,0,(SUMIFS(операции!$AF:$AF,операции!$T:$T,"&lt;"&amp;S$8,операции!$X:$X,"",операции!$AB:$AB,"",операции!$O:$O,$F1126)+SUMIFS(операции!$AF:$AF,операции!$T:$T,"&lt;"&amp;S$8,операции!$X:$X,"&gt;="&amp;S$8,операции!$AB:$AB,"",операции!$O:$O,$F1126)+SUMIFS(операции!$AF:$AF,операции!$T:$T,"&lt;"&amp;S$8,операции!$X:$X,"",операции!$AB:$AB,"&gt;="&amp;S$8,операции!$O:$O,$F1126)+SUMIFS(операции!$AF:$AF,операции!$T:$T,"&lt;"&amp;S$8,операции!$X:$X,"&gt;="&amp;S$8,операции!$AB:$AB,"&gt;="&amp;S$8,операции!$O:$O,$F1126))/S1137)</f>
        <v>42179.070777310211</v>
      </c>
      <c r="T1138" s="196"/>
      <c r="U1138" s="193">
        <f>IF(U1137=0,0,(SUMIFS(операции!$AF:$AF,операции!$T:$T,"&lt;"&amp;S$8,операции!$X:$X,"",операции!$AB:$AB,"",операции!$L:$L,U$9,операции!$O:$O,$F1126)+SUMIFS(операции!$AF:$AF,операции!$T:$T,"&lt;"&amp;S$8,операции!$X:$X,"&gt;="&amp;S$8,операции!$AB:$AB,"",операции!$L:$L,U$9,операции!$O:$O,$F1126)+SUMIFS(операции!$AF:$AF,операции!$T:$T,"&lt;"&amp;S$8,операции!$X:$X,"",операции!$AB:$AB,"&gt;="&amp;S$8,операции!$L:$L,U$9,операции!$O:$O,$F1126)+SUMIFS(операции!$AF:$AF,операции!$T:$T,"&lt;"&amp;S$8,операции!$X:$X,"&gt;="&amp;S$8,операции!$AB:$AB,"&gt;="&amp;S$8,операции!$L:$L,U$9,операции!$O:$O,$F1126))/U1137)</f>
        <v>42173.963111574478</v>
      </c>
      <c r="V1138" s="237">
        <f>IF(V1137=0,0,(SUMIFS(операции!$AF:$AF,операции!$T:$T,"&lt;"&amp;S$8,операции!$X:$X,"",операции!$AB:$AB,"",операции!$L:$L,V$9,операции!$O:$O,$F1126)+SUMIFS(операции!$AF:$AF,операции!$T:$T,"&lt;"&amp;S$8,операции!$X:$X,"&gt;="&amp;S$8,операции!$AB:$AB,"",операции!$L:$L,V$9,операции!$O:$O,$F1126)+SUMIFS(операции!$AF:$AF,операции!$T:$T,"&lt;"&amp;S$8,операции!$X:$X,"",операции!$AB:$AB,"&gt;="&amp;S$8,операции!$L:$L,V$9,операции!$O:$O,$F1126)+SUMIFS(операции!$AF:$AF,операции!$T:$T,"&lt;"&amp;S$8,операции!$X:$X,"&gt;="&amp;S$8,операции!$AB:$AB,"&gt;="&amp;S$8,операции!$L:$L,V$9,операции!$O:$O,$F1126))/V1137)</f>
        <v>42308</v>
      </c>
      <c r="W1138" s="238"/>
      <c r="X1138" s="193">
        <f>IF(X1137=0,0,(SUMIFS(операции!$AF:$AF,операции!$T:$T,"&lt;"&amp;X$8,операции!$X:$X,"",операции!$AB:$AB,"",операции!$O:$O,$F1126)+SUMIFS(операции!$AF:$AF,операции!$T:$T,"&lt;"&amp;X$8,операции!$X:$X,"&gt;="&amp;X$8,операции!$AB:$AB,"",операции!$O:$O,$F1126)+SUMIFS(операции!$AF:$AF,операции!$T:$T,"&lt;"&amp;X$8,операции!$X:$X,"",операции!$AB:$AB,"&gt;="&amp;X$8,операции!$O:$O,$F1126)+SUMIFS(операции!$AF:$AF,операции!$T:$T,"&lt;"&amp;X$8,операции!$X:$X,"&gt;="&amp;X$8,операции!$AB:$AB,"&gt;="&amp;X$8,операции!$O:$O,$F1126))/X1137)</f>
        <v>42328.637975769874</v>
      </c>
      <c r="Y1138" s="196"/>
      <c r="Z1138" s="193">
        <f>IF(Z1137=0,0,(SUMIFS(операции!$AF:$AF,операции!$T:$T,"&lt;"&amp;X$8,операции!$X:$X,"",операции!$AB:$AB,"",операции!$L:$L,Z$9,операции!$O:$O,$F1126)+SUMIFS(операции!$AF:$AF,операции!$T:$T,"&lt;"&amp;X$8,операции!$X:$X,"&gt;="&amp;X$8,операции!$AB:$AB,"",операции!$L:$L,Z$9,операции!$O:$O,$F1126)+SUMIFS(операции!$AF:$AF,операции!$T:$T,"&lt;"&amp;X$8,операции!$X:$X,"",операции!$AB:$AB,"&gt;="&amp;X$8,операции!$L:$L,Z$9,операции!$O:$O,$F1126)+SUMIFS(операции!$AF:$AF,операции!$T:$T,"&lt;"&amp;X$8,операции!$X:$X,"&gt;="&amp;X$8,операции!$AB:$AB,"&gt;="&amp;X$8,операции!$L:$L,Z$9,операции!$O:$O,$F1126))/Z1137)</f>
        <v>0</v>
      </c>
      <c r="AA1138" s="237">
        <f>IF(AA1137=0,0,(SUMIFS(операции!$AF:$AF,операции!$T:$T,"&lt;"&amp;X$8,операции!$X:$X,"",операции!$AB:$AB,"",операции!$L:$L,AA$9,операции!$O:$O,$F1126)+SUMIFS(операции!$AF:$AF,операции!$T:$T,"&lt;"&amp;X$8,операции!$X:$X,"&gt;="&amp;X$8,операции!$AB:$AB,"",операции!$L:$L,AA$9,операции!$O:$O,$F1126)+SUMIFS(операции!$AF:$AF,операции!$T:$T,"&lt;"&amp;X$8,операции!$X:$X,"",операции!$AB:$AB,"&gt;="&amp;X$8,операции!$L:$L,AA$9,операции!$O:$O,$F1126)+SUMIFS(операции!$AF:$AF,операции!$T:$T,"&lt;"&amp;X$8,операции!$X:$X,"&gt;="&amp;X$8,операции!$AB:$AB,"&gt;="&amp;X$8,операции!$L:$L,AA$9,операции!$O:$O,$F1126))/AA1137)</f>
        <v>42328.637975769874</v>
      </c>
      <c r="AB1138" s="265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</row>
    <row r="1139" spans="1:42" s="192" customFormat="1" ht="11.25">
      <c r="A1139" s="37"/>
      <c r="B1139" s="37"/>
      <c r="C1139" s="37"/>
      <c r="D1139" s="191"/>
      <c r="E1139" s="191" t="s">
        <v>263</v>
      </c>
      <c r="F1139" s="191" t="str">
        <f t="shared" si="1986"/>
        <v>КидсТрейд</v>
      </c>
      <c r="G1139" s="191" t="s">
        <v>219</v>
      </c>
      <c r="H1139" s="315"/>
      <c r="I1139" s="329">
        <f>IF(I1137=0,0,I$8-I1138)</f>
        <v>43.700003859186836</v>
      </c>
      <c r="J1139" s="317"/>
      <c r="K1139" s="329">
        <f>IF(K1137=0,0,I$8-K1138)</f>
        <v>43.700003859186836</v>
      </c>
      <c r="L1139" s="330">
        <f>IF(L1137=0,0,I$8-L1138)</f>
        <v>0</v>
      </c>
      <c r="M1139" s="274"/>
      <c r="N1139" s="156">
        <f>IF(N1137=0,0,N$8-N1138)</f>
        <v>43.700003859186836</v>
      </c>
      <c r="O1139" s="196"/>
      <c r="P1139" s="156">
        <f>IF(P1137=0,0,N$8-P1138)</f>
        <v>43.700003859186836</v>
      </c>
      <c r="Q1139" s="245">
        <f>IF(Q1137=0,0,N$8-Q1138)</f>
        <v>0</v>
      </c>
      <c r="R1139" s="238"/>
      <c r="S1139" s="156">
        <f>IF(S1137=0,0,S$8-S1138)</f>
        <v>129.92922268978873</v>
      </c>
      <c r="T1139" s="196"/>
      <c r="U1139" s="156">
        <f>IF(U1137=0,0,S$8-U1138)</f>
        <v>135.03688842552219</v>
      </c>
      <c r="V1139" s="245">
        <f>IF(V1137=0,0,S$8-V1138)</f>
        <v>1</v>
      </c>
      <c r="W1139" s="238"/>
      <c r="X1139" s="156">
        <f>IF(X1137=0,0,X$8-X1138)</f>
        <v>10.362024230125826</v>
      </c>
      <c r="Y1139" s="196"/>
      <c r="Z1139" s="156">
        <f>IF(Z1137=0,0,X$8-Z1138)</f>
        <v>0</v>
      </c>
      <c r="AA1139" s="245">
        <f>IF(AA1137=0,0,X$8-AA1138)</f>
        <v>10.362024230125826</v>
      </c>
      <c r="AB1139" s="265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</row>
    <row r="1140" spans="1:42" s="192" customFormat="1" ht="11.25">
      <c r="A1140" s="37"/>
      <c r="B1140" s="37"/>
      <c r="C1140" s="37"/>
      <c r="D1140" s="191"/>
      <c r="E1140" s="191" t="s">
        <v>311</v>
      </c>
      <c r="F1140" s="191" t="str">
        <f t="shared" si="1986"/>
        <v>КидсТрейд</v>
      </c>
      <c r="G1140" s="191" t="s">
        <v>262</v>
      </c>
      <c r="H1140" s="315"/>
      <c r="I1140" s="316">
        <f>I$8</f>
        <v>42278</v>
      </c>
      <c r="J1140" s="317"/>
      <c r="K1140" s="316">
        <f>I$8</f>
        <v>42278</v>
      </c>
      <c r="L1140" s="318">
        <f>I$8</f>
        <v>42278</v>
      </c>
      <c r="M1140" s="274"/>
      <c r="N1140" s="193">
        <f>N$8</f>
        <v>42278</v>
      </c>
      <c r="O1140" s="196"/>
      <c r="P1140" s="193">
        <f>N$8</f>
        <v>42278</v>
      </c>
      <c r="Q1140" s="237">
        <f>N$8</f>
        <v>42278</v>
      </c>
      <c r="R1140" s="238"/>
      <c r="S1140" s="193">
        <f>S$8</f>
        <v>42309</v>
      </c>
      <c r="T1140" s="196"/>
      <c r="U1140" s="193">
        <f>S$8</f>
        <v>42309</v>
      </c>
      <c r="V1140" s="237">
        <f>S$8</f>
        <v>42309</v>
      </c>
      <c r="W1140" s="238"/>
      <c r="X1140" s="193">
        <f>X$8</f>
        <v>42339</v>
      </c>
      <c r="Y1140" s="196"/>
      <c r="Z1140" s="193">
        <f>X$8</f>
        <v>42339</v>
      </c>
      <c r="AA1140" s="237">
        <f>X$8</f>
        <v>42339</v>
      </c>
      <c r="AB1140" s="265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</row>
    <row r="1141" spans="1:42" s="192" customFormat="1" ht="11.25">
      <c r="A1141" s="37"/>
      <c r="B1141" s="37"/>
      <c r="C1141" s="37"/>
      <c r="D1141" s="191"/>
      <c r="E1141" s="191" t="s">
        <v>264</v>
      </c>
      <c r="F1141" s="191" t="str">
        <f t="shared" si="1986"/>
        <v>КидсТрейд</v>
      </c>
      <c r="G1141" s="191" t="s">
        <v>219</v>
      </c>
      <c r="H1141" s="315"/>
      <c r="I1141" s="329">
        <f>IF(I1137=0,0,I1140-I1138)</f>
        <v>43.700003859186836</v>
      </c>
      <c r="J1141" s="317"/>
      <c r="K1141" s="329">
        <f>IF(K1137=0,0,K1140-K1138)</f>
        <v>43.700003859186836</v>
      </c>
      <c r="L1141" s="330">
        <f>IF(L1137=0,0,L1140-L1138)</f>
        <v>0</v>
      </c>
      <c r="M1141" s="274"/>
      <c r="N1141" s="156">
        <f>IF(N1137=0,0,N1140-N1138)</f>
        <v>43.700003859186836</v>
      </c>
      <c r="O1141" s="196"/>
      <c r="P1141" s="156">
        <f>IF(P1137=0,0,P1140-P1138)</f>
        <v>43.700003859186836</v>
      </c>
      <c r="Q1141" s="245">
        <f>IF(Q1137=0,0,Q1140-Q1138)</f>
        <v>0</v>
      </c>
      <c r="R1141" s="238"/>
      <c r="S1141" s="156">
        <f>IF(S1137=0,0,S1140-S1138)</f>
        <v>129.92922268978873</v>
      </c>
      <c r="T1141" s="196"/>
      <c r="U1141" s="156">
        <f>IF(U1137=0,0,U1140-U1138)</f>
        <v>135.03688842552219</v>
      </c>
      <c r="V1141" s="245">
        <f>IF(V1137=0,0,V1140-V1138)</f>
        <v>1</v>
      </c>
      <c r="W1141" s="238"/>
      <c r="X1141" s="156">
        <f>IF(X1137=0,0,X1140-X1138)</f>
        <v>10.362024230125826</v>
      </c>
      <c r="Y1141" s="196"/>
      <c r="Z1141" s="156">
        <f>IF(Z1137=0,0,Z1140-Z1138)</f>
        <v>0</v>
      </c>
      <c r="AA1141" s="245">
        <f>IF(AA1137=0,0,AA1140-AA1138)</f>
        <v>10.362024230125826</v>
      </c>
      <c r="AB1141" s="265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</row>
    <row r="1142" spans="1:42" s="192" customFormat="1" ht="11.25">
      <c r="A1142" s="37"/>
      <c r="B1142" s="37"/>
      <c r="C1142" s="37"/>
      <c r="D1142" s="207"/>
      <c r="E1142" s="207" t="s">
        <v>269</v>
      </c>
      <c r="F1142" s="207" t="str">
        <f t="shared" si="1986"/>
        <v>КидсТрейд</v>
      </c>
      <c r="G1142" s="207" t="s">
        <v>219</v>
      </c>
      <c r="H1142" s="331"/>
      <c r="I1142" s="332">
        <f>I1139-I1141</f>
        <v>0</v>
      </c>
      <c r="J1142" s="333"/>
      <c r="K1142" s="332">
        <f t="shared" ref="K1142" si="2011">K1139-K1141</f>
        <v>0</v>
      </c>
      <c r="L1142" s="334">
        <f>L1139-L1141</f>
        <v>0</v>
      </c>
      <c r="M1142" s="278"/>
      <c r="N1142" s="162">
        <f>N1139-N1141</f>
        <v>0</v>
      </c>
      <c r="O1142" s="208"/>
      <c r="P1142" s="162">
        <f t="shared" ref="P1142" si="2012">P1139-P1141</f>
        <v>0</v>
      </c>
      <c r="Q1142" s="246">
        <f>Q1139-Q1141</f>
        <v>0</v>
      </c>
      <c r="R1142" s="247"/>
      <c r="S1142" s="162">
        <f>S1139-S1141</f>
        <v>0</v>
      </c>
      <c r="T1142" s="208"/>
      <c r="U1142" s="162">
        <f t="shared" ref="U1142" si="2013">U1139-U1141</f>
        <v>0</v>
      </c>
      <c r="V1142" s="246">
        <f>V1139-V1141</f>
        <v>0</v>
      </c>
      <c r="W1142" s="247"/>
      <c r="X1142" s="162">
        <f>X1139-X1141</f>
        <v>0</v>
      </c>
      <c r="Y1142" s="208"/>
      <c r="Z1142" s="162">
        <f t="shared" ref="Z1142" si="2014">Z1139-Z1141</f>
        <v>0</v>
      </c>
      <c r="AA1142" s="246">
        <f>AA1139-AA1141</f>
        <v>0</v>
      </c>
      <c r="AB1142" s="265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</row>
    <row r="1143" spans="1:42" s="111" customFormat="1" ht="11.25">
      <c r="A1143" s="108"/>
      <c r="B1143" s="108"/>
      <c r="C1143" s="108" t="s">
        <v>272</v>
      </c>
      <c r="D1143" s="109"/>
      <c r="E1143" s="109"/>
      <c r="F1143" s="109" t="str">
        <f t="shared" si="1986"/>
        <v>КидсТрейд</v>
      </c>
      <c r="G1143" s="109"/>
      <c r="H1143" s="307"/>
      <c r="I1143" s="308">
        <f>I1144-K1144-L1144</f>
        <v>0</v>
      </c>
      <c r="J1143" s="335"/>
      <c r="K1143" s="308"/>
      <c r="L1143" s="336"/>
      <c r="M1143" s="272"/>
      <c r="N1143" s="110">
        <f>N1144-P1144-Q1144</f>
        <v>0</v>
      </c>
      <c r="O1143" s="105"/>
      <c r="P1143" s="110"/>
      <c r="Q1143" s="248"/>
      <c r="R1143" s="234"/>
      <c r="S1143" s="110">
        <f>S1144-U1144-V1144</f>
        <v>0</v>
      </c>
      <c r="T1143" s="105"/>
      <c r="U1143" s="110"/>
      <c r="V1143" s="248"/>
      <c r="W1143" s="234"/>
      <c r="X1143" s="110">
        <f>X1144-Z1144-AA1144</f>
        <v>0</v>
      </c>
      <c r="Y1143" s="105"/>
      <c r="Z1143" s="110"/>
      <c r="AA1143" s="248"/>
      <c r="AB1143" s="263"/>
      <c r="AC1143" s="108"/>
      <c r="AD1143" s="108"/>
      <c r="AE1143" s="108"/>
      <c r="AF1143" s="108"/>
      <c r="AG1143" s="108"/>
      <c r="AH1143" s="108"/>
      <c r="AI1143" s="108"/>
      <c r="AJ1143" s="108"/>
      <c r="AK1143" s="108"/>
      <c r="AL1143" s="108"/>
      <c r="AM1143" s="108"/>
      <c r="AN1143" s="108"/>
      <c r="AO1143" s="108"/>
      <c r="AP1143" s="108"/>
    </row>
    <row r="1144" spans="1:42" s="5" customFormat="1">
      <c r="A1144" s="1"/>
      <c r="B1144" s="1"/>
      <c r="C1144" s="1"/>
      <c r="D1144" s="168" t="s">
        <v>273</v>
      </c>
      <c r="E1144" s="168"/>
      <c r="F1144" s="168" t="str">
        <f t="shared" si="1986"/>
        <v>КидсТрейд</v>
      </c>
      <c r="G1144" s="168" t="s">
        <v>261</v>
      </c>
      <c r="H1144" s="326"/>
      <c r="I1144" s="327">
        <f>SUMIFS(операции!$V:$V,операции!$T:$T,"&gt;="&amp;I$8,операции!$T:$T,"&lt;="&amp;I$9,операции!$O:$O,$F1126)</f>
        <v>143278.68999999997</v>
      </c>
      <c r="J1144" s="313"/>
      <c r="K1144" s="327">
        <f>SUMIFS(операции!$V:$V,операции!$T:$T,"&gt;="&amp;I$8,операции!$T:$T,"&lt;="&amp;I$9,операции!$L:$L,K$9,операции!$O:$O,$F1126)</f>
        <v>350.64</v>
      </c>
      <c r="L1144" s="328">
        <f>SUMIFS(операции!$V:$V,операции!$T:$T,"&gt;="&amp;I$8,операции!$T:$T,"&lt;="&amp;I$9,операции!$L:$L,L$9,операции!$O:$O,$F1126)</f>
        <v>142928.04999999999</v>
      </c>
      <c r="M1144" s="277"/>
      <c r="N1144" s="169">
        <f>SUMIFS(операции!$V:$V,операции!$T:$T,"&gt;="&amp;N$8,операции!$T:$T,"&lt;="&amp;N$9,операции!$O:$O,$F1126)</f>
        <v>707.06</v>
      </c>
      <c r="O1144" s="170"/>
      <c r="P1144" s="169">
        <f>SUMIFS(операции!$V:$V,операции!$T:$T,"&gt;="&amp;N$8,операции!$T:$T,"&lt;="&amp;N$9,операции!$L:$L,P$9,операции!$O:$O,$F1126)</f>
        <v>350.64</v>
      </c>
      <c r="Q1144" s="243">
        <f>SUMIFS(операции!$V:$V,операции!$T:$T,"&gt;="&amp;N$8,операции!$T:$T,"&lt;="&amp;N$9,операции!$L:$L,Q$9,операции!$O:$O,$F1126)</f>
        <v>356.42</v>
      </c>
      <c r="R1144" s="244"/>
      <c r="S1144" s="169">
        <f>SUMIFS(операции!$V:$V,операции!$T:$T,"&gt;="&amp;S$8,операции!$T:$T,"&lt;="&amp;S$9,операции!$O:$O,$F1126)</f>
        <v>129414.49999999999</v>
      </c>
      <c r="T1144" s="170"/>
      <c r="U1144" s="169">
        <f>SUMIFS(операции!$V:$V,операции!$T:$T,"&gt;="&amp;S$8,операции!$T:$T,"&lt;="&amp;S$9,операции!$L:$L,U$9,операции!$O:$O,$F1126)</f>
        <v>0</v>
      </c>
      <c r="V1144" s="243">
        <f>SUMIFS(операции!$V:$V,операции!$T:$T,"&gt;="&amp;S$8,операции!$T:$T,"&lt;="&amp;S$9,операции!$L:$L,V$9,операции!$O:$O,$F1126)</f>
        <v>129414.49999999999</v>
      </c>
      <c r="W1144" s="244"/>
      <c r="X1144" s="169">
        <f>SUMIFS(операции!$V:$V,операции!$T:$T,"&gt;="&amp;X$8,операции!$T:$T,"&lt;="&amp;X$9,операции!$O:$O,$F1126)</f>
        <v>13157.13</v>
      </c>
      <c r="Y1144" s="170"/>
      <c r="Z1144" s="169">
        <f>SUMIFS(операции!$V:$V,операции!$T:$T,"&gt;="&amp;X$8,операции!$T:$T,"&lt;="&amp;X$9,операции!$L:$L,Z$9,операции!$O:$O,$F1126)</f>
        <v>0</v>
      </c>
      <c r="AA1144" s="243">
        <f>SUMIFS(операции!$V:$V,операции!$T:$T,"&gt;="&amp;X$8,операции!$T:$T,"&lt;="&amp;X$9,операции!$L:$L,AA$9,операции!$O:$O,$F1126)</f>
        <v>13157.13</v>
      </c>
      <c r="AB1144" s="266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</row>
    <row r="1145" spans="1:42" s="192" customFormat="1" ht="11.25">
      <c r="A1145" s="37"/>
      <c r="B1145" s="37"/>
      <c r="C1145" s="37"/>
      <c r="D1145" s="207" t="s">
        <v>255</v>
      </c>
      <c r="E1145" s="207"/>
      <c r="F1145" s="207" t="str">
        <f t="shared" si="1986"/>
        <v>КидсТрейд</v>
      </c>
      <c r="G1145" s="207" t="s">
        <v>262</v>
      </c>
      <c r="H1145" s="331"/>
      <c r="I1145" s="337">
        <f>IF(I1144=0,0,SUMIFS(операции!$AF:$AF,операции!$T:$T,"&gt;="&amp;I$8,операции!$T:$T,"&lt;="&amp;I$9,операции!$O:$O,$F1126)/I1144)</f>
        <v>42325.050453560121</v>
      </c>
      <c r="J1145" s="333"/>
      <c r="K1145" s="337">
        <f>IF(K1144=0,0,SUMIFS(операции!$AF:$AF,операции!$T:$T,"&gt;="&amp;I$8,операции!$T:$T,"&lt;="&amp;I$9,операции!$L:$L,K$9,операции!$O:$O,$F1126)/K1144)</f>
        <v>42285</v>
      </c>
      <c r="L1145" s="338">
        <f>IF(L1144=0,0,SUMIFS(операции!$AF:$AF,операции!$T:$T,"&gt;="&amp;I$8,операции!$T:$T,"&lt;="&amp;I$9,операции!$L:$L,L$9,операции!$O:$O,$F1126)/L1144)</f>
        <v>42325.14870782887</v>
      </c>
      <c r="M1145" s="278"/>
      <c r="N1145" s="217">
        <f>IF(N1144=0,0,SUMIFS(операции!$AF:$AF,операции!$T:$T,"&gt;="&amp;N$8,операции!$T:$T,"&lt;="&amp;N$9,операции!$O:$O,$F1126)/N1144)</f>
        <v>42296.594008994995</v>
      </c>
      <c r="O1145" s="208"/>
      <c r="P1145" s="217">
        <f>IF(P1144=0,0,SUMIFS(операции!$AF:$AF,операции!$T:$T,"&gt;="&amp;N$8,операции!$T:$T,"&lt;="&amp;N$9,операции!$L:$L,P$9,операции!$O:$O,$F1126)/P1144)</f>
        <v>42285</v>
      </c>
      <c r="Q1145" s="249">
        <f>IF(Q1144=0,0,SUMIFS(операции!$AF:$AF,операции!$T:$T,"&gt;="&amp;N$8,операции!$T:$T,"&lt;="&amp;N$9,операции!$L:$L,Q$9,операции!$O:$O,$F1126)/Q1144)</f>
        <v>42308</v>
      </c>
      <c r="R1145" s="247"/>
      <c r="S1145" s="217">
        <f>IF(S1144=0,0,SUMIFS(операции!$AF:$AF,операции!$T:$T,"&gt;="&amp;S$8,операции!$T:$T,"&lt;="&amp;S$9,операции!$O:$O,$F1126)/S1144)</f>
        <v>42321.957724984444</v>
      </c>
      <c r="T1145" s="208"/>
      <c r="U1145" s="217">
        <f>IF(U1144=0,0,SUMIFS(операции!$AF:$AF,операции!$T:$T,"&gt;="&amp;S$8,операции!$T:$T,"&lt;="&amp;S$9,операции!$L:$L,U$9,операции!$O:$O,$F1126)/U1144)</f>
        <v>0</v>
      </c>
      <c r="V1145" s="249">
        <f>IF(V1144=0,0,SUMIFS(операции!$AF:$AF,операции!$T:$T,"&gt;="&amp;S$8,операции!$T:$T,"&lt;="&amp;S$9,операции!$L:$L,V$9,операции!$O:$O,$F1126)/V1144)</f>
        <v>42321.957724984444</v>
      </c>
      <c r="W1145" s="247"/>
      <c r="X1145" s="217">
        <f>IF(X1144=0,0,SUMIFS(операции!$AF:$AF,операции!$T:$T,"&gt;="&amp;X$8,операции!$T:$T,"&lt;="&amp;X$9,операции!$O:$O,$F1126)/X1144)</f>
        <v>42357</v>
      </c>
      <c r="Y1145" s="208"/>
      <c r="Z1145" s="217">
        <f>IF(Z1144=0,0,SUMIFS(операции!$AF:$AF,операции!$T:$T,"&gt;="&amp;X$8,операции!$T:$T,"&lt;="&amp;X$9,операции!$L:$L,Z$9,операции!$O:$O,$F1126)/Z1144)</f>
        <v>0</v>
      </c>
      <c r="AA1145" s="249">
        <f>IF(AA1144=0,0,SUMIFS(операции!$AF:$AF,операции!$T:$T,"&gt;="&amp;X$8,операции!$T:$T,"&lt;="&amp;X$9,операции!$L:$L,AA$9,операции!$O:$O,$F1126)/AA1144)</f>
        <v>42357</v>
      </c>
      <c r="AB1145" s="265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</row>
    <row r="1146" spans="1:42" s="93" customFormat="1" ht="15">
      <c r="A1146" s="92"/>
      <c r="B1146" s="92"/>
      <c r="C1146" s="92"/>
      <c r="D1146" s="212" t="s">
        <v>274</v>
      </c>
      <c r="E1146" s="212"/>
      <c r="F1146" s="212" t="str">
        <f t="shared" si="1986"/>
        <v>КидсТрейд</v>
      </c>
      <c r="G1146" s="212" t="s">
        <v>261</v>
      </c>
      <c r="H1146" s="339"/>
      <c r="I1146" s="340">
        <f>SUMIFS(операции!$Z:$Z,операции!$X:$X,"&gt;="&amp;I$8,операции!$X:$X,"&lt;="&amp;I$9,операции!$O:$O,$F1126)</f>
        <v>215032</v>
      </c>
      <c r="J1146" s="341">
        <f>I1146-I1159-I1169</f>
        <v>0</v>
      </c>
      <c r="K1146" s="340">
        <f>SUMIFS(операции!$Z:$Z,операции!$X:$X,"&gt;="&amp;I$8,операции!$X:$X,"&lt;="&amp;I$9,операции!$L:$L,K$9,операции!$O:$O,$F1126)</f>
        <v>61849</v>
      </c>
      <c r="L1146" s="342">
        <f>SUMIFS(операции!$Z:$Z,операции!$X:$X,"&gt;="&amp;I$8,операции!$X:$X,"&lt;="&amp;I$9,операции!$L:$L,L$9,операции!$O:$O,$F1126)</f>
        <v>153183</v>
      </c>
      <c r="M1146" s="279"/>
      <c r="N1146" s="213">
        <f>SUMIFS(операции!$Z:$Z,операции!$X:$X,"&gt;="&amp;N$8,операции!$X:$X,"&lt;="&amp;N$9,операции!$O:$O,$F1126)</f>
        <v>31797</v>
      </c>
      <c r="O1146" s="216">
        <f>N1146-N1159-N1169</f>
        <v>0</v>
      </c>
      <c r="P1146" s="213">
        <f>SUMIFS(операции!$Z:$Z,операции!$X:$X,"&gt;="&amp;N$8,операции!$X:$X,"&lt;="&amp;N$9,операции!$L:$L,P$9,операции!$O:$O,$F1126)</f>
        <v>31797</v>
      </c>
      <c r="Q1146" s="250">
        <f>SUMIFS(операции!$Z:$Z,операции!$X:$X,"&gt;="&amp;N$8,операции!$X:$X,"&lt;="&amp;N$9,операции!$L:$L,Q$9,операции!$O:$O,$F1126)</f>
        <v>0</v>
      </c>
      <c r="R1146" s="251"/>
      <c r="S1146" s="213">
        <f>SUMIFS(операции!$Z:$Z,операции!$X:$X,"&gt;="&amp;S$8,операции!$X:$X,"&lt;="&amp;S$9,операции!$O:$O,$F1126)</f>
        <v>158547</v>
      </c>
      <c r="T1146" s="216">
        <f>S1146-S1159-S1169</f>
        <v>0</v>
      </c>
      <c r="U1146" s="213">
        <f>SUMIFS(операции!$Z:$Z,операции!$X:$X,"&gt;="&amp;S$8,операции!$X:$X,"&lt;="&amp;S$9,операции!$L:$L,U$9,операции!$O:$O,$F1126)</f>
        <v>27774</v>
      </c>
      <c r="V1146" s="250">
        <f>SUMIFS(операции!$Z:$Z,операции!$X:$X,"&gt;="&amp;S$8,операции!$X:$X,"&lt;="&amp;S$9,операции!$L:$L,V$9,операции!$O:$O,$F1126)</f>
        <v>130773</v>
      </c>
      <c r="W1146" s="251"/>
      <c r="X1146" s="213">
        <f>SUMIFS(операции!$Z:$Z,операции!$X:$X,"&gt;="&amp;X$8,операции!$X:$X,"&lt;="&amp;X$9,операции!$O:$O,$F1126)</f>
        <v>24688</v>
      </c>
      <c r="Y1146" s="216">
        <f>X1146-X1159-X1169</f>
        <v>0</v>
      </c>
      <c r="Z1146" s="213">
        <f>SUMIFS(операции!$Z:$Z,операции!$X:$X,"&gt;="&amp;X$8,операции!$X:$X,"&lt;="&amp;X$9,операции!$L:$L,Z$9,операции!$O:$O,$F1126)</f>
        <v>2278</v>
      </c>
      <c r="AA1146" s="250">
        <f>SUMIFS(операции!$Z:$Z,операции!$X:$X,"&gt;="&amp;X$8,операции!$X:$X,"&lt;="&amp;X$9,операции!$L:$L,AA$9,операции!$O:$O,$F1126)</f>
        <v>22410</v>
      </c>
      <c r="AB1146" s="264"/>
      <c r="AC1146" s="92"/>
      <c r="AD1146" s="92"/>
      <c r="AE1146" s="92"/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92"/>
    </row>
    <row r="1147" spans="1:42" s="407" customFormat="1" ht="11.25">
      <c r="A1147" s="404"/>
      <c r="B1147" s="404"/>
      <c r="C1147" s="404"/>
      <c r="D1147" s="405" t="s">
        <v>332</v>
      </c>
      <c r="E1147" s="405"/>
      <c r="F1147" s="405" t="str">
        <f>F1145</f>
        <v>КидсТрейд</v>
      </c>
      <c r="G1147" s="405" t="s">
        <v>218</v>
      </c>
      <c r="H1147" s="408"/>
      <c r="I1147" s="408">
        <f>IF(I$31=0,0,I1146/I$31)</f>
        <v>5.7963607506221398E-2</v>
      </c>
      <c r="J1147" s="409"/>
      <c r="K1147" s="408">
        <f t="shared" ref="K1147" si="2015">IF(K$31=0,0,K1146/K$31)</f>
        <v>4.7507669713044424E-2</v>
      </c>
      <c r="L1147" s="410">
        <f t="shared" ref="L1147" si="2016">IF(L$31=0,0,L1146/L$31)</f>
        <v>6.3616791713284007E-2</v>
      </c>
      <c r="M1147" s="411"/>
      <c r="N1147" s="412">
        <f t="shared" ref="N1147" si="2017">IF(N$31=0,0,N1146/N$31)</f>
        <v>4.1028228277826019E-2</v>
      </c>
      <c r="O1147" s="413"/>
      <c r="P1147" s="412">
        <f t="shared" ref="P1147" si="2018">IF(P$31=0,0,P1146/P$31)</f>
        <v>6.3533516092679765E-2</v>
      </c>
      <c r="Q1147" s="414">
        <f t="shared" ref="Q1147" si="2019">IF(Q$31=0,0,Q1146/Q$31)</f>
        <v>0</v>
      </c>
      <c r="R1147" s="415"/>
      <c r="S1147" s="412">
        <f t="shared" ref="S1147" si="2020">IF(S$31=0,0,S1146/S$31)</f>
        <v>8.9337604489785574E-2</v>
      </c>
      <c r="T1147" s="413"/>
      <c r="U1147" s="412">
        <f t="shared" ref="U1147" si="2021">IF(U$31=0,0,U1146/U$31)</f>
        <v>4.4102865400036523E-2</v>
      </c>
      <c r="V1147" s="414">
        <f t="shared" ref="V1147" si="2022">IF(V$31=0,0,V1146/V$31)</f>
        <v>0.11421821230806854</v>
      </c>
      <c r="W1147" s="415"/>
      <c r="X1147" s="412">
        <f t="shared" ref="X1147" si="2023">IF(X$31=0,0,X1146/X$31)</f>
        <v>2.128132763486593E-2</v>
      </c>
      <c r="Y1147" s="413"/>
      <c r="Z1147" s="412">
        <f t="shared" ref="Z1147" si="2024">IF(Z$31=0,0,Z1146/Z$31)</f>
        <v>1.3271732607796415E-2</v>
      </c>
      <c r="AA1147" s="414">
        <f t="shared" ref="AA1147" si="2025">IF(AA$31=0,0,AA1146/AA$31)</f>
        <v>2.2672204039719354E-2</v>
      </c>
      <c r="AB1147" s="406"/>
      <c r="AC1147" s="404"/>
      <c r="AD1147" s="404"/>
      <c r="AE1147" s="404"/>
      <c r="AF1147" s="404"/>
      <c r="AG1147" s="404"/>
      <c r="AH1147" s="404"/>
      <c r="AI1147" s="404"/>
      <c r="AJ1147" s="404"/>
      <c r="AK1147" s="404"/>
      <c r="AL1147" s="404"/>
      <c r="AM1147" s="404"/>
      <c r="AN1147" s="404"/>
      <c r="AO1147" s="404"/>
      <c r="AP1147" s="404"/>
    </row>
    <row r="1148" spans="1:42" s="192" customFormat="1" ht="11.25">
      <c r="A1148" s="37"/>
      <c r="B1148" s="37"/>
      <c r="C1148" s="37"/>
      <c r="D1148" s="191" t="s">
        <v>331</v>
      </c>
      <c r="E1148" s="191"/>
      <c r="F1148" s="191" t="str">
        <f>F1146</f>
        <v>КидсТрейд</v>
      </c>
      <c r="G1148" s="191" t="s">
        <v>334</v>
      </c>
      <c r="H1148" s="315"/>
      <c r="I1148" s="329">
        <f>SUMIFS(операции!$R:$R,операции!$X:$X,"&gt;="&amp;I$8,операции!$X:$X,"&lt;="&amp;I$9,операции!$O:$O,$F1126)</f>
        <v>39</v>
      </c>
      <c r="J1148" s="317">
        <f>I1148-K1148-L1148</f>
        <v>0</v>
      </c>
      <c r="K1148" s="329">
        <f>SUMIFS(операции!$R:$R,операции!$X:$X,"&gt;="&amp;I$8,операции!$X:$X,"&lt;="&amp;I$9,операции!$L:$L,K$9,операции!$O:$O,$F1126)</f>
        <v>10</v>
      </c>
      <c r="L1148" s="330">
        <f>SUMIFS(операции!$R:$R,операции!$X:$X,"&gt;="&amp;I$8,операции!$X:$X,"&lt;="&amp;I$9,операции!$L:$L,L$9,операции!$O:$O,$F1126)</f>
        <v>29</v>
      </c>
      <c r="M1148" s="402"/>
      <c r="N1148" s="156">
        <f>SUMIFS(операции!$R:$R,операции!$X:$X,"&gt;="&amp;N$8,операции!$X:$X,"&lt;="&amp;N$9,операции!$O:$O,$F1126)</f>
        <v>3</v>
      </c>
      <c r="O1148" s="196">
        <f t="shared" ref="O1148" si="2026">N1148-P1148-Q1148</f>
        <v>0</v>
      </c>
      <c r="P1148" s="156">
        <f>SUMIFS(операции!$R:$R,операции!$X:$X,"&gt;="&amp;N$8,операции!$X:$X,"&lt;="&amp;N$9,операции!$L:$L,P$9,операции!$O:$O,$F1126)</f>
        <v>3</v>
      </c>
      <c r="Q1148" s="245">
        <f>SUMIFS(операции!$R:$R,операции!$X:$X,"&gt;="&amp;N$8,операции!$X:$X,"&lt;="&amp;N$9,операции!$L:$L,Q$9,операции!$O:$O,$F1126)</f>
        <v>0</v>
      </c>
      <c r="R1148" s="403"/>
      <c r="S1148" s="156">
        <f>SUMIFS(операции!$R:$R,операции!$X:$X,"&gt;="&amp;S$8,операции!$X:$X,"&lt;="&amp;S$9,операции!$O:$O,$F1126)</f>
        <v>28</v>
      </c>
      <c r="T1148" s="196">
        <f t="shared" ref="T1148" si="2027">S1148-U1148-V1148</f>
        <v>0</v>
      </c>
      <c r="U1148" s="156">
        <f>SUMIFS(операции!$R:$R,операции!$X:$X,"&gt;="&amp;S$8,операции!$X:$X,"&lt;="&amp;S$9,операции!$L:$L,U$9,операции!$O:$O,$F1126)</f>
        <v>6</v>
      </c>
      <c r="V1148" s="245">
        <f>SUMIFS(операции!$R:$R,операции!$X:$X,"&gt;="&amp;S$8,операции!$X:$X,"&lt;="&amp;S$9,операции!$L:$L,V$9,операции!$O:$O,$F1126)</f>
        <v>22</v>
      </c>
      <c r="W1148" s="403"/>
      <c r="X1148" s="156">
        <f>SUMIFS(операции!$R:$R,операции!$X:$X,"&gt;="&amp;X$8,операции!$X:$X,"&lt;="&amp;X$9,операции!$O:$O,$F1126)</f>
        <v>8</v>
      </c>
      <c r="Y1148" s="196">
        <f t="shared" ref="Y1148" si="2028">X1148-Z1148-AA1148</f>
        <v>0</v>
      </c>
      <c r="Z1148" s="156">
        <f>SUMIFS(операции!$R:$R,операции!$X:$X,"&gt;="&amp;X$8,операции!$X:$X,"&lt;="&amp;X$9,операции!$L:$L,Z$9,операции!$O:$O,$F1126)</f>
        <v>1</v>
      </c>
      <c r="AA1148" s="245">
        <f>SUMIFS(операции!$R:$R,операции!$X:$X,"&gt;="&amp;X$8,операции!$X:$X,"&lt;="&amp;X$9,операции!$L:$L,AA$9,операции!$O:$O,$F1126)</f>
        <v>7</v>
      </c>
      <c r="AB1148" s="265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</row>
    <row r="1149" spans="1:42" s="192" customFormat="1" ht="11.25">
      <c r="A1149" s="37"/>
      <c r="B1149" s="37"/>
      <c r="C1149" s="37"/>
      <c r="D1149" s="191" t="s">
        <v>333</v>
      </c>
      <c r="E1149" s="191"/>
      <c r="F1149" s="191" t="str">
        <f t="shared" si="1986"/>
        <v>КидсТрейд</v>
      </c>
      <c r="G1149" s="191" t="s">
        <v>261</v>
      </c>
      <c r="H1149" s="315"/>
      <c r="I1149" s="329">
        <f>IF(I1148=0,0,I1146/I1148)</f>
        <v>5513.6410256410254</v>
      </c>
      <c r="J1149" s="317"/>
      <c r="K1149" s="329">
        <f t="shared" ref="K1149" si="2029">IF(K1148=0,0,K1146/K1148)</f>
        <v>6184.9</v>
      </c>
      <c r="L1149" s="330">
        <f t="shared" ref="L1149" si="2030">IF(L1148=0,0,L1146/L1148)</f>
        <v>5282.1724137931033</v>
      </c>
      <c r="M1149" s="402"/>
      <c r="N1149" s="156">
        <f>IF(N1148=0,0,N1146/N1148)</f>
        <v>10599</v>
      </c>
      <c r="O1149" s="196"/>
      <c r="P1149" s="156">
        <f>IF(P1148=0,0,P1146/P1148)</f>
        <v>10599</v>
      </c>
      <c r="Q1149" s="245">
        <f>IF(Q1148=0,0,Q1146/Q1148)</f>
        <v>0</v>
      </c>
      <c r="R1149" s="403"/>
      <c r="S1149" s="156">
        <f>IF(S1148=0,0,S1146/S1148)</f>
        <v>5662.3928571428569</v>
      </c>
      <c r="T1149" s="196"/>
      <c r="U1149" s="156">
        <f>IF(U1148=0,0,U1146/U1148)</f>
        <v>4629</v>
      </c>
      <c r="V1149" s="245">
        <f>IF(V1148=0,0,V1146/V1148)</f>
        <v>5944.227272727273</v>
      </c>
      <c r="W1149" s="403"/>
      <c r="X1149" s="156">
        <f>IF(X1148=0,0,X1146/X1148)</f>
        <v>3086</v>
      </c>
      <c r="Y1149" s="196"/>
      <c r="Z1149" s="156">
        <f>IF(Z1148=0,0,Z1146/Z1148)</f>
        <v>2278</v>
      </c>
      <c r="AA1149" s="245">
        <f>IF(AA1148=0,0,AA1146/AA1148)</f>
        <v>3201.4285714285716</v>
      </c>
      <c r="AB1149" s="265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</row>
    <row r="1150" spans="1:42" s="192" customFormat="1" ht="11.25">
      <c r="A1150" s="37"/>
      <c r="B1150" s="37"/>
      <c r="C1150" s="37"/>
      <c r="D1150" s="191" t="s">
        <v>290</v>
      </c>
      <c r="E1150" s="191"/>
      <c r="F1150" s="191" t="str">
        <f>F1146</f>
        <v>КидсТрейд</v>
      </c>
      <c r="G1150" s="191" t="s">
        <v>262</v>
      </c>
      <c r="H1150" s="315"/>
      <c r="I1150" s="316">
        <f>IF(I1146=0,0,SUMIFS(операции!$AG:$AG,операции!$X:$X,"&gt;="&amp;I$8,операции!$X:$X,"&lt;="&amp;I$9,операции!$O:$O,$F1126)/I1146)</f>
        <v>42327.607760705381</v>
      </c>
      <c r="J1150" s="317"/>
      <c r="K1150" s="316">
        <f>IF(K1146=0,0,SUMIFS(операции!$AG:$AG,операции!$X:$X,"&gt;="&amp;I$8,операции!$X:$X,"&lt;="&amp;I$9,операции!$L:$L,K$9,операции!$O:$O,$F1126)/K1146)</f>
        <v>42316.313942020082</v>
      </c>
      <c r="L1150" s="318">
        <f>IF(L1146=0,0,SUMIFS(операции!$AG:$AG,операции!$X:$X,"&gt;="&amp;I$8,операции!$X:$X,"&lt;="&amp;I$9,операции!$L:$L,L$9,операции!$O:$O,$F1126)/L1146)</f>
        <v>42332.167740545621</v>
      </c>
      <c r="M1150" s="274"/>
      <c r="N1150" s="193">
        <f>IF(N1146=0,0,SUMIFS(операции!$AG:$AG,операции!$X:$X,"&gt;="&amp;N$8,операции!$X:$X,"&lt;="&amp;N$9,операции!$O:$O,$F1126)/N1146)</f>
        <v>42300.034122715981</v>
      </c>
      <c r="O1150" s="196"/>
      <c r="P1150" s="193">
        <f>IF(P1146=0,0,SUMIFS(операции!$AG:$AG,операции!$X:$X,"&gt;="&amp;N$8,операции!$X:$X,"&lt;="&amp;N$9,операции!$L:$L,P$9,операции!$O:$O,$F1126)/P1146)</f>
        <v>42300.034122715981</v>
      </c>
      <c r="Q1150" s="237">
        <f>IF(Q1146=0,0,SUMIFS(операции!$AG:$AG,операции!$X:$X,"&gt;="&amp;N$8,операции!$X:$X,"&lt;="&amp;N$9,операции!$L:$L,Q$9,операции!$O:$O,$F1126)/Q1146)</f>
        <v>0</v>
      </c>
      <c r="R1150" s="238"/>
      <c r="S1150" s="193">
        <f>IF(S1146=0,0,SUMIFS(операции!$AG:$AG,операции!$X:$X,"&gt;="&amp;S$8,операции!$X:$X,"&lt;="&amp;S$9,операции!$O:$O,$F1126)/S1146)</f>
        <v>42330.452017382857</v>
      </c>
      <c r="T1150" s="196"/>
      <c r="U1150" s="193">
        <f>IF(U1146=0,0,SUMIFS(операции!$AG:$AG,операции!$X:$X,"&gt;="&amp;S$8,операции!$X:$X,"&lt;="&amp;S$9,операции!$L:$L,U$9,операции!$O:$O,$F1126)/U1146)</f>
        <v>42332.763087779938</v>
      </c>
      <c r="V1150" s="237">
        <f>IF(V1146=0,0,SUMIFS(операции!$AG:$AG,операции!$X:$X,"&gt;="&amp;S$8,операции!$X:$X,"&lt;="&amp;S$9,операции!$L:$L,V$9,операции!$O:$O,$F1126)/V1146)</f>
        <v>42329.961184648208</v>
      </c>
      <c r="W1150" s="238"/>
      <c r="X1150" s="193">
        <f>IF(X1146=0,0,SUMIFS(операции!$AG:$AG,операции!$X:$X,"&gt;="&amp;X$8,операции!$X:$X,"&lt;="&amp;X$9,операции!$O:$O,$F1126)/X1146)</f>
        <v>42344.855435839272</v>
      </c>
      <c r="Y1150" s="196"/>
      <c r="Z1150" s="193">
        <f>IF(Z1146=0,0,SUMIFS(операции!$AG:$AG,операции!$X:$X,"&gt;="&amp;X$8,операции!$X:$X,"&lt;="&amp;X$9,операции!$L:$L,Z$9,операции!$O:$O,$F1126)/Z1146)</f>
        <v>42343</v>
      </c>
      <c r="AA1150" s="237">
        <f>IF(AA1146=0,0,SUMIFS(операции!$AG:$AG,операции!$X:$X,"&gt;="&amp;X$8,операции!$X:$X,"&lt;="&amp;X$9,операции!$L:$L,AA$9,операции!$O:$O,$F1126)/AA1146)</f>
        <v>42345.044042838017</v>
      </c>
      <c r="AB1150" s="265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</row>
    <row r="1151" spans="1:42" s="93" customFormat="1" ht="15">
      <c r="A1151" s="92"/>
      <c r="B1151" s="92"/>
      <c r="C1151" s="92"/>
      <c r="D1151" s="151" t="s">
        <v>275</v>
      </c>
      <c r="E1151" s="151"/>
      <c r="F1151" s="151" t="str">
        <f t="shared" si="1986"/>
        <v>КидсТрейд</v>
      </c>
      <c r="G1151" s="151" t="s">
        <v>261</v>
      </c>
      <c r="H1151" s="311"/>
      <c r="I1151" s="312">
        <f>SUMIFS(операции!$V:$V,операции!$X:$X,"&gt;="&amp;I$8,операции!$X:$X,"&lt;="&amp;I$9,операции!$O:$O,$F1126)</f>
        <v>183954.49999999997</v>
      </c>
      <c r="J1151" s="313">
        <f>I1151-I1161-I1171</f>
        <v>0</v>
      </c>
      <c r="K1151" s="312">
        <f>SUMIFS(операции!$V:$V,операции!$X:$X,"&gt;="&amp;I$8,операции!$X:$X,"&lt;="&amp;I$9,операции!$L:$L,K$9,операции!$O:$O,$F1126)</f>
        <v>54183.579999999994</v>
      </c>
      <c r="L1151" s="314">
        <f>SUMIFS(операции!$V:$V,операции!$X:$X,"&gt;="&amp;I$8,операции!$X:$X,"&lt;="&amp;I$9,операции!$L:$L,L$9,операции!$O:$O,$F1126)</f>
        <v>129770.91999999998</v>
      </c>
      <c r="M1151" s="273"/>
      <c r="N1151" s="152">
        <f>SUMIFS(операции!$V:$V,операции!$X:$X,"&gt;="&amp;N$8,операции!$X:$X,"&lt;="&amp;N$9,операции!$O:$O,$F1126)</f>
        <v>30752.43</v>
      </c>
      <c r="O1151" s="170">
        <f>N1151-N1161-N1171</f>
        <v>0</v>
      </c>
      <c r="P1151" s="152">
        <f>SUMIFS(операции!$V:$V,операции!$X:$X,"&gt;="&amp;N$8,операции!$X:$X,"&lt;="&amp;N$9,операции!$L:$L,P$9,операции!$O:$O,$F1126)</f>
        <v>30752.43</v>
      </c>
      <c r="Q1151" s="235">
        <f>SUMIFS(операции!$V:$V,операции!$X:$X,"&gt;="&amp;N$8,операции!$X:$X,"&lt;="&amp;N$9,операции!$L:$L,Q$9,операции!$O:$O,$F1126)</f>
        <v>0</v>
      </c>
      <c r="R1151" s="236"/>
      <c r="S1151" s="152">
        <f>SUMIFS(операции!$V:$V,операции!$X:$X,"&gt;="&amp;S$8,операции!$X:$X,"&lt;="&amp;S$9,операции!$O:$O,$F1126)</f>
        <v>130038.26</v>
      </c>
      <c r="T1151" s="170">
        <f>S1151-S1161-S1171</f>
        <v>0</v>
      </c>
      <c r="U1151" s="152">
        <f>SUMIFS(операции!$V:$V,операции!$X:$X,"&gt;="&amp;S$8,операции!$X:$X,"&lt;="&amp;S$9,операции!$L:$L,U$9,операции!$O:$O,$F1126)</f>
        <v>21195</v>
      </c>
      <c r="V1151" s="235">
        <f>SUMIFS(операции!$V:$V,операции!$X:$X,"&gt;="&amp;S$8,операции!$X:$X,"&lt;="&amp;S$9,операции!$L:$L,V$9,операции!$O:$O,$F1126)</f>
        <v>108843.26</v>
      </c>
      <c r="W1151" s="236"/>
      <c r="X1151" s="152">
        <f>SUMIFS(операции!$V:$V,операции!$X:$X,"&gt;="&amp;X$8,операции!$X:$X,"&lt;="&amp;X$9,операции!$O:$O,$F1126)</f>
        <v>23163.809999999998</v>
      </c>
      <c r="Y1151" s="170">
        <f>X1151-X1161-X1171</f>
        <v>0</v>
      </c>
      <c r="Z1151" s="152">
        <f>SUMIFS(операции!$V:$V,операции!$X:$X,"&gt;="&amp;X$8,операции!$X:$X,"&lt;="&amp;X$9,операции!$L:$L,Z$9,операции!$O:$O,$F1126)</f>
        <v>2236.15</v>
      </c>
      <c r="AA1151" s="235">
        <f>SUMIFS(операции!$V:$V,операции!$X:$X,"&gt;="&amp;X$8,операции!$X:$X,"&lt;="&amp;X$9,операции!$L:$L,AA$9,операции!$O:$O,$F1126)</f>
        <v>20927.659999999996</v>
      </c>
      <c r="AB1151" s="264"/>
      <c r="AC1151" s="92"/>
      <c r="AD1151" s="92"/>
      <c r="AE1151" s="92"/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92"/>
    </row>
    <row r="1152" spans="1:42" s="192" customFormat="1" ht="11.25">
      <c r="A1152" s="37"/>
      <c r="B1152" s="37"/>
      <c r="C1152" s="37"/>
      <c r="D1152" s="191" t="s">
        <v>291</v>
      </c>
      <c r="E1152" s="191"/>
      <c r="F1152" s="191" t="str">
        <f t="shared" si="1986"/>
        <v>КидсТрейд</v>
      </c>
      <c r="G1152" s="191" t="s">
        <v>262</v>
      </c>
      <c r="H1152" s="315"/>
      <c r="I1152" s="316">
        <f>IF(I1151=0,0,SUMIFS(операции!$AF:$AF,операции!$X:$X,"&gt;="&amp;I$8,операции!$X:$X,"&lt;="&amp;I$9,операции!$O:$O,$F1126)/I1151)</f>
        <v>42282.260207931853</v>
      </c>
      <c r="J1152" s="317"/>
      <c r="K1152" s="316">
        <f>IF(K1151=0,0,SUMIFS(операции!$AF:$AF,операции!$X:$X,"&gt;="&amp;I$8,операции!$X:$X,"&lt;="&amp;I$9,операции!$L:$L,K$9,операции!$O:$O,$F1126)/K1151)</f>
        <v>42187.275555804918</v>
      </c>
      <c r="L1152" s="318">
        <f>IF(L1151=0,0,SUMIFS(операции!$AF:$AF,операции!$X:$X,"&gt;="&amp;I$8,операции!$X:$X,"&lt;="&amp;I$9,операции!$L:$L,L$9,операции!$O:$O,$F1126)/L1151)</f>
        <v>42321.919389644463</v>
      </c>
      <c r="M1152" s="274"/>
      <c r="N1152" s="193">
        <f>IF(N1151=0,0,SUMIFS(операции!$AF:$AF,операции!$X:$X,"&gt;="&amp;N$8,операции!$X:$X,"&lt;="&amp;N$9,операции!$O:$O,$F1126)/N1151)</f>
        <v>42252.516441139771</v>
      </c>
      <c r="O1152" s="196"/>
      <c r="P1152" s="193">
        <f>IF(P1151=0,0,SUMIFS(операции!$AF:$AF,операции!$X:$X,"&gt;="&amp;N$8,операции!$X:$X,"&lt;="&amp;N$9,операции!$L:$L,P$9,операции!$O:$O,$F1126)/P1151)</f>
        <v>42252.516441139771</v>
      </c>
      <c r="Q1152" s="237">
        <f>IF(Q1151=0,0,SUMIFS(операции!$AF:$AF,операции!$X:$X,"&gt;="&amp;N$8,операции!$X:$X,"&lt;="&amp;N$9,операции!$L:$L,Q$9,операции!$O:$O,$F1126)/Q1151)</f>
        <v>0</v>
      </c>
      <c r="R1152" s="238"/>
      <c r="S1152" s="193">
        <f>IF(S1151=0,0,SUMIFS(операции!$AF:$AF,операции!$X:$X,"&gt;="&amp;S$8,операции!$X:$X,"&lt;="&amp;S$9,операции!$O:$O,$F1126)/S1151)</f>
        <v>42282.247630197446</v>
      </c>
      <c r="T1152" s="196"/>
      <c r="U1152" s="193">
        <f>IF(U1151=0,0,SUMIFS(операции!$AF:$AF,операции!$X:$X,"&gt;="&amp;S$8,операции!$X:$X,"&lt;="&amp;S$9,операции!$L:$L,U$9,операции!$O:$O,$F1126)/U1151)</f>
        <v>42085.154007077137</v>
      </c>
      <c r="V1152" s="237">
        <f>IF(V1151=0,0,SUMIFS(операции!$AF:$AF,операции!$X:$X,"&gt;="&amp;S$8,операции!$X:$X,"&lt;="&amp;S$9,операции!$L:$L,V$9,операции!$O:$O,$F1126)/V1151)</f>
        <v>42320.62758447331</v>
      </c>
      <c r="W1152" s="238"/>
      <c r="X1152" s="193">
        <f>IF(X1151=0,0,SUMIFS(операции!$AF:$AF,операции!$X:$X,"&gt;="&amp;X$8,операции!$X:$X,"&lt;="&amp;X$9,операции!$O:$O,$F1126)/X1151)</f>
        <v>42321.818842409783</v>
      </c>
      <c r="Y1152" s="196"/>
      <c r="Z1152" s="193">
        <f>IF(Z1151=0,0,SUMIFS(операции!$AF:$AF,операции!$X:$X,"&gt;="&amp;X$8,операции!$X:$X,"&lt;="&amp;X$9,операции!$L:$L,Z$9,операции!$O:$O,$F1126)/Z1151)</f>
        <v>42258</v>
      </c>
      <c r="AA1152" s="237">
        <f>IF(AA1151=0,0,SUMIFS(операции!$AF:$AF,операции!$X:$X,"&gt;="&amp;X$8,операции!$X:$X,"&lt;="&amp;X$9,операции!$L:$L,AA$9,операции!$O:$O,$F1126)/AA1151)</f>
        <v>42328.637975769874</v>
      </c>
      <c r="AB1152" s="265"/>
      <c r="AC1152" s="37"/>
      <c r="AD1152" s="37"/>
      <c r="AE1152" s="37"/>
      <c r="AF1152" s="37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</row>
    <row r="1153" spans="1:42" s="192" customFormat="1" ht="11.25">
      <c r="A1153" s="37"/>
      <c r="B1153" s="37"/>
      <c r="C1153" s="37"/>
      <c r="D1153" s="191" t="s">
        <v>308</v>
      </c>
      <c r="E1153" s="191"/>
      <c r="F1153" s="191" t="str">
        <f t="shared" si="1986"/>
        <v>КидсТрейд</v>
      </c>
      <c r="G1153" s="191" t="s">
        <v>262</v>
      </c>
      <c r="H1153" s="315"/>
      <c r="I1153" s="316">
        <f>IF(I1151=0,0,(I1161*I1163+I1171*I1173)/I1151)</f>
        <v>42322.400475226219</v>
      </c>
      <c r="J1153" s="317"/>
      <c r="K1153" s="316">
        <f t="shared" ref="K1153:L1153" si="2031">IF(K1151=0,0,(K1161*K1163+K1171*K1173)/K1151)</f>
        <v>42268.611055046575</v>
      </c>
      <c r="L1153" s="318">
        <f t="shared" si="2031"/>
        <v>42344.8593076939</v>
      </c>
      <c r="M1153" s="274"/>
      <c r="N1153" s="193">
        <f>IF(N1151=0,0,(N1161*N1163+N1171*N1173)/N1151)</f>
        <v>42293.668059402138</v>
      </c>
      <c r="O1153" s="196"/>
      <c r="P1153" s="193">
        <f t="shared" ref="P1153:Q1153" si="2032">IF(P1151=0,0,(P1161*P1163+P1171*P1173)/P1151)</f>
        <v>42293.668059402138</v>
      </c>
      <c r="Q1153" s="237">
        <f t="shared" si="2032"/>
        <v>0</v>
      </c>
      <c r="R1153" s="238"/>
      <c r="S1153" s="193">
        <f>IF(S1151=0,0,(S1161*S1163+S1171*S1173)/S1151)</f>
        <v>42313.26066759121</v>
      </c>
      <c r="T1153" s="196"/>
      <c r="U1153" s="193">
        <f t="shared" ref="U1153:V1153" si="2033">IF(U1151=0,0,(U1161*U1163+U1171*U1173)/U1151)</f>
        <v>42176.694678933709</v>
      </c>
      <c r="V1153" s="237">
        <f t="shared" si="2033"/>
        <v>42339.854102311896</v>
      </c>
      <c r="W1153" s="238"/>
      <c r="X1153" s="193">
        <f>IF(X1151=0,0,(X1161*X1163+X1171*X1173)/X1151)</f>
        <v>42359.490353270907</v>
      </c>
      <c r="Y1153" s="196"/>
      <c r="Z1153" s="193">
        <f t="shared" ref="Z1153:AA1153" si="2034">IF(Z1151=0,0,(Z1161*Z1163+Z1171*Z1173)/Z1151)</f>
        <v>42318</v>
      </c>
      <c r="AA1153" s="237">
        <f t="shared" si="2034"/>
        <v>42363.923656060935</v>
      </c>
      <c r="AB1153" s="265"/>
      <c r="AC1153" s="37"/>
      <c r="AD1153" s="37"/>
      <c r="AE1153" s="37"/>
      <c r="AF1153" s="37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</row>
    <row r="1154" spans="1:42" s="93" customFormat="1" ht="15">
      <c r="A1154" s="92"/>
      <c r="B1154" s="92"/>
      <c r="C1154" s="92"/>
      <c r="D1154" s="151" t="s">
        <v>278</v>
      </c>
      <c r="E1154" s="151"/>
      <c r="F1154" s="151" t="str">
        <f t="shared" si="1986"/>
        <v>КидсТрейд</v>
      </c>
      <c r="G1154" s="151" t="s">
        <v>261</v>
      </c>
      <c r="H1154" s="311"/>
      <c r="I1154" s="312">
        <f>I1146-I1151</f>
        <v>31077.500000000029</v>
      </c>
      <c r="J1154" s="313">
        <f>I1154-K1154-L1154</f>
        <v>0</v>
      </c>
      <c r="K1154" s="312">
        <f t="shared" ref="K1154:L1154" si="2035">K1146-K1151</f>
        <v>7665.4200000000055</v>
      </c>
      <c r="L1154" s="314">
        <f t="shared" si="2035"/>
        <v>23412.080000000016</v>
      </c>
      <c r="M1154" s="273"/>
      <c r="N1154" s="152">
        <f>N1146-N1151</f>
        <v>1044.5699999999997</v>
      </c>
      <c r="O1154" s="170">
        <f>N1154-P1154-Q1154</f>
        <v>0</v>
      </c>
      <c r="P1154" s="152">
        <f t="shared" ref="P1154:Q1154" si="2036">P1146-P1151</f>
        <v>1044.5699999999997</v>
      </c>
      <c r="Q1154" s="235">
        <f t="shared" si="2036"/>
        <v>0</v>
      </c>
      <c r="R1154" s="236"/>
      <c r="S1154" s="152">
        <f>S1146-S1151</f>
        <v>28508.740000000005</v>
      </c>
      <c r="T1154" s="170">
        <f>S1154-U1154-V1154</f>
        <v>0</v>
      </c>
      <c r="U1154" s="152">
        <f t="shared" ref="U1154:V1154" si="2037">U1146-U1151</f>
        <v>6579</v>
      </c>
      <c r="V1154" s="235">
        <f t="shared" si="2037"/>
        <v>21929.740000000005</v>
      </c>
      <c r="W1154" s="236"/>
      <c r="X1154" s="152">
        <f>X1146-X1151</f>
        <v>1524.1900000000023</v>
      </c>
      <c r="Y1154" s="170">
        <f>X1154-Z1154-AA1154</f>
        <v>0</v>
      </c>
      <c r="Z1154" s="152">
        <f t="shared" ref="Z1154:AA1154" si="2038">Z1146-Z1151</f>
        <v>41.849999999999909</v>
      </c>
      <c r="AA1154" s="235">
        <f t="shared" si="2038"/>
        <v>1482.3400000000038</v>
      </c>
      <c r="AB1154" s="264"/>
      <c r="AC1154" s="92"/>
      <c r="AD1154" s="92"/>
      <c r="AE1154" s="92"/>
      <c r="AF1154" s="92"/>
      <c r="AG1154" s="92"/>
      <c r="AH1154" s="92"/>
      <c r="AI1154" s="92"/>
      <c r="AJ1154" s="92"/>
      <c r="AK1154" s="92"/>
      <c r="AL1154" s="92"/>
      <c r="AM1154" s="92"/>
      <c r="AN1154" s="92"/>
      <c r="AO1154" s="92"/>
      <c r="AP1154" s="92"/>
    </row>
    <row r="1155" spans="1:42" s="211" customFormat="1">
      <c r="A1155" s="210"/>
      <c r="B1155" s="210"/>
      <c r="C1155" s="210"/>
      <c r="D1155" s="218" t="s">
        <v>277</v>
      </c>
      <c r="E1155" s="218"/>
      <c r="F1155" s="218" t="str">
        <f t="shared" si="1986"/>
        <v>КидсТрейд</v>
      </c>
      <c r="G1155" s="218" t="s">
        <v>218</v>
      </c>
      <c r="H1155" s="343"/>
      <c r="I1155" s="344">
        <f>IF(I1146=0,0,(I1154/I1146))</f>
        <v>0.14452500093009427</v>
      </c>
      <c r="J1155" s="345"/>
      <c r="K1155" s="344">
        <f t="shared" ref="K1155" si="2039">IF(K1146=0,0,(K1154/K1146))</f>
        <v>0.12393765461042225</v>
      </c>
      <c r="L1155" s="346">
        <f t="shared" ref="L1155" si="2040">IF(L1146=0,0,(L1154/L1146))</f>
        <v>0.15283732529066552</v>
      </c>
      <c r="M1155" s="280"/>
      <c r="N1155" s="219">
        <f>IF(N1146=0,0,(N1154/N1146))</f>
        <v>3.2851212378526264E-2</v>
      </c>
      <c r="O1155" s="220"/>
      <c r="P1155" s="219">
        <f t="shared" ref="P1155" si="2041">IF(P1146=0,0,(P1154/P1146))</f>
        <v>3.2851212378526264E-2</v>
      </c>
      <c r="Q1155" s="252">
        <f t="shared" ref="Q1155" si="2042">IF(Q1146=0,0,(Q1154/Q1146))</f>
        <v>0</v>
      </c>
      <c r="R1155" s="253"/>
      <c r="S1155" s="219">
        <f>IF(S1146=0,0,(S1154/S1146))</f>
        <v>0.17981254769878965</v>
      </c>
      <c r="T1155" s="220"/>
      <c r="U1155" s="219">
        <f t="shared" ref="U1155" si="2043">IF(U1146=0,0,(U1154/U1146))</f>
        <v>0.23687621516526247</v>
      </c>
      <c r="V1155" s="252">
        <f t="shared" ref="V1155" si="2044">IF(V1146=0,0,(V1154/V1146))</f>
        <v>0.16769317825545033</v>
      </c>
      <c r="W1155" s="253"/>
      <c r="X1155" s="219">
        <f>IF(X1146=0,0,(X1154/X1146))</f>
        <v>6.173809138042783E-2</v>
      </c>
      <c r="Y1155" s="220"/>
      <c r="Z1155" s="219">
        <f t="shared" ref="Z1155" si="2045">IF(Z1146=0,0,(Z1154/Z1146))</f>
        <v>1.8371378402107071E-2</v>
      </c>
      <c r="AA1155" s="252">
        <f t="shared" ref="AA1155" si="2046">IF(AA1146=0,0,(AA1154/AA1146))</f>
        <v>6.614636323070075E-2</v>
      </c>
      <c r="AB1155" s="267"/>
      <c r="AC1155" s="210"/>
      <c r="AD1155" s="210"/>
      <c r="AE1155" s="210"/>
      <c r="AF1155" s="210"/>
      <c r="AG1155" s="210"/>
      <c r="AH1155" s="210"/>
      <c r="AI1155" s="210"/>
      <c r="AJ1155" s="210"/>
      <c r="AK1155" s="210"/>
      <c r="AL1155" s="210"/>
      <c r="AM1155" s="210"/>
      <c r="AN1155" s="210"/>
      <c r="AO1155" s="210"/>
      <c r="AP1155" s="210"/>
    </row>
    <row r="1156" spans="1:42" s="93" customFormat="1" ht="15">
      <c r="A1156" s="92"/>
      <c r="B1156" s="92"/>
      <c r="C1156" s="92"/>
      <c r="D1156" s="198" t="s">
        <v>220</v>
      </c>
      <c r="E1156" s="198"/>
      <c r="F1156" s="198" t="str">
        <f t="shared" si="1986"/>
        <v>КидсТрейд</v>
      </c>
      <c r="G1156" s="198" t="s">
        <v>219</v>
      </c>
      <c r="H1156" s="323"/>
      <c r="I1156" s="324">
        <f>I1150-I1152</f>
        <v>45.34755277352815</v>
      </c>
      <c r="J1156" s="321">
        <f>I1156-SUMIFS(ПОбТЗ!$I:$I,ПОбТЗ!$E:$E,$D1156,ПОбТЗ!$F:$F,$F1156)</f>
        <v>0</v>
      </c>
      <c r="K1156" s="324">
        <f t="shared" ref="K1156:L1156" si="2047">K1150-K1152</f>
        <v>129.03838621516479</v>
      </c>
      <c r="L1156" s="325">
        <f t="shared" si="2047"/>
        <v>10.248350901158119</v>
      </c>
      <c r="M1156" s="276"/>
      <c r="N1156" s="199">
        <f>N1150-N1152</f>
        <v>47.517681576209725</v>
      </c>
      <c r="O1156" s="173">
        <f>N1156-SUMIFS(ПОбТЗ_3!$J:$J,ПОбТЗ_3!$D:$D,$D1156,ПОбТЗ_3!$E:$E,$F1156)</f>
        <v>0</v>
      </c>
      <c r="P1156" s="199">
        <f t="shared" ref="P1156:Q1156" si="2048">P1150-P1152</f>
        <v>47.517681576209725</v>
      </c>
      <c r="Q1156" s="241">
        <f t="shared" si="2048"/>
        <v>0</v>
      </c>
      <c r="R1156" s="242"/>
      <c r="S1156" s="199">
        <f>S1150-S1152</f>
        <v>48.204387185411179</v>
      </c>
      <c r="T1156" s="173">
        <f>S1156-SUMIFS(ПОбТЗ_3!$K:$K,ПОбТЗ_3!$D:$D,$D1156,ПОбТЗ_3!$E:$E,$F1156)</f>
        <v>0</v>
      </c>
      <c r="U1156" s="199">
        <f t="shared" ref="U1156:V1156" si="2049">U1150-U1152</f>
        <v>247.60908070280129</v>
      </c>
      <c r="V1156" s="241">
        <f t="shared" si="2049"/>
        <v>9.3336001748975832</v>
      </c>
      <c r="W1156" s="242"/>
      <c r="X1156" s="199">
        <f>X1150-X1152</f>
        <v>23.036593429489585</v>
      </c>
      <c r="Y1156" s="173">
        <f>X1156-SUMIFS(ПОбТЗ_3!$L:$L,ПОбТЗ_3!$D:$D,$D1156,ПОбТЗ_3!$E:$E,$F1156)</f>
        <v>0</v>
      </c>
      <c r="Z1156" s="199">
        <f t="shared" ref="Z1156:AA1156" si="2050">Z1150-Z1152</f>
        <v>85</v>
      </c>
      <c r="AA1156" s="241">
        <f t="shared" si="2050"/>
        <v>16.406067068142875</v>
      </c>
      <c r="AB1156" s="264"/>
      <c r="AC1156" s="92"/>
      <c r="AD1156" s="92"/>
      <c r="AE1156" s="92"/>
      <c r="AF1156" s="92"/>
      <c r="AG1156" s="92"/>
      <c r="AH1156" s="92"/>
      <c r="AI1156" s="92"/>
      <c r="AJ1156" s="92"/>
      <c r="AK1156" s="92"/>
      <c r="AL1156" s="92"/>
      <c r="AM1156" s="92"/>
      <c r="AN1156" s="92"/>
      <c r="AO1156" s="92"/>
      <c r="AP1156" s="92"/>
    </row>
    <row r="1157" spans="1:42" s="5" customFormat="1">
      <c r="A1157" s="1"/>
      <c r="B1157" s="1"/>
      <c r="C1157" s="1"/>
      <c r="D1157" s="227" t="s">
        <v>309</v>
      </c>
      <c r="E1157" s="227"/>
      <c r="F1157" s="227" t="str">
        <f t="shared" si="1986"/>
        <v>КидсТрейд</v>
      </c>
      <c r="G1157" s="227" t="s">
        <v>219</v>
      </c>
      <c r="H1157" s="347"/>
      <c r="I1157" s="348">
        <f>I1153-I1152</f>
        <v>40.140267294365913</v>
      </c>
      <c r="J1157" s="321"/>
      <c r="K1157" s="348">
        <f t="shared" ref="K1157:L1157" si="2051">K1153-K1152</f>
        <v>81.335499241657089</v>
      </c>
      <c r="L1157" s="349">
        <f t="shared" si="2051"/>
        <v>22.939918049436528</v>
      </c>
      <c r="M1157" s="281"/>
      <c r="N1157" s="228">
        <f>N1153-N1152</f>
        <v>41.151618262367265</v>
      </c>
      <c r="O1157" s="173"/>
      <c r="P1157" s="228">
        <f t="shared" ref="P1157:Q1157" si="2052">P1153-P1152</f>
        <v>41.151618262367265</v>
      </c>
      <c r="Q1157" s="254">
        <f t="shared" si="2052"/>
        <v>0</v>
      </c>
      <c r="R1157" s="255"/>
      <c r="S1157" s="228">
        <f>S1153-S1152</f>
        <v>31.013037393764534</v>
      </c>
      <c r="T1157" s="173"/>
      <c r="U1157" s="228">
        <f t="shared" ref="U1157:V1157" si="2053">U1153-U1152</f>
        <v>91.540671856571862</v>
      </c>
      <c r="V1157" s="254">
        <f t="shared" si="2053"/>
        <v>19.226517838586005</v>
      </c>
      <c r="W1157" s="255"/>
      <c r="X1157" s="228">
        <f>X1153-X1152</f>
        <v>37.671510861124261</v>
      </c>
      <c r="Y1157" s="173"/>
      <c r="Z1157" s="228">
        <f t="shared" ref="Z1157:AA1157" si="2054">Z1153-Z1152</f>
        <v>60</v>
      </c>
      <c r="AA1157" s="254">
        <f t="shared" si="2054"/>
        <v>35.285680291060999</v>
      </c>
      <c r="AB1157" s="266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</row>
    <row r="1158" spans="1:42" s="5" customFormat="1">
      <c r="A1158" s="1"/>
      <c r="B1158" s="1"/>
      <c r="C1158" s="1"/>
      <c r="D1158" s="225" t="s">
        <v>310</v>
      </c>
      <c r="E1158" s="225"/>
      <c r="F1158" s="225" t="str">
        <f t="shared" si="1986"/>
        <v>КидсТрейд</v>
      </c>
      <c r="G1158" s="225" t="s">
        <v>219</v>
      </c>
      <c r="H1158" s="350"/>
      <c r="I1158" s="351">
        <f>I1156-I1157</f>
        <v>5.2072854791622376</v>
      </c>
      <c r="J1158" s="352"/>
      <c r="K1158" s="351">
        <f t="shared" ref="K1158" si="2055">K1156-K1157</f>
        <v>47.702886973507702</v>
      </c>
      <c r="L1158" s="353">
        <f t="shared" ref="L1158" si="2056">L1156-L1157</f>
        <v>-12.691567148278409</v>
      </c>
      <c r="M1158" s="282"/>
      <c r="N1158" s="226">
        <f>N1156-N1157</f>
        <v>6.36606331384246</v>
      </c>
      <c r="O1158" s="181"/>
      <c r="P1158" s="226">
        <f t="shared" ref="P1158" si="2057">P1156-P1157</f>
        <v>6.36606331384246</v>
      </c>
      <c r="Q1158" s="256">
        <f t="shared" ref="Q1158" si="2058">Q1156-Q1157</f>
        <v>0</v>
      </c>
      <c r="R1158" s="257"/>
      <c r="S1158" s="226">
        <f>S1156-S1157</f>
        <v>17.191349791646644</v>
      </c>
      <c r="T1158" s="181"/>
      <c r="U1158" s="226">
        <f t="shared" ref="U1158" si="2059">U1156-U1157</f>
        <v>156.06840884622943</v>
      </c>
      <c r="V1158" s="256">
        <f t="shared" ref="V1158" si="2060">V1156-V1157</f>
        <v>-9.8929176636884222</v>
      </c>
      <c r="W1158" s="257"/>
      <c r="X1158" s="226">
        <f>X1156-X1157</f>
        <v>-14.634917431634676</v>
      </c>
      <c r="Y1158" s="181"/>
      <c r="Z1158" s="226">
        <f t="shared" ref="Z1158" si="2061">Z1156-Z1157</f>
        <v>25</v>
      </c>
      <c r="AA1158" s="256">
        <f t="shared" ref="AA1158" si="2062">AA1156-AA1157</f>
        <v>-18.879613222918124</v>
      </c>
      <c r="AB1158" s="266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</row>
    <row r="1159" spans="1:42" s="5" customFormat="1">
      <c r="A1159" s="1"/>
      <c r="B1159" s="1"/>
      <c r="C1159" s="1"/>
      <c r="D1159" s="223"/>
      <c r="E1159" s="223" t="s">
        <v>293</v>
      </c>
      <c r="F1159" s="223" t="str">
        <f t="shared" si="1986"/>
        <v>КидсТрейд</v>
      </c>
      <c r="G1159" s="223" t="s">
        <v>261</v>
      </c>
      <c r="H1159" s="354"/>
      <c r="I1159" s="355">
        <f>SUMIFS(операции!$Z:$Z,операции!$X:$X,"&gt;="&amp;I$8,операции!$X:$X,"&lt;="&amp;I$9,операции!$AB:$AB,"&lt;&gt;"&amp;"",операции!$O:$O,$F1126)</f>
        <v>187628</v>
      </c>
      <c r="J1159" s="341">
        <f>I1159-K1159-L1159</f>
        <v>0</v>
      </c>
      <c r="K1159" s="355">
        <f>SUMIFS(операции!$Z:$Z,операции!$X:$X,"&gt;="&amp;I$8,операции!$X:$X,"&lt;="&amp;I$9,операции!$AB:$AB,"&lt;&gt;"&amp;"",операции!$L:$L,K$9,операции!$O:$O,$F1126)</f>
        <v>41852</v>
      </c>
      <c r="L1159" s="356">
        <f>SUMIFS(операции!$Z:$Z,операции!$X:$X,"&gt;="&amp;I$8,операции!$X:$X,"&lt;="&amp;I$9,операции!$AB:$AB,"&lt;&gt;"&amp;"",операции!$L:$L,L$9,операции!$O:$O,$F1126)</f>
        <v>145776</v>
      </c>
      <c r="M1159" s="283"/>
      <c r="N1159" s="224">
        <f>SUMIFS(операции!$Z:$Z,операции!$X:$X,"&gt;="&amp;N$8,операции!$X:$X,"&lt;="&amp;N$9,операции!$AB:$AB,"&lt;&gt;"&amp;"",операции!$O:$O,$F1126)</f>
        <v>15790</v>
      </c>
      <c r="O1159" s="216">
        <f>N1159-P1159-Q1159</f>
        <v>0</v>
      </c>
      <c r="P1159" s="224">
        <f>SUMIFS(операции!$Z:$Z,операции!$X:$X,"&gt;="&amp;N$8,операции!$X:$X,"&lt;="&amp;N$9,операции!$AB:$AB,"&lt;&gt;"&amp;"",операции!$L:$L,P$9,операции!$O:$O,$F1126)</f>
        <v>15790</v>
      </c>
      <c r="Q1159" s="258">
        <f>SUMIFS(операции!$Z:$Z,операции!$X:$X,"&gt;="&amp;N$8,операции!$X:$X,"&lt;="&amp;N$9,операции!$AB:$AB,"&lt;&gt;"&amp;"",операции!$L:$L,Q$9,операции!$O:$O,$F1126)</f>
        <v>0</v>
      </c>
      <c r="R1159" s="259"/>
      <c r="S1159" s="224">
        <f>SUMIFS(операции!$Z:$Z,операции!$X:$X,"&gt;="&amp;S$8,операции!$X:$X,"&lt;="&amp;S$9,операции!$AB:$AB,"&lt;&gt;"&amp;"",операции!$O:$O,$F1126)</f>
        <v>147671</v>
      </c>
      <c r="T1159" s="216">
        <f>S1159-U1159-V1159</f>
        <v>0</v>
      </c>
      <c r="U1159" s="224">
        <f>SUMIFS(операции!$Z:$Z,операции!$X:$X,"&gt;="&amp;S$8,операции!$X:$X,"&lt;="&amp;S$9,операции!$AB:$AB,"&lt;&gt;"&amp;"",операции!$L:$L,U$9,операции!$O:$O,$F1126)</f>
        <v>23784</v>
      </c>
      <c r="V1159" s="258">
        <f>SUMIFS(операции!$Z:$Z,операции!$X:$X,"&gt;="&amp;S$8,операции!$X:$X,"&lt;="&amp;S$9,операции!$AB:$AB,"&lt;&gt;"&amp;"",операции!$L:$L,V$9,операции!$O:$O,$F1126)</f>
        <v>123887</v>
      </c>
      <c r="W1159" s="259"/>
      <c r="X1159" s="224">
        <f>SUMIFS(операции!$Z:$Z,операции!$X:$X,"&gt;="&amp;X$8,операции!$X:$X,"&lt;="&amp;X$9,операции!$AB:$AB,"&lt;&gt;"&amp;"",операции!$O:$O,$F1126)</f>
        <v>24167</v>
      </c>
      <c r="Y1159" s="216">
        <f>X1159-Z1159-AA1159</f>
        <v>0</v>
      </c>
      <c r="Z1159" s="224">
        <f>SUMIFS(операции!$Z:$Z,операции!$X:$X,"&gt;="&amp;X$8,операции!$X:$X,"&lt;="&amp;X$9,операции!$AB:$AB,"&lt;&gt;"&amp;"",операции!$L:$L,Z$9,операции!$O:$O,$F1126)</f>
        <v>2278</v>
      </c>
      <c r="AA1159" s="258">
        <f>SUMIFS(операции!$Z:$Z,операции!$X:$X,"&gt;="&amp;X$8,операции!$X:$X,"&lt;="&amp;X$9,операции!$AB:$AB,"&lt;&gt;"&amp;"",операции!$L:$L,AA$9,операции!$O:$O,$F1126)</f>
        <v>21889</v>
      </c>
      <c r="AB1159" s="266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</row>
    <row r="1160" spans="1:42" s="192" customFormat="1" ht="11.25">
      <c r="A1160" s="37"/>
      <c r="B1160" s="37"/>
      <c r="C1160" s="37"/>
      <c r="D1160" s="191"/>
      <c r="E1160" s="191" t="s">
        <v>295</v>
      </c>
      <c r="F1160" s="191" t="str">
        <f t="shared" si="1986"/>
        <v>КидсТрейд</v>
      </c>
      <c r="G1160" s="191" t="s">
        <v>262</v>
      </c>
      <c r="H1160" s="315"/>
      <c r="I1160" s="316">
        <f>IF(I1159=0,0,SUMIFS(операции!$AG:$AG,операции!$X:$X,"&gt;="&amp;I$8,операции!$X:$X,"&lt;="&amp;I$9,операции!$AB:$AB,"&lt;&gt;"&amp;"",операции!$O:$O,$F1126)/I1159)</f>
        <v>42330.31110495235</v>
      </c>
      <c r="J1160" s="317"/>
      <c r="K1160" s="316">
        <f>IF(K1159=0,0,SUMIFS(операции!$AG:$AG,операции!$X:$X,"&gt;="&amp;I$8,операции!$X:$X,"&lt;="&amp;I$9,операции!$AB:$AB,"&lt;&gt;"&amp;"",операции!$L:$L,K$9,операции!$O:$O,$F1126)/K1159)</f>
        <v>42323.224839912073</v>
      </c>
      <c r="L1160" s="318">
        <f>IF(L1159=0,0,SUMIFS(операции!$AG:$AG,операции!$X:$X,"&gt;="&amp;I$8,операции!$X:$X,"&lt;="&amp;I$9,операции!$AB:$AB,"&lt;&gt;"&amp;"",операции!$L:$L,L$9,операции!$O:$O,$F1126)/L1159)</f>
        <v>42332.345557567773</v>
      </c>
      <c r="M1160" s="274"/>
      <c r="N1160" s="193">
        <f>IF(N1159=0,0,SUMIFS(операции!$AG:$AG,операции!$X:$X,"&gt;="&amp;N$8,операции!$X:$X,"&lt;="&amp;N$9,операции!$AB:$AB,"&lt;&gt;"&amp;"",операции!$O:$O,$F1126)/N1159)</f>
        <v>42300</v>
      </c>
      <c r="O1160" s="196"/>
      <c r="P1160" s="193">
        <f>IF(P1159=0,0,SUMIFS(операции!$AG:$AG,операции!$X:$X,"&gt;="&amp;N$8,операции!$X:$X,"&lt;="&amp;N$9,операции!$AB:$AB,"&lt;&gt;"&amp;"",операции!$L:$L,P$9,операции!$O:$O,$F1126)/P1159)</f>
        <v>42300</v>
      </c>
      <c r="Q1160" s="237">
        <f>IF(Q1159=0,0,SUMIFS(операции!$AG:$AG,операции!$X:$X,"&gt;="&amp;N$8,операции!$X:$X,"&lt;="&amp;N$9,операции!$AB:$AB,"&lt;&gt;"&amp;"",операции!$L:$L,Q$9,операции!$O:$O,$F1126)/Q1159)</f>
        <v>0</v>
      </c>
      <c r="R1160" s="238"/>
      <c r="S1160" s="193">
        <f>IF(S1159=0,0,SUMIFS(операции!$AG:$AG,операции!$X:$X,"&gt;="&amp;S$8,операции!$X:$X,"&lt;="&amp;S$9,операции!$AB:$AB,"&lt;&gt;"&amp;"",операции!$O:$O,$F1126)/S1159)</f>
        <v>42331.175972262667</v>
      </c>
      <c r="T1160" s="196"/>
      <c r="U1160" s="193">
        <f>IF(U1159=0,0,SUMIFS(операции!$AG:$AG,операции!$X:$X,"&gt;="&amp;S$8,операции!$X:$X,"&lt;="&amp;S$9,операции!$AB:$AB,"&lt;&gt;"&amp;"",операции!$L:$L,U$9,операции!$O:$O,$F1126)/U1159)</f>
        <v>42336.74957954928</v>
      </c>
      <c r="V1160" s="237">
        <f>IF(V1159=0,0,SUMIFS(операции!$AG:$AG,операции!$X:$X,"&gt;="&amp;S$8,операции!$X:$X,"&lt;="&amp;S$9,операции!$AB:$AB,"&lt;&gt;"&amp;"",операции!$L:$L,V$9,операции!$O:$O,$F1126)/V1159)</f>
        <v>42330.105943319315</v>
      </c>
      <c r="W1160" s="238"/>
      <c r="X1160" s="193">
        <f>IF(X1159=0,0,SUMIFS(операции!$AG:$AG,операции!$X:$X,"&gt;="&amp;X$8,операции!$X:$X,"&lt;="&amp;X$9,операции!$AB:$AB,"&lt;&gt;"&amp;"",операции!$O:$O,$F1126)/X1159)</f>
        <v>42344.830760955025</v>
      </c>
      <c r="Y1160" s="196"/>
      <c r="Z1160" s="193">
        <f>IF(Z1159=0,0,SUMIFS(операции!$AG:$AG,операции!$X:$X,"&gt;="&amp;X$8,операции!$X:$X,"&lt;="&amp;X$9,операции!$AB:$AB,"&lt;&gt;"&amp;"",операции!$L:$L,Z$9,операции!$O:$O,$F1126)/Z1159)</f>
        <v>42343</v>
      </c>
      <c r="AA1160" s="237">
        <f>IF(AA1159=0,0,SUMIFS(операции!$AG:$AG,операции!$X:$X,"&gt;="&amp;X$8,операции!$X:$X,"&lt;="&amp;X$9,операции!$AB:$AB,"&lt;&gt;"&amp;"",операции!$L:$L,AA$9,операции!$O:$O,$F1126)/AA1159)</f>
        <v>42345.021289232034</v>
      </c>
      <c r="AB1160" s="265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</row>
    <row r="1161" spans="1:42" s="93" customFormat="1" ht="15">
      <c r="A1161" s="92"/>
      <c r="B1161" s="92"/>
      <c r="C1161" s="92"/>
      <c r="D1161" s="151"/>
      <c r="E1161" s="151" t="s">
        <v>292</v>
      </c>
      <c r="F1161" s="151" t="str">
        <f t="shared" si="1986"/>
        <v>КидсТрейд</v>
      </c>
      <c r="G1161" s="151" t="s">
        <v>261</v>
      </c>
      <c r="H1161" s="311"/>
      <c r="I1161" s="312">
        <f>SUMIFS(операции!$V:$V,операции!$X:$X,"&gt;="&amp;I$8,операции!$X:$X,"&lt;="&amp;I$9,операции!$AB:$AB,"&lt;&gt;"&amp;"",операции!$O:$O,$F1126)</f>
        <v>159442.15999999997</v>
      </c>
      <c r="J1161" s="313">
        <f>I1161-K1161-L1161</f>
        <v>0</v>
      </c>
      <c r="K1161" s="312">
        <f>SUMIFS(операции!$V:$V,операции!$X:$X,"&gt;="&amp;I$8,операции!$X:$X,"&lt;="&amp;I$9,операции!$AB:$AB,"&lt;&gt;"&amp;"",операции!$L:$L,K$9,операции!$O:$O,$F1126)</f>
        <v>34811.65</v>
      </c>
      <c r="L1161" s="314">
        <f>SUMIFS(операции!$V:$V,операции!$X:$X,"&gt;="&amp;I$8,операции!$X:$X,"&lt;="&amp;I$9,операции!$AB:$AB,"&lt;&gt;"&amp;"",операции!$L:$L,L$9,операции!$O:$O,$F1126)</f>
        <v>124630.50999999998</v>
      </c>
      <c r="M1161" s="273"/>
      <c r="N1161" s="152">
        <f>SUMIFS(операции!$V:$V,операции!$X:$X,"&gt;="&amp;N$8,операции!$X:$X,"&lt;="&amp;N$9,операции!$AB:$AB,"&lt;&gt;"&amp;"",операции!$O:$O,$F1126)</f>
        <v>15198</v>
      </c>
      <c r="O1161" s="170">
        <f>N1161-P1161-Q1161</f>
        <v>0</v>
      </c>
      <c r="P1161" s="152">
        <f>SUMIFS(операции!$V:$V,операции!$X:$X,"&gt;="&amp;N$8,операции!$X:$X,"&lt;="&amp;N$9,операции!$AB:$AB,"&lt;&gt;"&amp;"",операции!$L:$L,P$9,операции!$O:$O,$F1126)</f>
        <v>15198</v>
      </c>
      <c r="Q1161" s="235">
        <f>SUMIFS(операции!$V:$V,операции!$X:$X,"&gt;="&amp;N$8,операции!$X:$X,"&lt;="&amp;N$9,операции!$AB:$AB,"&lt;&gt;"&amp;"",операции!$L:$L,Q$9,операции!$O:$O,$F1126)</f>
        <v>0</v>
      </c>
      <c r="R1161" s="236"/>
      <c r="S1161" s="152">
        <f>SUMIFS(операции!$V:$V,операции!$X:$X,"&gt;="&amp;S$8,операции!$X:$X,"&lt;="&amp;S$9,операции!$AB:$AB,"&lt;&gt;"&amp;"",операции!$O:$O,$F1126)</f>
        <v>121517.19</v>
      </c>
      <c r="T1161" s="170">
        <f>S1161-U1161-V1161</f>
        <v>0</v>
      </c>
      <c r="U1161" s="152">
        <f>SUMIFS(операции!$V:$V,операции!$X:$X,"&gt;="&amp;S$8,операции!$X:$X,"&lt;="&amp;S$9,операции!$AB:$AB,"&lt;&gt;"&amp;"",операции!$L:$L,U$9,операции!$O:$O,$F1126)</f>
        <v>17377.5</v>
      </c>
      <c r="V1161" s="235">
        <f>SUMIFS(операции!$V:$V,операции!$X:$X,"&gt;="&amp;S$8,операции!$X:$X,"&lt;="&amp;S$9,операции!$AB:$AB,"&lt;&gt;"&amp;"",операции!$L:$L,V$9,операции!$O:$O,$F1126)</f>
        <v>104139.69</v>
      </c>
      <c r="W1161" s="236"/>
      <c r="X1161" s="152">
        <f>SUMIFS(операции!$V:$V,операции!$X:$X,"&gt;="&amp;X$8,операции!$X:$X,"&lt;="&amp;X$9,операции!$AB:$AB,"&lt;&gt;"&amp;"",операции!$O:$O,$F1126)</f>
        <v>22726.969999999998</v>
      </c>
      <c r="Y1161" s="170">
        <f>X1161-Z1161-AA1161</f>
        <v>0</v>
      </c>
      <c r="Z1161" s="152">
        <f>SUMIFS(операции!$V:$V,операции!$X:$X,"&gt;="&amp;X$8,операции!$X:$X,"&lt;="&amp;X$9,операции!$AB:$AB,"&lt;&gt;"&amp;"",операции!$L:$L,Z$9,операции!$O:$O,$F1126)</f>
        <v>2236.15</v>
      </c>
      <c r="AA1161" s="235">
        <f>SUMIFS(операции!$V:$V,операции!$X:$X,"&gt;="&amp;X$8,операции!$X:$X,"&lt;="&amp;X$9,операции!$AB:$AB,"&lt;&gt;"&amp;"",операции!$L:$L,AA$9,операции!$O:$O,$F1126)</f>
        <v>20490.819999999996</v>
      </c>
      <c r="AB1161" s="264"/>
      <c r="AC1161" s="92"/>
      <c r="AD1161" s="92"/>
      <c r="AE1161" s="92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</row>
    <row r="1162" spans="1:42" s="192" customFormat="1" ht="11.25">
      <c r="A1162" s="37"/>
      <c r="B1162" s="37"/>
      <c r="C1162" s="37"/>
      <c r="D1162" s="191"/>
      <c r="E1162" s="191" t="s">
        <v>294</v>
      </c>
      <c r="F1162" s="191" t="str">
        <f t="shared" si="1986"/>
        <v>КидсТрейд</v>
      </c>
      <c r="G1162" s="191" t="s">
        <v>262</v>
      </c>
      <c r="H1162" s="315"/>
      <c r="I1162" s="316">
        <f>IF(I1161=0,0,SUMIFS(операции!$AF:$AF,операции!$X:$X,"&gt;="&amp;I$8,операции!$X:$X,"&lt;="&amp;I$9,операции!$AB:$AB,"&lt;&gt;"&amp;"",операции!$O:$O,$F1126)/I1161)</f>
        <v>42289.417367903196</v>
      </c>
      <c r="J1162" s="317"/>
      <c r="K1162" s="316">
        <f>IF(K1161=0,0,SUMIFS(операции!$AF:$AF,операции!$X:$X,"&gt;="&amp;I$8,операции!$X:$X,"&lt;="&amp;I$9,операции!$AB:$AB,"&lt;&gt;"&amp;"",операции!$L:$L,K$9,операции!$O:$O,$F1126)/K1161)</f>
        <v>42173.058742691028</v>
      </c>
      <c r="L1162" s="318">
        <f>IF(L1161=0,0,SUMIFS(операции!$AF:$AF,операции!$X:$X,"&gt;="&amp;I$8,операции!$X:$X,"&lt;="&amp;I$9,операции!$AB:$AB,"&lt;&gt;"&amp;"",операции!$L:$L,L$9,операции!$O:$O,$F1126)/L1161)</f>
        <v>42321.918524605258</v>
      </c>
      <c r="M1162" s="274"/>
      <c r="N1162" s="193">
        <f>IF(N1161=0,0,SUMIFS(операции!$AF:$AF,операции!$X:$X,"&gt;="&amp;N$8,операции!$X:$X,"&lt;="&amp;N$9,операции!$AB:$AB,"&lt;&gt;"&amp;"",операции!$O:$O,$F1126)/N1161)</f>
        <v>42254</v>
      </c>
      <c r="O1162" s="196"/>
      <c r="P1162" s="193">
        <f>IF(P1161=0,0,SUMIFS(операции!$AF:$AF,операции!$X:$X,"&gt;="&amp;N$8,операции!$X:$X,"&lt;="&amp;N$9,операции!$AB:$AB,"&lt;&gt;"&amp;"",операции!$L:$L,P$9,операции!$O:$O,$F1126)/P1161)</f>
        <v>42254</v>
      </c>
      <c r="Q1162" s="237">
        <f>IF(Q1161=0,0,SUMIFS(операции!$AF:$AF,операции!$X:$X,"&gt;="&amp;N$8,операции!$X:$X,"&lt;="&amp;N$9,операции!$AB:$AB,"&lt;&gt;"&amp;"",операции!$L:$L,Q$9,операции!$O:$O,$F1126)/Q1161)</f>
        <v>0</v>
      </c>
      <c r="R1162" s="238"/>
      <c r="S1162" s="193">
        <f>IF(S1161=0,0,SUMIFS(операции!$AF:$AF,операции!$X:$X,"&gt;="&amp;S$8,операции!$X:$X,"&lt;="&amp;S$9,операции!$AB:$AB,"&lt;&gt;"&amp;"",операции!$O:$O,$F1126)/S1161)</f>
        <v>42287.838008762381</v>
      </c>
      <c r="T1162" s="196"/>
      <c r="U1162" s="193">
        <f>IF(U1161=0,0,SUMIFS(операции!$AF:$AF,операции!$X:$X,"&gt;="&amp;S$8,операции!$X:$X,"&lt;="&amp;S$9,операции!$AB:$AB,"&lt;&gt;"&amp;"",операции!$L:$L,U$9,операции!$O:$O,$F1126)/U1161)</f>
        <v>42091.338896849375</v>
      </c>
      <c r="V1162" s="237">
        <f>IF(V1161=0,0,SUMIFS(операции!$AF:$AF,операции!$X:$X,"&gt;="&amp;S$8,операции!$X:$X,"&lt;="&amp;S$9,операции!$AB:$AB,"&lt;&gt;"&amp;"",операции!$L:$L,V$9,операции!$O:$O,$F1126)/V1161)</f>
        <v>42320.627268239419</v>
      </c>
      <c r="W1162" s="238"/>
      <c r="X1162" s="193">
        <f>IF(X1161=0,0,SUMIFS(операции!$AF:$AF,операции!$X:$X,"&gt;="&amp;X$8,операции!$X:$X,"&lt;="&amp;X$9,операции!$AB:$AB,"&lt;&gt;"&amp;"",операции!$O:$O,$F1126)/X1161)</f>
        <v>42321.546263316231</v>
      </c>
      <c r="Y1162" s="196"/>
      <c r="Z1162" s="193">
        <f>IF(Z1161=0,0,SUMIFS(операции!$AF:$AF,операции!$X:$X,"&gt;="&amp;X$8,операции!$X:$X,"&lt;="&amp;X$9,операции!$AB:$AB,"&lt;&gt;"&amp;"",операции!$L:$L,Z$9,операции!$O:$O,$F1126)/Z1161)</f>
        <v>42258</v>
      </c>
      <c r="AA1162" s="237">
        <f>IF(AA1161=0,0,SUMIFS(операции!$AF:$AF,операции!$X:$X,"&gt;="&amp;X$8,операции!$X:$X,"&lt;="&amp;X$9,операции!$AB:$AB,"&lt;&gt;"&amp;"",операции!$L:$L,AA$9,операции!$O:$O,$F1126)/AA1161)</f>
        <v>42328.481026137568</v>
      </c>
      <c r="AB1162" s="265"/>
      <c r="AC1162" s="37"/>
      <c r="AD1162" s="37"/>
      <c r="AE1162" s="37"/>
      <c r="AF1162" s="37"/>
      <c r="AG1162" s="37"/>
      <c r="AH1162" s="37"/>
      <c r="AI1162" s="37"/>
      <c r="AJ1162" s="37"/>
      <c r="AK1162" s="37"/>
      <c r="AL1162" s="37"/>
      <c r="AM1162" s="37"/>
      <c r="AN1162" s="37"/>
      <c r="AO1162" s="37"/>
      <c r="AP1162" s="37"/>
    </row>
    <row r="1163" spans="1:42" s="192" customFormat="1" ht="11.25">
      <c r="A1163" s="37"/>
      <c r="B1163" s="37"/>
      <c r="C1163" s="37"/>
      <c r="D1163" s="191"/>
      <c r="E1163" s="191" t="s">
        <v>299</v>
      </c>
      <c r="F1163" s="191" t="str">
        <f t="shared" si="1986"/>
        <v>КидсТрейд</v>
      </c>
      <c r="G1163" s="191" t="s">
        <v>262</v>
      </c>
      <c r="H1163" s="315"/>
      <c r="I1163" s="316">
        <f>IF(I1161=0,0,SUMIFS(операции!$AH:$AH,операции!$X:$X,"&gt;="&amp;I$8,операции!$X:$X,"&lt;="&amp;I$9,операции!$AB:$AB,"&lt;&gt;"&amp;"",операции!$O:$O,$F1126)/I1161)</f>
        <v>42315.236351288775</v>
      </c>
      <c r="J1163" s="317"/>
      <c r="K1163" s="316">
        <f>IF(K1161=0,0,SUMIFS(операции!$AH:$AH,операции!$X:$X,"&gt;="&amp;I$8,операции!$X:$X,"&lt;="&amp;I$9,операции!$AB:$AB,"&lt;&gt;"&amp;"",операции!$L:$L,K$9,операции!$O:$O,$F1126)/K1161)</f>
        <v>42212.746779310946</v>
      </c>
      <c r="L1163" s="318">
        <f>IF(L1161=0,0,SUMIFS(операции!$AH:$AH,операции!$X:$X,"&gt;="&amp;I$8,операции!$X:$X,"&lt;="&amp;I$9,операции!$AB:$AB,"&lt;&gt;"&amp;"",операции!$L:$L,L$9,операции!$O:$O,$F1126)/L1161)</f>
        <v>42343.863620071854</v>
      </c>
      <c r="M1163" s="274"/>
      <c r="N1163" s="193">
        <f>IF(N1161=0,0,SUMIFS(операции!$AH:$AH,операции!$X:$X,"&gt;="&amp;N$8,операции!$X:$X,"&lt;="&amp;N$9,операции!$AB:$AB,"&lt;&gt;"&amp;"",операции!$O:$O,$F1126)/N1161)</f>
        <v>42279</v>
      </c>
      <c r="O1163" s="196"/>
      <c r="P1163" s="193">
        <f>IF(P1161=0,0,SUMIFS(операции!$AH:$AH,операции!$X:$X,"&gt;="&amp;N$8,операции!$X:$X,"&lt;="&amp;N$9,операции!$AB:$AB,"&lt;&gt;"&amp;"",операции!$L:$L,P$9,операции!$O:$O,$F1126)/P1161)</f>
        <v>42279</v>
      </c>
      <c r="Q1163" s="237">
        <f>IF(Q1161=0,0,SUMIFS(операции!$AH:$AH,операции!$X:$X,"&gt;="&amp;N$8,операции!$X:$X,"&lt;="&amp;N$9,операции!$AB:$AB,"&lt;&gt;"&amp;"",операции!$L:$L,Q$9,операции!$O:$O,$F1126)/Q1161)</f>
        <v>0</v>
      </c>
      <c r="R1163" s="238"/>
      <c r="S1163" s="193">
        <f>IF(S1161=0,0,SUMIFS(операции!$AH:$AH,операции!$X:$X,"&gt;="&amp;S$8,операции!$X:$X,"&lt;="&amp;S$9,операции!$AB:$AB,"&lt;&gt;"&amp;"",операции!$O:$O,$F1126)/S1161)</f>
        <v>42311.525887654243</v>
      </c>
      <c r="T1163" s="196"/>
      <c r="U1163" s="193">
        <f>IF(U1161=0,0,SUMIFS(операции!$AH:$AH,операции!$X:$X,"&gt;="&amp;S$8,операции!$X:$X,"&lt;="&amp;S$9,операции!$AB:$AB,"&lt;&gt;"&amp;"",операции!$L:$L,U$9,операции!$O:$O,$F1126)/U1161)</f>
        <v>42141.259025751693</v>
      </c>
      <c r="V1163" s="237">
        <f>IF(V1161=0,0,SUMIFS(операции!$AH:$AH,операции!$X:$X,"&gt;="&amp;S$8,операции!$X:$X,"&lt;="&amp;S$9,операции!$AB:$AB,"&lt;&gt;"&amp;"",операции!$L:$L,V$9,операции!$O:$O,$F1126)/V1161)</f>
        <v>42339.937844639251</v>
      </c>
      <c r="W1163" s="238"/>
      <c r="X1163" s="193">
        <f>IF(X1161=0,0,SUMIFS(операции!$AH:$AH,операции!$X:$X,"&gt;="&amp;X$8,операции!$X:$X,"&lt;="&amp;X$9,операции!$AB:$AB,"&lt;&gt;"&amp;"",операции!$O:$O,$F1126)/X1161)</f>
        <v>42359.307566296789</v>
      </c>
      <c r="Y1163" s="196"/>
      <c r="Z1163" s="193">
        <f>IF(Z1161=0,0,SUMIFS(операции!$AH:$AH,операции!$X:$X,"&gt;="&amp;X$8,операции!$X:$X,"&lt;="&amp;X$9,операции!$AB:$AB,"&lt;&gt;"&amp;"",операции!$L:$L,Z$9,операции!$O:$O,$F1126)/Z1161)</f>
        <v>42318</v>
      </c>
      <c r="AA1163" s="237">
        <f>IF(AA1161=0,0,SUMIFS(операции!$AH:$AH,операции!$X:$X,"&gt;="&amp;X$8,операции!$X:$X,"&lt;="&amp;X$9,операции!$AB:$AB,"&lt;&gt;"&amp;"",операции!$L:$L,AA$9,операции!$O:$O,$F1126)/AA1161)</f>
        <v>42363.815434423814</v>
      </c>
      <c r="AB1163" s="265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</row>
    <row r="1164" spans="1:42" s="5" customFormat="1">
      <c r="A1164" s="1"/>
      <c r="B1164" s="1"/>
      <c r="C1164" s="1"/>
      <c r="D1164" s="168"/>
      <c r="E1164" s="168" t="s">
        <v>296</v>
      </c>
      <c r="F1164" s="168" t="str">
        <f t="shared" si="1986"/>
        <v>КидсТрейд</v>
      </c>
      <c r="G1164" s="168" t="s">
        <v>261</v>
      </c>
      <c r="H1164" s="326"/>
      <c r="I1164" s="327">
        <f>I1159-I1161</f>
        <v>28185.840000000026</v>
      </c>
      <c r="J1164" s="313">
        <f>I1164-K1164-L1164</f>
        <v>0</v>
      </c>
      <c r="K1164" s="327">
        <f t="shared" ref="K1164:L1164" si="2063">K1159-K1161</f>
        <v>7040.3499999999985</v>
      </c>
      <c r="L1164" s="328">
        <f t="shared" si="2063"/>
        <v>21145.49000000002</v>
      </c>
      <c r="M1164" s="277"/>
      <c r="N1164" s="169">
        <f>N1159-N1161</f>
        <v>592</v>
      </c>
      <c r="O1164" s="170">
        <f>N1164-P1164-Q1164</f>
        <v>0</v>
      </c>
      <c r="P1164" s="169">
        <f t="shared" ref="P1164:Q1164" si="2064">P1159-P1161</f>
        <v>592</v>
      </c>
      <c r="Q1164" s="243">
        <f t="shared" si="2064"/>
        <v>0</v>
      </c>
      <c r="R1164" s="244"/>
      <c r="S1164" s="169">
        <f>S1159-S1161</f>
        <v>26153.809999999998</v>
      </c>
      <c r="T1164" s="170">
        <f>S1164-U1164-V1164</f>
        <v>0</v>
      </c>
      <c r="U1164" s="169">
        <f t="shared" ref="U1164:V1164" si="2065">U1159-U1161</f>
        <v>6406.5</v>
      </c>
      <c r="V1164" s="243">
        <f t="shared" si="2065"/>
        <v>19747.309999999998</v>
      </c>
      <c r="W1164" s="244"/>
      <c r="X1164" s="169">
        <f>X1159-X1161</f>
        <v>1440.0300000000025</v>
      </c>
      <c r="Y1164" s="170">
        <f>X1164-Z1164-AA1164</f>
        <v>0</v>
      </c>
      <c r="Z1164" s="169">
        <f t="shared" ref="Z1164:AA1164" si="2066">Z1159-Z1161</f>
        <v>41.849999999999909</v>
      </c>
      <c r="AA1164" s="243">
        <f t="shared" si="2066"/>
        <v>1398.1800000000039</v>
      </c>
      <c r="AB1164" s="266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</row>
    <row r="1165" spans="1:42" s="211" customFormat="1">
      <c r="A1165" s="210"/>
      <c r="B1165" s="210"/>
      <c r="C1165" s="210"/>
      <c r="D1165" s="218"/>
      <c r="E1165" s="218" t="s">
        <v>297</v>
      </c>
      <c r="F1165" s="218" t="str">
        <f t="shared" si="1986"/>
        <v>КидсТрейд</v>
      </c>
      <c r="G1165" s="218" t="s">
        <v>218</v>
      </c>
      <c r="H1165" s="343"/>
      <c r="I1165" s="344">
        <f>IF(I1159=0,0,(I1164/I1159))</f>
        <v>0.15022192849681298</v>
      </c>
      <c r="J1165" s="345"/>
      <c r="K1165" s="344">
        <f t="shared" ref="K1165" si="2067">IF(K1159=0,0,(K1164/K1159))</f>
        <v>0.16822015674280796</v>
      </c>
      <c r="L1165" s="346">
        <f t="shared" ref="L1165" si="2068">IF(L1159=0,0,(L1164/L1159))</f>
        <v>0.14505467292284066</v>
      </c>
      <c r="M1165" s="280"/>
      <c r="N1165" s="219">
        <f>IF(N1159=0,0,(N1164/N1159))</f>
        <v>3.7492083597213427E-2</v>
      </c>
      <c r="O1165" s="220"/>
      <c r="P1165" s="219">
        <f t="shared" ref="P1165" si="2069">IF(P1159=0,0,(P1164/P1159))</f>
        <v>3.7492083597213427E-2</v>
      </c>
      <c r="Q1165" s="252">
        <f t="shared" ref="Q1165" si="2070">IF(Q1159=0,0,(Q1164/Q1159))</f>
        <v>0</v>
      </c>
      <c r="R1165" s="253"/>
      <c r="S1165" s="219">
        <f>IF(S1159=0,0,(S1164/S1159))</f>
        <v>0.17710864015277203</v>
      </c>
      <c r="T1165" s="220"/>
      <c r="U1165" s="219">
        <f t="shared" ref="U1165" si="2071">IF(U1159=0,0,(U1164/U1159))</f>
        <v>0.26936175580221999</v>
      </c>
      <c r="V1165" s="252">
        <f t="shared" ref="V1165" si="2072">IF(V1159=0,0,(V1164/V1159))</f>
        <v>0.15939775763397288</v>
      </c>
      <c r="W1165" s="253"/>
      <c r="X1165" s="219">
        <f>IF(X1159=0,0,(X1164/X1159))</f>
        <v>5.9586626391360219E-2</v>
      </c>
      <c r="Y1165" s="220"/>
      <c r="Z1165" s="219">
        <f t="shared" ref="Z1165" si="2073">IF(Z1159=0,0,(Z1164/Z1159))</f>
        <v>1.8371378402107071E-2</v>
      </c>
      <c r="AA1165" s="252">
        <f t="shared" ref="AA1165" si="2074">IF(AA1159=0,0,(AA1164/AA1159))</f>
        <v>6.3875919411576776E-2</v>
      </c>
      <c r="AB1165" s="267"/>
      <c r="AC1165" s="210"/>
      <c r="AD1165" s="210"/>
      <c r="AE1165" s="210"/>
      <c r="AF1165" s="210"/>
      <c r="AG1165" s="210"/>
      <c r="AH1165" s="210"/>
      <c r="AI1165" s="210"/>
      <c r="AJ1165" s="210"/>
      <c r="AK1165" s="210"/>
      <c r="AL1165" s="210"/>
      <c r="AM1165" s="210"/>
      <c r="AN1165" s="210"/>
      <c r="AO1165" s="210"/>
      <c r="AP1165" s="210"/>
    </row>
    <row r="1166" spans="1:42" s="5" customFormat="1">
      <c r="A1166" s="1"/>
      <c r="B1166" s="1"/>
      <c r="C1166" s="1"/>
      <c r="D1166" s="227"/>
      <c r="E1166" s="227" t="s">
        <v>298</v>
      </c>
      <c r="F1166" s="227" t="str">
        <f t="shared" si="1986"/>
        <v>КидсТрейд</v>
      </c>
      <c r="G1166" s="227" t="s">
        <v>219</v>
      </c>
      <c r="H1166" s="347"/>
      <c r="I1166" s="348">
        <f>I1160-I1162</f>
        <v>40.893737049154879</v>
      </c>
      <c r="J1166" s="321"/>
      <c r="K1166" s="348">
        <f t="shared" ref="K1166:L1166" si="2075">K1160-K1162</f>
        <v>150.16609722104477</v>
      </c>
      <c r="L1166" s="349">
        <f t="shared" si="2075"/>
        <v>10.427032962514204</v>
      </c>
      <c r="M1166" s="281"/>
      <c r="N1166" s="228">
        <f>N1160-N1162</f>
        <v>46</v>
      </c>
      <c r="O1166" s="173"/>
      <c r="P1166" s="228">
        <f t="shared" ref="P1166:Q1166" si="2076">P1160-P1162</f>
        <v>46</v>
      </c>
      <c r="Q1166" s="254">
        <f t="shared" si="2076"/>
        <v>0</v>
      </c>
      <c r="R1166" s="255"/>
      <c r="S1166" s="228">
        <f>S1160-S1162</f>
        <v>43.337963500285696</v>
      </c>
      <c r="T1166" s="173"/>
      <c r="U1166" s="228">
        <f t="shared" ref="U1166:V1166" si="2077">U1160-U1162</f>
        <v>245.41068269990501</v>
      </c>
      <c r="V1166" s="254">
        <f t="shared" si="2077"/>
        <v>9.4786750798957655</v>
      </c>
      <c r="W1166" s="255"/>
      <c r="X1166" s="228">
        <f>X1160-X1162</f>
        <v>23.284497638793255</v>
      </c>
      <c r="Y1166" s="173"/>
      <c r="Z1166" s="228">
        <f t="shared" ref="Z1166:AA1166" si="2078">Z1160-Z1162</f>
        <v>85</v>
      </c>
      <c r="AA1166" s="254">
        <f t="shared" si="2078"/>
        <v>16.540263094466354</v>
      </c>
      <c r="AB1166" s="266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</row>
    <row r="1167" spans="1:42" s="5" customFormat="1">
      <c r="A1167" s="1"/>
      <c r="B1167" s="1"/>
      <c r="C1167" s="1"/>
      <c r="D1167" s="227"/>
      <c r="E1167" s="227" t="s">
        <v>300</v>
      </c>
      <c r="F1167" s="227" t="str">
        <f t="shared" si="1986"/>
        <v>КидсТрейд</v>
      </c>
      <c r="G1167" s="227" t="s">
        <v>219</v>
      </c>
      <c r="H1167" s="347"/>
      <c r="I1167" s="348">
        <f>I1163-I1162</f>
        <v>25.818983385579486</v>
      </c>
      <c r="J1167" s="321"/>
      <c r="K1167" s="348">
        <f t="shared" ref="K1167:L1167" si="2079">K1163-K1162</f>
        <v>39.688036619918421</v>
      </c>
      <c r="L1167" s="349">
        <f t="shared" si="2079"/>
        <v>21.945095466595376</v>
      </c>
      <c r="M1167" s="281"/>
      <c r="N1167" s="228">
        <f>N1163-N1162</f>
        <v>25</v>
      </c>
      <c r="O1167" s="173"/>
      <c r="P1167" s="228">
        <f t="shared" ref="P1167:Q1167" si="2080">P1163-P1162</f>
        <v>25</v>
      </c>
      <c r="Q1167" s="254">
        <f t="shared" si="2080"/>
        <v>0</v>
      </c>
      <c r="R1167" s="255"/>
      <c r="S1167" s="228">
        <f>S1163-S1162</f>
        <v>23.687878891862056</v>
      </c>
      <c r="T1167" s="173"/>
      <c r="U1167" s="228">
        <f t="shared" ref="U1167:V1167" si="2081">U1163-U1162</f>
        <v>49.920128902318538</v>
      </c>
      <c r="V1167" s="254">
        <f t="shared" si="2081"/>
        <v>19.310576399831916</v>
      </c>
      <c r="W1167" s="255"/>
      <c r="X1167" s="228">
        <f>X1163-X1162</f>
        <v>37.761302980557957</v>
      </c>
      <c r="Y1167" s="173"/>
      <c r="Z1167" s="228">
        <f t="shared" ref="Z1167:AA1167" si="2082">Z1163-Z1162</f>
        <v>60</v>
      </c>
      <c r="AA1167" s="254">
        <f t="shared" si="2082"/>
        <v>35.334408286245889</v>
      </c>
      <c r="AB1167" s="266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</row>
    <row r="1168" spans="1:42" s="93" customFormat="1" ht="15">
      <c r="A1168" s="92"/>
      <c r="B1168" s="92"/>
      <c r="C1168" s="92"/>
      <c r="D1168" s="221"/>
      <c r="E1168" s="221" t="s">
        <v>301</v>
      </c>
      <c r="F1168" s="221" t="str">
        <f t="shared" si="1986"/>
        <v>КидсТрейд</v>
      </c>
      <c r="G1168" s="221" t="s">
        <v>219</v>
      </c>
      <c r="H1168" s="357"/>
      <c r="I1168" s="358">
        <f>I1166-I1167</f>
        <v>15.074753663575393</v>
      </c>
      <c r="J1168" s="352"/>
      <c r="K1168" s="358">
        <f t="shared" ref="K1168" si="2083">K1166-K1167</f>
        <v>110.47806060112634</v>
      </c>
      <c r="L1168" s="359">
        <f t="shared" ref="L1168" si="2084">L1166-L1167</f>
        <v>-11.518062504081172</v>
      </c>
      <c r="M1168" s="284"/>
      <c r="N1168" s="222">
        <f>N1166-N1167</f>
        <v>21</v>
      </c>
      <c r="O1168" s="181"/>
      <c r="P1168" s="222">
        <f t="shared" ref="P1168" si="2085">P1166-P1167</f>
        <v>21</v>
      </c>
      <c r="Q1168" s="260">
        <f t="shared" ref="Q1168" si="2086">Q1166-Q1167</f>
        <v>0</v>
      </c>
      <c r="R1168" s="261"/>
      <c r="S1168" s="222">
        <f>S1166-S1167</f>
        <v>19.65008460842364</v>
      </c>
      <c r="T1168" s="181"/>
      <c r="U1168" s="222">
        <f t="shared" ref="U1168" si="2087">U1166-U1167</f>
        <v>195.49055379758647</v>
      </c>
      <c r="V1168" s="260">
        <f t="shared" ref="V1168" si="2088">V1166-V1167</f>
        <v>-9.8319013199361507</v>
      </c>
      <c r="W1168" s="261"/>
      <c r="X1168" s="222">
        <f>X1166-X1167</f>
        <v>-14.476805341764702</v>
      </c>
      <c r="Y1168" s="181"/>
      <c r="Z1168" s="222">
        <f t="shared" ref="Z1168" si="2089">Z1166-Z1167</f>
        <v>25</v>
      </c>
      <c r="AA1168" s="260">
        <f t="shared" ref="AA1168" si="2090">AA1166-AA1167</f>
        <v>-18.794145191779535</v>
      </c>
      <c r="AB1168" s="264"/>
      <c r="AC1168" s="92"/>
      <c r="AD1168" s="92"/>
      <c r="AE1168" s="92"/>
      <c r="AF1168" s="92"/>
      <c r="AG1168" s="92"/>
      <c r="AH1168" s="92"/>
      <c r="AI1168" s="92"/>
      <c r="AJ1168" s="92"/>
      <c r="AK1168" s="92"/>
      <c r="AL1168" s="92"/>
      <c r="AM1168" s="92"/>
      <c r="AN1168" s="92"/>
      <c r="AO1168" s="92"/>
      <c r="AP1168" s="92"/>
    </row>
    <row r="1169" spans="1:42" s="5" customFormat="1">
      <c r="A1169" s="1"/>
      <c r="B1169" s="1"/>
      <c r="C1169" s="1"/>
      <c r="D1169" s="223"/>
      <c r="E1169" s="223" t="s">
        <v>302</v>
      </c>
      <c r="F1169" s="223" t="str">
        <f t="shared" si="1986"/>
        <v>КидсТрейд</v>
      </c>
      <c r="G1169" s="223" t="s">
        <v>261</v>
      </c>
      <c r="H1169" s="354"/>
      <c r="I1169" s="355">
        <f>SUMIFS(операции!$Z:$Z,операции!$X:$X,"&gt;="&amp;I$8,операции!$X:$X,"&lt;="&amp;I$9,операции!$AB:$AB,"",операции!$O:$O,$F1126)</f>
        <v>27404</v>
      </c>
      <c r="J1169" s="341">
        <f>I1169-K1169-L1169</f>
        <v>0</v>
      </c>
      <c r="K1169" s="355">
        <f>SUMIFS(операции!$Z:$Z,операции!$X:$X,"&gt;="&amp;I$8,операции!$X:$X,"&lt;="&amp;I$9,операции!$AB:$AB,"",операции!$L:$L,K$9,операции!$O:$O,$F1126)</f>
        <v>19997</v>
      </c>
      <c r="L1169" s="356">
        <f>SUMIFS(операции!$Z:$Z,операции!$X:$X,"&gt;="&amp;I$8,операции!$X:$X,"&lt;="&amp;I$9,операции!$AB:$AB,"",операции!$L:$L,L$9,операции!$O:$O,$F1126)</f>
        <v>7407</v>
      </c>
      <c r="M1169" s="283"/>
      <c r="N1169" s="224">
        <f>SUMIFS(операции!$Z:$Z,операции!$X:$X,"&gt;="&amp;N$8,операции!$X:$X,"&lt;="&amp;N$9,операции!$AB:$AB,"",операции!$O:$O,$F1126)</f>
        <v>16007</v>
      </c>
      <c r="O1169" s="216">
        <f>N1169-P1169-Q1169</f>
        <v>0</v>
      </c>
      <c r="P1169" s="224">
        <f>SUMIFS(операции!$Z:$Z,операции!$X:$X,"&gt;="&amp;N$8,операции!$X:$X,"&lt;="&amp;N$9,операции!$AB:$AB,"",операции!$L:$L,P$9,операции!$O:$O,$F1126)</f>
        <v>16007</v>
      </c>
      <c r="Q1169" s="258">
        <f>SUMIFS(операции!$Z:$Z,операции!$X:$X,"&gt;="&amp;N$8,операции!$X:$X,"&lt;="&amp;N$9,операции!$AB:$AB,"",операции!$L:$L,Q$9,операции!$O:$O,$F1126)</f>
        <v>0</v>
      </c>
      <c r="R1169" s="259"/>
      <c r="S1169" s="224">
        <f>SUMIFS(операции!$Z:$Z,операции!$X:$X,"&gt;="&amp;S$8,операции!$X:$X,"&lt;="&amp;S$9,операции!$AB:$AB,"",операции!$O:$O,$F1126)</f>
        <v>10876</v>
      </c>
      <c r="T1169" s="216">
        <f>S1169-U1169-V1169</f>
        <v>0</v>
      </c>
      <c r="U1169" s="224">
        <f>SUMIFS(операции!$Z:$Z,операции!$X:$X,"&gt;="&amp;S$8,операции!$X:$X,"&lt;="&amp;S$9,операции!$AB:$AB,"",операции!$L:$L,U$9,операции!$O:$O,$F1126)</f>
        <v>3990</v>
      </c>
      <c r="V1169" s="258">
        <f>SUMIFS(операции!$Z:$Z,операции!$X:$X,"&gt;="&amp;S$8,операции!$X:$X,"&lt;="&amp;S$9,операции!$AB:$AB,"",операции!$L:$L,V$9,операции!$O:$O,$F1126)</f>
        <v>6886</v>
      </c>
      <c r="W1169" s="259"/>
      <c r="X1169" s="224">
        <f>SUMIFS(операции!$Z:$Z,операции!$X:$X,"&gt;="&amp;X$8,операции!$X:$X,"&lt;="&amp;X$9,операции!$AB:$AB,"",операции!$O:$O,$F1126)</f>
        <v>521</v>
      </c>
      <c r="Y1169" s="216">
        <f>X1169-Z1169-AA1169</f>
        <v>0</v>
      </c>
      <c r="Z1169" s="224">
        <f>SUMIFS(операции!$Z:$Z,операции!$X:$X,"&gt;="&amp;X$8,операции!$X:$X,"&lt;="&amp;X$9,операции!$AB:$AB,"",операции!$L:$L,Z$9,операции!$O:$O,$F1126)</f>
        <v>0</v>
      </c>
      <c r="AA1169" s="258">
        <f>SUMIFS(операции!$Z:$Z,операции!$X:$X,"&gt;="&amp;X$8,операции!$X:$X,"&lt;="&amp;X$9,операции!$AB:$AB,"",операции!$L:$L,AA$9,операции!$O:$O,$F1126)</f>
        <v>521</v>
      </c>
      <c r="AB1169" s="266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</row>
    <row r="1170" spans="1:42" s="192" customFormat="1" ht="11.25">
      <c r="A1170" s="37"/>
      <c r="B1170" s="37"/>
      <c r="C1170" s="37"/>
      <c r="D1170" s="191"/>
      <c r="E1170" s="191" t="s">
        <v>303</v>
      </c>
      <c r="F1170" s="191" t="str">
        <f t="shared" si="1986"/>
        <v>КидсТрейд</v>
      </c>
      <c r="G1170" s="191" t="s">
        <v>262</v>
      </c>
      <c r="H1170" s="315"/>
      <c r="I1170" s="316">
        <f>IF(I1169=0,0,SUMIFS(операции!$AG:$AG,операции!$X:$X,"&gt;="&amp;I$8,операции!$X:$X,"&lt;="&amp;I$9,операции!$AB:$AB,"",операции!$O:$O,$F1126)/I1169)</f>
        <v>42309.098671726759</v>
      </c>
      <c r="J1170" s="317"/>
      <c r="K1170" s="316">
        <f>IF(K1169=0,0,SUMIFS(операции!$AG:$AG,операции!$X:$X,"&gt;="&amp;I$8,операции!$X:$X,"&lt;="&amp;I$9,операции!$AB:$AB,"",операции!$L:$L,K$9,операции!$O:$O,$F1126)/K1169)</f>
        <v>42301.850027504122</v>
      </c>
      <c r="L1170" s="318">
        <f>IF(L1169=0,0,SUMIFS(операции!$AG:$AG,операции!$X:$X,"&gt;="&amp;I$8,операции!$X:$X,"&lt;="&amp;I$9,операции!$AB:$AB,"",операции!$L:$L,L$9,операции!$O:$O,$F1126)/L1169)</f>
        <v>42328.668151748345</v>
      </c>
      <c r="M1170" s="274"/>
      <c r="N1170" s="193">
        <f>IF(N1169=0,0,SUMIFS(операции!$AG:$AG,операции!$X:$X,"&gt;="&amp;N$8,операции!$X:$X,"&lt;="&amp;N$9,операции!$AB:$AB,"",операции!$O:$O,$F1126)/N1169)</f>
        <v>42300.067782845006</v>
      </c>
      <c r="O1170" s="196"/>
      <c r="P1170" s="193">
        <f>IF(P1169=0,0,SUMIFS(операции!$AG:$AG,операции!$X:$X,"&gt;="&amp;N$8,операции!$X:$X,"&lt;="&amp;N$9,операции!$AB:$AB,"",операции!$L:$L,P$9,операции!$O:$O,$F1126)/P1169)</f>
        <v>42300.067782845006</v>
      </c>
      <c r="Q1170" s="237">
        <f>IF(Q1169=0,0,SUMIFS(операции!$AG:$AG,операции!$X:$X,"&gt;="&amp;N$8,операции!$X:$X,"&lt;="&amp;N$9,операции!$AB:$AB,"",операции!$L:$L,Q$9,операции!$O:$O,$F1126)/Q1169)</f>
        <v>0</v>
      </c>
      <c r="R1170" s="238"/>
      <c r="S1170" s="193">
        <f>IF(S1169=0,0,SUMIFS(операции!$AG:$AG,операции!$X:$X,"&gt;="&amp;S$8,операции!$X:$X,"&lt;="&amp;S$9,операции!$AB:$AB,"",операции!$O:$O,$F1126)/S1169)</f>
        <v>42320.622379551307</v>
      </c>
      <c r="T1170" s="196"/>
      <c r="U1170" s="193">
        <f>IF(U1169=0,0,SUMIFS(операции!$AG:$AG,операции!$X:$X,"&gt;="&amp;S$8,операции!$X:$X,"&lt;="&amp;S$9,операции!$AB:$AB,"",операции!$L:$L,U$9,операции!$O:$O,$F1126)/U1169)</f>
        <v>42309</v>
      </c>
      <c r="V1170" s="237">
        <f>IF(V1169=0,0,SUMIFS(операции!$AG:$AG,операции!$X:$X,"&gt;="&amp;S$8,операции!$X:$X,"&lt;="&amp;S$9,операции!$AB:$AB,"",операции!$L:$L,V$9,операции!$O:$O,$F1126)/V1169)</f>
        <v>42327.356810920712</v>
      </c>
      <c r="W1170" s="238"/>
      <c r="X1170" s="193">
        <f>IF(X1169=0,0,SUMIFS(операции!$AG:$AG,операции!$X:$X,"&gt;="&amp;X$8,операции!$X:$X,"&lt;="&amp;X$9,операции!$AB:$AB,"",операции!$O:$O,$F1126)/X1169)</f>
        <v>42346</v>
      </c>
      <c r="Y1170" s="196"/>
      <c r="Z1170" s="193">
        <f>IF(Z1169=0,0,SUMIFS(операции!$AG:$AG,операции!$X:$X,"&gt;="&amp;X$8,операции!$X:$X,"&lt;="&amp;X$9,операции!$AB:$AB,"",операции!$L:$L,Z$9,операции!$O:$O,$F1126)/Z1169)</f>
        <v>0</v>
      </c>
      <c r="AA1170" s="237">
        <f>IF(AA1169=0,0,SUMIFS(операции!$AG:$AG,операции!$X:$X,"&gt;="&amp;X$8,операции!$X:$X,"&lt;="&amp;X$9,операции!$AB:$AB,"",операции!$L:$L,AA$9,операции!$O:$O,$F1126)/AA1169)</f>
        <v>42346</v>
      </c>
      <c r="AB1170" s="265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</row>
    <row r="1171" spans="1:42" s="5" customFormat="1">
      <c r="A1171" s="1"/>
      <c r="B1171" s="1"/>
      <c r="C1171" s="1"/>
      <c r="D1171" s="168"/>
      <c r="E1171" s="168" t="s">
        <v>304</v>
      </c>
      <c r="F1171" s="168" t="str">
        <f t="shared" si="1986"/>
        <v>КидсТрейд</v>
      </c>
      <c r="G1171" s="168" t="s">
        <v>261</v>
      </c>
      <c r="H1171" s="326"/>
      <c r="I1171" s="327">
        <f>SUMIFS(операции!$V:$V,операции!$X:$X,"&gt;="&amp;I$8,операции!$X:$X,"&lt;="&amp;I$9,операции!$AB:$AB,"",операции!$O:$O,$F1126)</f>
        <v>24512.34</v>
      </c>
      <c r="J1171" s="313">
        <f>I1171-K1171-L1171</f>
        <v>0</v>
      </c>
      <c r="K1171" s="327">
        <f>SUMIFS(операции!$V:$V,операции!$X:$X,"&gt;="&amp;I$8,операции!$X:$X,"&lt;="&amp;I$9,операции!$AB:$AB,"",операции!$L:$L,K$9,операции!$O:$O,$F1126)</f>
        <v>19371.93</v>
      </c>
      <c r="L1171" s="328">
        <f>SUMIFS(операции!$V:$V,операции!$X:$X,"&gt;="&amp;I$8,операции!$X:$X,"&lt;="&amp;I$9,операции!$AB:$AB,"",операции!$L:$L,L$9,операции!$O:$O,$F1126)</f>
        <v>5140.41</v>
      </c>
      <c r="M1171" s="277"/>
      <c r="N1171" s="169">
        <f>SUMIFS(операции!$V:$V,операции!$X:$X,"&gt;="&amp;N$8,операции!$X:$X,"&lt;="&amp;N$9,операции!$AB:$AB,"",операции!$O:$O,$F1126)</f>
        <v>15554.43</v>
      </c>
      <c r="O1171" s="170">
        <f>N1171-P1171-Q1171</f>
        <v>0</v>
      </c>
      <c r="P1171" s="169">
        <f>SUMIFS(операции!$V:$V,операции!$X:$X,"&gt;="&amp;N$8,операции!$X:$X,"&lt;="&amp;N$9,операции!$AB:$AB,"",операции!$L:$L,P$9,операции!$O:$O,$F1126)</f>
        <v>15554.43</v>
      </c>
      <c r="Q1171" s="243">
        <f>SUMIFS(операции!$V:$V,операции!$X:$X,"&gt;="&amp;N$8,операции!$X:$X,"&lt;="&amp;N$9,операции!$AB:$AB,"",операции!$L:$L,Q$9,операции!$O:$O,$F1126)</f>
        <v>0</v>
      </c>
      <c r="R1171" s="244"/>
      <c r="S1171" s="169">
        <f>SUMIFS(операции!$V:$V,операции!$X:$X,"&gt;="&amp;S$8,операции!$X:$X,"&lt;="&amp;S$9,операции!$AB:$AB,"",операции!$O:$O,$F1126)</f>
        <v>8521.07</v>
      </c>
      <c r="T1171" s="170">
        <f>S1171-U1171-V1171</f>
        <v>0</v>
      </c>
      <c r="U1171" s="169">
        <f>SUMIFS(операции!$V:$V,операции!$X:$X,"&gt;="&amp;S$8,операции!$X:$X,"&lt;="&amp;S$9,операции!$AB:$AB,"",операции!$L:$L,U$9,операции!$O:$O,$F1126)</f>
        <v>3817.5</v>
      </c>
      <c r="V1171" s="243">
        <f>SUMIFS(операции!$V:$V,операции!$X:$X,"&gt;="&amp;S$8,операции!$X:$X,"&lt;="&amp;S$9,операции!$AB:$AB,"",операции!$L:$L,V$9,операции!$O:$O,$F1126)</f>
        <v>4703.57</v>
      </c>
      <c r="W1171" s="244"/>
      <c r="X1171" s="169">
        <f>SUMIFS(операции!$V:$V,операции!$X:$X,"&gt;="&amp;X$8,операции!$X:$X,"&lt;="&amp;X$9,операции!$AB:$AB,"",операции!$O:$O,$F1126)</f>
        <v>436.84</v>
      </c>
      <c r="Y1171" s="170">
        <f>X1171-Z1171-AA1171</f>
        <v>0</v>
      </c>
      <c r="Z1171" s="169">
        <f>SUMIFS(операции!$V:$V,операции!$X:$X,"&gt;="&amp;X$8,операции!$X:$X,"&lt;="&amp;X$9,операции!$AB:$AB,"",операции!$L:$L,Z$9,операции!$O:$O,$F1126)</f>
        <v>0</v>
      </c>
      <c r="AA1171" s="243">
        <f>SUMIFS(операции!$V:$V,операции!$X:$X,"&gt;="&amp;X$8,операции!$X:$X,"&lt;="&amp;X$9,операции!$AB:$AB,"",операции!$L:$L,AA$9,операции!$O:$O,$F1126)</f>
        <v>436.84</v>
      </c>
      <c r="AB1171" s="266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</row>
    <row r="1172" spans="1:42" s="192" customFormat="1" ht="11.25">
      <c r="A1172" s="37"/>
      <c r="B1172" s="37"/>
      <c r="C1172" s="37"/>
      <c r="D1172" s="191"/>
      <c r="E1172" s="191" t="s">
        <v>305</v>
      </c>
      <c r="F1172" s="191" t="str">
        <f t="shared" si="1986"/>
        <v>КидсТрейд</v>
      </c>
      <c r="G1172" s="191" t="s">
        <v>262</v>
      </c>
      <c r="H1172" s="315"/>
      <c r="I1172" s="316">
        <f>IF(I1171=0,0,SUMIFS(операции!$AF:$AF,операции!$X:$X,"&gt;="&amp;I$8,операции!$X:$X,"&lt;="&amp;I$9,операции!$AB:$AB,"",операции!$O:$O,$F1126)/I1171)</f>
        <v>42235.705980742758</v>
      </c>
      <c r="J1172" s="317"/>
      <c r="K1172" s="316">
        <f>IF(K1171=0,0,SUMIFS(операции!$AF:$AF,операции!$X:$X,"&gt;="&amp;I$8,операции!$X:$X,"&lt;="&amp;I$9,операции!$AB:$AB,"",операции!$L:$L,K$9,операции!$O:$O,$F1126)/K1171)</f>
        <v>42212.823383111543</v>
      </c>
      <c r="L1172" s="318">
        <f>IF(L1171=0,0,SUMIFS(операции!$AF:$AF,операции!$X:$X,"&gt;="&amp;I$8,операции!$X:$X,"&lt;="&amp;I$9,операции!$AB:$AB,"",операции!$L:$L,L$9,операции!$O:$O,$F1126)/L1171)</f>
        <v>42321.940362733716</v>
      </c>
      <c r="M1172" s="274"/>
      <c r="N1172" s="193">
        <f>IF(N1171=0,0,SUMIFS(операции!$AF:$AF,операции!$X:$X,"&gt;="&amp;N$8,операции!$X:$X,"&lt;="&amp;N$9,операции!$AB:$AB,"",операции!$O:$O,$F1126)/N1171)</f>
        <v>42251.066878053389</v>
      </c>
      <c r="O1172" s="196"/>
      <c r="P1172" s="193">
        <f>IF(P1171=0,0,SUMIFS(операции!$AF:$AF,операции!$X:$X,"&gt;="&amp;N$8,операции!$X:$X,"&lt;="&amp;N$9,операции!$AB:$AB,"",операции!$L:$L,P$9,операции!$O:$O,$F1126)/P1171)</f>
        <v>42251.066878053389</v>
      </c>
      <c r="Q1172" s="237">
        <f>IF(Q1171=0,0,SUMIFS(операции!$AF:$AF,операции!$X:$X,"&gt;="&amp;N$8,операции!$X:$X,"&lt;="&amp;N$9,операции!$AB:$AB,"",операции!$L:$L,Q$9,операции!$O:$O,$F1126)/Q1171)</f>
        <v>0</v>
      </c>
      <c r="R1172" s="238"/>
      <c r="S1172" s="193">
        <f>IF(S1171=0,0,SUMIFS(операции!$AF:$AF,операции!$X:$X,"&gt;="&amp;S$8,операции!$X:$X,"&lt;="&amp;S$9,операции!$AB:$AB,"",операции!$O:$O,$F1126)/S1171)</f>
        <v>42202.524415360989</v>
      </c>
      <c r="T1172" s="196"/>
      <c r="U1172" s="193">
        <f>IF(U1171=0,0,SUMIFS(операции!$AF:$AF,операции!$X:$X,"&gt;="&amp;S$8,операции!$X:$X,"&lt;="&amp;S$9,операции!$AB:$AB,"",операции!$L:$L,U$9,операции!$O:$O,$F1126)/U1171)</f>
        <v>42057</v>
      </c>
      <c r="V1172" s="237">
        <f>IF(V1171=0,0,SUMIFS(операции!$AF:$AF,операции!$X:$X,"&gt;="&amp;S$8,операции!$X:$X,"&lt;="&amp;S$9,операции!$AB:$AB,"",операции!$L:$L,V$9,операции!$O:$O,$F1126)/V1171)</f>
        <v>42320.634586069733</v>
      </c>
      <c r="W1172" s="238"/>
      <c r="X1172" s="193">
        <f>IF(X1171=0,0,SUMIFS(операции!$AF:$AF,операции!$X:$X,"&gt;="&amp;X$8,операции!$X:$X,"&lt;="&amp;X$9,операции!$AB:$AB,"",операции!$O:$O,$F1126)/X1171)</f>
        <v>42336</v>
      </c>
      <c r="Y1172" s="196"/>
      <c r="Z1172" s="193">
        <f>IF(Z1171=0,0,SUMIFS(операции!$AF:$AF,операции!$X:$X,"&gt;="&amp;X$8,операции!$X:$X,"&lt;="&amp;X$9,операции!$AB:$AB,"",операции!$L:$L,Z$9,операции!$O:$O,$F1126)/Z1171)</f>
        <v>0</v>
      </c>
      <c r="AA1172" s="237">
        <f>IF(AA1171=0,0,SUMIFS(операции!$AF:$AF,операции!$X:$X,"&gt;="&amp;X$8,операции!$X:$X,"&lt;="&amp;X$9,операции!$AB:$AB,"",операции!$L:$L,AA$9,операции!$O:$O,$F1126)/AA1171)</f>
        <v>42336</v>
      </c>
      <c r="AB1172" s="265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</row>
    <row r="1173" spans="1:42" s="192" customFormat="1" ht="11.25">
      <c r="A1173" s="37"/>
      <c r="B1173" s="37"/>
      <c r="C1173" s="37"/>
      <c r="D1173" s="191"/>
      <c r="E1173" s="191" t="s">
        <v>307</v>
      </c>
      <c r="F1173" s="191" t="str">
        <f t="shared" si="1986"/>
        <v>КидсТрейд</v>
      </c>
      <c r="G1173" s="191" t="s">
        <v>262</v>
      </c>
      <c r="H1173" s="315"/>
      <c r="I1173" s="316">
        <f>I$9</f>
        <v>42369</v>
      </c>
      <c r="J1173" s="317"/>
      <c r="K1173" s="316">
        <f>I$9</f>
        <v>42369</v>
      </c>
      <c r="L1173" s="318">
        <f>I$9</f>
        <v>42369</v>
      </c>
      <c r="M1173" s="274"/>
      <c r="N1173" s="193">
        <f>N$9</f>
        <v>42308</v>
      </c>
      <c r="O1173" s="196"/>
      <c r="P1173" s="193">
        <f>N$9</f>
        <v>42308</v>
      </c>
      <c r="Q1173" s="237">
        <f>N$9</f>
        <v>42308</v>
      </c>
      <c r="R1173" s="238"/>
      <c r="S1173" s="193">
        <f>S$9</f>
        <v>42338</v>
      </c>
      <c r="T1173" s="196"/>
      <c r="U1173" s="193">
        <f>S$9</f>
        <v>42338</v>
      </c>
      <c r="V1173" s="237">
        <f>S$9</f>
        <v>42338</v>
      </c>
      <c r="W1173" s="238"/>
      <c r="X1173" s="193">
        <f>X$9</f>
        <v>42369</v>
      </c>
      <c r="Y1173" s="196"/>
      <c r="Z1173" s="193">
        <f>X$9</f>
        <v>42369</v>
      </c>
      <c r="AA1173" s="237">
        <f>X$9</f>
        <v>42369</v>
      </c>
      <c r="AB1173" s="265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</row>
    <row r="1174" spans="1:42" s="5" customFormat="1">
      <c r="A1174" s="1"/>
      <c r="B1174" s="1"/>
      <c r="C1174" s="1"/>
      <c r="D1174" s="168"/>
      <c r="E1174" s="168" t="s">
        <v>380</v>
      </c>
      <c r="F1174" s="168" t="str">
        <f t="shared" si="1986"/>
        <v>КидсТрейд</v>
      </c>
      <c r="G1174" s="168" t="s">
        <v>261</v>
      </c>
      <c r="H1174" s="326"/>
      <c r="I1174" s="327">
        <f>I1169-I1171</f>
        <v>2891.66</v>
      </c>
      <c r="J1174" s="313">
        <f>I1174-K1174-L1174</f>
        <v>0</v>
      </c>
      <c r="K1174" s="327">
        <f t="shared" ref="K1174:L1174" si="2091">K1169-K1171</f>
        <v>625.06999999999971</v>
      </c>
      <c r="L1174" s="328">
        <f t="shared" si="2091"/>
        <v>2266.59</v>
      </c>
      <c r="M1174" s="277"/>
      <c r="N1174" s="169">
        <f>N1169-N1171</f>
        <v>452.56999999999971</v>
      </c>
      <c r="O1174" s="170">
        <f>N1174-P1174-Q1174</f>
        <v>0</v>
      </c>
      <c r="P1174" s="169">
        <f t="shared" ref="P1174:Q1174" si="2092">P1169-P1171</f>
        <v>452.56999999999971</v>
      </c>
      <c r="Q1174" s="243">
        <f t="shared" si="2092"/>
        <v>0</v>
      </c>
      <c r="R1174" s="244"/>
      <c r="S1174" s="169">
        <f>S1169-S1171</f>
        <v>2354.9300000000003</v>
      </c>
      <c r="T1174" s="170">
        <f>S1174-U1174-V1174</f>
        <v>0</v>
      </c>
      <c r="U1174" s="169">
        <f t="shared" ref="U1174:V1174" si="2093">U1169-U1171</f>
        <v>172.5</v>
      </c>
      <c r="V1174" s="243">
        <f t="shared" si="2093"/>
        <v>2182.4300000000003</v>
      </c>
      <c r="W1174" s="244"/>
      <c r="X1174" s="169">
        <f>X1169-X1171</f>
        <v>84.160000000000025</v>
      </c>
      <c r="Y1174" s="170">
        <f>X1174-Z1174-AA1174</f>
        <v>0</v>
      </c>
      <c r="Z1174" s="169">
        <f t="shared" ref="Z1174:AA1174" si="2094">Z1169-Z1171</f>
        <v>0</v>
      </c>
      <c r="AA1174" s="243">
        <f t="shared" si="2094"/>
        <v>84.160000000000025</v>
      </c>
      <c r="AB1174" s="266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</row>
    <row r="1175" spans="1:42" s="211" customFormat="1">
      <c r="A1175" s="210"/>
      <c r="B1175" s="210"/>
      <c r="C1175" s="210"/>
      <c r="D1175" s="218"/>
      <c r="E1175" s="218" t="s">
        <v>381</v>
      </c>
      <c r="F1175" s="218" t="str">
        <f t="shared" si="1986"/>
        <v>КидсТрейд</v>
      </c>
      <c r="G1175" s="218" t="s">
        <v>218</v>
      </c>
      <c r="H1175" s="343"/>
      <c r="I1175" s="344">
        <f>IF(I1169=0,0,(I1174/I1169))</f>
        <v>0.10551963217048606</v>
      </c>
      <c r="J1175" s="345"/>
      <c r="K1175" s="344">
        <f t="shared" ref="K1175" si="2095">IF(K1169=0,0,(K1174/K1169))</f>
        <v>3.1258188728309232E-2</v>
      </c>
      <c r="L1175" s="346">
        <f t="shared" ref="L1175" si="2096">IF(L1169=0,0,(L1174/L1169))</f>
        <v>0.30600648035641964</v>
      </c>
      <c r="M1175" s="280"/>
      <c r="N1175" s="219">
        <f>IF(N1169=0,0,(N1174/N1169))</f>
        <v>2.8273255450740283E-2</v>
      </c>
      <c r="O1175" s="220"/>
      <c r="P1175" s="219">
        <f t="shared" ref="P1175" si="2097">IF(P1169=0,0,(P1174/P1169))</f>
        <v>2.8273255450740283E-2</v>
      </c>
      <c r="Q1175" s="252">
        <f t="shared" ref="Q1175" si="2098">IF(Q1169=0,0,(Q1174/Q1169))</f>
        <v>0</v>
      </c>
      <c r="R1175" s="253"/>
      <c r="S1175" s="219">
        <f>IF(S1169=0,0,(S1174/S1169))</f>
        <v>0.21652537697682975</v>
      </c>
      <c r="T1175" s="220"/>
      <c r="U1175" s="219">
        <f t="shared" ref="U1175" si="2099">IF(U1169=0,0,(U1174/U1169))</f>
        <v>4.3233082706766915E-2</v>
      </c>
      <c r="V1175" s="252">
        <f t="shared" ref="V1175" si="2100">IF(V1169=0,0,(V1174/V1169))</f>
        <v>0.3169372640139414</v>
      </c>
      <c r="W1175" s="253"/>
      <c r="X1175" s="219">
        <f>IF(X1169=0,0,(X1174/X1169))</f>
        <v>0.16153550863723612</v>
      </c>
      <c r="Y1175" s="220"/>
      <c r="Z1175" s="219">
        <f t="shared" ref="Z1175" si="2101">IF(Z1169=0,0,(Z1174/Z1169))</f>
        <v>0</v>
      </c>
      <c r="AA1175" s="252">
        <f t="shared" ref="AA1175" si="2102">IF(AA1169=0,0,(AA1174/AA1169))</f>
        <v>0.16153550863723612</v>
      </c>
      <c r="AB1175" s="267"/>
      <c r="AC1175" s="210"/>
      <c r="AD1175" s="210"/>
      <c r="AE1175" s="210"/>
      <c r="AF1175" s="210"/>
      <c r="AG1175" s="210"/>
      <c r="AH1175" s="210"/>
      <c r="AI1175" s="210"/>
      <c r="AJ1175" s="210"/>
      <c r="AK1175" s="210"/>
      <c r="AL1175" s="210"/>
      <c r="AM1175" s="210"/>
      <c r="AN1175" s="210"/>
      <c r="AO1175" s="210"/>
      <c r="AP1175" s="210"/>
    </row>
    <row r="1176" spans="1:42" s="5" customFormat="1">
      <c r="A1176" s="1"/>
      <c r="B1176" s="1"/>
      <c r="C1176" s="1"/>
      <c r="D1176" s="227"/>
      <c r="E1176" s="227" t="s">
        <v>306</v>
      </c>
      <c r="F1176" s="227" t="str">
        <f t="shared" si="1986"/>
        <v>КидсТрейд</v>
      </c>
      <c r="G1176" s="227" t="s">
        <v>219</v>
      </c>
      <c r="H1176" s="347"/>
      <c r="I1176" s="348">
        <f>I1170-I1172</f>
        <v>73.392690984001092</v>
      </c>
      <c r="J1176" s="321"/>
      <c r="K1176" s="348">
        <f t="shared" ref="K1176:L1176" si="2103">K1170-K1172</f>
        <v>89.026644392579328</v>
      </c>
      <c r="L1176" s="349">
        <f t="shared" si="2103"/>
        <v>6.7277890146287973</v>
      </c>
      <c r="M1176" s="281"/>
      <c r="N1176" s="228">
        <f>N1170-N1172</f>
        <v>49.000904791617359</v>
      </c>
      <c r="O1176" s="173"/>
      <c r="P1176" s="228">
        <f t="shared" ref="P1176:Q1176" si="2104">P1170-P1172</f>
        <v>49.000904791617359</v>
      </c>
      <c r="Q1176" s="254">
        <f t="shared" si="2104"/>
        <v>0</v>
      </c>
      <c r="R1176" s="255"/>
      <c r="S1176" s="228">
        <f>S1170-S1172</f>
        <v>118.09796419031773</v>
      </c>
      <c r="T1176" s="173"/>
      <c r="U1176" s="228">
        <f t="shared" ref="U1176:V1176" si="2105">U1170-U1172</f>
        <v>252</v>
      </c>
      <c r="V1176" s="254">
        <f t="shared" si="2105"/>
        <v>6.7222248509788187</v>
      </c>
      <c r="W1176" s="255"/>
      <c r="X1176" s="228">
        <f>X1170-X1172</f>
        <v>10</v>
      </c>
      <c r="Y1176" s="173"/>
      <c r="Z1176" s="228">
        <f t="shared" ref="Z1176:AA1176" si="2106">Z1170-Z1172</f>
        <v>0</v>
      </c>
      <c r="AA1176" s="254">
        <f t="shared" si="2106"/>
        <v>10</v>
      </c>
      <c r="AB1176" s="266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</row>
    <row r="1177" spans="1:42" s="5" customFormat="1">
      <c r="A1177" s="1"/>
      <c r="B1177" s="1"/>
      <c r="C1177" s="1"/>
      <c r="D1177" s="227"/>
      <c r="E1177" s="227" t="s">
        <v>382</v>
      </c>
      <c r="F1177" s="227" t="str">
        <f t="shared" si="1986"/>
        <v>КидсТрейд</v>
      </c>
      <c r="G1177" s="227" t="s">
        <v>219</v>
      </c>
      <c r="H1177" s="347"/>
      <c r="I1177" s="348">
        <f>I1173-I1172</f>
        <v>133.29401925724233</v>
      </c>
      <c r="J1177" s="321"/>
      <c r="K1177" s="348">
        <f t="shared" ref="K1177:L1177" si="2107">K1173-K1172</f>
        <v>156.17661688845692</v>
      </c>
      <c r="L1177" s="349">
        <f t="shared" si="2107"/>
        <v>47.059637266283971</v>
      </c>
      <c r="M1177" s="281"/>
      <c r="N1177" s="228">
        <f>N1173-N1172</f>
        <v>56.933121946611209</v>
      </c>
      <c r="O1177" s="173"/>
      <c r="P1177" s="228">
        <f t="shared" ref="P1177:Q1177" si="2108">P1173-P1172</f>
        <v>56.933121946611209</v>
      </c>
      <c r="Q1177" s="254">
        <f t="shared" si="2108"/>
        <v>42308</v>
      </c>
      <c r="R1177" s="255"/>
      <c r="S1177" s="228">
        <f>S1173-S1172</f>
        <v>135.47558463901078</v>
      </c>
      <c r="T1177" s="173"/>
      <c r="U1177" s="228">
        <f t="shared" ref="U1177:V1177" si="2109">U1173-U1172</f>
        <v>281</v>
      </c>
      <c r="V1177" s="254">
        <f t="shared" si="2109"/>
        <v>17.365413930267096</v>
      </c>
      <c r="W1177" s="255"/>
      <c r="X1177" s="228">
        <f>X1173-X1172</f>
        <v>33</v>
      </c>
      <c r="Y1177" s="173"/>
      <c r="Z1177" s="228">
        <f t="shared" ref="Z1177:AA1177" si="2110">Z1173-Z1172</f>
        <v>42369</v>
      </c>
      <c r="AA1177" s="254">
        <f t="shared" si="2110"/>
        <v>33</v>
      </c>
      <c r="AB1177" s="266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</row>
    <row r="1178" spans="1:42" s="5" customFormat="1">
      <c r="A1178" s="1"/>
      <c r="B1178" s="1"/>
      <c r="C1178" s="1"/>
      <c r="D1178" s="225"/>
      <c r="E1178" s="225" t="s">
        <v>383</v>
      </c>
      <c r="F1178" s="225" t="str">
        <f t="shared" si="1986"/>
        <v>КидсТрейд</v>
      </c>
      <c r="G1178" s="225" t="s">
        <v>219</v>
      </c>
      <c r="H1178" s="350"/>
      <c r="I1178" s="351">
        <f>I1176-I1177</f>
        <v>-59.901328273241234</v>
      </c>
      <c r="J1178" s="352"/>
      <c r="K1178" s="351">
        <f t="shared" ref="K1178" si="2111">K1176-K1177</f>
        <v>-67.149972495877591</v>
      </c>
      <c r="L1178" s="353">
        <f t="shared" ref="L1178" si="2112">L1176-L1177</f>
        <v>-40.331848251655174</v>
      </c>
      <c r="M1178" s="282"/>
      <c r="N1178" s="226">
        <f>N1176-N1177</f>
        <v>-7.9322171549938503</v>
      </c>
      <c r="O1178" s="181"/>
      <c r="P1178" s="226">
        <f t="shared" ref="P1178" si="2113">P1176-P1177</f>
        <v>-7.9322171549938503</v>
      </c>
      <c r="Q1178" s="256">
        <f t="shared" ref="Q1178" si="2114">Q1176-Q1177</f>
        <v>-42308</v>
      </c>
      <c r="R1178" s="257"/>
      <c r="S1178" s="226">
        <f>S1176-S1177</f>
        <v>-17.377620448693051</v>
      </c>
      <c r="T1178" s="181"/>
      <c r="U1178" s="226">
        <f t="shared" ref="U1178" si="2115">U1176-U1177</f>
        <v>-29</v>
      </c>
      <c r="V1178" s="256">
        <f t="shared" ref="V1178" si="2116">V1176-V1177</f>
        <v>-10.643189079288277</v>
      </c>
      <c r="W1178" s="257"/>
      <c r="X1178" s="226">
        <f>X1176-X1177</f>
        <v>-23</v>
      </c>
      <c r="Y1178" s="181"/>
      <c r="Z1178" s="226">
        <f t="shared" ref="Z1178" si="2117">Z1176-Z1177</f>
        <v>-42369</v>
      </c>
      <c r="AA1178" s="256">
        <f t="shared" ref="AA1178" si="2118">AA1176-AA1177</f>
        <v>-23</v>
      </c>
      <c r="AB1178" s="266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</row>
    <row r="1179" spans="1:42" s="5" customFormat="1">
      <c r="A1179" s="1"/>
      <c r="B1179" s="1"/>
      <c r="C1179" s="1"/>
      <c r="D1179" s="168" t="s">
        <v>312</v>
      </c>
      <c r="E1179" s="168"/>
      <c r="F1179" s="168" t="str">
        <f t="shared" si="1986"/>
        <v>КидсТрейд</v>
      </c>
      <c r="G1179" s="168" t="s">
        <v>261</v>
      </c>
      <c r="H1179" s="326"/>
      <c r="I1179" s="327">
        <f>SUMIFS(операции!$AC:$AC,операции!$AB:$AB,"&gt;="&amp;I$8,операции!$AB:$AB,"&lt;="&amp;I$9,операции!$O:$O,$F1126)</f>
        <v>145254.93</v>
      </c>
      <c r="J1179" s="313">
        <f>I1179-K1179-L1179</f>
        <v>0</v>
      </c>
      <c r="K1179" s="327">
        <f>SUMIFS(операции!$AC:$AC,операции!$AB:$AB,"&gt;="&amp;I$8,операции!$AB:$AB,"&lt;="&amp;I$9,операции!$L:$L,K$9,операции!$O:$O,$F1126)</f>
        <v>20624.419999999998</v>
      </c>
      <c r="L1179" s="328">
        <f>SUMIFS(операции!$AC:$AC,операции!$AB:$AB,"&gt;="&amp;I$8,операции!$AB:$AB,"&lt;="&amp;I$9,операции!$L:$L,L$9,операции!$O:$O,$F1126)</f>
        <v>124630.50999999998</v>
      </c>
      <c r="M1179" s="277"/>
      <c r="N1179" s="169">
        <f>SUMIFS(операции!$AC:$AC,операции!$AB:$AB,"&gt;="&amp;N$8,операции!$AB:$AB,"&lt;="&amp;N$9,операции!$O:$O,$F1126)</f>
        <v>15445.06</v>
      </c>
      <c r="O1179" s="170">
        <f>N1179-P1179-Q1179</f>
        <v>0</v>
      </c>
      <c r="P1179" s="169">
        <f>SUMIFS(операции!$AC:$AC,операции!$AB:$AB,"&gt;="&amp;N$8,операции!$AB:$AB,"&lt;="&amp;N$9,операции!$L:$L,P$9,операции!$O:$O,$F1126)</f>
        <v>15445.06</v>
      </c>
      <c r="Q1179" s="243">
        <f>SUMIFS(операции!$AC:$AC,операции!$AB:$AB,"&gt;="&amp;N$8,операции!$AB:$AB,"&lt;="&amp;N$9,операции!$L:$L,Q$9,операции!$O:$O,$F1126)</f>
        <v>0</v>
      </c>
      <c r="R1179" s="244"/>
      <c r="S1179" s="169">
        <f>SUMIFS(операции!$AC:$AC,операции!$AB:$AB,"&gt;="&amp;S$8,операции!$AB:$AB,"&lt;="&amp;S$9,операции!$O:$O,$F1126)</f>
        <v>40254.769999999997</v>
      </c>
      <c r="T1179" s="170">
        <f>S1179-U1179-V1179</f>
        <v>0</v>
      </c>
      <c r="U1179" s="169">
        <f>SUMIFS(операции!$AC:$AC,операции!$AB:$AB,"&gt;="&amp;S$8,операции!$AB:$AB,"&lt;="&amp;S$9,операции!$L:$L,U$9,операции!$O:$O,$F1126)</f>
        <v>5179.3600000000006</v>
      </c>
      <c r="V1179" s="243">
        <f>SUMIFS(операции!$AC:$AC,операции!$AB:$AB,"&gt;="&amp;S$8,операции!$AB:$AB,"&lt;="&amp;S$9,операции!$L:$L,V$9,операции!$O:$O,$F1126)</f>
        <v>35075.410000000003</v>
      </c>
      <c r="W1179" s="244"/>
      <c r="X1179" s="169">
        <f>SUMIFS(операции!$AC:$AC,операции!$AB:$AB,"&gt;="&amp;X$8,операции!$AB:$AB,"&lt;="&amp;X$9,операции!$O:$O,$F1126)</f>
        <v>89555.1</v>
      </c>
      <c r="Y1179" s="170">
        <f>X1179-Z1179-AA1179</f>
        <v>0</v>
      </c>
      <c r="Z1179" s="169">
        <f>SUMIFS(операции!$AC:$AC,операции!$AB:$AB,"&gt;="&amp;X$8,операции!$AB:$AB,"&lt;="&amp;X$9,операции!$L:$L,Z$9,операции!$O:$O,$F1126)</f>
        <v>0</v>
      </c>
      <c r="AA1179" s="243">
        <f>SUMIFS(операции!$AC:$AC,операции!$AB:$AB,"&gt;="&amp;X$8,операции!$AB:$AB,"&lt;="&amp;X$9,операции!$L:$L,AA$9,операции!$O:$O,$F1126)</f>
        <v>89555.1</v>
      </c>
      <c r="AB1179" s="266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</row>
    <row r="1180" spans="1:42" s="192" customFormat="1" ht="11.25">
      <c r="A1180" s="37"/>
      <c r="B1180" s="37"/>
      <c r="C1180" s="37"/>
      <c r="D1180" s="207" t="s">
        <v>255</v>
      </c>
      <c r="E1180" s="207"/>
      <c r="F1180" s="207" t="str">
        <f t="shared" si="1986"/>
        <v>КидсТрейд</v>
      </c>
      <c r="G1180" s="207" t="s">
        <v>262</v>
      </c>
      <c r="H1180" s="331"/>
      <c r="I1180" s="337">
        <f>IF(I1179=0,0,SUMIFS(операции!$AH:$AH,операции!$AB:$AB,"&gt;="&amp;I$8,операции!$AB:$AB,"&lt;="&amp;I$9,операции!$O:$O,$F1126)/I1179)</f>
        <v>42336.061338227904</v>
      </c>
      <c r="J1180" s="333"/>
      <c r="K1180" s="337">
        <f>IF(K1179=0,0,SUMIFS(операции!$AH:$AH,операции!$AB:$AB,"&gt;="&amp;I$8,операции!$AB:$AB,"&lt;="&amp;I$9,операции!$L:$L,K$9,операции!$O:$O,$F1126)/K1179)</f>
        <v>42288.9132310145</v>
      </c>
      <c r="L1180" s="338">
        <f>IF(L1179=0,0,SUMIFS(операции!$AH:$AH,операции!$AB:$AB,"&gt;="&amp;I$8,операции!$AB:$AB,"&lt;="&amp;I$9,операции!$L:$L,L$9,операции!$O:$O,$F1126)/L1179)</f>
        <v>42343.863620071854</v>
      </c>
      <c r="M1180" s="278"/>
      <c r="N1180" s="217">
        <f>IF(N1179=0,0,SUMIFS(операции!$AH:$AH,операции!$AB:$AB,"&gt;="&amp;N$8,операции!$AB:$AB,"&lt;="&amp;N$9,операции!$O:$O,$F1126)/N1179)</f>
        <v>42279.111972371749</v>
      </c>
      <c r="O1180" s="208"/>
      <c r="P1180" s="217">
        <f>IF(P1179=0,0,SUMIFS(операции!$AH:$AH,операции!$AB:$AB,"&gt;="&amp;N$8,операции!$AB:$AB,"&lt;="&amp;N$9,операции!$L:$L,P$9,операции!$O:$O,$F1126)/P1179)</f>
        <v>42279.111972371749</v>
      </c>
      <c r="Q1180" s="249">
        <f>IF(Q1179=0,0,SUMIFS(операции!$AH:$AH,операции!$AB:$AB,"&gt;="&amp;N$8,операции!$AB:$AB,"&lt;="&amp;N$9,операции!$L:$L,Q$9,операции!$O:$O,$F1126)/Q1179)</f>
        <v>0</v>
      </c>
      <c r="R1180" s="247"/>
      <c r="S1180" s="217">
        <f>IF(S1179=0,0,SUMIFS(операции!$AH:$AH,операции!$AB:$AB,"&gt;="&amp;S$8,операции!$AB:$AB,"&lt;="&amp;S$9,операции!$O:$O,$F1126)/S1179)</f>
        <v>42324.988703450559</v>
      </c>
      <c r="T1180" s="208"/>
      <c r="U1180" s="217">
        <f>IF(U1179=0,0,SUMIFS(операции!$AH:$AH,операции!$AB:$AB,"&gt;="&amp;S$8,операции!$AB:$AB,"&lt;="&amp;S$9,операции!$L:$L,U$9,операции!$O:$O,$F1126)/U1179)</f>
        <v>42318.140978808187</v>
      </c>
      <c r="V1180" s="249">
        <f>IF(V1179=0,0,SUMIFS(операции!$AH:$AH,операции!$AB:$AB,"&gt;="&amp;S$8,операции!$AB:$AB,"&lt;="&amp;S$9,операции!$L:$L,V$9,операции!$O:$O,$F1126)/V1179)</f>
        <v>42325.999862866884</v>
      </c>
      <c r="W1180" s="247"/>
      <c r="X1180" s="217">
        <f>IF(X1179=0,0,SUMIFS(операции!$AH:$AH,операции!$AB:$AB,"&gt;="&amp;X$8,операции!$AB:$AB,"&lt;="&amp;X$9,операции!$O:$O,$F1126)/X1179)</f>
        <v>42350.860190988562</v>
      </c>
      <c r="Y1180" s="208"/>
      <c r="Z1180" s="217">
        <f>IF(Z1179=0,0,SUMIFS(операции!$AH:$AH,операции!$AB:$AB,"&gt;="&amp;X$8,операции!$AB:$AB,"&lt;="&amp;X$9,операции!$L:$L,Z$9,операции!$O:$O,$F1126)/Z1179)</f>
        <v>0</v>
      </c>
      <c r="AA1180" s="249">
        <f>IF(AA1179=0,0,SUMIFS(операции!$AH:$AH,операции!$AB:$AB,"&gt;="&amp;X$8,операции!$AB:$AB,"&lt;="&amp;X$9,операции!$L:$L,AA$9,операции!$O:$O,$F1126)/AA1179)</f>
        <v>42350.860190988562</v>
      </c>
      <c r="AB1180" s="265"/>
      <c r="AC1180" s="37"/>
      <c r="AD1180" s="37"/>
      <c r="AE1180" s="37"/>
      <c r="AF1180" s="37"/>
      <c r="AG1180" s="37"/>
      <c r="AH1180" s="37"/>
      <c r="AI1180" s="37"/>
      <c r="AJ1180" s="37"/>
      <c r="AK1180" s="37"/>
      <c r="AL1180" s="37"/>
      <c r="AM1180" s="37"/>
      <c r="AN1180" s="37"/>
      <c r="AO1180" s="37"/>
      <c r="AP1180" s="37"/>
    </row>
    <row r="1181" spans="1:42" s="111" customFormat="1" ht="11.25">
      <c r="A1181" s="108"/>
      <c r="B1181" s="108"/>
      <c r="C1181" s="209" t="s">
        <v>279</v>
      </c>
      <c r="D1181" s="109"/>
      <c r="E1181" s="109"/>
      <c r="F1181" s="109" t="str">
        <f t="shared" si="1986"/>
        <v>КидсТрейд</v>
      </c>
      <c r="G1181" s="109"/>
      <c r="H1181" s="307"/>
      <c r="I1181" s="308">
        <f>I1182-K1182-L1182+K1181+L1181</f>
        <v>-1.8189894035458565E-12</v>
      </c>
      <c r="J1181" s="309">
        <f>I1126+I1144-I1151-I1182</f>
        <v>0</v>
      </c>
      <c r="K1181" s="308">
        <f>K1126+K1144-K1151-K1182</f>
        <v>0</v>
      </c>
      <c r="L1181" s="336">
        <f>L1126+L1144-L1151-L1182</f>
        <v>0</v>
      </c>
      <c r="M1181" s="272"/>
      <c r="N1181" s="110">
        <f>N1182-P1182-Q1182</f>
        <v>-1.7621459846850485E-12</v>
      </c>
      <c r="O1181" s="215">
        <f>N1126+N1144-N1151-N1182</f>
        <v>0</v>
      </c>
      <c r="P1181" s="110">
        <f>P1126+P1144-P1151-P1182</f>
        <v>0</v>
      </c>
      <c r="Q1181" s="248">
        <f>Q1126+Q1144-Q1151-Q1182</f>
        <v>0</v>
      </c>
      <c r="R1181" s="234"/>
      <c r="S1181" s="110">
        <f>S1182-U1182-V1182</f>
        <v>0</v>
      </c>
      <c r="T1181" s="215">
        <f>S1126+S1144-S1151-S1182</f>
        <v>0</v>
      </c>
      <c r="U1181" s="110">
        <f>U1126+U1144-U1151-U1182</f>
        <v>0</v>
      </c>
      <c r="V1181" s="248">
        <f>V1126+V1144-V1151-V1182</f>
        <v>0</v>
      </c>
      <c r="W1181" s="234"/>
      <c r="X1181" s="110">
        <f>X1182-Z1182-AA1182</f>
        <v>0</v>
      </c>
      <c r="Y1181" s="215">
        <f>X1126+X1144-X1151-X1182</f>
        <v>0</v>
      </c>
      <c r="Z1181" s="110">
        <f>Z1126+Z1144-Z1151-Z1182</f>
        <v>0</v>
      </c>
      <c r="AA1181" s="248">
        <f>AA1126+AA1144-AA1151-AA1182</f>
        <v>0</v>
      </c>
      <c r="AB1181" s="263"/>
      <c r="AC1181" s="108"/>
      <c r="AD1181" s="108"/>
      <c r="AE1181" s="108"/>
      <c r="AF1181" s="108"/>
      <c r="AG1181" s="108"/>
      <c r="AH1181" s="108"/>
      <c r="AI1181" s="108"/>
      <c r="AJ1181" s="108"/>
      <c r="AK1181" s="108"/>
      <c r="AL1181" s="108"/>
      <c r="AM1181" s="108"/>
      <c r="AN1181" s="108"/>
      <c r="AO1181" s="108"/>
      <c r="AP1181" s="108"/>
    </row>
    <row r="1182" spans="1:42" s="93" customFormat="1" ht="15">
      <c r="A1182" s="92"/>
      <c r="B1182" s="92"/>
      <c r="C1182" s="214"/>
      <c r="D1182" s="151" t="s">
        <v>238</v>
      </c>
      <c r="E1182" s="151"/>
      <c r="F1182" s="151" t="str">
        <f t="shared" si="1986"/>
        <v>КидсТрейд</v>
      </c>
      <c r="G1182" s="151" t="s">
        <v>261</v>
      </c>
      <c r="H1182" s="311"/>
      <c r="I1182" s="312">
        <f>SUMIFS(операции!$V:$V,операции!$T:$T,"&lt;="&amp;I$9,операции!$X:$X,"",операции!$O:$O,$F1126)+SUMIFS(операции!$V:$V,операции!$T:$T,"&lt;="&amp;I$9,операции!$X:$X,"&gt;"&amp;I$9,операции!$O:$O,$F1126)</f>
        <v>47618.14</v>
      </c>
      <c r="J1182" s="313">
        <f>I1182-I1187-I1193</f>
        <v>0</v>
      </c>
      <c r="K1182" s="312">
        <f>SUMIFS(операции!$V:$V,операции!$T:$T,"&lt;="&amp;I$9,операции!$X:$X,"",операции!$L:$L,K$9,операции!$O:$O,$F1126)+SUMIFS(операции!$V:$V,операции!$T:$T,"&lt;="&amp;I$9,операции!$X:$X,"&gt;"&amp;I$9,операции!$L:$L,K$9,операции!$O:$O,$F1126)</f>
        <v>34461.01</v>
      </c>
      <c r="L1182" s="314">
        <f>SUMIFS(операции!$V:$V,операции!$T:$T,"&lt;="&amp;I$9,операции!$X:$X,"",операции!$L:$L,L$9,операции!$O:$O,$F1126)+SUMIFS(операции!$V:$V,операции!$T:$T,"&lt;="&amp;I$9,операции!$X:$X,"&gt;"&amp;I$9,операции!$L:$L,L$9,операции!$O:$O,$F1126)</f>
        <v>13157.13</v>
      </c>
      <c r="M1182" s="273"/>
      <c r="N1182" s="152">
        <f>SUMIFS(операции!$V:$V,операции!$T:$T,"&lt;="&amp;N$9,операции!$X:$X,"",операции!$O:$O,$F1126)+SUMIFS(операции!$V:$V,операции!$T:$T,"&lt;="&amp;N$9,операции!$X:$X,"&gt;"&amp;N$9,операции!$O:$O,$F1126)</f>
        <v>58248.58</v>
      </c>
      <c r="O1182" s="170">
        <f>N1182-N1187-N1193</f>
        <v>0</v>
      </c>
      <c r="P1182" s="152">
        <f>SUMIFS(операции!$V:$V,операции!$T:$T,"&lt;="&amp;N$9,операции!$X:$X,"",операции!$L:$L,P$9,операции!$O:$O,$F1126)+SUMIFS(операции!$V:$V,операции!$T:$T,"&lt;="&amp;N$9,операции!$X:$X,"&gt;"&amp;N$9,операции!$L:$L,P$9,операции!$O:$O,$F1126)</f>
        <v>57892.160000000003</v>
      </c>
      <c r="Q1182" s="235">
        <f>SUMIFS(операции!$V:$V,операции!$T:$T,"&lt;="&amp;N$9,операции!$X:$X,"",операции!$L:$L,Q$9,операции!$O:$O,$F1126)+SUMIFS(операции!$V:$V,операции!$T:$T,"&lt;="&amp;N$9,операции!$X:$X,"&gt;"&amp;N$9,операции!$L:$L,Q$9,операции!$O:$O,$F1126)</f>
        <v>356.42</v>
      </c>
      <c r="R1182" s="236"/>
      <c r="S1182" s="152">
        <f>SUMIFS(операции!$V:$V,операции!$T:$T,"&lt;="&amp;S$9,операции!$X:$X,"",операции!$O:$O,$F1126)+SUMIFS(операции!$V:$V,операции!$T:$T,"&lt;="&amp;S$9,операции!$X:$X,"&gt;"&amp;S$9,операции!$O:$O,$F1126)</f>
        <v>57624.82</v>
      </c>
      <c r="T1182" s="170">
        <f>S1182-S1187-S1193</f>
        <v>0</v>
      </c>
      <c r="U1182" s="152">
        <f>SUMIFS(операции!$V:$V,операции!$T:$T,"&lt;="&amp;S$9,операции!$X:$X,"",операции!$L:$L,U$9,операции!$O:$O,$F1126)+SUMIFS(операции!$V:$V,операции!$T:$T,"&lt;="&amp;S$9,операции!$X:$X,"&gt;"&amp;S$9,операции!$L:$L,U$9,операции!$O:$O,$F1126)</f>
        <v>36697.160000000003</v>
      </c>
      <c r="V1182" s="235">
        <f>SUMIFS(операции!$V:$V,операции!$T:$T,"&lt;="&amp;S$9,операции!$X:$X,"",операции!$L:$L,V$9,операции!$O:$O,$F1126)+SUMIFS(операции!$V:$V,операции!$T:$T,"&lt;="&amp;S$9,операции!$X:$X,"&gt;"&amp;S$9,операции!$L:$L,V$9,операции!$O:$O,$F1126)</f>
        <v>20927.659999999996</v>
      </c>
      <c r="W1182" s="236"/>
      <c r="X1182" s="152">
        <f>SUMIFS(операции!$V:$V,операции!$T:$T,"&lt;="&amp;X$9,операции!$X:$X,"",операции!$O:$O,$F1126)+SUMIFS(операции!$V:$V,операции!$T:$T,"&lt;="&amp;X$9,операции!$X:$X,"&gt;"&amp;X$9,операции!$O:$O,$F1126)</f>
        <v>47618.14</v>
      </c>
      <c r="Y1182" s="170">
        <f>X1182-X1187-X1193</f>
        <v>0</v>
      </c>
      <c r="Z1182" s="152">
        <f>SUMIFS(операции!$V:$V,операции!$T:$T,"&lt;="&amp;X$9,операции!$X:$X,"",операции!$L:$L,Z$9,операции!$O:$O,$F1126)+SUMIFS(операции!$V:$V,операции!$T:$T,"&lt;="&amp;X$9,операции!$X:$X,"&gt;"&amp;X$9,операции!$L:$L,Z$9,операции!$O:$O,$F1126)</f>
        <v>34461.01</v>
      </c>
      <c r="AA1182" s="235">
        <f>SUMIFS(операции!$V:$V,операции!$T:$T,"&lt;="&amp;X$9,операции!$X:$X,"",операции!$L:$L,AA$9,операции!$O:$O,$F1126)+SUMIFS(операции!$V:$V,операции!$T:$T,"&lt;="&amp;X$9,операции!$X:$X,"&gt;"&amp;X$9,операции!$L:$L,AA$9,операции!$O:$O,$F1126)</f>
        <v>13157.13</v>
      </c>
      <c r="AB1182" s="264"/>
      <c r="AC1182" s="92"/>
      <c r="AD1182" s="92"/>
      <c r="AE1182" s="92"/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92"/>
    </row>
    <row r="1183" spans="1:42" s="192" customFormat="1" ht="11.25">
      <c r="A1183" s="37"/>
      <c r="B1183" s="37"/>
      <c r="C1183" s="37"/>
      <c r="D1183" s="191" t="s">
        <v>255</v>
      </c>
      <c r="E1183" s="191"/>
      <c r="F1183" s="191" t="str">
        <f t="shared" si="1986"/>
        <v>КидсТрейд</v>
      </c>
      <c r="G1183" s="191" t="s">
        <v>262</v>
      </c>
      <c r="H1183" s="315"/>
      <c r="I1183" s="316">
        <f>IF(I1182=0,0,(SUMIFS(операции!$AF:$AF,операции!$T:$T,"&lt;="&amp;I$9,операции!$X:$X,"",операции!$O:$O,$F1126)+SUMIFS(операции!$AF:$AF,операции!$T:$T,"&lt;="&amp;I$9,операции!$X:$X,"&gt;"&amp;I$9,операции!$O:$O,$F1126))/I1182)</f>
        <v>42223.058342682009</v>
      </c>
      <c r="J1183" s="317"/>
      <c r="K1183" s="316">
        <f>IF(K1182=0,0,(SUMIFS(операции!$AF:$AF,операции!$T:$T,"&lt;="&amp;I$9,операции!$X:$X,"",операции!$L:$L,K$9,операции!$O:$O,$F1126)+SUMIFS(операции!$AF:$AF,операции!$T:$T,"&lt;="&amp;I$9,операции!$X:$X,"&gt;"&amp;I$9,операции!$L:$L,K$9,операции!$O:$O,$F1126))/K1182)</f>
        <v>42171.919742921054</v>
      </c>
      <c r="L1183" s="318">
        <f>IF(L1182=0,0,(SUMIFS(операции!$AF:$AF,операции!$T:$T,"&lt;="&amp;I$9,операции!$X:$X,"",операции!$L:$L,L$9,операции!$O:$O,$F1126)+SUMIFS(операции!$AF:$AF,операции!$T:$T,"&lt;="&amp;I$9,операции!$X:$X,"&gt;"&amp;I$9,операции!$L:$L,L$9,операции!$O:$O,$F1126))/L1182)</f>
        <v>42357</v>
      </c>
      <c r="M1183" s="274"/>
      <c r="N1183" s="193">
        <f>IF(N1182=0,0,(SUMIFS(операции!$AF:$AF,операции!$T:$T,"&lt;="&amp;N$9,операции!$X:$X,"",операции!$O:$O,$F1126)+SUMIFS(операции!$AF:$AF,операции!$T:$T,"&lt;="&amp;N$9,операции!$X:$X,"&gt;"&amp;N$9,операции!$O:$O,$F1126))/N1182)</f>
        <v>42144.485431576191</v>
      </c>
      <c r="O1183" s="196"/>
      <c r="P1183" s="193">
        <f>IF(P1182=0,0,(SUMIFS(операции!$AF:$AF,операции!$T:$T,"&lt;="&amp;N$9,операции!$X:$X,"",операции!$L:$L,P$9,операции!$O:$O,$F1126)+SUMIFS(операции!$AF:$AF,операции!$T:$T,"&lt;="&amp;N$9,операции!$X:$X,"&gt;"&amp;N$9,операции!$L:$L,P$9,операции!$O:$O,$F1126))/P1182)</f>
        <v>42143.478734598953</v>
      </c>
      <c r="Q1183" s="237">
        <f>IF(Q1182=0,0,(SUMIFS(операции!$AF:$AF,операции!$T:$T,"&lt;="&amp;N$9,операции!$X:$X,"",операции!$L:$L,Q$9,операции!$O:$O,$F1126)+SUMIFS(операции!$AF:$AF,операции!$T:$T,"&lt;="&amp;N$9,операции!$X:$X,"&gt;"&amp;N$9,операции!$L:$L,Q$9,операции!$O:$O,$F1126))/Q1182)</f>
        <v>42308</v>
      </c>
      <c r="R1183" s="238"/>
      <c r="S1183" s="193">
        <f>IF(S1182=0,0,(SUMIFS(операции!$AF:$AF,операции!$T:$T,"&lt;="&amp;S$9,операции!$X:$X,"",операции!$O:$O,$F1126)+SUMIFS(операции!$AF:$AF,операции!$T:$T,"&lt;="&amp;S$9,операции!$X:$X,"&gt;"&amp;S$9,операции!$O:$O,$F1126))/S1182)</f>
        <v>42232.175623281772</v>
      </c>
      <c r="T1183" s="196"/>
      <c r="U1183" s="193">
        <f>IF(U1182=0,0,(SUMIFS(операции!$AF:$AF,операции!$T:$T,"&lt;="&amp;S$9,операции!$X:$X,"",операции!$L:$L,U$9,операции!$O:$O,$F1126)+SUMIFS(операции!$AF:$AF,операции!$T:$T,"&lt;="&amp;S$9,операции!$X:$X,"&gt;"&amp;S$9,операции!$L:$L,U$9,операции!$O:$O,$F1126))/U1182)</f>
        <v>42177.1650634545</v>
      </c>
      <c r="V1183" s="237">
        <f>IF(V1182=0,0,(SUMIFS(операции!$AF:$AF,операции!$T:$T,"&lt;="&amp;S$9,операции!$X:$X,"",операции!$L:$L,V$9,операции!$O:$O,$F1126)+SUMIFS(операции!$AF:$AF,операции!$T:$T,"&lt;="&amp;S$9,операции!$X:$X,"&gt;"&amp;S$9,операции!$L:$L,V$9,операции!$O:$O,$F1126))/V1182)</f>
        <v>42328.637975769874</v>
      </c>
      <c r="W1183" s="238"/>
      <c r="X1183" s="193">
        <f>IF(X1182=0,0,(SUMIFS(операции!$AF:$AF,операции!$T:$T,"&lt;="&amp;X$9,операции!$X:$X,"",операции!$O:$O,$F1126)+SUMIFS(операции!$AF:$AF,операции!$T:$T,"&lt;="&amp;X$9,операции!$X:$X,"&gt;"&amp;X$9,операции!$O:$O,$F1126))/X1182)</f>
        <v>42223.058342682009</v>
      </c>
      <c r="Y1183" s="196"/>
      <c r="Z1183" s="193">
        <f>IF(Z1182=0,0,(SUMIFS(операции!$AF:$AF,операции!$T:$T,"&lt;="&amp;X$9,операции!$X:$X,"",операции!$L:$L,Z$9,операции!$O:$O,$F1126)+SUMIFS(операции!$AF:$AF,операции!$T:$T,"&lt;="&amp;X$9,операции!$X:$X,"&gt;"&amp;X$9,операции!$L:$L,Z$9,операции!$O:$O,$F1126))/Z1182)</f>
        <v>42171.919742921054</v>
      </c>
      <c r="AA1183" s="237">
        <f>IF(AA1182=0,0,(SUMIFS(операции!$AF:$AF,операции!$T:$T,"&lt;="&amp;X$9,операции!$X:$X,"",операции!$L:$L,AA$9,операции!$O:$O,$F1126)+SUMIFS(операции!$AF:$AF,операции!$T:$T,"&lt;="&amp;X$9,операции!$X:$X,"&gt;"&amp;X$9,операции!$L:$L,AA$9,операции!$O:$O,$F1126))/AA1182)</f>
        <v>42357</v>
      </c>
      <c r="AB1183" s="265"/>
      <c r="AC1183" s="37"/>
      <c r="AD1183" s="37"/>
      <c r="AE1183" s="37"/>
      <c r="AF1183" s="37"/>
      <c r="AG1183" s="37"/>
      <c r="AH1183" s="37"/>
      <c r="AI1183" s="37"/>
      <c r="AJ1183" s="37"/>
      <c r="AK1183" s="37"/>
      <c r="AL1183" s="37"/>
      <c r="AM1183" s="37"/>
      <c r="AN1183" s="37"/>
      <c r="AO1183" s="37"/>
      <c r="AP1183" s="37"/>
    </row>
    <row r="1184" spans="1:42" s="50" customFormat="1" ht="11.25">
      <c r="A1184" s="48"/>
      <c r="B1184" s="48"/>
      <c r="C1184" s="48"/>
      <c r="D1184" s="154" t="s">
        <v>239</v>
      </c>
      <c r="E1184" s="154"/>
      <c r="F1184" s="154" t="str">
        <f t="shared" si="1986"/>
        <v>КидсТрейд</v>
      </c>
      <c r="G1184" s="154" t="s">
        <v>219</v>
      </c>
      <c r="H1184" s="319"/>
      <c r="I1184" s="320">
        <f>IF(I1182=0,0,I$9-I1183)</f>
        <v>145.94165731799148</v>
      </c>
      <c r="J1184" s="321">
        <f>I1184-SUMIFS(ПОбТЗ!$I:$I,ПОбТЗ!$E:$E,$D1184,ПОбТЗ!$F:$F,$F1184)</f>
        <v>0</v>
      </c>
      <c r="K1184" s="320">
        <f>IF(K1182=0,0,I$9-K1183)</f>
        <v>197.08025707894558</v>
      </c>
      <c r="L1184" s="322">
        <f>IF(L1182=0,0,I$9-L1183)</f>
        <v>12</v>
      </c>
      <c r="M1184" s="275"/>
      <c r="N1184" s="155">
        <f>IF(N1182=0,0,N$9-N1183)</f>
        <v>163.51456842380867</v>
      </c>
      <c r="O1184" s="173">
        <f>N1184-SUMIFS(ПОбТЗ_3!$J:$J,ПОбТЗ_3!$D:$D,$D1184,ПОбТЗ_3!$E:$E,$F1184)</f>
        <v>0</v>
      </c>
      <c r="P1184" s="155">
        <f>IF(P1182=0,0,N$9-P1183)</f>
        <v>164.52126540104655</v>
      </c>
      <c r="Q1184" s="239">
        <f>IF(Q1182=0,0,N$9-Q1183)</f>
        <v>0</v>
      </c>
      <c r="R1184" s="240"/>
      <c r="S1184" s="155">
        <f>IF(S1182=0,0,S$9-S1183)</f>
        <v>105.82437671822845</v>
      </c>
      <c r="T1184" s="173">
        <f>S1184-SUMIFS(ПОбТЗ_3!$K:$K,ПОбТЗ_3!$D:$D,$D1184,ПОбТЗ_3!$E:$E,$F1184)</f>
        <v>0</v>
      </c>
      <c r="U1184" s="155">
        <f>IF(U1182=0,0,S$9-U1183)</f>
        <v>160.83493654549966</v>
      </c>
      <c r="V1184" s="239">
        <f>IF(V1182=0,0,S$9-V1183)</f>
        <v>9.3620242301258259</v>
      </c>
      <c r="W1184" s="240"/>
      <c r="X1184" s="155">
        <f>IF(X1182=0,0,X$9-X1183)</f>
        <v>145.94165731799148</v>
      </c>
      <c r="Y1184" s="173">
        <f>X1184-SUMIFS(ПОбТЗ_3!$L:$L,ПОбТЗ_3!$D:$D,$D1184,ПОбТЗ_3!$E:$E,$F1184)</f>
        <v>0</v>
      </c>
      <c r="Z1184" s="155">
        <f>IF(Z1182=0,0,X$9-Z1183)</f>
        <v>197.08025707894558</v>
      </c>
      <c r="AA1184" s="239">
        <f>IF(AA1182=0,0,X$9-AA1183)</f>
        <v>12</v>
      </c>
      <c r="AB1184" s="230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</row>
    <row r="1185" spans="1:42" s="93" customFormat="1" ht="15">
      <c r="A1185" s="92"/>
      <c r="B1185" s="92"/>
      <c r="C1185" s="92"/>
      <c r="D1185" s="198" t="s">
        <v>280</v>
      </c>
      <c r="E1185" s="198"/>
      <c r="F1185" s="198" t="str">
        <f t="shared" si="1986"/>
        <v>КидсТрейд</v>
      </c>
      <c r="G1185" s="198" t="s">
        <v>219</v>
      </c>
      <c r="H1185" s="323"/>
      <c r="I1185" s="324">
        <f>IF(I1182=0,0,(I1187*I1191+I1193*I1197)/I1182)</f>
        <v>17.030682424803938</v>
      </c>
      <c r="J1185" s="321"/>
      <c r="K1185" s="324">
        <f>IF(K1182=0,0,(K1187*K1191+K1193*K1197)/K1182)</f>
        <v>18.951384767882701</v>
      </c>
      <c r="L1185" s="325">
        <f>IF(L1182=0,0,(L1187*L1191+L1193*L1197)/L1182)</f>
        <v>12</v>
      </c>
      <c r="M1185" s="276"/>
      <c r="N1185" s="199">
        <f>IF(N1182=0,0,(N1187*N1191+N1193*N1197)/N1182)</f>
        <v>43.956584349354259</v>
      </c>
      <c r="O1185" s="173"/>
      <c r="P1185" s="199">
        <f>IF(P1182=0,0,(P1187*P1191+P1193*P1197)/P1182)</f>
        <v>44.227208312839004</v>
      </c>
      <c r="Q1185" s="241">
        <f>IF(Q1182=0,0,(Q1187*Q1191+Q1193*Q1197)/Q1182)</f>
        <v>0</v>
      </c>
      <c r="R1185" s="242"/>
      <c r="S1185" s="199">
        <f>IF(S1182=0,0,(S1187*S1191+S1193*S1197)/S1182)</f>
        <v>17.061712643956923</v>
      </c>
      <c r="T1185" s="173"/>
      <c r="U1185" s="199">
        <f>IF(U1182=0,0,(U1187*U1191+U1193*U1197)/U1182)</f>
        <v>21.452691706930636</v>
      </c>
      <c r="V1185" s="241">
        <f>IF(V1182=0,0,(V1187*V1191+V1193*V1197)/V1182)</f>
        <v>9.3620242301258259</v>
      </c>
      <c r="W1185" s="242"/>
      <c r="X1185" s="199">
        <f>IF(X1182=0,0,(X1187*X1191+X1193*X1197)/X1182)</f>
        <v>17.030682424803938</v>
      </c>
      <c r="Y1185" s="173"/>
      <c r="Z1185" s="199">
        <f>IF(Z1182=0,0,(Z1187*Z1191+Z1193*Z1197)/Z1182)</f>
        <v>18.951384767882701</v>
      </c>
      <c r="AA1185" s="241">
        <f>IF(AA1182=0,0,(AA1187*AA1191+AA1193*AA1197)/AA1182)</f>
        <v>12</v>
      </c>
      <c r="AB1185" s="264"/>
      <c r="AC1185" s="92"/>
      <c r="AD1185" s="92"/>
      <c r="AE1185" s="92"/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92"/>
    </row>
    <row r="1186" spans="1:42" s="50" customFormat="1" ht="11.25">
      <c r="A1186" s="48"/>
      <c r="B1186" s="48"/>
      <c r="C1186" s="48"/>
      <c r="D1186" s="154" t="s">
        <v>281</v>
      </c>
      <c r="E1186" s="154"/>
      <c r="F1186" s="154" t="str">
        <f t="shared" si="1986"/>
        <v>КидсТрейд</v>
      </c>
      <c r="G1186" s="154" t="s">
        <v>219</v>
      </c>
      <c r="H1186" s="319"/>
      <c r="I1186" s="320">
        <f>I1184-I1185</f>
        <v>128.91097489318756</v>
      </c>
      <c r="J1186" s="321"/>
      <c r="K1186" s="320">
        <f>K1184-K1185</f>
        <v>178.12887231106288</v>
      </c>
      <c r="L1186" s="322">
        <f>L1184-L1185</f>
        <v>0</v>
      </c>
      <c r="M1186" s="275"/>
      <c r="N1186" s="155">
        <f>N1184-N1185</f>
        <v>119.55798407445441</v>
      </c>
      <c r="O1186" s="173"/>
      <c r="P1186" s="155">
        <f>P1184-P1185</f>
        <v>120.29405708820755</v>
      </c>
      <c r="Q1186" s="239">
        <f>Q1184-Q1185</f>
        <v>0</v>
      </c>
      <c r="R1186" s="240"/>
      <c r="S1186" s="155">
        <f>S1184-S1185</f>
        <v>88.762664074271527</v>
      </c>
      <c r="T1186" s="173"/>
      <c r="U1186" s="155">
        <f>U1184-U1185</f>
        <v>139.38224483856902</v>
      </c>
      <c r="V1186" s="239">
        <f>V1184-V1185</f>
        <v>0</v>
      </c>
      <c r="W1186" s="240"/>
      <c r="X1186" s="155">
        <f>X1184-X1185</f>
        <v>128.91097489318756</v>
      </c>
      <c r="Y1186" s="173"/>
      <c r="Z1186" s="155">
        <f>Z1184-Z1185</f>
        <v>178.12887231106288</v>
      </c>
      <c r="AA1186" s="239">
        <f>AA1184-AA1185</f>
        <v>0</v>
      </c>
      <c r="AB1186" s="230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</row>
    <row r="1187" spans="1:42" s="5" customFormat="1">
      <c r="A1187" s="1"/>
      <c r="B1187" s="1"/>
      <c r="C1187" s="1"/>
      <c r="D1187" s="168"/>
      <c r="E1187" s="168" t="s">
        <v>282</v>
      </c>
      <c r="F1187" s="168" t="str">
        <f t="shared" si="1986"/>
        <v>КидсТрейд</v>
      </c>
      <c r="G1187" s="168" t="s">
        <v>261</v>
      </c>
      <c r="H1187" s="326"/>
      <c r="I1187" s="327">
        <f>SUMIFS(операции!$V:$V,операции!$T:$T,"&lt;="&amp;I$9,операции!$X:$X,"",операции!$AB:$AB,"&lt;&gt;"&amp;"",операции!$AB:$AB,"&lt;="&amp;I$9,операции!$O:$O,$F1126)+SUMIFS(операции!$V:$V,операции!$T:$T,"&lt;="&amp;I$9,операции!$X:$X,"&gt;"&amp;I$9,операции!$AB:$AB,"&lt;&gt;"&amp;"",операции!$AB:$AB,"&lt;="&amp;I$9,операции!$O:$O,$F1126)</f>
        <v>34461.01</v>
      </c>
      <c r="J1187" s="313">
        <f>I1187-K1187-L1187</f>
        <v>0</v>
      </c>
      <c r="K1187" s="327">
        <f>SUMIFS(операции!$V:$V,операции!$T:$T,"&lt;="&amp;I$9,операции!$X:$X,"",операции!$AB:$AB,"&lt;&gt;"&amp;"",операции!$AB:$AB,"&lt;="&amp;I$9,операции!$L:$L,K$9,операции!$O:$O,$F1126)+SUMIFS(операции!$V:$V,операции!$T:$T,"&lt;="&amp;I$9,операции!$X:$X,"&gt;"&amp;I$9,операции!$AB:$AB,"&lt;&gt;"&amp;"",операции!$AB:$AB,"&lt;="&amp;I$9,операции!$L:$L,K$9,операции!$O:$O,$F1126)</f>
        <v>34461.01</v>
      </c>
      <c r="L1187" s="328">
        <f>SUMIFS(операции!$V:$V,операции!$T:$T,"&lt;="&amp;I$9,операции!$X:$X,"",операции!$AB:$AB,"&lt;&gt;"&amp;"",операции!$AB:$AB,"&lt;="&amp;I$9,операции!$L:$L,L$9,операции!$O:$O,$F1126)+SUMIFS(операции!$V:$V,операции!$T:$T,"&lt;="&amp;I$9,операции!$X:$X,"&gt;"&amp;I$9,операции!$AB:$AB,"&lt;&gt;"&amp;"",операции!$AB:$AB,"&lt;="&amp;I$9,операции!$L:$L,L$9,операции!$O:$O,$F1126)</f>
        <v>0</v>
      </c>
      <c r="M1187" s="277"/>
      <c r="N1187" s="169">
        <f>SUMIFS(операции!$V:$V,операции!$T:$T,"&lt;="&amp;N$9,операции!$X:$X,"",операции!$AB:$AB,"&lt;&gt;"&amp;"",операции!$AB:$AB,"&lt;="&amp;N$9,операции!$O:$O,$F1126)+SUMIFS(операции!$V:$V,операции!$T:$T,"&lt;="&amp;N$9,операции!$X:$X,"&gt;"&amp;N$9,операции!$AB:$AB,"&lt;&gt;"&amp;"",операции!$AB:$AB,"&lt;="&amp;N$9,операции!$O:$O,$F1126)</f>
        <v>48895.299999999996</v>
      </c>
      <c r="O1187" s="170">
        <f>N1187-P1187-Q1187</f>
        <v>0</v>
      </c>
      <c r="P1187" s="169">
        <f>SUMIFS(операции!$V:$V,операции!$T:$T,"&lt;="&amp;N$9,операции!$X:$X,"",операции!$AB:$AB,"&lt;&gt;"&amp;"",операции!$AB:$AB,"&lt;="&amp;N$9,операции!$L:$L,P$9,операции!$O:$O,$F1126)+SUMIFS(операции!$V:$V,операции!$T:$T,"&lt;="&amp;N$9,операции!$X:$X,"&gt;"&amp;N$9,операции!$AB:$AB,"&lt;&gt;"&amp;"",операции!$AB:$AB,"&lt;="&amp;N$9,операции!$L:$L,P$9,операции!$O:$O,$F1126)</f>
        <v>48895.299999999996</v>
      </c>
      <c r="Q1187" s="243">
        <f>SUMIFS(операции!$V:$V,операции!$T:$T,"&lt;="&amp;N$9,операции!$X:$X,"",операции!$AB:$AB,"&lt;&gt;"&amp;"",операции!$AB:$AB,"&lt;="&amp;N$9,операции!$L:$L,Q$9,операции!$O:$O,$F1126)+SUMIFS(операции!$V:$V,операции!$T:$T,"&lt;="&amp;N$9,операции!$X:$X,"&gt;"&amp;N$9,операции!$AB:$AB,"&lt;&gt;"&amp;"",операции!$AB:$AB,"&lt;="&amp;N$9,операции!$L:$L,Q$9,операции!$O:$O,$F1126)</f>
        <v>0</v>
      </c>
      <c r="R1187" s="244"/>
      <c r="S1187" s="169">
        <f>SUMIFS(операции!$V:$V,операции!$T:$T,"&lt;="&amp;S$9,операции!$X:$X,"",операции!$AB:$AB,"&lt;&gt;"&amp;"",операции!$AB:$AB,"&lt;="&amp;S$9,операции!$O:$O,$F1126)+SUMIFS(операции!$V:$V,операции!$T:$T,"&lt;="&amp;S$9,операции!$X:$X,"&gt;"&amp;S$9,операции!$AB:$AB,"&lt;&gt;"&amp;"",операции!$AB:$AB,"&lt;="&amp;S$9,операции!$O:$O,$F1126)</f>
        <v>36697.160000000003</v>
      </c>
      <c r="T1187" s="170">
        <f>S1187-U1187-V1187</f>
        <v>0</v>
      </c>
      <c r="U1187" s="169">
        <f>SUMIFS(операции!$V:$V,операции!$T:$T,"&lt;="&amp;S$9,операции!$X:$X,"",операции!$AB:$AB,"&lt;&gt;"&amp;"",операции!$AB:$AB,"&lt;="&amp;S$9,операции!$L:$L,U$9,операции!$O:$O,$F1126)+SUMIFS(операции!$V:$V,операции!$T:$T,"&lt;="&amp;S$9,операции!$X:$X,"&gt;"&amp;S$9,операции!$AB:$AB,"&lt;&gt;"&amp;"",операции!$AB:$AB,"&lt;="&amp;S$9,операции!$L:$L,U$9,операции!$O:$O,$F1126)</f>
        <v>36697.160000000003</v>
      </c>
      <c r="V1187" s="243">
        <f>SUMIFS(операции!$V:$V,операции!$T:$T,"&lt;="&amp;S$9,операции!$X:$X,"",операции!$AB:$AB,"&lt;&gt;"&amp;"",операции!$AB:$AB,"&lt;="&amp;S$9,операции!$L:$L,V$9,операции!$O:$O,$F1126)+SUMIFS(операции!$V:$V,операции!$T:$T,"&lt;="&amp;S$9,операции!$X:$X,"&gt;"&amp;S$9,операции!$AB:$AB,"&lt;&gt;"&amp;"",операции!$AB:$AB,"&lt;="&amp;S$9,операции!$L:$L,V$9,операции!$O:$O,$F1126)</f>
        <v>0</v>
      </c>
      <c r="W1187" s="244"/>
      <c r="X1187" s="169">
        <f>SUMIFS(операции!$V:$V,операции!$T:$T,"&lt;="&amp;X$9,операции!$X:$X,"",операции!$AB:$AB,"&lt;&gt;"&amp;"",операции!$AB:$AB,"&lt;="&amp;X$9,операции!$O:$O,$F1126)+SUMIFS(операции!$V:$V,операции!$T:$T,"&lt;="&amp;X$9,операции!$X:$X,"&gt;"&amp;X$9,операции!$AB:$AB,"&lt;&gt;"&amp;"",операции!$AB:$AB,"&lt;="&amp;X$9,операции!$O:$O,$F1126)</f>
        <v>34461.01</v>
      </c>
      <c r="Y1187" s="170">
        <f>X1187-Z1187-AA1187</f>
        <v>0</v>
      </c>
      <c r="Z1187" s="169">
        <f>SUMIFS(операции!$V:$V,операции!$T:$T,"&lt;="&amp;X$9,операции!$X:$X,"",операции!$AB:$AB,"&lt;&gt;"&amp;"",операции!$AB:$AB,"&lt;="&amp;X$9,операции!$L:$L,Z$9,операции!$O:$O,$F1126)+SUMIFS(операции!$V:$V,операции!$T:$T,"&lt;="&amp;X$9,операции!$X:$X,"&gt;"&amp;X$9,операции!$AB:$AB,"&lt;&gt;"&amp;"",операции!$AB:$AB,"&lt;="&amp;X$9,операции!$L:$L,Z$9,операции!$O:$O,$F1126)</f>
        <v>34461.01</v>
      </c>
      <c r="AA1187" s="243">
        <f>SUMIFS(операции!$V:$V,операции!$T:$T,"&lt;="&amp;X$9,операции!$X:$X,"",операции!$AB:$AB,"&lt;&gt;"&amp;"",операции!$AB:$AB,"&lt;="&amp;X$9,операции!$L:$L,AA$9,операции!$O:$O,$F1126)+SUMIFS(операции!$V:$V,операции!$T:$T,"&lt;="&amp;X$9,операции!$X:$X,"&gt;"&amp;X$9,операции!$AB:$AB,"&lt;&gt;"&amp;"",операции!$AB:$AB,"&lt;="&amp;X$9,операции!$L:$L,AA$9,операции!$O:$O,$F1126)</f>
        <v>0</v>
      </c>
      <c r="AB1187" s="266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</row>
    <row r="1188" spans="1:42" s="192" customFormat="1" ht="11.25">
      <c r="A1188" s="37"/>
      <c r="B1188" s="37"/>
      <c r="C1188" s="37"/>
      <c r="D1188" s="191"/>
      <c r="E1188" s="191" t="s">
        <v>255</v>
      </c>
      <c r="F1188" s="191" t="str">
        <f t="shared" si="1986"/>
        <v>КидсТрейд</v>
      </c>
      <c r="G1188" s="191" t="s">
        <v>262</v>
      </c>
      <c r="H1188" s="315"/>
      <c r="I1188" s="316">
        <f>IF(I1187=0,0,(SUMIFS(операции!$AF:$AF,операции!$T:$T,"&lt;="&amp;I$9,операции!$X:$X,"",операции!$AB:$AB,"&lt;&gt;"&amp;"",операции!$AB:$AB,"&lt;="&amp;I$9,операции!$O:$O,$F1126)+SUMIFS(операции!$AF:$AF,операции!$T:$T,"&lt;="&amp;I$9,операции!$X:$X,"&gt;"&amp;I$9,операции!$AB:$AB,"&lt;&gt;"&amp;"",операции!$AB:$AB,"&lt;="&amp;I$9,операции!$O:$O,$F1126))/I1187)</f>
        <v>42171.919742921054</v>
      </c>
      <c r="J1188" s="317"/>
      <c r="K1188" s="316">
        <f>IF(K1187=0,0,(SUMIFS(операции!$AF:$AF,операции!$T:$T,"&lt;="&amp;I$9,операции!$X:$X,"",операции!$AB:$AB,"&lt;&gt;"&amp;"",операции!$AB:$AB,"&lt;="&amp;I$9,операции!$L:$L,K$9,операции!$O:$O,$F1126)+SUMIFS(операции!$AF:$AF,операции!$T:$T,"&lt;="&amp;I$9,операции!$X:$X,"&gt;"&amp;I$9,операции!$AB:$AB,"&lt;&gt;"&amp;"",операции!$AB:$AB,"&lt;="&amp;I$9,операции!$L:$L,K$9,операции!$O:$O,$F1126))/K1187)</f>
        <v>42171.919742921054</v>
      </c>
      <c r="L1188" s="318">
        <f>IF(L1187=0,0,(SUMIFS(операции!$AF:$AF,операции!$T:$T,"&lt;="&amp;I$9,операции!$X:$X,"",операции!$AB:$AB,"&lt;&gt;"&amp;"",операции!$AB:$AB,"&lt;="&amp;I$9,операции!$L:$L,L$9,операции!$O:$O,$F1126)+SUMIFS(операции!$AF:$AF,операции!$T:$T,"&lt;="&amp;I$9,операции!$X:$X,"&gt;"&amp;I$9,операции!$AB:$AB,"&lt;&gt;"&amp;"",операции!$AB:$AB,"&lt;="&amp;I$9,операции!$L:$L,L$9,операции!$O:$O,$F1126))/L1187)</f>
        <v>0</v>
      </c>
      <c r="M1188" s="274"/>
      <c r="N1188" s="193">
        <f>IF(N1187=0,0,(SUMIFS(операции!$AF:$AF,операции!$T:$T,"&lt;="&amp;N$9,операции!$X:$X,"",операции!$AB:$AB,"&lt;&gt;"&amp;"",операции!$AB:$AB,"&lt;="&amp;N$9,операции!$O:$O,$F1126)+SUMIFS(операции!$AF:$AF,операции!$T:$T,"&lt;="&amp;N$9,операции!$X:$X,"&gt;"&amp;N$9,операции!$AB:$AB,"&lt;&gt;"&amp;"",операции!$AB:$AB,"&lt;="&amp;N$9,операции!$O:$O,$F1126))/N1187)</f>
        <v>42137.869531427357</v>
      </c>
      <c r="O1188" s="196"/>
      <c r="P1188" s="193">
        <f>IF(P1187=0,0,(SUMIFS(операции!$AF:$AF,операции!$T:$T,"&lt;="&amp;N$9,операции!$X:$X,"",операции!$AB:$AB,"&lt;&gt;"&amp;"",операции!$AB:$AB,"&lt;="&amp;N$9,операции!$L:$L,P$9,операции!$O:$O,$F1126)+SUMIFS(операции!$AF:$AF,операции!$T:$T,"&lt;="&amp;N$9,операции!$X:$X,"&gt;"&amp;N$9,операции!$AB:$AB,"&lt;&gt;"&amp;"",операции!$AB:$AB,"&lt;="&amp;N$9,операции!$L:$L,P$9,операции!$O:$O,$F1126))/P1187)</f>
        <v>42137.869531427357</v>
      </c>
      <c r="Q1188" s="237">
        <f>IF(Q1187=0,0,(SUMIFS(операции!$AF:$AF,операции!$T:$T,"&lt;="&amp;N$9,операции!$X:$X,"",операции!$AB:$AB,"&lt;&gt;"&amp;"",операции!$AB:$AB,"&lt;="&amp;N$9,операции!$L:$L,Q$9,операции!$O:$O,$F1126)+SUMIFS(операции!$AF:$AF,операции!$T:$T,"&lt;="&amp;N$9,операции!$X:$X,"&gt;"&amp;N$9,операции!$AB:$AB,"&lt;&gt;"&amp;"",операции!$AB:$AB,"&lt;="&amp;N$9,операции!$L:$L,Q$9,операции!$O:$O,$F1126))/Q1187)</f>
        <v>0</v>
      </c>
      <c r="R1188" s="238"/>
      <c r="S1188" s="193">
        <f>IF(S1187=0,0,(SUMIFS(операции!$AF:$AF,операции!$T:$T,"&lt;="&amp;S$9,операции!$X:$X,"",операции!$AB:$AB,"&lt;&gt;"&amp;"",операции!$AB:$AB,"&lt;="&amp;S$9,операции!$O:$O,$F1126)+SUMIFS(операции!$AF:$AF,операции!$T:$T,"&lt;="&amp;S$9,операции!$X:$X,"&gt;"&amp;S$9,операции!$AB:$AB,"&lt;&gt;"&amp;"",операции!$AB:$AB,"&lt;="&amp;S$9,операции!$O:$O,$F1126))/S1187)</f>
        <v>42177.1650634545</v>
      </c>
      <c r="T1188" s="196"/>
      <c r="U1188" s="193">
        <f>IF(U1187=0,0,(SUMIFS(операции!$AF:$AF,операции!$T:$T,"&lt;="&amp;S$9,операции!$X:$X,"",операции!$AB:$AB,"&lt;&gt;"&amp;"",операции!$AB:$AB,"&lt;="&amp;S$9,операции!$L:$L,U$9,операции!$O:$O,$F1126)+SUMIFS(операции!$AF:$AF,операции!$T:$T,"&lt;="&amp;S$9,операции!$X:$X,"&gt;"&amp;S$9,операции!$AB:$AB,"&lt;&gt;"&amp;"",операции!$AB:$AB,"&lt;="&amp;S$9,операции!$L:$L,U$9,операции!$O:$O,$F1126))/U1187)</f>
        <v>42177.1650634545</v>
      </c>
      <c r="V1188" s="237">
        <f>IF(V1187=0,0,(SUMIFS(операции!$AF:$AF,операции!$T:$T,"&lt;="&amp;S$9,операции!$X:$X,"",операции!$AB:$AB,"&lt;&gt;"&amp;"",операции!$AB:$AB,"&lt;="&amp;S$9,операции!$L:$L,V$9,операции!$O:$O,$F1126)+SUMIFS(операции!$AF:$AF,операции!$T:$T,"&lt;="&amp;S$9,операции!$X:$X,"&gt;"&amp;S$9,операции!$AB:$AB,"&lt;&gt;"&amp;"",операции!$AB:$AB,"&lt;="&amp;S$9,операции!$L:$L,V$9,операции!$O:$O,$F1126))/V1187)</f>
        <v>0</v>
      </c>
      <c r="W1188" s="238"/>
      <c r="X1188" s="193">
        <f>IF(X1187=0,0,(SUMIFS(операции!$AF:$AF,операции!$T:$T,"&lt;="&amp;X$9,операции!$X:$X,"",операции!$AB:$AB,"&lt;&gt;"&amp;"",операции!$AB:$AB,"&lt;="&amp;X$9,операции!$O:$O,$F1126)+SUMIFS(операции!$AF:$AF,операции!$T:$T,"&lt;="&amp;X$9,операции!$X:$X,"&gt;"&amp;X$9,операции!$AB:$AB,"&lt;&gt;"&amp;"",операции!$AB:$AB,"&lt;="&amp;X$9,операции!$O:$O,$F1126))/X1187)</f>
        <v>42171.919742921054</v>
      </c>
      <c r="Y1188" s="196"/>
      <c r="Z1188" s="193">
        <f>IF(Z1187=0,0,(SUMIFS(операции!$AF:$AF,операции!$T:$T,"&lt;="&amp;X$9,операции!$X:$X,"",операции!$AB:$AB,"&lt;&gt;"&amp;"",операции!$AB:$AB,"&lt;="&amp;X$9,операции!$L:$L,Z$9,операции!$O:$O,$F1126)+SUMIFS(операции!$AF:$AF,операции!$T:$T,"&lt;="&amp;X$9,операции!$X:$X,"&gt;"&amp;X$9,операции!$AB:$AB,"&lt;&gt;"&amp;"",операции!$AB:$AB,"&lt;="&amp;X$9,операции!$L:$L,Z$9,операции!$O:$O,$F1126))/Z1187)</f>
        <v>42171.919742921054</v>
      </c>
      <c r="AA1188" s="237">
        <f>IF(AA1187=0,0,(SUMIFS(операции!$AF:$AF,операции!$T:$T,"&lt;="&amp;X$9,операции!$X:$X,"",операции!$AB:$AB,"&lt;&gt;"&amp;"",операции!$AB:$AB,"&lt;="&amp;X$9,операции!$L:$L,AA$9,операции!$O:$O,$F1126)+SUMIFS(операции!$AF:$AF,операции!$T:$T,"&lt;="&amp;X$9,операции!$X:$X,"&gt;"&amp;X$9,операции!$AB:$AB,"&lt;&gt;"&amp;"",операции!$AB:$AB,"&lt;="&amp;X$9,операции!$L:$L,AA$9,операции!$O:$O,$F1126))/AA1187)</f>
        <v>0</v>
      </c>
      <c r="AB1188" s="265"/>
      <c r="AC1188" s="37"/>
      <c r="AD1188" s="37"/>
      <c r="AE1188" s="37"/>
      <c r="AF1188" s="37"/>
      <c r="AG1188" s="37"/>
      <c r="AH1188" s="37"/>
      <c r="AI1188" s="37"/>
      <c r="AJ1188" s="37"/>
      <c r="AK1188" s="37"/>
      <c r="AL1188" s="37"/>
      <c r="AM1188" s="37"/>
      <c r="AN1188" s="37"/>
      <c r="AO1188" s="37"/>
      <c r="AP1188" s="37"/>
    </row>
    <row r="1189" spans="1:42" s="192" customFormat="1" ht="11.25">
      <c r="A1189" s="37"/>
      <c r="B1189" s="37"/>
      <c r="C1189" s="37"/>
      <c r="D1189" s="191"/>
      <c r="E1189" s="191" t="s">
        <v>283</v>
      </c>
      <c r="F1189" s="191" t="str">
        <f t="shared" si="1986"/>
        <v>КидсТрейд</v>
      </c>
      <c r="G1189" s="191" t="s">
        <v>219</v>
      </c>
      <c r="H1189" s="315"/>
      <c r="I1189" s="329">
        <f>IF(I1187=0,0,I$9-I1188)</f>
        <v>197.08025707894558</v>
      </c>
      <c r="J1189" s="317"/>
      <c r="K1189" s="329">
        <f>IF(K1187=0,0,I$9-K1188)</f>
        <v>197.08025707894558</v>
      </c>
      <c r="L1189" s="330">
        <f>IF(L1187=0,0,I$9-L1188)</f>
        <v>0</v>
      </c>
      <c r="M1189" s="274"/>
      <c r="N1189" s="156">
        <f>IF(N1187=0,0,N$9-N1188)</f>
        <v>170.13046857264271</v>
      </c>
      <c r="O1189" s="196"/>
      <c r="P1189" s="156">
        <f>IF(P1187=0,0,N$9-P1188)</f>
        <v>170.13046857264271</v>
      </c>
      <c r="Q1189" s="245">
        <f>IF(Q1187=0,0,N$9-Q1188)</f>
        <v>0</v>
      </c>
      <c r="R1189" s="238"/>
      <c r="S1189" s="156">
        <f>IF(S1187=0,0,S$9-S1188)</f>
        <v>160.83493654549966</v>
      </c>
      <c r="T1189" s="196"/>
      <c r="U1189" s="156">
        <f>IF(U1187=0,0,S$9-U1188)</f>
        <v>160.83493654549966</v>
      </c>
      <c r="V1189" s="245">
        <f>IF(V1187=0,0,S$9-V1188)</f>
        <v>0</v>
      </c>
      <c r="W1189" s="238"/>
      <c r="X1189" s="156">
        <f>IF(X1187=0,0,X$9-X1188)</f>
        <v>197.08025707894558</v>
      </c>
      <c r="Y1189" s="196"/>
      <c r="Z1189" s="156">
        <f>IF(Z1187=0,0,X$9-Z1188)</f>
        <v>197.08025707894558</v>
      </c>
      <c r="AA1189" s="245">
        <f>IF(AA1187=0,0,X$9-AA1188)</f>
        <v>0</v>
      </c>
      <c r="AB1189" s="265"/>
      <c r="AC1189" s="37"/>
      <c r="AD1189" s="37"/>
      <c r="AE1189" s="37"/>
      <c r="AF1189" s="37"/>
      <c r="AG1189" s="37"/>
      <c r="AH1189" s="37"/>
      <c r="AI1189" s="37"/>
      <c r="AJ1189" s="37"/>
      <c r="AK1189" s="37"/>
      <c r="AL1189" s="37"/>
      <c r="AM1189" s="37"/>
      <c r="AN1189" s="37"/>
      <c r="AO1189" s="37"/>
      <c r="AP1189" s="37"/>
    </row>
    <row r="1190" spans="1:42" s="192" customFormat="1" ht="11.25">
      <c r="A1190" s="37"/>
      <c r="B1190" s="37"/>
      <c r="C1190" s="37"/>
      <c r="D1190" s="191"/>
      <c r="E1190" s="191" t="s">
        <v>259</v>
      </c>
      <c r="F1190" s="191" t="str">
        <f t="shared" si="1986"/>
        <v>КидсТрейд</v>
      </c>
      <c r="G1190" s="191" t="s">
        <v>262</v>
      </c>
      <c r="H1190" s="315"/>
      <c r="I1190" s="316">
        <f>IF(I1187=0,0,(SUMIFS(операции!$AH:$AH,операции!$T:$T,"&lt;="&amp;I$9,операции!$X:$X,"",операции!$AB:$AB,"&lt;&gt;"&amp;"",операции!$AB:$AB,"&lt;="&amp;I$9,операции!$O:$O,$F1126)+SUMIFS(операции!$AH:$AH,операции!$T:$T,"&lt;="&amp;I$9,операции!$X:$X,"&gt;"&amp;I$9,операции!$AB:$AB,"&lt;&gt;"&amp;"",операции!$AB:$AB,"&lt;="&amp;I$9,операции!$O:$O,$F1126))/I1187)</f>
        <v>42190.871127688937</v>
      </c>
      <c r="J1190" s="317"/>
      <c r="K1190" s="316">
        <f>IF(K1187=0,0,(SUMIFS(операции!$AH:$AH,операции!$T:$T,"&lt;="&amp;I$9,операции!$X:$X,"",операции!$AB:$AB,"&lt;&gt;"&amp;"",операции!$AB:$AB,"&lt;="&amp;I$9,операции!$L:$L,K$9,операции!$O:$O,$F1126)+SUMIFS(операции!$AH:$AH,операции!$T:$T,"&lt;="&amp;I$9,операции!$X:$X,"&gt;"&amp;I$9,операции!$AB:$AB,"&lt;&gt;"&amp;"",операции!$AB:$AB,"&lt;="&amp;I$9,операции!$L:$L,K$9,операции!$O:$O,$F1126))/K1187)</f>
        <v>42190.871127688937</v>
      </c>
      <c r="L1190" s="318">
        <f>IF(L1187=0,0,(SUMIFS(операции!$AH:$AH,операции!$T:$T,"&lt;="&amp;I$9,операции!$X:$X,"",операции!$AB:$AB,"&lt;&gt;"&amp;"",операции!$AB:$AB,"&lt;="&amp;I$9,операции!$L:$L,L$9,операции!$O:$O,$F1126)+SUMIFS(операции!$AH:$AH,операции!$T:$T,"&lt;="&amp;I$9,операции!$X:$X,"&gt;"&amp;I$9,операции!$AB:$AB,"&lt;&gt;"&amp;"",операции!$AB:$AB,"&lt;="&amp;I$9,операции!$L:$L,L$9,операции!$O:$O,$F1126))/L1187)</f>
        <v>0</v>
      </c>
      <c r="M1190" s="274"/>
      <c r="N1190" s="193">
        <f>IF(N1187=0,0,(SUMIFS(операции!$AH:$AH,операции!$T:$T,"&lt;="&amp;N$9,операции!$X:$X,"",операции!$AB:$AB,"&lt;&gt;"&amp;"",операции!$AB:$AB,"&lt;="&amp;N$9,операции!$O:$O,$F1126)+SUMIFS(операции!$AH:$AH,операции!$T:$T,"&lt;="&amp;N$9,операции!$X:$X,"&gt;"&amp;N$9,операции!$AB:$AB,"&lt;&gt;"&amp;"",операции!$AB:$AB,"&lt;="&amp;N$9,операции!$O:$O,$F1126))/N1187)</f>
        <v>42165.571529369903</v>
      </c>
      <c r="O1190" s="196"/>
      <c r="P1190" s="193">
        <f>IF(P1187=0,0,(SUMIFS(операции!$AH:$AH,операции!$T:$T,"&lt;="&amp;N$9,операции!$X:$X,"",операции!$AB:$AB,"&lt;&gt;"&amp;"",операции!$AB:$AB,"&lt;="&amp;N$9,операции!$L:$L,P$9,операции!$O:$O,$F1126)+SUMIFS(операции!$AH:$AH,операции!$T:$T,"&lt;="&amp;N$9,операции!$X:$X,"&gt;"&amp;N$9,операции!$AB:$AB,"&lt;&gt;"&amp;"",операции!$AB:$AB,"&lt;="&amp;N$9,операции!$L:$L,P$9,операции!$O:$O,$F1126))/P1187)</f>
        <v>42165.571529369903</v>
      </c>
      <c r="Q1190" s="237">
        <f>IF(Q1187=0,0,(SUMIFS(операции!$AH:$AH,операции!$T:$T,"&lt;="&amp;N$9,операции!$X:$X,"",операции!$AB:$AB,"&lt;&gt;"&amp;"",операции!$AB:$AB,"&lt;="&amp;N$9,операции!$L:$L,Q$9,операции!$O:$O,$F1126)+SUMIFS(операции!$AH:$AH,операции!$T:$T,"&lt;="&amp;N$9,операции!$X:$X,"&gt;"&amp;N$9,операции!$AB:$AB,"&lt;&gt;"&amp;"",операции!$AB:$AB,"&lt;="&amp;N$9,операции!$L:$L,Q$9,операции!$O:$O,$F1126))/Q1187)</f>
        <v>0</v>
      </c>
      <c r="R1190" s="238"/>
      <c r="S1190" s="193">
        <f>IF(S1187=0,0,(SUMIFS(операции!$AH:$AH,операции!$T:$T,"&lt;="&amp;S$9,операции!$X:$X,"",операции!$AB:$AB,"&lt;&gt;"&amp;"",операции!$AB:$AB,"&lt;="&amp;S$9,операции!$O:$O,$F1126)+SUMIFS(операции!$AH:$AH,операции!$T:$T,"&lt;="&amp;S$9,операции!$X:$X,"&gt;"&amp;S$9,операции!$AB:$AB,"&lt;&gt;"&amp;"",операции!$AB:$AB,"&lt;="&amp;S$9,операции!$O:$O,$F1126))/S1187)</f>
        <v>42198.617755161431</v>
      </c>
      <c r="T1190" s="196"/>
      <c r="U1190" s="193">
        <f>IF(U1187=0,0,(SUMIFS(операции!$AH:$AH,операции!$T:$T,"&lt;="&amp;S$9,операции!$X:$X,"",операции!$AB:$AB,"&lt;&gt;"&amp;"",операции!$AB:$AB,"&lt;="&amp;S$9,операции!$L:$L,U$9,операции!$O:$O,$F1126)+SUMIFS(операции!$AH:$AH,операции!$T:$T,"&lt;="&amp;S$9,операции!$X:$X,"&gt;"&amp;S$9,операции!$AB:$AB,"&lt;&gt;"&amp;"",операции!$AB:$AB,"&lt;="&amp;S$9,операции!$L:$L,U$9,операции!$O:$O,$F1126))/U1187)</f>
        <v>42198.617755161431</v>
      </c>
      <c r="V1190" s="237">
        <f>IF(V1187=0,0,(SUMIFS(операции!$AH:$AH,операции!$T:$T,"&lt;="&amp;S$9,операции!$X:$X,"",операции!$AB:$AB,"&lt;&gt;"&amp;"",операции!$AB:$AB,"&lt;="&amp;S$9,операции!$L:$L,V$9,операции!$O:$O,$F1126)+SUMIFS(операции!$AH:$AH,операции!$T:$T,"&lt;="&amp;S$9,операции!$X:$X,"&gt;"&amp;S$9,операции!$AB:$AB,"&lt;&gt;"&amp;"",операции!$AB:$AB,"&lt;="&amp;S$9,операции!$L:$L,V$9,операции!$O:$O,$F1126))/V1187)</f>
        <v>0</v>
      </c>
      <c r="W1190" s="238"/>
      <c r="X1190" s="193">
        <f>IF(X1187=0,0,(SUMIFS(операции!$AH:$AH,операции!$T:$T,"&lt;="&amp;X$9,операции!$X:$X,"",операции!$AB:$AB,"&lt;&gt;"&amp;"",операции!$AB:$AB,"&lt;="&amp;X$9,операции!$O:$O,$F1126)+SUMIFS(операции!$AH:$AH,операции!$T:$T,"&lt;="&amp;X$9,операции!$X:$X,"&gt;"&amp;X$9,операции!$AB:$AB,"&lt;&gt;"&amp;"",операции!$AB:$AB,"&lt;="&amp;X$9,операции!$O:$O,$F1126))/X1187)</f>
        <v>42190.871127688937</v>
      </c>
      <c r="Y1190" s="196"/>
      <c r="Z1190" s="193">
        <f>IF(Z1187=0,0,(SUMIFS(операции!$AH:$AH,операции!$T:$T,"&lt;="&amp;X$9,операции!$X:$X,"",операции!$AB:$AB,"&lt;&gt;"&amp;"",операции!$AB:$AB,"&lt;="&amp;X$9,операции!$L:$L,Z$9,операции!$O:$O,$F1126)+SUMIFS(операции!$AH:$AH,операции!$T:$T,"&lt;="&amp;X$9,операции!$X:$X,"&gt;"&amp;X$9,операции!$AB:$AB,"&lt;&gt;"&amp;"",операции!$AB:$AB,"&lt;="&amp;X$9,операции!$L:$L,Z$9,операции!$O:$O,$F1126))/Z1187)</f>
        <v>42190.871127688937</v>
      </c>
      <c r="AA1190" s="237">
        <f>IF(AA1187=0,0,(SUMIFS(операции!$AH:$AH,операции!$T:$T,"&lt;="&amp;X$9,операции!$X:$X,"",операции!$AB:$AB,"&lt;&gt;"&amp;"",операции!$AB:$AB,"&lt;="&amp;X$9,операции!$L:$L,AA$9,операции!$O:$O,$F1126)+SUMIFS(операции!$AH:$AH,операции!$T:$T,"&lt;="&amp;X$9,операции!$X:$X,"&gt;"&amp;X$9,операции!$AB:$AB,"&lt;&gt;"&amp;"",операции!$AB:$AB,"&lt;="&amp;X$9,операции!$L:$L,AA$9,операции!$O:$O,$F1126))/AA1187)</f>
        <v>0</v>
      </c>
      <c r="AB1190" s="265"/>
      <c r="AC1190" s="37"/>
      <c r="AD1190" s="37"/>
      <c r="AE1190" s="37"/>
      <c r="AF1190" s="37"/>
      <c r="AG1190" s="37"/>
      <c r="AH1190" s="37"/>
      <c r="AI1190" s="37"/>
      <c r="AJ1190" s="37"/>
      <c r="AK1190" s="37"/>
      <c r="AL1190" s="37"/>
      <c r="AM1190" s="37"/>
      <c r="AN1190" s="37"/>
      <c r="AO1190" s="37"/>
      <c r="AP1190" s="37"/>
    </row>
    <row r="1191" spans="1:42" s="192" customFormat="1" ht="11.25">
      <c r="A1191" s="37"/>
      <c r="B1191" s="37"/>
      <c r="C1191" s="37"/>
      <c r="D1191" s="191"/>
      <c r="E1191" s="191" t="s">
        <v>284</v>
      </c>
      <c r="F1191" s="191" t="str">
        <f t="shared" si="1986"/>
        <v>КидсТрейд</v>
      </c>
      <c r="G1191" s="191" t="s">
        <v>219</v>
      </c>
      <c r="H1191" s="315"/>
      <c r="I1191" s="329">
        <f>I1190-I1188</f>
        <v>18.951384767882701</v>
      </c>
      <c r="J1191" s="317"/>
      <c r="K1191" s="329">
        <f>K1190-K1188</f>
        <v>18.951384767882701</v>
      </c>
      <c r="L1191" s="330">
        <f>L1190-L1188</f>
        <v>0</v>
      </c>
      <c r="M1191" s="274"/>
      <c r="N1191" s="156">
        <f>N1190-N1188</f>
        <v>27.701997942545859</v>
      </c>
      <c r="O1191" s="196"/>
      <c r="P1191" s="156">
        <f>P1190-P1188</f>
        <v>27.701997942545859</v>
      </c>
      <c r="Q1191" s="245">
        <f>Q1190-Q1188</f>
        <v>0</v>
      </c>
      <c r="R1191" s="238"/>
      <c r="S1191" s="156">
        <f>S1190-S1188</f>
        <v>21.452691706930636</v>
      </c>
      <c r="T1191" s="196"/>
      <c r="U1191" s="156">
        <f>U1190-U1188</f>
        <v>21.452691706930636</v>
      </c>
      <c r="V1191" s="245">
        <f>V1190-V1188</f>
        <v>0</v>
      </c>
      <c r="W1191" s="238"/>
      <c r="X1191" s="156">
        <f>X1190-X1188</f>
        <v>18.951384767882701</v>
      </c>
      <c r="Y1191" s="196"/>
      <c r="Z1191" s="156">
        <f>Z1190-Z1188</f>
        <v>18.951384767882701</v>
      </c>
      <c r="AA1191" s="245">
        <f>AA1190-AA1188</f>
        <v>0</v>
      </c>
      <c r="AB1191" s="265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</row>
    <row r="1192" spans="1:42" s="192" customFormat="1" ht="11.25">
      <c r="A1192" s="37"/>
      <c r="B1192" s="37"/>
      <c r="C1192" s="37"/>
      <c r="D1192" s="191"/>
      <c r="E1192" s="191" t="s">
        <v>285</v>
      </c>
      <c r="F1192" s="191" t="str">
        <f t="shared" si="1986"/>
        <v>КидсТрейд</v>
      </c>
      <c r="G1192" s="191" t="s">
        <v>219</v>
      </c>
      <c r="H1192" s="315"/>
      <c r="I1192" s="329">
        <f>I1189-I1191</f>
        <v>178.12887231106288</v>
      </c>
      <c r="J1192" s="317"/>
      <c r="K1192" s="329">
        <f>K1189-K1191</f>
        <v>178.12887231106288</v>
      </c>
      <c r="L1192" s="330">
        <f>L1189-L1191</f>
        <v>0</v>
      </c>
      <c r="M1192" s="274"/>
      <c r="N1192" s="156">
        <f>N1189-N1191</f>
        <v>142.42847063009685</v>
      </c>
      <c r="O1192" s="196"/>
      <c r="P1192" s="156">
        <f>P1189-P1191</f>
        <v>142.42847063009685</v>
      </c>
      <c r="Q1192" s="245">
        <f>Q1189-Q1191</f>
        <v>0</v>
      </c>
      <c r="R1192" s="238"/>
      <c r="S1192" s="156">
        <f>S1189-S1191</f>
        <v>139.38224483856902</v>
      </c>
      <c r="T1192" s="196"/>
      <c r="U1192" s="156">
        <f>U1189-U1191</f>
        <v>139.38224483856902</v>
      </c>
      <c r="V1192" s="245">
        <f>V1189-V1191</f>
        <v>0</v>
      </c>
      <c r="W1192" s="238"/>
      <c r="X1192" s="156">
        <f>X1189-X1191</f>
        <v>178.12887231106288</v>
      </c>
      <c r="Y1192" s="196"/>
      <c r="Z1192" s="156">
        <f>Z1189-Z1191</f>
        <v>178.12887231106288</v>
      </c>
      <c r="AA1192" s="245">
        <f>AA1189-AA1191</f>
        <v>0</v>
      </c>
      <c r="AB1192" s="265"/>
      <c r="AC1192" s="37"/>
      <c r="AD1192" s="37"/>
      <c r="AE1192" s="37"/>
      <c r="AF1192" s="37"/>
      <c r="AG1192" s="37"/>
      <c r="AH1192" s="37"/>
      <c r="AI1192" s="37"/>
      <c r="AJ1192" s="37"/>
      <c r="AK1192" s="37"/>
      <c r="AL1192" s="37"/>
      <c r="AM1192" s="37"/>
      <c r="AN1192" s="37"/>
      <c r="AO1192" s="37"/>
      <c r="AP1192" s="37"/>
    </row>
    <row r="1193" spans="1:42" s="5" customFormat="1">
      <c r="A1193" s="1"/>
      <c r="B1193" s="1"/>
      <c r="C1193" s="1"/>
      <c r="D1193" s="168"/>
      <c r="E1193" s="168" t="s">
        <v>286</v>
      </c>
      <c r="F1193" s="168" t="str">
        <f t="shared" si="1986"/>
        <v>КидсТрейд</v>
      </c>
      <c r="G1193" s="168" t="s">
        <v>261</v>
      </c>
      <c r="H1193" s="326"/>
      <c r="I1193" s="327">
        <f>SUMIFS(операции!$V:$V,операции!$T:$T,"&lt;="&amp;I$9,операции!$X:$X,"",операции!$AB:$AB,"",операции!$O:$O,$F1126)+SUMIFS(операции!$V:$V,операции!$T:$T,"&lt;="&amp;I$9,операции!$X:$X,"&gt;"&amp;I$9,операции!$AB:$AB,"",операции!$O:$O,$F1126)+SUMIFS(операции!$V:$V,операции!$T:$T,"&lt;="&amp;I$9,операции!$X:$X,"",операции!$AB:$AB,"&gt;"&amp;I$9,операции!$O:$O,$F1126)+SUMIFS(операции!$V:$V,операции!$T:$T,"&lt;="&amp;I$9,операции!$X:$X,"&gt;"&amp;I$9,операции!$AB:$AB,"&gt;"&amp;I$9,операции!$O:$O,$F1126)</f>
        <v>13157.13</v>
      </c>
      <c r="J1193" s="313">
        <f>I1193-K1193-L1193</f>
        <v>0</v>
      </c>
      <c r="K1193" s="327">
        <f>SUMIFS(операции!$V:$V,операции!$T:$T,"&lt;="&amp;I$9,операции!$X:$X,"",операции!$AB:$AB,"",операции!$L:$L,K$9,операции!$O:$O,$F1126)+SUMIFS(операции!$V:$V,операции!$T:$T,"&lt;="&amp;I$9,операции!$X:$X,"&gt;"&amp;I$9,операции!$AB:$AB,"",операции!$L:$L,K$9,операции!$O:$O,$F1126)+SUMIFS(операции!$V:$V,операции!$T:$T,"&lt;="&amp;I$9,операции!$X:$X,"",операции!$AB:$AB,"&gt;"&amp;I$9,операции!$L:$L,K$9,операции!$O:$O,$F1126)+SUMIFS(операции!$V:$V,операции!$T:$T,"&lt;="&amp;I$9,операции!$X:$X,"&gt;"&amp;I$9,операции!$AB:$AB,"&gt;"&amp;I$9,операции!$L:$L,K$9,операции!$O:$O,$F1126)</f>
        <v>0</v>
      </c>
      <c r="L1193" s="328">
        <f>SUMIFS(операции!$V:$V,операции!$T:$T,"&lt;="&amp;I$9,операции!$X:$X,"",операции!$AB:$AB,"",операции!$L:$L,L$9,операции!$O:$O,$F1126)+SUMIFS(операции!$V:$V,операции!$T:$T,"&lt;="&amp;I$9,операции!$X:$X,"&gt;"&amp;I$9,операции!$AB:$AB,"",операции!$L:$L,L$9,операции!$O:$O,$F1126)+SUMIFS(операции!$V:$V,операции!$T:$T,"&lt;="&amp;I$9,операции!$X:$X,"",операции!$AB:$AB,"&gt;"&amp;I$9,операции!$L:$L,L$9,операции!$O:$O,$F1126)+SUMIFS(операции!$V:$V,операции!$T:$T,"&lt;="&amp;I$9,операции!$X:$X,"&gt;"&amp;I$9,операции!$AB:$AB,"&gt;"&amp;I$9,операции!$L:$L,L$9,операции!$O:$O,$F1126)</f>
        <v>13157.13</v>
      </c>
      <c r="M1193" s="277"/>
      <c r="N1193" s="169">
        <f>SUMIFS(операции!$V:$V,операции!$T:$T,"&lt;="&amp;N$9,операции!$X:$X,"",операции!$AB:$AB,"",операции!$O:$O,$F1126)+SUMIFS(операции!$V:$V,операции!$T:$T,"&lt;="&amp;N$9,операции!$X:$X,"&gt;"&amp;N$9,операции!$AB:$AB,"",операции!$O:$O,$F1126)+SUMIFS(операции!$V:$V,операции!$T:$T,"&lt;="&amp;N$9,операции!$X:$X,"",операции!$AB:$AB,"&gt;"&amp;N$9,операции!$O:$O,$F1126)+SUMIFS(операции!$V:$V,операции!$T:$T,"&lt;="&amp;N$9,операции!$X:$X,"&gt;"&amp;N$9,операции!$AB:$AB,"&gt;"&amp;N$9,операции!$O:$O,$F1126)</f>
        <v>9353.2799999999988</v>
      </c>
      <c r="O1193" s="170">
        <f>N1193-P1193-Q1193</f>
        <v>-1.7621459846850485E-12</v>
      </c>
      <c r="P1193" s="169">
        <f>SUMIFS(операции!$V:$V,операции!$T:$T,"&lt;="&amp;N$9,операции!$X:$X,"",операции!$AB:$AB,"",операции!$L:$L,P$9,операции!$O:$O,$F1126)+SUMIFS(операции!$V:$V,операции!$T:$T,"&lt;="&amp;N$9,операции!$X:$X,"&gt;"&amp;N$9,операции!$AB:$AB,"",операции!$L:$L,P$9,операции!$O:$O,$F1126)+SUMIFS(операции!$V:$V,операции!$T:$T,"&lt;="&amp;N$9,операции!$X:$X,"",операции!$AB:$AB,"&gt;"&amp;N$9,операции!$L:$L,P$9,операции!$O:$O,$F1126)+SUMIFS(операции!$V:$V,операции!$T:$T,"&lt;="&amp;N$9,операции!$X:$X,"&gt;"&amp;N$9,операции!$AB:$AB,"&gt;"&amp;N$9,операции!$L:$L,P$9,операции!$O:$O,$F1126)</f>
        <v>8996.86</v>
      </c>
      <c r="Q1193" s="243">
        <f>SUMIFS(операции!$V:$V,операции!$T:$T,"&lt;="&amp;N$9,операции!$X:$X,"",операции!$AB:$AB,"",операции!$L:$L,Q$9,операции!$O:$O,$F1126)+SUMIFS(операции!$V:$V,операции!$T:$T,"&lt;="&amp;N$9,операции!$X:$X,"&gt;"&amp;N$9,операции!$AB:$AB,"",операции!$L:$L,Q$9,операции!$O:$O,$F1126)+SUMIFS(операции!$V:$V,операции!$T:$T,"&lt;="&amp;N$9,операции!$X:$X,"",операции!$AB:$AB,"&gt;"&amp;N$9,операции!$L:$L,Q$9,операции!$O:$O,$F1126)+SUMIFS(операции!$V:$V,операции!$T:$T,"&lt;="&amp;N$9,операции!$X:$X,"&gt;"&amp;N$9,операции!$AB:$AB,"&gt;"&amp;N$9,операции!$L:$L,Q$9,операции!$O:$O,$F1126)</f>
        <v>356.42</v>
      </c>
      <c r="R1193" s="244"/>
      <c r="S1193" s="169">
        <f>SUMIFS(операции!$V:$V,операции!$T:$T,"&lt;="&amp;S$9,операции!$X:$X,"",операции!$AB:$AB,"",операции!$O:$O,$F1126)+SUMIFS(операции!$V:$V,операции!$T:$T,"&lt;="&amp;S$9,операции!$X:$X,"&gt;"&amp;S$9,операции!$AB:$AB,"",операции!$O:$O,$F1126)+SUMIFS(операции!$V:$V,операции!$T:$T,"&lt;="&amp;S$9,операции!$X:$X,"",операции!$AB:$AB,"&gt;"&amp;S$9,операции!$O:$O,$F1126)+SUMIFS(операции!$V:$V,операции!$T:$T,"&lt;="&amp;S$9,операции!$X:$X,"&gt;"&amp;S$9,операции!$AB:$AB,"&gt;"&amp;S$9,операции!$O:$O,$F1126)</f>
        <v>20927.659999999996</v>
      </c>
      <c r="T1193" s="170">
        <f>S1193-U1193-V1193</f>
        <v>0</v>
      </c>
      <c r="U1193" s="169">
        <f>SUMIFS(операции!$V:$V,операции!$T:$T,"&lt;="&amp;S$9,операции!$X:$X,"",операции!$AB:$AB,"",операции!$L:$L,U$9,операции!$O:$O,$F1126)+SUMIFS(операции!$V:$V,операции!$T:$T,"&lt;="&amp;S$9,операции!$X:$X,"&gt;"&amp;S$9,операции!$AB:$AB,"",операции!$L:$L,U$9,операции!$O:$O,$F1126)+SUMIFS(операции!$V:$V,операции!$T:$T,"&lt;="&amp;S$9,операции!$X:$X,"",операции!$AB:$AB,"&gt;"&amp;S$9,операции!$L:$L,U$9,операции!$O:$O,$F1126)+SUMIFS(операции!$V:$V,операции!$T:$T,"&lt;="&amp;S$9,операции!$X:$X,"&gt;"&amp;S$9,операции!$AB:$AB,"&gt;"&amp;S$9,операции!$L:$L,U$9,операции!$O:$O,$F1126)</f>
        <v>0</v>
      </c>
      <c r="V1193" s="243">
        <f>SUMIFS(операции!$V:$V,операции!$T:$T,"&lt;="&amp;S$9,операции!$X:$X,"",операции!$AB:$AB,"",операции!$L:$L,V$9,операции!$O:$O,$F1126)+SUMIFS(операции!$V:$V,операции!$T:$T,"&lt;="&amp;S$9,операции!$X:$X,"&gt;"&amp;S$9,операции!$AB:$AB,"",операции!$L:$L,V$9,операции!$O:$O,$F1126)+SUMIFS(операции!$V:$V,операции!$T:$T,"&lt;="&amp;S$9,операции!$X:$X,"",операции!$AB:$AB,"&gt;"&amp;S$9,операции!$L:$L,V$9,операции!$O:$O,$F1126)+SUMIFS(операции!$V:$V,операции!$T:$T,"&lt;="&amp;S$9,операции!$X:$X,"&gt;"&amp;S$9,операции!$AB:$AB,"&gt;"&amp;S$9,операции!$L:$L,V$9,операции!$O:$O,$F1126)</f>
        <v>20927.659999999996</v>
      </c>
      <c r="W1193" s="244"/>
      <c r="X1193" s="169">
        <f>SUMIFS(операции!$V:$V,операции!$T:$T,"&lt;="&amp;X$9,операции!$X:$X,"",операции!$AB:$AB,"",операции!$O:$O,$F1126)+SUMIFS(операции!$V:$V,операции!$T:$T,"&lt;="&amp;X$9,операции!$X:$X,"&gt;"&amp;X$9,операции!$AB:$AB,"",операции!$O:$O,$F1126)+SUMIFS(операции!$V:$V,операции!$T:$T,"&lt;="&amp;X$9,операции!$X:$X,"",операции!$AB:$AB,"&gt;"&amp;X$9,операции!$O:$O,$F1126)+SUMIFS(операции!$V:$V,операции!$T:$T,"&lt;="&amp;X$9,операции!$X:$X,"&gt;"&amp;X$9,операции!$AB:$AB,"&gt;"&amp;X$9,операции!$O:$O,$F1126)</f>
        <v>13157.13</v>
      </c>
      <c r="Y1193" s="170">
        <f>X1193-Z1193-AA1193</f>
        <v>0</v>
      </c>
      <c r="Z1193" s="169">
        <f>SUMIFS(операции!$V:$V,операции!$T:$T,"&lt;="&amp;X$9,операции!$X:$X,"",операции!$AB:$AB,"",операции!$L:$L,Z$9,операции!$O:$O,$F1126)+SUMIFS(операции!$V:$V,операции!$T:$T,"&lt;="&amp;X$9,операции!$X:$X,"&gt;"&amp;X$9,операции!$AB:$AB,"",операции!$L:$L,Z$9,операции!$O:$O,$F1126)+SUMIFS(операции!$V:$V,операции!$T:$T,"&lt;="&amp;X$9,операции!$X:$X,"",операции!$AB:$AB,"&gt;"&amp;X$9,операции!$L:$L,Z$9,операции!$O:$O,$F1126)+SUMIFS(операции!$V:$V,операции!$T:$T,"&lt;="&amp;X$9,операции!$X:$X,"&gt;"&amp;X$9,операции!$AB:$AB,"&gt;"&amp;X$9,операции!$L:$L,Z$9,операции!$O:$O,$F1126)</f>
        <v>0</v>
      </c>
      <c r="AA1193" s="243">
        <f>SUMIFS(операции!$V:$V,операции!$T:$T,"&lt;="&amp;X$9,операции!$X:$X,"",операции!$AB:$AB,"",операции!$L:$L,AA$9,операции!$O:$O,$F1126)+SUMIFS(операции!$V:$V,операции!$T:$T,"&lt;="&amp;X$9,операции!$X:$X,"&gt;"&amp;X$9,операции!$AB:$AB,"",операции!$L:$L,AA$9,операции!$O:$O,$F1126)+SUMIFS(операции!$V:$V,операции!$T:$T,"&lt;="&amp;X$9,операции!$X:$X,"",операции!$AB:$AB,"&gt;"&amp;X$9,операции!$L:$L,AA$9,операции!$O:$O,$F1126)+SUMIFS(операции!$V:$V,операции!$T:$T,"&lt;="&amp;X$9,операции!$X:$X,"&gt;"&amp;X$9,операции!$AB:$AB,"&gt;"&amp;X$9,операции!$L:$L,AA$9,операции!$O:$O,$F1126)</f>
        <v>13157.13</v>
      </c>
      <c r="AB1193" s="266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</row>
    <row r="1194" spans="1:42" s="192" customFormat="1" ht="11.25">
      <c r="A1194" s="37"/>
      <c r="B1194" s="37"/>
      <c r="C1194" s="37"/>
      <c r="D1194" s="191"/>
      <c r="E1194" s="191" t="s">
        <v>255</v>
      </c>
      <c r="F1194" s="191" t="str">
        <f t="shared" si="1986"/>
        <v>КидсТрейд</v>
      </c>
      <c r="G1194" s="191" t="s">
        <v>262</v>
      </c>
      <c r="H1194" s="315"/>
      <c r="I1194" s="316">
        <f>IF(I1193=0,0,(SUMIFS(операции!$AF:$AF,операции!$T:$T,"&lt;="&amp;I$9,операции!$X:$X,"",операции!$AB:$AB,"",операции!$O:$O,$F1126)+SUMIFS(операции!$AF:$AF,операции!$T:$T,"&lt;="&amp;I$9,операции!$X:$X,"&gt;"&amp;I$9,операции!$AB:$AB,"",операции!$O:$O,$F1126)+SUMIFS(операции!$AF:$AF,операции!$T:$T,"&lt;="&amp;I$9,операции!$X:$X,"",операции!$AB:$AB,"&gt;"&amp;I$9,операции!$O:$O,$F1126)+SUMIFS(операции!$AF:$AF,операции!$T:$T,"&lt;="&amp;I$9,операции!$X:$X,"&gt;"&amp;I$9,операции!$AB:$AB,"&gt;"&amp;I$9,операции!$O:$O,$F1126))/I1193)</f>
        <v>42357</v>
      </c>
      <c r="J1194" s="317"/>
      <c r="K1194" s="316">
        <f>IF(K1193=0,0,(SUMIFS(операции!$AF:$AF,операции!$T:$T,"&lt;="&amp;I$9,операции!$X:$X,"",операции!$AB:$AB,"",операции!$L:$L,K$9,операции!$O:$O,$F1126)+SUMIFS(операции!$AF:$AF,операции!$T:$T,"&lt;="&amp;I$9,операции!$X:$X,"&gt;"&amp;I$9,операции!$AB:$AB,"",операции!$L:$L,K$9,операции!$O:$O,$F1126)+SUMIFS(операции!$AF:$AF,операции!$T:$T,"&lt;="&amp;I$9,операции!$X:$X,"",операции!$AB:$AB,"&gt;"&amp;I$9,операции!$L:$L,K$9,операции!$O:$O,$F1126)+SUMIFS(операции!$AF:$AF,операции!$T:$T,"&lt;="&amp;I$9,операции!$X:$X,"&gt;"&amp;I$9,операции!$AB:$AB,"&gt;"&amp;I$9,операции!$L:$L,K$9,операции!$O:$O,$F1126))/K1193)</f>
        <v>0</v>
      </c>
      <c r="L1194" s="318">
        <f>IF(L1193=0,0,(SUMIFS(операции!$AF:$AF,операции!$T:$T,"&lt;="&amp;I$9,операции!$X:$X,"",операции!$AB:$AB,"",операции!$L:$L,L$9,операции!$O:$O,$F1126)+SUMIFS(операции!$AF:$AF,операции!$T:$T,"&lt;="&amp;I$9,операции!$X:$X,"&gt;"&amp;I$9,операции!$AB:$AB,"",операции!$L:$L,L$9,операции!$O:$O,$F1126)+SUMIFS(операции!$AF:$AF,операции!$T:$T,"&lt;="&amp;I$9,операции!$X:$X,"",операции!$AB:$AB,"&gt;"&amp;I$9,операции!$L:$L,L$9,операции!$O:$O,$F1126)+SUMIFS(операции!$AF:$AF,операции!$T:$T,"&lt;="&amp;I$9,операции!$X:$X,"&gt;"&amp;I$9,операции!$AB:$AB,"&gt;"&amp;I$9,операции!$L:$L,L$9,операции!$O:$O,$F1126))/L1193)</f>
        <v>42357</v>
      </c>
      <c r="M1194" s="274"/>
      <c r="N1194" s="193">
        <f>IF(N1193=0,0,(SUMIFS(операции!$AF:$AF,операции!$T:$T,"&lt;="&amp;N$9,операции!$X:$X,"",операции!$AB:$AB,"",операции!$O:$O,$F1126)+SUMIFS(операции!$AF:$AF,операции!$T:$T,"&lt;="&amp;N$9,операции!$X:$X,"&gt;"&amp;N$9,операции!$AB:$AB,"",операции!$O:$O,$F1126)+SUMIFS(операции!$AF:$AF,операции!$T:$T,"&lt;="&amp;N$9,операции!$X:$X,"",операции!$AB:$AB,"&gt;"&amp;N$9,операции!$O:$O,$F1126)+SUMIFS(операции!$AF:$AF,операции!$T:$T,"&lt;="&amp;N$9,операции!$X:$X,"&gt;"&amp;N$9,операции!$AB:$AB,"&gt;"&amp;N$9,операции!$O:$O,$F1126))/N1193)</f>
        <v>42179.070777310211</v>
      </c>
      <c r="O1194" s="196"/>
      <c r="P1194" s="193">
        <f>IF(P1193=0,0,(SUMIFS(операции!$AF:$AF,операции!$T:$T,"&lt;="&amp;N$9,операции!$X:$X,"",операции!$AB:$AB,"",операции!$L:$L,P$9,операции!$O:$O,$F1126)+SUMIFS(операции!$AF:$AF,операции!$T:$T,"&lt;="&amp;N$9,операции!$X:$X,"&gt;"&amp;N$9,операции!$AB:$AB,"",операции!$L:$L,P$9,операции!$O:$O,$F1126)+SUMIFS(операции!$AF:$AF,операции!$T:$T,"&lt;="&amp;N$9,операции!$X:$X,"",операции!$AB:$AB,"&gt;"&amp;N$9,операции!$L:$L,P$9,операции!$O:$O,$F1126)+SUMIFS(операции!$AF:$AF,операции!$T:$T,"&lt;="&amp;N$9,операции!$X:$X,"&gt;"&amp;N$9,операции!$AB:$AB,"&gt;"&amp;N$9,операции!$L:$L,P$9,операции!$O:$O,$F1126))/P1193)</f>
        <v>42173.963111574478</v>
      </c>
      <c r="Q1194" s="237">
        <f>IF(Q1193=0,0,(SUMIFS(операции!$AF:$AF,операции!$T:$T,"&lt;="&amp;N$9,операции!$X:$X,"",операции!$AB:$AB,"",операции!$L:$L,Q$9,операции!$O:$O,$F1126)+SUMIFS(операции!$AF:$AF,операции!$T:$T,"&lt;="&amp;N$9,операции!$X:$X,"&gt;"&amp;N$9,операции!$AB:$AB,"",операции!$L:$L,Q$9,операции!$O:$O,$F1126)+SUMIFS(операции!$AF:$AF,операции!$T:$T,"&lt;="&amp;N$9,операции!$X:$X,"",операции!$AB:$AB,"&gt;"&amp;N$9,операции!$L:$L,Q$9,операции!$O:$O,$F1126)+SUMIFS(операции!$AF:$AF,операции!$T:$T,"&lt;="&amp;N$9,операции!$X:$X,"&gt;"&amp;N$9,операции!$AB:$AB,"&gt;"&amp;N$9,операции!$L:$L,Q$9,операции!$O:$O,$F1126))/Q1193)</f>
        <v>42308</v>
      </c>
      <c r="R1194" s="238"/>
      <c r="S1194" s="193">
        <f>IF(S1193=0,0,(SUMIFS(операции!$AF:$AF,операции!$T:$T,"&lt;="&amp;S$9,операции!$X:$X,"",операции!$AB:$AB,"",операции!$O:$O,$F1126)+SUMIFS(операции!$AF:$AF,операции!$T:$T,"&lt;="&amp;S$9,операции!$X:$X,"&gt;"&amp;S$9,операции!$AB:$AB,"",операции!$O:$O,$F1126)+SUMIFS(операции!$AF:$AF,операции!$T:$T,"&lt;="&amp;S$9,операции!$X:$X,"",операции!$AB:$AB,"&gt;"&amp;S$9,операции!$O:$O,$F1126)+SUMIFS(операции!$AF:$AF,операции!$T:$T,"&lt;="&amp;S$9,операции!$X:$X,"&gt;"&amp;S$9,операции!$AB:$AB,"&gt;"&amp;S$9,операции!$O:$O,$F1126))/S1193)</f>
        <v>42328.637975769874</v>
      </c>
      <c r="T1194" s="196"/>
      <c r="U1194" s="193">
        <f>IF(U1193=0,0,(SUMIFS(операции!$AF:$AF,операции!$T:$T,"&lt;="&amp;S$9,операции!$X:$X,"",операции!$AB:$AB,"",операции!$L:$L,U$9,операции!$O:$O,$F1126)+SUMIFS(операции!$AF:$AF,операции!$T:$T,"&lt;="&amp;S$9,операции!$X:$X,"&gt;"&amp;S$9,операции!$AB:$AB,"",операции!$L:$L,U$9,операции!$O:$O,$F1126)+SUMIFS(операции!$AF:$AF,операции!$T:$T,"&lt;="&amp;S$9,операции!$X:$X,"",операции!$AB:$AB,"&gt;"&amp;S$9,операции!$L:$L,U$9,операции!$O:$O,$F1126)+SUMIFS(операции!$AF:$AF,операции!$T:$T,"&lt;="&amp;S$9,операции!$X:$X,"&gt;"&amp;S$9,операции!$AB:$AB,"&gt;"&amp;S$9,операции!$L:$L,U$9,операции!$O:$O,$F1126))/U1193)</f>
        <v>0</v>
      </c>
      <c r="V1194" s="237">
        <f>IF(V1193=0,0,(SUMIFS(операции!$AF:$AF,операции!$T:$T,"&lt;="&amp;S$9,операции!$X:$X,"",операции!$AB:$AB,"",операции!$L:$L,V$9,операции!$O:$O,$F1126)+SUMIFS(операции!$AF:$AF,операции!$T:$T,"&lt;="&amp;S$9,операции!$X:$X,"&gt;"&amp;S$9,операции!$AB:$AB,"",операции!$L:$L,V$9,операции!$O:$O,$F1126)+SUMIFS(операции!$AF:$AF,операции!$T:$T,"&lt;="&amp;S$9,операции!$X:$X,"",операции!$AB:$AB,"&gt;"&amp;S$9,операции!$L:$L,V$9,операции!$O:$O,$F1126)+SUMIFS(операции!$AF:$AF,операции!$T:$T,"&lt;="&amp;S$9,операции!$X:$X,"&gt;"&amp;S$9,операции!$AB:$AB,"&gt;"&amp;S$9,операции!$L:$L,V$9,операции!$O:$O,$F1126))/V1193)</f>
        <v>42328.637975769874</v>
      </c>
      <c r="W1194" s="238"/>
      <c r="X1194" s="193">
        <f>IF(X1193=0,0,(SUMIFS(операции!$AF:$AF,операции!$T:$T,"&lt;="&amp;X$9,операции!$X:$X,"",операции!$AB:$AB,"",операции!$O:$O,$F1126)+SUMIFS(операции!$AF:$AF,операции!$T:$T,"&lt;="&amp;X$9,операции!$X:$X,"&gt;"&amp;X$9,операции!$AB:$AB,"",операции!$O:$O,$F1126)+SUMIFS(операции!$AF:$AF,операции!$T:$T,"&lt;="&amp;X$9,операции!$X:$X,"",операции!$AB:$AB,"&gt;"&amp;X$9,операции!$O:$O,$F1126)+SUMIFS(операции!$AF:$AF,операции!$T:$T,"&lt;="&amp;X$9,операции!$X:$X,"&gt;"&amp;X$9,операции!$AB:$AB,"&gt;"&amp;X$9,операции!$O:$O,$F1126))/X1193)</f>
        <v>42357</v>
      </c>
      <c r="Y1194" s="196"/>
      <c r="Z1194" s="193">
        <f>IF(Z1193=0,0,(SUMIFS(операции!$AF:$AF,операции!$T:$T,"&lt;="&amp;X$9,операции!$X:$X,"",операции!$AB:$AB,"",операции!$L:$L,Z$9,операции!$O:$O,$F1126)+SUMIFS(операции!$AF:$AF,операции!$T:$T,"&lt;="&amp;X$9,операции!$X:$X,"&gt;"&amp;X$9,операции!$AB:$AB,"",операции!$L:$L,Z$9,операции!$O:$O,$F1126)+SUMIFS(операции!$AF:$AF,операции!$T:$T,"&lt;="&amp;X$9,операции!$X:$X,"",операции!$AB:$AB,"&gt;"&amp;X$9,операции!$L:$L,Z$9,операции!$O:$O,$F1126)+SUMIFS(операции!$AF:$AF,операции!$T:$T,"&lt;="&amp;X$9,операции!$X:$X,"&gt;"&amp;X$9,операции!$AB:$AB,"&gt;"&amp;X$9,операции!$L:$L,Z$9,операции!$O:$O,$F1126))/Z1193)</f>
        <v>0</v>
      </c>
      <c r="AA1194" s="237">
        <f>IF(AA1193=0,0,(SUMIFS(операции!$AF:$AF,операции!$T:$T,"&lt;="&amp;X$9,операции!$X:$X,"",операции!$AB:$AB,"",операции!$L:$L,AA$9,операции!$O:$O,$F1126)+SUMIFS(операции!$AF:$AF,операции!$T:$T,"&lt;="&amp;X$9,операции!$X:$X,"&gt;"&amp;X$9,операции!$AB:$AB,"",операции!$L:$L,AA$9,операции!$O:$O,$F1126)+SUMIFS(операции!$AF:$AF,операции!$T:$T,"&lt;="&amp;X$9,операции!$X:$X,"",операции!$AB:$AB,"&gt;"&amp;X$9,операции!$L:$L,AA$9,операции!$O:$O,$F1126)+SUMIFS(операции!$AF:$AF,операции!$T:$T,"&lt;="&amp;X$9,операции!$X:$X,"&gt;"&amp;X$9,операции!$AB:$AB,"&gt;"&amp;X$9,операции!$L:$L,AA$9,операции!$O:$O,$F1126))/AA1193)</f>
        <v>42357</v>
      </c>
      <c r="AB1194" s="265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</row>
    <row r="1195" spans="1:42" s="192" customFormat="1" ht="11.25">
      <c r="A1195" s="37"/>
      <c r="B1195" s="37"/>
      <c r="C1195" s="37"/>
      <c r="D1195" s="191"/>
      <c r="E1195" s="191" t="s">
        <v>287</v>
      </c>
      <c r="F1195" s="191" t="str">
        <f t="shared" ref="F1195:F1198" si="2119">F1194</f>
        <v>КидсТрейд</v>
      </c>
      <c r="G1195" s="191" t="s">
        <v>219</v>
      </c>
      <c r="H1195" s="315"/>
      <c r="I1195" s="329">
        <f>IF(I1193=0,0,I$9-I1194)</f>
        <v>12</v>
      </c>
      <c r="J1195" s="317"/>
      <c r="K1195" s="329">
        <f>IF(K1193=0,0,I$9-K1194)</f>
        <v>0</v>
      </c>
      <c r="L1195" s="330">
        <f>IF(L1193=0,0,I$9-L1194)</f>
        <v>12</v>
      </c>
      <c r="M1195" s="274"/>
      <c r="N1195" s="156">
        <f>IF(N1193=0,0,N$9-N1194)</f>
        <v>128.92922268978873</v>
      </c>
      <c r="O1195" s="196"/>
      <c r="P1195" s="156">
        <f>IF(P1193=0,0,N$9-P1194)</f>
        <v>134.03688842552219</v>
      </c>
      <c r="Q1195" s="245">
        <f>IF(Q1193=0,0,N$9-Q1194)</f>
        <v>0</v>
      </c>
      <c r="R1195" s="238"/>
      <c r="S1195" s="156">
        <f>IF(S1193=0,0,S$9-S1194)</f>
        <v>9.3620242301258259</v>
      </c>
      <c r="T1195" s="196"/>
      <c r="U1195" s="156">
        <f>IF(U1193=0,0,S$9-U1194)</f>
        <v>0</v>
      </c>
      <c r="V1195" s="245">
        <f>IF(V1193=0,0,S$9-V1194)</f>
        <v>9.3620242301258259</v>
      </c>
      <c r="W1195" s="238"/>
      <c r="X1195" s="156">
        <f>IF(X1193=0,0,X$9-X1194)</f>
        <v>12</v>
      </c>
      <c r="Y1195" s="196"/>
      <c r="Z1195" s="156">
        <f>IF(Z1193=0,0,X$9-Z1194)</f>
        <v>0</v>
      </c>
      <c r="AA1195" s="245">
        <f>IF(AA1193=0,0,X$9-AA1194)</f>
        <v>12</v>
      </c>
      <c r="AB1195" s="265"/>
      <c r="AC1195" s="37"/>
      <c r="AD1195" s="37"/>
      <c r="AE1195" s="37"/>
      <c r="AF1195" s="37"/>
      <c r="AG1195" s="37"/>
      <c r="AH1195" s="37"/>
      <c r="AI1195" s="37"/>
      <c r="AJ1195" s="37"/>
      <c r="AK1195" s="37"/>
      <c r="AL1195" s="37"/>
      <c r="AM1195" s="37"/>
      <c r="AN1195" s="37"/>
      <c r="AO1195" s="37"/>
      <c r="AP1195" s="37"/>
    </row>
    <row r="1196" spans="1:42" s="192" customFormat="1" ht="11.25">
      <c r="A1196" s="37"/>
      <c r="B1196" s="37"/>
      <c r="C1196" s="37"/>
      <c r="D1196" s="191"/>
      <c r="E1196" s="191" t="s">
        <v>311</v>
      </c>
      <c r="F1196" s="191" t="str">
        <f t="shared" si="2119"/>
        <v>КидсТрейд</v>
      </c>
      <c r="G1196" s="191" t="s">
        <v>262</v>
      </c>
      <c r="H1196" s="315"/>
      <c r="I1196" s="316">
        <f>I$9</f>
        <v>42369</v>
      </c>
      <c r="J1196" s="317"/>
      <c r="K1196" s="316">
        <f>I$9</f>
        <v>42369</v>
      </c>
      <c r="L1196" s="318">
        <f>I$9</f>
        <v>42369</v>
      </c>
      <c r="M1196" s="274"/>
      <c r="N1196" s="193">
        <f>N$9</f>
        <v>42308</v>
      </c>
      <c r="O1196" s="196"/>
      <c r="P1196" s="193">
        <f>N$9</f>
        <v>42308</v>
      </c>
      <c r="Q1196" s="237">
        <f>N$9</f>
        <v>42308</v>
      </c>
      <c r="R1196" s="238"/>
      <c r="S1196" s="193">
        <f>S$9</f>
        <v>42338</v>
      </c>
      <c r="T1196" s="196"/>
      <c r="U1196" s="193">
        <f>S$9</f>
        <v>42338</v>
      </c>
      <c r="V1196" s="237">
        <f>S$9</f>
        <v>42338</v>
      </c>
      <c r="W1196" s="238"/>
      <c r="X1196" s="193">
        <f>X$9</f>
        <v>42369</v>
      </c>
      <c r="Y1196" s="196"/>
      <c r="Z1196" s="193">
        <f>X$9</f>
        <v>42369</v>
      </c>
      <c r="AA1196" s="237">
        <f>X$9</f>
        <v>42369</v>
      </c>
      <c r="AB1196" s="265"/>
      <c r="AC1196" s="37"/>
      <c r="AD1196" s="37"/>
      <c r="AE1196" s="37"/>
      <c r="AF1196" s="37"/>
      <c r="AG1196" s="37"/>
      <c r="AH1196" s="37"/>
      <c r="AI1196" s="37"/>
      <c r="AJ1196" s="37"/>
      <c r="AK1196" s="37"/>
      <c r="AL1196" s="37"/>
      <c r="AM1196" s="37"/>
      <c r="AN1196" s="37"/>
      <c r="AO1196" s="37"/>
      <c r="AP1196" s="37"/>
    </row>
    <row r="1197" spans="1:42" s="192" customFormat="1" ht="11.25">
      <c r="A1197" s="37"/>
      <c r="B1197" s="37"/>
      <c r="C1197" s="37"/>
      <c r="D1197" s="191"/>
      <c r="E1197" s="191" t="s">
        <v>288</v>
      </c>
      <c r="F1197" s="191" t="str">
        <f t="shared" si="2119"/>
        <v>КидсТрейд</v>
      </c>
      <c r="G1197" s="191" t="s">
        <v>219</v>
      </c>
      <c r="H1197" s="315"/>
      <c r="I1197" s="329">
        <f>IF(I1193=0,0,I1196-I1194)</f>
        <v>12</v>
      </c>
      <c r="J1197" s="317"/>
      <c r="K1197" s="329">
        <f>IF(K1193=0,0,K1196-K1194)</f>
        <v>0</v>
      </c>
      <c r="L1197" s="330">
        <f>IF(L1193=0,0,L1196-L1194)</f>
        <v>12</v>
      </c>
      <c r="M1197" s="274"/>
      <c r="N1197" s="156">
        <f>IF(N1193=0,0,N1196-N1194)</f>
        <v>128.92922268978873</v>
      </c>
      <c r="O1197" s="196"/>
      <c r="P1197" s="156">
        <f>IF(P1193=0,0,P1196-P1194)</f>
        <v>134.03688842552219</v>
      </c>
      <c r="Q1197" s="245">
        <f>IF(Q1193=0,0,Q1196-Q1194)</f>
        <v>0</v>
      </c>
      <c r="R1197" s="238"/>
      <c r="S1197" s="156">
        <f>IF(S1193=0,0,S1196-S1194)</f>
        <v>9.3620242301258259</v>
      </c>
      <c r="T1197" s="196"/>
      <c r="U1197" s="156">
        <f>IF(U1193=0,0,U1196-U1194)</f>
        <v>0</v>
      </c>
      <c r="V1197" s="245">
        <f>IF(V1193=0,0,V1196-V1194)</f>
        <v>9.3620242301258259</v>
      </c>
      <c r="W1197" s="238"/>
      <c r="X1197" s="156">
        <f>IF(X1193=0,0,X1196-X1194)</f>
        <v>12</v>
      </c>
      <c r="Y1197" s="196"/>
      <c r="Z1197" s="156">
        <f>IF(Z1193=0,0,Z1196-Z1194)</f>
        <v>0</v>
      </c>
      <c r="AA1197" s="245">
        <f>IF(AA1193=0,0,AA1196-AA1194)</f>
        <v>12</v>
      </c>
      <c r="AB1197" s="265"/>
      <c r="AC1197" s="37"/>
      <c r="AD1197" s="37"/>
      <c r="AE1197" s="37"/>
      <c r="AF1197" s="37"/>
      <c r="AG1197" s="37"/>
      <c r="AH1197" s="37"/>
      <c r="AI1197" s="37"/>
      <c r="AJ1197" s="37"/>
      <c r="AK1197" s="37"/>
      <c r="AL1197" s="37"/>
      <c r="AM1197" s="37"/>
      <c r="AN1197" s="37"/>
      <c r="AO1197" s="37"/>
      <c r="AP1197" s="37"/>
    </row>
    <row r="1198" spans="1:42" s="192" customFormat="1" ht="12" thickBot="1">
      <c r="A1198" s="37"/>
      <c r="B1198" s="37"/>
      <c r="C1198" s="37"/>
      <c r="D1198" s="297"/>
      <c r="E1198" s="297" t="s">
        <v>289</v>
      </c>
      <c r="F1198" s="297" t="str">
        <f t="shared" si="2119"/>
        <v>КидсТрейд</v>
      </c>
      <c r="G1198" s="297" t="s">
        <v>219</v>
      </c>
      <c r="H1198" s="377"/>
      <c r="I1198" s="378">
        <f>I1195-I1197</f>
        <v>0</v>
      </c>
      <c r="J1198" s="379"/>
      <c r="K1198" s="378">
        <f>K1195-K1197</f>
        <v>0</v>
      </c>
      <c r="L1198" s="380">
        <f>L1195-L1197</f>
        <v>0</v>
      </c>
      <c r="M1198" s="300"/>
      <c r="N1198" s="298">
        <f>N1195-N1197</f>
        <v>0</v>
      </c>
      <c r="O1198" s="299"/>
      <c r="P1198" s="298">
        <f>P1195-P1197</f>
        <v>0</v>
      </c>
      <c r="Q1198" s="301">
        <f>Q1195-Q1197</f>
        <v>0</v>
      </c>
      <c r="R1198" s="302"/>
      <c r="S1198" s="298">
        <f>S1195-S1197</f>
        <v>0</v>
      </c>
      <c r="T1198" s="299"/>
      <c r="U1198" s="298">
        <f>U1195-U1197</f>
        <v>0</v>
      </c>
      <c r="V1198" s="301">
        <f>V1195-V1197</f>
        <v>0</v>
      </c>
      <c r="W1198" s="302"/>
      <c r="X1198" s="298">
        <f>X1195-X1197</f>
        <v>0</v>
      </c>
      <c r="Y1198" s="299"/>
      <c r="Z1198" s="298">
        <f>Z1195-Z1197</f>
        <v>0</v>
      </c>
      <c r="AA1198" s="301">
        <f>AA1195-AA1197</f>
        <v>0</v>
      </c>
      <c r="AB1198" s="265"/>
      <c r="AC1198" s="37"/>
      <c r="AD1198" s="37"/>
      <c r="AE1198" s="37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</row>
    <row r="1199" spans="1:42" s="111" customFormat="1" ht="11.25">
      <c r="A1199" s="108"/>
      <c r="B1199" s="108"/>
      <c r="C1199" s="108" t="s">
        <v>271</v>
      </c>
      <c r="D1199" s="291"/>
      <c r="E1199" s="291"/>
      <c r="F1199" s="291" t="str">
        <f>F1200</f>
        <v>КлиматКо</v>
      </c>
      <c r="G1199" s="291"/>
      <c r="H1199" s="373"/>
      <c r="I1199" s="374">
        <f>I1200-K1200-L1200</f>
        <v>0</v>
      </c>
      <c r="J1199" s="375">
        <f>N1199+N1217+N1255+SUM(O:O)+S1199+S1217+S1255+SUM(T:T)+X1199+X1217+X1255+SUM(Y:Y)</f>
        <v>3.7104683769939584E-9</v>
      </c>
      <c r="K1199" s="373"/>
      <c r="L1199" s="376"/>
      <c r="M1199" s="293"/>
      <c r="N1199" s="292">
        <f>N1200-P1200-Q1200</f>
        <v>0</v>
      </c>
      <c r="O1199" s="294"/>
      <c r="P1199" s="291"/>
      <c r="Q1199" s="295"/>
      <c r="R1199" s="296"/>
      <c r="S1199" s="292">
        <f>S1200-U1200-V1200</f>
        <v>0</v>
      </c>
      <c r="T1199" s="294"/>
      <c r="U1199" s="291"/>
      <c r="V1199" s="295"/>
      <c r="W1199" s="296"/>
      <c r="X1199" s="292">
        <f>X1200-Z1200-AA1200</f>
        <v>0</v>
      </c>
      <c r="Y1199" s="294"/>
      <c r="Z1199" s="291"/>
      <c r="AA1199" s="295"/>
      <c r="AB1199" s="263"/>
      <c r="AC1199" s="108"/>
      <c r="AD1199" s="108"/>
      <c r="AE1199" s="108"/>
      <c r="AF1199" s="108"/>
      <c r="AG1199" s="108"/>
      <c r="AH1199" s="108"/>
      <c r="AI1199" s="108"/>
      <c r="AJ1199" s="108"/>
      <c r="AK1199" s="108"/>
      <c r="AL1199" s="108"/>
      <c r="AM1199" s="108"/>
      <c r="AN1199" s="108"/>
      <c r="AO1199" s="108"/>
      <c r="AP1199" s="108"/>
    </row>
    <row r="1200" spans="1:42" s="93" customFormat="1" ht="15">
      <c r="A1200" s="92"/>
      <c r="B1200" s="92"/>
      <c r="C1200" s="92"/>
      <c r="D1200" s="151" t="s">
        <v>256</v>
      </c>
      <c r="E1200" s="151"/>
      <c r="F1200" s="286" t="str">
        <f>микс!$H$33</f>
        <v>КлиматКо</v>
      </c>
      <c r="G1200" s="151" t="s">
        <v>261</v>
      </c>
      <c r="H1200" s="311"/>
      <c r="I1200" s="312">
        <f>SUMIFS(операции!$V:$V,операции!$T:$T,"&lt;"&amp;I$8,операции!$X:$X,"",операции!$O:$O,$F1200)+SUMIFS(операции!$V:$V,операции!$T:$T,"&lt;"&amp;I$8,операции!$X:$X,"&gt;="&amp;I$8,операции!$O:$O,$F1200)</f>
        <v>49103.399999999994</v>
      </c>
      <c r="J1200" s="313">
        <f>I1200-I1205-I1211</f>
        <v>0</v>
      </c>
      <c r="K1200" s="312">
        <f>SUMIFS(операции!$V:$V,операции!$T:$T,"&lt;"&amp;I$8,операции!$X:$X,"",операции!$L:$L,K$9,операции!$O:$O,$F1200)+SUMIFS(операции!$V:$V,операции!$T:$T,"&lt;"&amp;I$8,операции!$X:$X,"&gt;="&amp;I$8,операции!$L:$L,K$9,операции!$O:$O,$F1200)</f>
        <v>49103.399999999994</v>
      </c>
      <c r="L1200" s="314">
        <f>SUMIFS(операции!$V:$V,операции!$T:$T,"&lt;"&amp;I$8,операции!$X:$X,"",операции!$L:$L,L$9,операции!$O:$O,$F1200)+SUMIFS(операции!$V:$V,операции!$T:$T,"&lt;"&amp;I$8,операции!$X:$X,"&gt;="&amp;I$8,операции!$L:$L,L$9,операции!$O:$O,$F1200)</f>
        <v>0</v>
      </c>
      <c r="M1200" s="273"/>
      <c r="N1200" s="152">
        <f>SUMIFS(операции!$V:$V,операции!$T:$T,"&lt;"&amp;N$8,операции!$X:$X,"",операции!$O:$O,$F1200)+SUMIFS(операции!$V:$V,операции!$T:$T,"&lt;"&amp;N$8,операции!$X:$X,"&gt;="&amp;N$8,операции!$O:$O,$F1200)</f>
        <v>49103.399999999994</v>
      </c>
      <c r="O1200" s="170">
        <f>N1200-N1205-N1211</f>
        <v>0</v>
      </c>
      <c r="P1200" s="152">
        <f>SUMIFS(операции!$V:$V,операции!$T:$T,"&lt;"&amp;N$8,операции!$X:$X,"",операции!$L:$L,P$9,операции!$O:$O,$F1200)+SUMIFS(операции!$V:$V,операции!$T:$T,"&lt;"&amp;N$8,операции!$X:$X,"&gt;="&amp;N$8,операции!$L:$L,P$9,операции!$O:$O,$F1200)</f>
        <v>49103.399999999994</v>
      </c>
      <c r="Q1200" s="235">
        <f>SUMIFS(операции!$V:$V,операции!$T:$T,"&lt;"&amp;N$8,операции!$X:$X,"",операции!$L:$L,Q$9,операции!$O:$O,$F1200)+SUMIFS(операции!$V:$V,операции!$T:$T,"&lt;"&amp;N$8,операции!$X:$X,"&gt;="&amp;N$8,операции!$L:$L,Q$9,операции!$O:$O,$F1200)</f>
        <v>0</v>
      </c>
      <c r="R1200" s="236"/>
      <c r="S1200" s="152">
        <f>SUMIFS(операции!$V:$V,операции!$T:$T,"&lt;"&amp;S$8,операции!$X:$X,"",операции!$O:$O,$F1200)+SUMIFS(операции!$V:$V,операции!$T:$T,"&lt;"&amp;S$8,операции!$X:$X,"&gt;="&amp;S$8,операции!$O:$O,$F1200)</f>
        <v>50409.56</v>
      </c>
      <c r="T1200" s="170">
        <f>S1200-S1205-S1211</f>
        <v>0</v>
      </c>
      <c r="U1200" s="152">
        <f>SUMIFS(операции!$V:$V,операции!$T:$T,"&lt;"&amp;S$8,операции!$X:$X,"",операции!$L:$L,U$9,операции!$O:$O,$F1200)+SUMIFS(операции!$V:$V,операции!$T:$T,"&lt;"&amp;S$8,операции!$X:$X,"&gt;="&amp;S$8,операции!$L:$L,U$9,операции!$O:$O,$F1200)</f>
        <v>50409.56</v>
      </c>
      <c r="V1200" s="235">
        <f>SUMIFS(операции!$V:$V,операции!$T:$T,"&lt;"&amp;S$8,операции!$X:$X,"",операции!$L:$L,V$9,операции!$O:$O,$F1200)+SUMIFS(операции!$V:$V,операции!$T:$T,"&lt;"&amp;S$8,операции!$X:$X,"&gt;="&amp;S$8,операции!$L:$L,V$9,операции!$O:$O,$F1200)</f>
        <v>0</v>
      </c>
      <c r="W1200" s="236"/>
      <c r="X1200" s="152">
        <f>SUMIFS(операции!$V:$V,операции!$T:$T,"&lt;"&amp;X$8,операции!$X:$X,"",операции!$O:$O,$F1200)+SUMIFS(операции!$V:$V,операции!$T:$T,"&lt;"&amp;X$8,операции!$X:$X,"&gt;="&amp;X$8,операции!$O:$O,$F1200)</f>
        <v>49850.16</v>
      </c>
      <c r="Y1200" s="170">
        <f>X1200-X1205-X1211</f>
        <v>0</v>
      </c>
      <c r="Z1200" s="152">
        <f>SUMIFS(операции!$V:$V,операции!$T:$T,"&lt;"&amp;X$8,операции!$X:$X,"",операции!$L:$L,Z$9,операции!$O:$O,$F1200)+SUMIFS(операции!$V:$V,операции!$T:$T,"&lt;"&amp;X$8,операции!$X:$X,"&gt;="&amp;X$8,операции!$L:$L,Z$9,операции!$O:$O,$F1200)</f>
        <v>40736.160000000003</v>
      </c>
      <c r="AA1200" s="235">
        <f>SUMIFS(операции!$V:$V,операции!$T:$T,"&lt;"&amp;X$8,операции!$X:$X,"",операции!$L:$L,AA$9,операции!$O:$O,$F1200)+SUMIFS(операции!$V:$V,операции!$T:$T,"&lt;"&amp;X$8,операции!$X:$X,"&gt;="&amp;X$8,операции!$L:$L,AA$9,операции!$O:$O,$F1200)</f>
        <v>9114</v>
      </c>
      <c r="AB1200" s="264"/>
      <c r="AC1200" s="92"/>
      <c r="AD1200" s="92"/>
      <c r="AE1200" s="92"/>
      <c r="AF1200" s="92"/>
      <c r="AG1200" s="92"/>
      <c r="AH1200" s="92"/>
      <c r="AI1200" s="92"/>
      <c r="AJ1200" s="92"/>
      <c r="AK1200" s="92"/>
      <c r="AL1200" s="92"/>
      <c r="AM1200" s="92"/>
      <c r="AN1200" s="92"/>
      <c r="AO1200" s="92"/>
      <c r="AP1200" s="92"/>
    </row>
    <row r="1201" spans="1:42" s="192" customFormat="1" ht="11.25">
      <c r="A1201" s="37"/>
      <c r="B1201" s="37"/>
      <c r="C1201" s="37"/>
      <c r="D1201" s="191" t="s">
        <v>255</v>
      </c>
      <c r="E1201" s="191"/>
      <c r="F1201" s="191" t="str">
        <f>F1200</f>
        <v>КлиматКо</v>
      </c>
      <c r="G1201" s="191" t="s">
        <v>262</v>
      </c>
      <c r="H1201" s="315"/>
      <c r="I1201" s="316">
        <f>IF(I1200=0,0,(SUMIFS(операции!$AF:$AF,операции!$T:$T,"&lt;"&amp;I$8,операции!$X:$X,"",операции!$O:$O,$F1200)+SUMIFS(операции!$AF:$AF,операции!$T:$T,"&lt;"&amp;I$8,операции!$X:$X,"&gt;="&amp;I$8,операции!$O:$O,$F1200))/I1200)</f>
        <v>42222.870939283232</v>
      </c>
      <c r="J1201" s="317"/>
      <c r="K1201" s="316">
        <f>IF(K1200=0,0,(SUMIFS(операции!$AF:$AF,операции!$T:$T,"&lt;"&amp;I$8,операции!$X:$X,"",операции!$L:$L,K$9,операции!$O:$O,$F1200)+SUMIFS(операции!$AF:$AF,операции!$T:$T,"&lt;"&amp;I$8,операции!$X:$X,"&gt;="&amp;I$8,операции!$L:$L,K$9,операции!$O:$O,$F1200))/K1200)</f>
        <v>42222.870939283232</v>
      </c>
      <c r="L1201" s="318">
        <f>IF(L1200=0,0,(SUMIFS(операции!$AF:$AF,операции!$T:$T,"&lt;"&amp;I$8,операции!$X:$X,"",операции!$L:$L,L$9,операции!$O:$O,$F1200)+SUMIFS(операции!$AF:$AF,операции!$T:$T,"&lt;"&amp;I$8,операции!$X:$X,"&gt;="&amp;I$8,операции!$L:$L,L$9,операции!$O:$O,$F1200))/L1200)</f>
        <v>0</v>
      </c>
      <c r="M1201" s="274"/>
      <c r="N1201" s="193">
        <f>IF(N1200=0,0,(SUMIFS(операции!$AF:$AF,операции!$T:$T,"&lt;"&amp;N$8,операции!$X:$X,"",операции!$O:$O,$F1200)+SUMIFS(операции!$AF:$AF,операции!$T:$T,"&lt;"&amp;N$8,операции!$X:$X,"&gt;="&amp;N$8,операции!$O:$O,$F1200))/N1200)</f>
        <v>42222.870939283232</v>
      </c>
      <c r="O1201" s="196"/>
      <c r="P1201" s="193">
        <f>IF(P1200=0,0,(SUMIFS(операции!$AF:$AF,операции!$T:$T,"&lt;"&amp;N$8,операции!$X:$X,"",операции!$L:$L,P$9,операции!$O:$O,$F1200)+SUMIFS(операции!$AF:$AF,операции!$T:$T,"&lt;"&amp;N$8,операции!$X:$X,"&gt;="&amp;N$8,операции!$L:$L,P$9,операции!$O:$O,$F1200))/P1200)</f>
        <v>42222.870939283232</v>
      </c>
      <c r="Q1201" s="237">
        <f>IF(Q1200=0,0,(SUMIFS(операции!$AF:$AF,операции!$T:$T,"&lt;"&amp;N$8,операции!$X:$X,"",операции!$L:$L,Q$9,операции!$O:$O,$F1200)+SUMIFS(операции!$AF:$AF,операции!$T:$T,"&lt;"&amp;N$8,операции!$X:$X,"&gt;="&amp;N$8,операции!$L:$L,Q$9,операции!$O:$O,$F1200))/Q1200)</f>
        <v>0</v>
      </c>
      <c r="R1201" s="238"/>
      <c r="S1201" s="193">
        <f>IF(S1200=0,0,(SUMIFS(операции!$AF:$AF,операции!$T:$T,"&lt;"&amp;S$8,операции!$X:$X,"",операции!$O:$O,$F1200)+SUMIFS(операции!$AF:$AF,операции!$T:$T,"&lt;"&amp;S$8,операции!$X:$X,"&gt;="&amp;S$8,операции!$O:$O,$F1200))/S1200)</f>
        <v>42242.233458891526</v>
      </c>
      <c r="T1201" s="196"/>
      <c r="U1201" s="193">
        <f>IF(U1200=0,0,(SUMIFS(операции!$AF:$AF,операции!$T:$T,"&lt;"&amp;S$8,операции!$X:$X,"",операции!$L:$L,U$9,операции!$O:$O,$F1200)+SUMIFS(операции!$AF:$AF,операции!$T:$T,"&lt;"&amp;S$8,операции!$X:$X,"&gt;="&amp;S$8,операции!$L:$L,U$9,операции!$O:$O,$F1200))/U1200)</f>
        <v>42242.233458891526</v>
      </c>
      <c r="V1201" s="237">
        <f>IF(V1200=0,0,(SUMIFS(операции!$AF:$AF,операции!$T:$T,"&lt;"&amp;S$8,операции!$X:$X,"",операции!$L:$L,V$9,операции!$O:$O,$F1200)+SUMIFS(операции!$AF:$AF,операции!$T:$T,"&lt;"&amp;S$8,операции!$X:$X,"&gt;="&amp;S$8,операции!$L:$L,V$9,операции!$O:$O,$F1200))/V1200)</f>
        <v>0</v>
      </c>
      <c r="W1201" s="238"/>
      <c r="X1201" s="193">
        <f>IF(X1200=0,0,(SUMIFS(операции!$AF:$AF,операции!$T:$T,"&lt;"&amp;X$8,операции!$X:$X,"",операции!$O:$O,$F1200)+SUMIFS(операции!$AF:$AF,операции!$T:$T,"&lt;"&amp;X$8,операции!$X:$X,"&gt;="&amp;X$8,операции!$O:$O,$F1200))/X1200)</f>
        <v>42271.591258483422</v>
      </c>
      <c r="Y1201" s="196"/>
      <c r="Z1201" s="193">
        <f>IF(Z1200=0,0,(SUMIFS(операции!$AF:$AF,операции!$T:$T,"&lt;"&amp;X$8,операции!$X:$X,"",операции!$L:$L,Z$9,операции!$O:$O,$F1200)+SUMIFS(операции!$AF:$AF,операции!$T:$T,"&lt;"&amp;X$8,операции!$X:$X,"&gt;="&amp;X$8,операции!$L:$L,Z$9,операции!$O:$O,$F1200))/Z1200)</f>
        <v>42257.180934334508</v>
      </c>
      <c r="AA1201" s="237">
        <f>IF(AA1200=0,0,(SUMIFS(операции!$AF:$AF,операции!$T:$T,"&lt;"&amp;X$8,операции!$X:$X,"",операции!$L:$L,AA$9,операции!$O:$O,$F1200)+SUMIFS(операции!$AF:$AF,операции!$T:$T,"&lt;"&amp;X$8,операции!$X:$X,"&gt;="&amp;X$8,операции!$L:$L,AA$9,операции!$O:$O,$F1200))/AA1200)</f>
        <v>42336</v>
      </c>
      <c r="AB1201" s="265"/>
      <c r="AC1201" s="37"/>
      <c r="AD1201" s="37"/>
      <c r="AE1201" s="37"/>
      <c r="AF1201" s="37"/>
      <c r="AG1201" s="37"/>
      <c r="AH1201" s="37"/>
      <c r="AI1201" s="37"/>
      <c r="AJ1201" s="37"/>
      <c r="AK1201" s="37"/>
      <c r="AL1201" s="37"/>
      <c r="AM1201" s="37"/>
      <c r="AN1201" s="37"/>
      <c r="AO1201" s="37"/>
      <c r="AP1201" s="37"/>
    </row>
    <row r="1202" spans="1:42" s="50" customFormat="1" ht="11.25">
      <c r="A1202" s="48"/>
      <c r="B1202" s="48"/>
      <c r="C1202" s="48"/>
      <c r="D1202" s="154" t="s">
        <v>257</v>
      </c>
      <c r="E1202" s="154"/>
      <c r="F1202" s="154" t="str">
        <f t="shared" ref="F1202:F1268" si="2120">F1201</f>
        <v>КлиматКо</v>
      </c>
      <c r="G1202" s="154" t="s">
        <v>219</v>
      </c>
      <c r="H1202" s="319"/>
      <c r="I1202" s="320">
        <f>IF(I1200=0,0,I$8-I1201)</f>
        <v>55.129060716768436</v>
      </c>
      <c r="J1202" s="321">
        <f>I1202-IF(I1200=0,0,(I1205*I1207+I1211*I1213)/I1200)</f>
        <v>2.5934809855243657E-12</v>
      </c>
      <c r="K1202" s="320">
        <f>IF(K1200=0,0,I$8-K1201)</f>
        <v>55.129060716768436</v>
      </c>
      <c r="L1202" s="322">
        <f>IF(L1200=0,0,I$8-L1201)</f>
        <v>0</v>
      </c>
      <c r="M1202" s="275"/>
      <c r="N1202" s="155">
        <f>IF(N1200=0,0,N$8-N1201)</f>
        <v>55.129060716768436</v>
      </c>
      <c r="O1202" s="173">
        <f>N1202-IF(N1200=0,0,(N1205*N1207+N1211*N1213)/N1200)</f>
        <v>2.5934809855243657E-12</v>
      </c>
      <c r="P1202" s="155">
        <f>IF(P1200=0,0,N$8-P1201)</f>
        <v>55.129060716768436</v>
      </c>
      <c r="Q1202" s="239">
        <f>IF(Q1200=0,0,N$8-Q1201)</f>
        <v>0</v>
      </c>
      <c r="R1202" s="240"/>
      <c r="S1202" s="155">
        <f>IF(S1200=0,0,S$8-S1201)</f>
        <v>66.766541108474485</v>
      </c>
      <c r="T1202" s="173">
        <f>S1202-IF(S1200=0,0,(S1205*S1207+S1211*S1213)/S1200)</f>
        <v>7.51754214434186E-12</v>
      </c>
      <c r="U1202" s="155">
        <f>IF(U1200=0,0,S$8-U1201)</f>
        <v>66.766541108474485</v>
      </c>
      <c r="V1202" s="239">
        <f>IF(V1200=0,0,S$8-V1201)</f>
        <v>0</v>
      </c>
      <c r="W1202" s="240"/>
      <c r="X1202" s="155">
        <f>IF(X1200=0,0,X$8-X1201)</f>
        <v>67.40874151657772</v>
      </c>
      <c r="Y1202" s="173">
        <f>X1202-IF(X1200=0,0,(X1205*X1207+X1211*X1213)/X1200)</f>
        <v>1.4921397450962104E-12</v>
      </c>
      <c r="Z1202" s="155">
        <f>IF(Z1200=0,0,X$8-Z1201)</f>
        <v>81.819065665491507</v>
      </c>
      <c r="AA1202" s="239">
        <f>IF(AA1200=0,0,X$8-AA1201)</f>
        <v>3</v>
      </c>
      <c r="AB1202" s="230"/>
      <c r="AC1202" s="48"/>
      <c r="AD1202" s="48"/>
      <c r="AE1202" s="48"/>
      <c r="AF1202" s="48"/>
      <c r="AG1202" s="48"/>
      <c r="AH1202" s="48"/>
      <c r="AI1202" s="48"/>
      <c r="AJ1202" s="48"/>
      <c r="AK1202" s="48"/>
      <c r="AL1202" s="48"/>
      <c r="AM1202" s="48"/>
      <c r="AN1202" s="48"/>
      <c r="AO1202" s="48"/>
      <c r="AP1202" s="48"/>
    </row>
    <row r="1203" spans="1:42" s="93" customFormat="1" ht="15">
      <c r="A1203" s="92"/>
      <c r="B1203" s="92"/>
      <c r="C1203" s="92"/>
      <c r="D1203" s="198" t="s">
        <v>267</v>
      </c>
      <c r="E1203" s="198"/>
      <c r="F1203" s="198" t="str">
        <f t="shared" si="2120"/>
        <v>КлиматКо</v>
      </c>
      <c r="G1203" s="198" t="s">
        <v>219</v>
      </c>
      <c r="H1203" s="323"/>
      <c r="I1203" s="324">
        <f>IF(I1200=0,0,(I1205*I1209+I1211*I1215)/I1200)</f>
        <v>33.538394693643738</v>
      </c>
      <c r="J1203" s="321"/>
      <c r="K1203" s="324">
        <f t="shared" ref="K1203" si="2121">IF(K1200=0,0,(K1205*K1209+K1211*K1215)/K1200)</f>
        <v>33.538394693643738</v>
      </c>
      <c r="L1203" s="325">
        <f>IF(L1200=0,0,(L1205*L1209+L1211*L1215)/L1200)</f>
        <v>0</v>
      </c>
      <c r="M1203" s="276"/>
      <c r="N1203" s="199">
        <f>IF(N1200=0,0,(N1205*N1209+N1211*N1215)/N1200)</f>
        <v>33.538394693643738</v>
      </c>
      <c r="O1203" s="173"/>
      <c r="P1203" s="199">
        <f t="shared" ref="P1203" si="2122">IF(P1200=0,0,(P1205*P1209+P1211*P1215)/P1200)</f>
        <v>33.538394693643738</v>
      </c>
      <c r="Q1203" s="241">
        <f>IF(Q1200=0,0,(Q1205*Q1209+Q1211*Q1215)/Q1200)</f>
        <v>0</v>
      </c>
      <c r="R1203" s="242"/>
      <c r="S1203" s="199">
        <f>IF(S1200=0,0,(S1205*S1209+S1211*S1215)/S1200)</f>
        <v>34.699164801279579</v>
      </c>
      <c r="T1203" s="173"/>
      <c r="U1203" s="199">
        <f t="shared" ref="U1203" si="2123">IF(U1200=0,0,(U1205*U1209+U1211*U1215)/U1200)</f>
        <v>34.699164801279579</v>
      </c>
      <c r="V1203" s="241">
        <f>IF(V1200=0,0,(V1205*V1209+V1211*V1215)/V1200)</f>
        <v>0</v>
      </c>
      <c r="W1203" s="242"/>
      <c r="X1203" s="199">
        <f>IF(X1200=0,0,(X1205*X1209+X1211*X1215)/X1200)</f>
        <v>27.408607715600578</v>
      </c>
      <c r="Y1203" s="173"/>
      <c r="Z1203" s="199">
        <f t="shared" ref="Z1203" si="2124">IF(Z1200=0,0,(Z1205*Z1209+Z1211*Z1215)/Z1200)</f>
        <v>32.869604793382067</v>
      </c>
      <c r="AA1203" s="241">
        <f>IF(AA1200=0,0,(AA1205*AA1209+AA1211*AA1215)/AA1200)</f>
        <v>3</v>
      </c>
      <c r="AB1203" s="264"/>
      <c r="AC1203" s="92"/>
      <c r="AD1203" s="92"/>
      <c r="AE1203" s="92"/>
      <c r="AF1203" s="92"/>
      <c r="AG1203" s="92"/>
      <c r="AH1203" s="92"/>
      <c r="AI1203" s="92"/>
      <c r="AJ1203" s="92"/>
      <c r="AK1203" s="92"/>
      <c r="AL1203" s="92"/>
      <c r="AM1203" s="92"/>
      <c r="AN1203" s="92"/>
      <c r="AO1203" s="92"/>
      <c r="AP1203" s="92"/>
    </row>
    <row r="1204" spans="1:42" s="50" customFormat="1" ht="11.25">
      <c r="A1204" s="48"/>
      <c r="B1204" s="48"/>
      <c r="C1204" s="48"/>
      <c r="D1204" s="154" t="s">
        <v>270</v>
      </c>
      <c r="E1204" s="154"/>
      <c r="F1204" s="154" t="str">
        <f t="shared" si="2120"/>
        <v>КлиматКо</v>
      </c>
      <c r="G1204" s="154" t="s">
        <v>219</v>
      </c>
      <c r="H1204" s="319"/>
      <c r="I1204" s="320">
        <f>I1202-I1203</f>
        <v>21.590666023124697</v>
      </c>
      <c r="J1204" s="321"/>
      <c r="K1204" s="320">
        <f t="shared" ref="K1204" si="2125">K1202-K1203</f>
        <v>21.590666023124697</v>
      </c>
      <c r="L1204" s="322">
        <f t="shared" ref="L1204" si="2126">L1202-L1203</f>
        <v>0</v>
      </c>
      <c r="M1204" s="275"/>
      <c r="N1204" s="155">
        <f>N1202-N1203</f>
        <v>21.590666023124697</v>
      </c>
      <c r="O1204" s="173"/>
      <c r="P1204" s="155">
        <f t="shared" ref="P1204" si="2127">P1202-P1203</f>
        <v>21.590666023124697</v>
      </c>
      <c r="Q1204" s="239">
        <f t="shared" ref="Q1204" si="2128">Q1202-Q1203</f>
        <v>0</v>
      </c>
      <c r="R1204" s="240"/>
      <c r="S1204" s="155">
        <f>S1202-S1203</f>
        <v>32.067376307194905</v>
      </c>
      <c r="T1204" s="173"/>
      <c r="U1204" s="155">
        <f t="shared" ref="U1204" si="2129">U1202-U1203</f>
        <v>32.067376307194905</v>
      </c>
      <c r="V1204" s="239">
        <f t="shared" ref="V1204" si="2130">V1202-V1203</f>
        <v>0</v>
      </c>
      <c r="W1204" s="240"/>
      <c r="X1204" s="155">
        <f>X1202-X1203</f>
        <v>40.000133800977139</v>
      </c>
      <c r="Y1204" s="173"/>
      <c r="Z1204" s="155">
        <f t="shared" ref="Z1204" si="2131">Z1202-Z1203</f>
        <v>48.949460872109441</v>
      </c>
      <c r="AA1204" s="239">
        <f t="shared" ref="AA1204" si="2132">AA1202-AA1203</f>
        <v>0</v>
      </c>
      <c r="AB1204" s="230"/>
      <c r="AC1204" s="48"/>
      <c r="AD1204" s="48"/>
      <c r="AE1204" s="48"/>
      <c r="AF1204" s="48"/>
      <c r="AG1204" s="48"/>
      <c r="AH1204" s="48"/>
      <c r="AI1204" s="48"/>
      <c r="AJ1204" s="48"/>
      <c r="AK1204" s="48"/>
      <c r="AL1204" s="48"/>
      <c r="AM1204" s="48"/>
      <c r="AN1204" s="48"/>
      <c r="AO1204" s="48"/>
      <c r="AP1204" s="48"/>
    </row>
    <row r="1205" spans="1:42" s="5" customFormat="1">
      <c r="A1205" s="1"/>
      <c r="B1205" s="1"/>
      <c r="C1205" s="1"/>
      <c r="D1205" s="168"/>
      <c r="E1205" s="168" t="s">
        <v>258</v>
      </c>
      <c r="F1205" s="168" t="str">
        <f t="shared" si="2120"/>
        <v>КлиматКо</v>
      </c>
      <c r="G1205" s="168" t="s">
        <v>261</v>
      </c>
      <c r="H1205" s="326"/>
      <c r="I1205" s="327">
        <f>SUMIFS(операции!$V:$V,операции!$T:$T,"&lt;"&amp;I$8,операции!$X:$X,"",операции!$AB:$AB,"&lt;&gt;"&amp;"",операции!$AB:$AB,"&lt;"&amp;I$8,операции!$O:$O,$F1200)+SUMIFS(операции!$V:$V,операции!$T:$T,"&lt;"&amp;I$8,операции!$X:$X,"&gt;="&amp;I$8,операции!$AB:$AB,"&lt;&gt;"&amp;"",операции!$AB:$AB,"&lt;"&amp;I$8,операции!$O:$O,$F1200)</f>
        <v>26134.619999999995</v>
      </c>
      <c r="J1205" s="313">
        <f>I1205-K1205-L1205</f>
        <v>0</v>
      </c>
      <c r="K1205" s="327">
        <f>SUMIFS(операции!$V:$V,операции!$T:$T,"&lt;"&amp;I$8,операции!$X:$X,"",операции!$AB:$AB,"&lt;&gt;"&amp;"",операции!$AB:$AB,"&lt;"&amp;I$8,операции!$L:$L,K$9,операции!$O:$O,$F1200)+SUMIFS(операции!$V:$V,операции!$T:$T,"&lt;"&amp;I$8,операции!$X:$X,"&gt;="&amp;I$8,операции!$AB:$AB,"&lt;&gt;"&amp;"",операции!$AB:$AB,"&lt;"&amp;I$8,операции!$L:$L,K$9,операции!$O:$O,$F1200)</f>
        <v>26134.619999999995</v>
      </c>
      <c r="L1205" s="328">
        <f>SUMIFS(операции!$V:$V,операции!$T:$T,"&lt;"&amp;I$8,операции!$X:$X,"",операции!$AB:$AB,"&lt;&gt;"&amp;"",операции!$AB:$AB,"&lt;"&amp;I$8,операции!$L:$L,L$9,операции!$O:$O,$F1200)+SUMIFS(операции!$V:$V,операции!$T:$T,"&lt;"&amp;I$8,операции!$X:$X,"&gt;="&amp;I$8,операции!$AB:$AB,"&lt;&gt;"&amp;"",операции!$AB:$AB,"&lt;"&amp;I$8,операции!$L:$L,L$9,операции!$O:$O,$F1200)</f>
        <v>0</v>
      </c>
      <c r="M1205" s="277"/>
      <c r="N1205" s="169">
        <f>SUMIFS(операции!$V:$V,операции!$T:$T,"&lt;"&amp;N$8,операции!$X:$X,"",операции!$AB:$AB,"&lt;&gt;"&amp;"",операции!$AB:$AB,"&lt;"&amp;N$8,операции!$O:$O,$F1200)+SUMIFS(операции!$V:$V,операции!$T:$T,"&lt;"&amp;N$8,операции!$X:$X,"&gt;="&amp;N$8,операции!$AB:$AB,"&lt;&gt;"&amp;"",операции!$AB:$AB,"&lt;"&amp;N$8,операции!$O:$O,$F1200)</f>
        <v>26134.619999999995</v>
      </c>
      <c r="O1205" s="170">
        <f>N1205-P1205-Q1205</f>
        <v>0</v>
      </c>
      <c r="P1205" s="169">
        <f>SUMIFS(операции!$V:$V,операции!$T:$T,"&lt;"&amp;N$8,операции!$X:$X,"",операции!$AB:$AB,"&lt;&gt;"&amp;"",операции!$AB:$AB,"&lt;"&amp;N$8,операции!$L:$L,P$9,операции!$O:$O,$F1200)+SUMIFS(операции!$V:$V,операции!$T:$T,"&lt;"&amp;N$8,операции!$X:$X,"&gt;="&amp;N$8,операции!$AB:$AB,"&lt;&gt;"&amp;"",операции!$AB:$AB,"&lt;"&amp;N$8,операции!$L:$L,P$9,операции!$O:$O,$F1200)</f>
        <v>26134.619999999995</v>
      </c>
      <c r="Q1205" s="243">
        <f>SUMIFS(операции!$V:$V,операции!$T:$T,"&lt;"&amp;N$8,операции!$X:$X,"",операции!$AB:$AB,"&lt;&gt;"&amp;"",операции!$AB:$AB,"&lt;"&amp;N$8,операции!$L:$L,Q$9,операции!$O:$O,$F1200)+SUMIFS(операции!$V:$V,операции!$T:$T,"&lt;"&amp;N$8,операции!$X:$X,"&gt;="&amp;N$8,операции!$AB:$AB,"&lt;&gt;"&amp;"",операции!$AB:$AB,"&lt;"&amp;N$8,операции!$L:$L,Q$9,операции!$O:$O,$F1200)</f>
        <v>0</v>
      </c>
      <c r="R1205" s="244"/>
      <c r="S1205" s="169">
        <f>SUMIFS(операции!$V:$V,операции!$T:$T,"&lt;"&amp;S$8,операции!$X:$X,"",операции!$AB:$AB,"&lt;&gt;"&amp;"",операции!$AB:$AB,"&lt;"&amp;S$8,операции!$O:$O,$F1200)+SUMIFS(операции!$V:$V,операции!$T:$T,"&lt;"&amp;S$8,операции!$X:$X,"&gt;="&amp;S$8,операции!$AB:$AB,"&lt;&gt;"&amp;"",операции!$AB:$AB,"&lt;"&amp;S$8,операции!$O:$O,$F1200)</f>
        <v>40094.619999999995</v>
      </c>
      <c r="T1205" s="170">
        <f>S1205-U1205-V1205</f>
        <v>0</v>
      </c>
      <c r="U1205" s="169">
        <f>SUMIFS(операции!$V:$V,операции!$T:$T,"&lt;"&amp;S$8,операции!$X:$X,"",операции!$AB:$AB,"&lt;&gt;"&amp;"",операции!$AB:$AB,"&lt;"&amp;S$8,операции!$L:$L,U$9,операции!$O:$O,$F1200)+SUMIFS(операции!$V:$V,операции!$T:$T,"&lt;"&amp;S$8,операции!$X:$X,"&gt;="&amp;S$8,операции!$AB:$AB,"&lt;&gt;"&amp;"",операции!$AB:$AB,"&lt;"&amp;S$8,операции!$L:$L,U$9,операции!$O:$O,$F1200)</f>
        <v>40094.619999999995</v>
      </c>
      <c r="V1205" s="243">
        <f>SUMIFS(операции!$V:$V,операции!$T:$T,"&lt;"&amp;S$8,операции!$X:$X,"",операции!$AB:$AB,"&lt;&gt;"&amp;"",операции!$AB:$AB,"&lt;"&amp;S$8,операции!$L:$L,V$9,операции!$O:$O,$F1200)+SUMIFS(операции!$V:$V,операции!$T:$T,"&lt;"&amp;S$8,операции!$X:$X,"&gt;="&amp;S$8,операции!$AB:$AB,"&lt;&gt;"&amp;"",операции!$AB:$AB,"&lt;"&amp;S$8,операции!$L:$L,V$9,операции!$O:$O,$F1200)</f>
        <v>0</v>
      </c>
      <c r="W1205" s="244"/>
      <c r="X1205" s="169">
        <f>SUMIFS(операции!$V:$V,операции!$T:$T,"&lt;"&amp;X$8,операции!$X:$X,"",операции!$AB:$AB,"&lt;&gt;"&amp;"",операции!$AB:$AB,"&lt;"&amp;X$8,операции!$O:$O,$F1200)+SUMIFS(операции!$V:$V,операции!$T:$T,"&lt;"&amp;X$8,операции!$X:$X,"&gt;="&amp;X$8,операции!$AB:$AB,"&lt;&gt;"&amp;"",операции!$AB:$AB,"&lt;"&amp;X$8,операции!$O:$O,$F1200)</f>
        <v>32822.020000000004</v>
      </c>
      <c r="Y1205" s="170">
        <f>X1205-Z1205-AA1205</f>
        <v>0</v>
      </c>
      <c r="Z1205" s="169">
        <f>SUMIFS(операции!$V:$V,операции!$T:$T,"&lt;"&amp;X$8,операции!$X:$X,"",операции!$AB:$AB,"&lt;&gt;"&amp;"",операции!$AB:$AB,"&lt;"&amp;X$8,операции!$L:$L,Z$9,операции!$O:$O,$F1200)+SUMIFS(операции!$V:$V,операции!$T:$T,"&lt;"&amp;X$8,операции!$X:$X,"&gt;="&amp;X$8,операции!$AB:$AB,"&lt;&gt;"&amp;"",операции!$AB:$AB,"&lt;"&amp;X$8,операции!$L:$L,Z$9,операции!$O:$O,$F1200)</f>
        <v>32822.020000000004</v>
      </c>
      <c r="AA1205" s="243">
        <f>SUMIFS(операции!$V:$V,операции!$T:$T,"&lt;"&amp;X$8,операции!$X:$X,"",операции!$AB:$AB,"&lt;&gt;"&amp;"",операции!$AB:$AB,"&lt;"&amp;X$8,операции!$L:$L,AA$9,операции!$O:$O,$F1200)+SUMIFS(операции!$V:$V,операции!$T:$T,"&lt;"&amp;X$8,операции!$X:$X,"&gt;="&amp;X$8,операции!$AB:$AB,"&lt;&gt;"&amp;"",операции!$AB:$AB,"&lt;"&amp;X$8,операции!$L:$L,AA$9,операции!$O:$O,$F1200)</f>
        <v>0</v>
      </c>
      <c r="AB1205" s="266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</row>
    <row r="1206" spans="1:42" s="192" customFormat="1" ht="11.25">
      <c r="A1206" s="37"/>
      <c r="B1206" s="37"/>
      <c r="C1206" s="37"/>
      <c r="D1206" s="191"/>
      <c r="E1206" s="191" t="s">
        <v>255</v>
      </c>
      <c r="F1206" s="191" t="str">
        <f t="shared" si="2120"/>
        <v>КлиматКо</v>
      </c>
      <c r="G1206" s="191" t="s">
        <v>262</v>
      </c>
      <c r="H1206" s="315"/>
      <c r="I1206" s="316">
        <f>IF(I1205=0,0,(SUMIFS(операции!$AF:$AF,операции!$T:$T,"&lt;"&amp;I$8,операции!$X:$X,"",операции!$AB:$AB,"&lt;&gt;"&amp;"",операции!$AB:$AB,"&lt;"&amp;I$8,операции!$O:$O,$F1200)+SUMIFS(операции!$AF:$AF,операции!$T:$T,"&lt;"&amp;I$8,операции!$X:$X,"&gt;="&amp;I$8,операции!$AB:$AB,"&lt;&gt;"&amp;"",операции!$AB:$AB,"&lt;"&amp;I$8,операции!$O:$O,$F1200))/I1205)</f>
        <v>42205.077724489594</v>
      </c>
      <c r="J1206" s="317"/>
      <c r="K1206" s="316">
        <f>IF(K1205=0,0,(SUMIFS(операции!$AF:$AF,операции!$T:$T,"&lt;"&amp;I$8,операции!$X:$X,"",операции!$AB:$AB,"&lt;&gt;"&amp;"",операции!$AB:$AB,"&lt;"&amp;I$8,операции!$L:$L,K$9,операции!$O:$O,$F1200)+SUMIFS(операции!$AF:$AF,операции!$T:$T,"&lt;"&amp;I$8,операции!$X:$X,"&gt;="&amp;I$8,операции!$AB:$AB,"&lt;&gt;"&amp;"",операции!$AB:$AB,"&lt;"&amp;I$8,операции!$L:$L,K$9,операции!$O:$O,$F1200))/K1205)</f>
        <v>42205.077724489594</v>
      </c>
      <c r="L1206" s="318">
        <f>IF(L1205=0,0,(SUMIFS(операции!$AF:$AF,операции!$T:$T,"&lt;"&amp;I$8,операции!$X:$X,"",операции!$AB:$AB,"&lt;&gt;"&amp;"",операции!$AB:$AB,"&lt;"&amp;I$8,операции!$L:$L,L$9,операции!$O:$O,$F1200)+SUMIFS(операции!$AF:$AF,операции!$T:$T,"&lt;"&amp;I$8,операции!$X:$X,"&gt;="&amp;I$8,операции!$AB:$AB,"&lt;&gt;"&amp;"",операции!$AB:$AB,"&lt;"&amp;I$8,операции!$L:$L,L$9,операции!$O:$O,$F1200))/L1205)</f>
        <v>0</v>
      </c>
      <c r="M1206" s="274"/>
      <c r="N1206" s="193">
        <f>IF(N1205=0,0,(SUMIFS(операции!$AF:$AF,операции!$T:$T,"&lt;"&amp;N$8,операции!$X:$X,"",операции!$AB:$AB,"&lt;&gt;"&amp;"",операции!$AB:$AB,"&lt;"&amp;N$8,операции!$O:$O,$F1200)+SUMIFS(операции!$AF:$AF,операции!$T:$T,"&lt;"&amp;N$8,операции!$X:$X,"&gt;="&amp;N$8,операции!$AB:$AB,"&lt;&gt;"&amp;"",операции!$AB:$AB,"&lt;"&amp;N$8,операции!$O:$O,$F1200))/N1205)</f>
        <v>42205.077724489594</v>
      </c>
      <c r="O1206" s="196"/>
      <c r="P1206" s="193">
        <f>IF(P1205=0,0,(SUMIFS(операции!$AF:$AF,операции!$T:$T,"&lt;"&amp;N$8,операции!$X:$X,"",операции!$AB:$AB,"&lt;&gt;"&amp;"",операции!$AB:$AB,"&lt;"&amp;N$8,операции!$L:$L,P$9,операции!$O:$O,$F1200)+SUMIFS(операции!$AF:$AF,операции!$T:$T,"&lt;"&amp;N$8,операции!$X:$X,"&gt;="&amp;N$8,операции!$AB:$AB,"&lt;&gt;"&amp;"",операции!$AB:$AB,"&lt;"&amp;N$8,операции!$L:$L,P$9,операции!$O:$O,$F1200))/P1205)</f>
        <v>42205.077724489594</v>
      </c>
      <c r="Q1206" s="237">
        <f>IF(Q1205=0,0,(SUMIFS(операции!$AF:$AF,операции!$T:$T,"&lt;"&amp;N$8,операции!$X:$X,"",операции!$AB:$AB,"&lt;&gt;"&amp;"",операции!$AB:$AB,"&lt;"&amp;N$8,операции!$L:$L,Q$9,операции!$O:$O,$F1200)+SUMIFS(операции!$AF:$AF,операции!$T:$T,"&lt;"&amp;N$8,операции!$X:$X,"&gt;="&amp;N$8,операции!$AB:$AB,"&lt;&gt;"&amp;"",операции!$AB:$AB,"&lt;"&amp;N$8,операции!$L:$L,Q$9,операции!$O:$O,$F1200))/Q1205)</f>
        <v>0</v>
      </c>
      <c r="R1206" s="238"/>
      <c r="S1206" s="193">
        <f>IF(S1205=0,0,(SUMIFS(операции!$AF:$AF,операции!$T:$T,"&lt;"&amp;S$8,операции!$X:$X,"",операции!$AB:$AB,"&lt;&gt;"&amp;"",операции!$AB:$AB,"&lt;"&amp;S$8,операции!$O:$O,$F1200)+SUMIFS(операции!$AF:$AF,операции!$T:$T,"&lt;"&amp;S$8,операции!$X:$X,"&gt;="&amp;S$8,операции!$AB:$AB,"&lt;&gt;"&amp;"",операции!$AB:$AB,"&lt;"&amp;S$8,операции!$O:$O,$F1200))/S1205)</f>
        <v>42236.170947623403</v>
      </c>
      <c r="T1206" s="196"/>
      <c r="U1206" s="193">
        <f>IF(U1205=0,0,(SUMIFS(операции!$AF:$AF,операции!$T:$T,"&lt;"&amp;S$8,операции!$X:$X,"",операции!$AB:$AB,"&lt;&gt;"&amp;"",операции!$AB:$AB,"&lt;"&amp;S$8,операции!$L:$L,U$9,операции!$O:$O,$F1200)+SUMIFS(операции!$AF:$AF,операции!$T:$T,"&lt;"&amp;S$8,операции!$X:$X,"&gt;="&amp;S$8,операции!$AB:$AB,"&lt;&gt;"&amp;"",операции!$AB:$AB,"&lt;"&amp;S$8,операции!$L:$L,U$9,операции!$O:$O,$F1200))/U1205)</f>
        <v>42236.170947623403</v>
      </c>
      <c r="V1206" s="237">
        <f>IF(V1205=0,0,(SUMIFS(операции!$AF:$AF,операции!$T:$T,"&lt;"&amp;S$8,операции!$X:$X,"",операции!$AB:$AB,"&lt;&gt;"&amp;"",операции!$AB:$AB,"&lt;"&amp;S$8,операции!$L:$L,V$9,операции!$O:$O,$F1200)+SUMIFS(операции!$AF:$AF,операции!$T:$T,"&lt;"&amp;S$8,операции!$X:$X,"&gt;="&amp;S$8,операции!$AB:$AB,"&lt;&gt;"&amp;"",операции!$AB:$AB,"&lt;"&amp;S$8,операции!$L:$L,V$9,операции!$O:$O,$F1200))/V1205)</f>
        <v>0</v>
      </c>
      <c r="W1206" s="238"/>
      <c r="X1206" s="193">
        <f>IF(X1205=0,0,(SUMIFS(операции!$AF:$AF,операции!$T:$T,"&lt;"&amp;X$8,операции!$X:$X,"",операции!$AB:$AB,"&lt;&gt;"&amp;"",операции!$AB:$AB,"&lt;"&amp;X$8,операции!$O:$O,$F1200)+SUMIFS(операции!$AF:$AF,операции!$T:$T,"&lt;"&amp;X$8,операции!$X:$X,"&gt;="&amp;X$8,операции!$AB:$AB,"&lt;&gt;"&amp;"",операции!$AB:$AB,"&lt;"&amp;X$8,операции!$O:$O,$F1200))/X1205)</f>
        <v>42245.646683842126</v>
      </c>
      <c r="Y1206" s="196"/>
      <c r="Z1206" s="193">
        <f>IF(Z1205=0,0,(SUMIFS(операции!$AF:$AF,операции!$T:$T,"&lt;"&amp;X$8,операции!$X:$X,"",операции!$AB:$AB,"&lt;&gt;"&amp;"",операции!$AB:$AB,"&lt;"&amp;X$8,операции!$L:$L,Z$9,операции!$O:$O,$F1200)+SUMIFS(операции!$AF:$AF,операции!$T:$T,"&lt;"&amp;X$8,операции!$X:$X,"&gt;="&amp;X$8,операции!$AB:$AB,"&lt;&gt;"&amp;"",операции!$AB:$AB,"&lt;"&amp;X$8,операции!$L:$L,Z$9,операции!$O:$O,$F1200))/Z1205)</f>
        <v>42245.646683842126</v>
      </c>
      <c r="AA1206" s="237">
        <f>IF(AA1205=0,0,(SUMIFS(операции!$AF:$AF,операции!$T:$T,"&lt;"&amp;X$8,операции!$X:$X,"",операции!$AB:$AB,"&lt;&gt;"&amp;"",операции!$AB:$AB,"&lt;"&amp;X$8,операции!$L:$L,AA$9,операции!$O:$O,$F1200)+SUMIFS(операции!$AF:$AF,операции!$T:$T,"&lt;"&amp;X$8,операции!$X:$X,"&gt;="&amp;X$8,операции!$AB:$AB,"&lt;&gt;"&amp;"",операции!$AB:$AB,"&lt;"&amp;X$8,операции!$L:$L,AA$9,операции!$O:$O,$F1200))/AA1205)</f>
        <v>0</v>
      </c>
      <c r="AB1206" s="265"/>
      <c r="AC1206" s="37"/>
      <c r="AD1206" s="37"/>
      <c r="AE1206" s="37"/>
      <c r="AF1206" s="37"/>
      <c r="AG1206" s="37"/>
      <c r="AH1206" s="37"/>
      <c r="AI1206" s="37"/>
      <c r="AJ1206" s="37"/>
      <c r="AK1206" s="37"/>
      <c r="AL1206" s="37"/>
      <c r="AM1206" s="37"/>
      <c r="AN1206" s="37"/>
      <c r="AO1206" s="37"/>
      <c r="AP1206" s="37"/>
    </row>
    <row r="1207" spans="1:42" s="192" customFormat="1" ht="11.25">
      <c r="A1207" s="37"/>
      <c r="B1207" s="37"/>
      <c r="C1207" s="37"/>
      <c r="D1207" s="191"/>
      <c r="E1207" s="191" t="s">
        <v>260</v>
      </c>
      <c r="F1207" s="191" t="str">
        <f t="shared" si="2120"/>
        <v>КлиматКо</v>
      </c>
      <c r="G1207" s="191" t="s">
        <v>219</v>
      </c>
      <c r="H1207" s="315"/>
      <c r="I1207" s="329">
        <f>IF(I1205=0,0,I$8-I1206)</f>
        <v>72.922275510405598</v>
      </c>
      <c r="J1207" s="317"/>
      <c r="K1207" s="329">
        <f>IF(K1205=0,0,I$8-K1206)</f>
        <v>72.922275510405598</v>
      </c>
      <c r="L1207" s="330">
        <f>IF(L1205=0,0,I$8-L1206)</f>
        <v>0</v>
      </c>
      <c r="M1207" s="274"/>
      <c r="N1207" s="156">
        <f>IF(N1205=0,0,N$8-N1206)</f>
        <v>72.922275510405598</v>
      </c>
      <c r="O1207" s="196"/>
      <c r="P1207" s="156">
        <f>IF(P1205=0,0,N$8-P1206)</f>
        <v>72.922275510405598</v>
      </c>
      <c r="Q1207" s="245">
        <f>IF(Q1205=0,0,N$8-Q1206)</f>
        <v>0</v>
      </c>
      <c r="R1207" s="238"/>
      <c r="S1207" s="156">
        <f>IF(S1205=0,0,S$8-S1206)</f>
        <v>72.829052376597247</v>
      </c>
      <c r="T1207" s="196"/>
      <c r="U1207" s="156">
        <f>IF(U1205=0,0,S$8-U1206)</f>
        <v>72.829052376597247</v>
      </c>
      <c r="V1207" s="245">
        <f>IF(V1205=0,0,S$8-V1206)</f>
        <v>0</v>
      </c>
      <c r="W1207" s="238"/>
      <c r="X1207" s="156">
        <f>IF(X1205=0,0,X$8-X1206)</f>
        <v>93.35331615787436</v>
      </c>
      <c r="Y1207" s="196"/>
      <c r="Z1207" s="156">
        <f>IF(Z1205=0,0,X$8-Z1206)</f>
        <v>93.35331615787436</v>
      </c>
      <c r="AA1207" s="245">
        <f>IF(AA1205=0,0,X$8-AA1206)</f>
        <v>0</v>
      </c>
      <c r="AB1207" s="265"/>
      <c r="AC1207" s="37"/>
      <c r="AD1207" s="37"/>
      <c r="AE1207" s="37"/>
      <c r="AF1207" s="37"/>
      <c r="AG1207" s="37"/>
      <c r="AH1207" s="37"/>
      <c r="AI1207" s="37"/>
      <c r="AJ1207" s="37"/>
      <c r="AK1207" s="37"/>
      <c r="AL1207" s="37"/>
      <c r="AM1207" s="37"/>
      <c r="AN1207" s="37"/>
      <c r="AO1207" s="37"/>
      <c r="AP1207" s="37"/>
    </row>
    <row r="1208" spans="1:42" s="192" customFormat="1" ht="11.25">
      <c r="A1208" s="37"/>
      <c r="B1208" s="37"/>
      <c r="C1208" s="37"/>
      <c r="D1208" s="191"/>
      <c r="E1208" s="191" t="s">
        <v>259</v>
      </c>
      <c r="F1208" s="191" t="str">
        <f t="shared" si="2120"/>
        <v>КлиматКо</v>
      </c>
      <c r="G1208" s="191" t="s">
        <v>262</v>
      </c>
      <c r="H1208" s="315"/>
      <c r="I1208" s="316">
        <f>IF(I1205=0,0,(SUMIFS(операции!$AH:$AH,операции!$T:$T,"&lt;"&amp;I$8,операции!$X:$X,"",операции!$AB:$AB,"&lt;&gt;"&amp;"",операции!$AB:$AB,"&lt;"&amp;I$8,операции!$O:$O,$F1200)+SUMIFS(операции!$AH:$AH,операции!$T:$T,"&lt;"&amp;I$8,операции!$X:$X,"&gt;="&amp;I$8,операции!$AB:$AB,"&lt;&gt;"&amp;"",операции!$AB:$AB,"&lt;"&amp;I$8,операции!$O:$O,$F1200))/I1205)</f>
        <v>42237.434072123498</v>
      </c>
      <c r="J1208" s="317"/>
      <c r="K1208" s="316">
        <f>IF(K1205=0,0,(SUMIFS(операции!$AH:$AH,операции!$T:$T,"&lt;"&amp;I$8,операции!$X:$X,"",операции!$AB:$AB,"&lt;&gt;"&amp;"",операции!$AB:$AB,"&lt;"&amp;I$8,операции!$L:$L,K$9,операции!$O:$O,$F1200)+SUMIFS(операции!$AH:$AH,операции!$T:$T,"&lt;"&amp;I$8,операции!$X:$X,"&gt;="&amp;I$8,операции!$AB:$AB,"&lt;&gt;"&amp;"",операции!$AB:$AB,"&lt;"&amp;I$8,операции!$L:$L,K$9,операции!$O:$O,$F1200))/K1205)</f>
        <v>42237.434072123498</v>
      </c>
      <c r="L1208" s="318">
        <f>IF(L1205=0,0,(SUMIFS(операции!$AH:$AH,операции!$T:$T,"&lt;"&amp;I$8,операции!$X:$X,"",операции!$AB:$AB,"&lt;&gt;"&amp;"",операции!$AB:$AB,"&lt;"&amp;I$8,операции!$L:$L,L$9,операции!$O:$O,$F1200)+SUMIFS(операции!$AH:$AH,операции!$T:$T,"&lt;"&amp;I$8,операции!$X:$X,"&gt;="&amp;I$8,операции!$AB:$AB,"&lt;&gt;"&amp;"",операции!$AB:$AB,"&lt;"&amp;I$8,операции!$L:$L,L$9,операции!$O:$O,$F1200))/L1205)</f>
        <v>0</v>
      </c>
      <c r="M1208" s="274"/>
      <c r="N1208" s="193">
        <f>IF(N1205=0,0,(SUMIFS(операции!$AH:$AH,операции!$T:$T,"&lt;"&amp;N$8,операции!$X:$X,"",операции!$AB:$AB,"&lt;&gt;"&amp;"",операции!$AB:$AB,"&lt;"&amp;N$8,операции!$O:$O,$F1200)+SUMIFS(операции!$AH:$AH,операции!$T:$T,"&lt;"&amp;N$8,операции!$X:$X,"&gt;="&amp;N$8,операции!$AB:$AB,"&lt;&gt;"&amp;"",операции!$AB:$AB,"&lt;"&amp;N$8,операции!$O:$O,$F1200))/N1205)</f>
        <v>42237.434072123498</v>
      </c>
      <c r="O1208" s="196"/>
      <c r="P1208" s="193">
        <f>IF(P1205=0,0,(SUMIFS(операции!$AH:$AH,операции!$T:$T,"&lt;"&amp;N$8,операции!$X:$X,"",операции!$AB:$AB,"&lt;&gt;"&amp;"",операции!$AB:$AB,"&lt;"&amp;N$8,операции!$L:$L,P$9,операции!$O:$O,$F1200)+SUMIFS(операции!$AH:$AH,операции!$T:$T,"&lt;"&amp;N$8,операции!$X:$X,"&gt;="&amp;N$8,операции!$AB:$AB,"&lt;&gt;"&amp;"",операции!$AB:$AB,"&lt;"&amp;N$8,операции!$L:$L,P$9,операции!$O:$O,$F1200))/P1205)</f>
        <v>42237.434072123498</v>
      </c>
      <c r="Q1208" s="237">
        <f>IF(Q1205=0,0,(SUMIFS(операции!$AH:$AH,операции!$T:$T,"&lt;"&amp;N$8,операции!$X:$X,"",операции!$AB:$AB,"&lt;&gt;"&amp;"",операции!$AB:$AB,"&lt;"&amp;N$8,операции!$L:$L,Q$9,операции!$O:$O,$F1200)+SUMIFS(операции!$AH:$AH,операции!$T:$T,"&lt;"&amp;N$8,операции!$X:$X,"&gt;="&amp;N$8,операции!$AB:$AB,"&lt;&gt;"&amp;"",операции!$AB:$AB,"&lt;"&amp;N$8,операции!$L:$L,Q$9,операции!$O:$O,$F1200))/Q1205)</f>
        <v>0</v>
      </c>
      <c r="R1208" s="238"/>
      <c r="S1208" s="193">
        <f>IF(S1205=0,0,(SUMIFS(операции!$AH:$AH,операции!$T:$T,"&lt;"&amp;S$8,операции!$X:$X,"",операции!$AB:$AB,"&lt;&gt;"&amp;"",операции!$AB:$AB,"&lt;"&amp;S$8,операции!$O:$O,$F1200)+SUMIFS(операции!$AH:$AH,операции!$T:$T,"&lt;"&amp;S$8,операции!$X:$X,"&gt;="&amp;S$8,операции!$AB:$AB,"&lt;&gt;"&amp;"",операции!$AB:$AB,"&lt;"&amp;S$8,операции!$O:$O,$F1200))/S1205)</f>
        <v>42268.682812058083</v>
      </c>
      <c r="T1208" s="196"/>
      <c r="U1208" s="193">
        <f>IF(U1205=0,0,(SUMIFS(операции!$AH:$AH,операции!$T:$T,"&lt;"&amp;S$8,операции!$X:$X,"",операции!$AB:$AB,"&lt;&gt;"&amp;"",операции!$AB:$AB,"&lt;"&amp;S$8,операции!$L:$L,U$9,операции!$O:$O,$F1200)+SUMIFS(операции!$AH:$AH,операции!$T:$T,"&lt;"&amp;S$8,операции!$X:$X,"&gt;="&amp;S$8,операции!$AB:$AB,"&lt;&gt;"&amp;"",операции!$AB:$AB,"&lt;"&amp;S$8,операции!$L:$L,U$9,операции!$O:$O,$F1200))/U1205)</f>
        <v>42268.682812058083</v>
      </c>
      <c r="V1208" s="237">
        <f>IF(V1205=0,0,(SUMIFS(операции!$AH:$AH,операции!$T:$T,"&lt;"&amp;S$8,операции!$X:$X,"",операции!$AB:$AB,"&lt;&gt;"&amp;"",операции!$AB:$AB,"&lt;"&amp;S$8,операции!$L:$L,V$9,операции!$O:$O,$F1200)+SUMIFS(операции!$AH:$AH,операции!$T:$T,"&lt;"&amp;S$8,операции!$X:$X,"&gt;="&amp;S$8,операции!$AB:$AB,"&lt;&gt;"&amp;"",операции!$AB:$AB,"&lt;"&amp;S$8,операции!$L:$L,V$9,операции!$O:$O,$F1200))/V1205)</f>
        <v>0</v>
      </c>
      <c r="W1208" s="238"/>
      <c r="X1208" s="193">
        <f>IF(X1205=0,0,(SUMIFS(операции!$AH:$AH,операции!$T:$T,"&lt;"&amp;X$8,операции!$X:$X,"",операции!$AB:$AB,"&lt;&gt;"&amp;"",операции!$AB:$AB,"&lt;"&amp;X$8,операции!$O:$O,$F1200)+SUMIFS(операции!$AH:$AH,операции!$T:$T,"&lt;"&amp;X$8,операции!$X:$X,"&gt;="&amp;X$8,операции!$AB:$AB,"&lt;&gt;"&amp;"",операции!$AB:$AB,"&lt;"&amp;X$8,операции!$O:$O,$F1200))/X1205)</f>
        <v>42278.247704132773</v>
      </c>
      <c r="Y1208" s="196"/>
      <c r="Z1208" s="193">
        <f>IF(Z1205=0,0,(SUMIFS(операции!$AH:$AH,операции!$T:$T,"&lt;"&amp;X$8,операции!$X:$X,"",операции!$AB:$AB,"&lt;&gt;"&amp;"",операции!$AB:$AB,"&lt;"&amp;X$8,операции!$L:$L,Z$9,операции!$O:$O,$F1200)+SUMIFS(операции!$AH:$AH,операции!$T:$T,"&lt;"&amp;X$8,операции!$X:$X,"&gt;="&amp;X$8,операции!$AB:$AB,"&lt;&gt;"&amp;"",операции!$AB:$AB,"&lt;"&amp;X$8,операции!$L:$L,Z$9,операции!$O:$O,$F1200))/Z1205)</f>
        <v>42278.247704132773</v>
      </c>
      <c r="AA1208" s="237">
        <f>IF(AA1205=0,0,(SUMIFS(операции!$AH:$AH,операции!$T:$T,"&lt;"&amp;X$8,операции!$X:$X,"",операции!$AB:$AB,"&lt;&gt;"&amp;"",операции!$AB:$AB,"&lt;"&amp;X$8,операции!$L:$L,AA$9,операции!$O:$O,$F1200)+SUMIFS(операции!$AH:$AH,операции!$T:$T,"&lt;"&amp;X$8,операции!$X:$X,"&gt;="&amp;X$8,операции!$AB:$AB,"&lt;&gt;"&amp;"",операции!$AB:$AB,"&lt;"&amp;X$8,операции!$L:$L,AA$9,операции!$O:$O,$F1200))/AA1205)</f>
        <v>0</v>
      </c>
      <c r="AB1208" s="265"/>
      <c r="AC1208" s="37"/>
      <c r="AD1208" s="37"/>
      <c r="AE1208" s="37"/>
      <c r="AF1208" s="37"/>
      <c r="AG1208" s="37"/>
      <c r="AH1208" s="37"/>
      <c r="AI1208" s="37"/>
      <c r="AJ1208" s="37"/>
      <c r="AK1208" s="37"/>
      <c r="AL1208" s="37"/>
      <c r="AM1208" s="37"/>
      <c r="AN1208" s="37"/>
      <c r="AO1208" s="37"/>
      <c r="AP1208" s="37"/>
    </row>
    <row r="1209" spans="1:42" s="192" customFormat="1" ht="11.25">
      <c r="A1209" s="37"/>
      <c r="B1209" s="37"/>
      <c r="C1209" s="37"/>
      <c r="D1209" s="191"/>
      <c r="E1209" s="191" t="s">
        <v>265</v>
      </c>
      <c r="F1209" s="191" t="str">
        <f t="shared" si="2120"/>
        <v>КлиматКо</v>
      </c>
      <c r="G1209" s="191" t="s">
        <v>219</v>
      </c>
      <c r="H1209" s="315"/>
      <c r="I1209" s="329">
        <f>I1208-I1206</f>
        <v>32.356347633904079</v>
      </c>
      <c r="J1209" s="317"/>
      <c r="K1209" s="329">
        <f t="shared" ref="K1209" si="2133">K1208-K1206</f>
        <v>32.356347633904079</v>
      </c>
      <c r="L1209" s="330">
        <f>L1208-L1206</f>
        <v>0</v>
      </c>
      <c r="M1209" s="274"/>
      <c r="N1209" s="156">
        <f>N1208-N1206</f>
        <v>32.356347633904079</v>
      </c>
      <c r="O1209" s="196"/>
      <c r="P1209" s="156">
        <f t="shared" ref="P1209" si="2134">P1208-P1206</f>
        <v>32.356347633904079</v>
      </c>
      <c r="Q1209" s="245">
        <f>Q1208-Q1206</f>
        <v>0</v>
      </c>
      <c r="R1209" s="238"/>
      <c r="S1209" s="156">
        <f>S1208-S1206</f>
        <v>32.511864434680319</v>
      </c>
      <c r="T1209" s="196"/>
      <c r="U1209" s="156">
        <f t="shared" ref="U1209" si="2135">U1208-U1206</f>
        <v>32.511864434680319</v>
      </c>
      <c r="V1209" s="245">
        <f>V1208-V1206</f>
        <v>0</v>
      </c>
      <c r="W1209" s="238"/>
      <c r="X1209" s="156">
        <f>X1208-X1206</f>
        <v>32.601020290647284</v>
      </c>
      <c r="Y1209" s="196"/>
      <c r="Z1209" s="156">
        <f t="shared" ref="Z1209" si="2136">Z1208-Z1206</f>
        <v>32.601020290647284</v>
      </c>
      <c r="AA1209" s="245">
        <f>AA1208-AA1206</f>
        <v>0</v>
      </c>
      <c r="AB1209" s="265"/>
      <c r="AC1209" s="37"/>
      <c r="AD1209" s="37"/>
      <c r="AE1209" s="37"/>
      <c r="AF1209" s="37"/>
      <c r="AG1209" s="37"/>
      <c r="AH1209" s="37"/>
      <c r="AI1209" s="37"/>
      <c r="AJ1209" s="37"/>
      <c r="AK1209" s="37"/>
      <c r="AL1209" s="37"/>
      <c r="AM1209" s="37"/>
      <c r="AN1209" s="37"/>
      <c r="AO1209" s="37"/>
      <c r="AP1209" s="37"/>
    </row>
    <row r="1210" spans="1:42" s="192" customFormat="1" ht="11.25">
      <c r="A1210" s="37"/>
      <c r="B1210" s="37"/>
      <c r="C1210" s="37"/>
      <c r="D1210" s="191"/>
      <c r="E1210" s="191" t="s">
        <v>268</v>
      </c>
      <c r="F1210" s="191" t="str">
        <f t="shared" si="2120"/>
        <v>КлиматКо</v>
      </c>
      <c r="G1210" s="191" t="s">
        <v>219</v>
      </c>
      <c r="H1210" s="315"/>
      <c r="I1210" s="329">
        <f>I1207-I1209</f>
        <v>40.565927876501519</v>
      </c>
      <c r="J1210" s="317"/>
      <c r="K1210" s="329">
        <f t="shared" ref="K1210" si="2137">K1207-K1209</f>
        <v>40.565927876501519</v>
      </c>
      <c r="L1210" s="330">
        <f t="shared" ref="L1210" si="2138">L1207-L1209</f>
        <v>0</v>
      </c>
      <c r="M1210" s="274"/>
      <c r="N1210" s="156">
        <f>N1207-N1209</f>
        <v>40.565927876501519</v>
      </c>
      <c r="O1210" s="196"/>
      <c r="P1210" s="156">
        <f t="shared" ref="P1210" si="2139">P1207-P1209</f>
        <v>40.565927876501519</v>
      </c>
      <c r="Q1210" s="245">
        <f t="shared" ref="Q1210" si="2140">Q1207-Q1209</f>
        <v>0</v>
      </c>
      <c r="R1210" s="238"/>
      <c r="S1210" s="156">
        <f>S1207-S1209</f>
        <v>40.317187941916927</v>
      </c>
      <c r="T1210" s="196"/>
      <c r="U1210" s="156">
        <f t="shared" ref="U1210" si="2141">U1207-U1209</f>
        <v>40.317187941916927</v>
      </c>
      <c r="V1210" s="245">
        <f t="shared" ref="V1210" si="2142">V1207-V1209</f>
        <v>0</v>
      </c>
      <c r="W1210" s="238"/>
      <c r="X1210" s="156">
        <f>X1207-X1209</f>
        <v>60.752295867227076</v>
      </c>
      <c r="Y1210" s="196"/>
      <c r="Z1210" s="156">
        <f t="shared" ref="Z1210" si="2143">Z1207-Z1209</f>
        <v>60.752295867227076</v>
      </c>
      <c r="AA1210" s="245">
        <f t="shared" ref="AA1210" si="2144">AA1207-AA1209</f>
        <v>0</v>
      </c>
      <c r="AB1210" s="265"/>
      <c r="AC1210" s="37"/>
      <c r="AD1210" s="37"/>
      <c r="AE1210" s="37"/>
      <c r="AF1210" s="37"/>
      <c r="AG1210" s="37"/>
      <c r="AH1210" s="37"/>
      <c r="AI1210" s="37"/>
      <c r="AJ1210" s="37"/>
      <c r="AK1210" s="37"/>
      <c r="AL1210" s="37"/>
      <c r="AM1210" s="37"/>
      <c r="AN1210" s="37"/>
      <c r="AO1210" s="37"/>
      <c r="AP1210" s="37"/>
    </row>
    <row r="1211" spans="1:42" s="5" customFormat="1">
      <c r="A1211" s="1"/>
      <c r="B1211" s="1"/>
      <c r="C1211" s="1"/>
      <c r="D1211" s="168"/>
      <c r="E1211" s="168" t="s">
        <v>276</v>
      </c>
      <c r="F1211" s="168" t="str">
        <f t="shared" si="2120"/>
        <v>КлиматКо</v>
      </c>
      <c r="G1211" s="168" t="s">
        <v>261</v>
      </c>
      <c r="H1211" s="326"/>
      <c r="I1211" s="327">
        <f>SUMIFS(операции!$V:$V,операции!$T:$T,"&lt;"&amp;I$8,операции!$X:$X,"",операции!$AB:$AB,"",операции!$O:$O,$F1200)+SUMIFS(операции!$V:$V,операции!$T:$T,"&lt;"&amp;I$8,операции!$X:$X,"&gt;="&amp;I$8,операции!$AB:$AB,"",операции!$O:$O,$F1200)+SUMIFS(операции!$V:$V,операции!$T:$T,"&lt;"&amp;I$8,операции!$X:$X,"",операции!$AB:$AB,"&gt;="&amp;I$8,операции!$O:$O,$F1200)+SUMIFS(операции!$V:$V,операции!$T:$T,"&lt;"&amp;I$8,операции!$X:$X,"&gt;="&amp;I$8,операции!$AB:$AB,"&gt;="&amp;I$8,операции!$O:$O,$F1200)</f>
        <v>22968.78</v>
      </c>
      <c r="J1211" s="313">
        <f>I1211-K1211-L1211</f>
        <v>0</v>
      </c>
      <c r="K1211" s="327">
        <f>SUMIFS(операции!$V:$V,операции!$T:$T,"&lt;"&amp;I$8,операции!$X:$X,"",операции!$AB:$AB,"",операции!$L:$L,K$9,операции!$O:$O,$F1200)+SUMIFS(операции!$V:$V,операции!$T:$T,"&lt;"&amp;I$8,операции!$X:$X,"&gt;="&amp;I$8,операции!$AB:$AB,"",операции!$L:$L,K$9,операции!$O:$O,$F1200)+SUMIFS(операции!$V:$V,операции!$T:$T,"&lt;"&amp;I$8,операции!$X:$X,"",операции!$AB:$AB,"&gt;="&amp;I$8,операции!$L:$L,K$9,операции!$O:$O,$F1200)+SUMIFS(операции!$V:$V,операции!$T:$T,"&lt;"&amp;I$8,операции!$X:$X,"&gt;="&amp;I$8,операции!$AB:$AB,"&gt;="&amp;I$8,операции!$L:$L,K$9,операции!$O:$O,$F1200)</f>
        <v>22968.78</v>
      </c>
      <c r="L1211" s="328">
        <f>SUMIFS(операции!$V:$V,операции!$T:$T,"&lt;"&amp;I$8,операции!$X:$X,"",операции!$AB:$AB,"",операции!$L:$L,L$9,операции!$O:$O,$F1200)+SUMIFS(операции!$V:$V,операции!$T:$T,"&lt;"&amp;I$8,операции!$X:$X,"&gt;="&amp;I$8,операции!$AB:$AB,"",операции!$L:$L,L$9,операции!$O:$O,$F1200)+SUMIFS(операции!$V:$V,операции!$T:$T,"&lt;"&amp;I$8,операции!$X:$X,"",операции!$AB:$AB,"&gt;="&amp;I$8,операции!$L:$L,L$9,операции!$O:$O,$F1200)+SUMIFS(операции!$V:$V,операции!$T:$T,"&lt;"&amp;I$8,операции!$X:$X,"&gt;="&amp;I$8,операции!$AB:$AB,"&gt;="&amp;I$8,операции!$L:$L,L$9,операции!$O:$O,$F1200)</f>
        <v>0</v>
      </c>
      <c r="M1211" s="277"/>
      <c r="N1211" s="169">
        <f>SUMIFS(операции!$V:$V,операции!$T:$T,"&lt;"&amp;N$8,операции!$X:$X,"",операции!$AB:$AB,"",операции!$O:$O,$F1200)+SUMIFS(операции!$V:$V,операции!$T:$T,"&lt;"&amp;N$8,операции!$X:$X,"&gt;="&amp;N$8,операции!$AB:$AB,"",операции!$O:$O,$F1200)+SUMIFS(операции!$V:$V,операции!$T:$T,"&lt;"&amp;N$8,операции!$X:$X,"",операции!$AB:$AB,"&gt;="&amp;N$8,операции!$O:$O,$F1200)+SUMIFS(операции!$V:$V,операции!$T:$T,"&lt;"&amp;N$8,операции!$X:$X,"&gt;="&amp;N$8,операции!$AB:$AB,"&gt;="&amp;N$8,операции!$O:$O,$F1200)</f>
        <v>22968.78</v>
      </c>
      <c r="O1211" s="170">
        <f>N1211-P1211-Q1211</f>
        <v>0</v>
      </c>
      <c r="P1211" s="169">
        <f>SUMIFS(операции!$V:$V,операции!$T:$T,"&lt;"&amp;N$8,операции!$X:$X,"",операции!$AB:$AB,"",операции!$L:$L,P$9,операции!$O:$O,$F1200)+SUMIFS(операции!$V:$V,операции!$T:$T,"&lt;"&amp;N$8,операции!$X:$X,"&gt;="&amp;N$8,операции!$AB:$AB,"",операции!$L:$L,P$9,операции!$O:$O,$F1200)+SUMIFS(операции!$V:$V,операции!$T:$T,"&lt;"&amp;N$8,операции!$X:$X,"",операции!$AB:$AB,"&gt;="&amp;N$8,операции!$L:$L,P$9,операции!$O:$O,$F1200)+SUMIFS(операции!$V:$V,операции!$T:$T,"&lt;"&amp;N$8,операции!$X:$X,"&gt;="&amp;N$8,операции!$AB:$AB,"&gt;="&amp;N$8,операции!$L:$L,P$9,операции!$O:$O,$F1200)</f>
        <v>22968.78</v>
      </c>
      <c r="Q1211" s="243">
        <f>SUMIFS(операции!$V:$V,операции!$T:$T,"&lt;"&amp;N$8,операции!$X:$X,"",операции!$AB:$AB,"",операции!$L:$L,Q$9,операции!$O:$O,$F1200)+SUMIFS(операции!$V:$V,операции!$T:$T,"&lt;"&amp;N$8,операции!$X:$X,"&gt;="&amp;N$8,операции!$AB:$AB,"",операции!$L:$L,Q$9,операции!$O:$O,$F1200)+SUMIFS(операции!$V:$V,операции!$T:$T,"&lt;"&amp;N$8,операции!$X:$X,"",операции!$AB:$AB,"&gt;="&amp;N$8,операции!$L:$L,Q$9,операции!$O:$O,$F1200)+SUMIFS(операции!$V:$V,операции!$T:$T,"&lt;"&amp;N$8,операции!$X:$X,"&gt;="&amp;N$8,операции!$AB:$AB,"&gt;="&amp;N$8,операции!$L:$L,Q$9,операции!$O:$O,$F1200)</f>
        <v>0</v>
      </c>
      <c r="R1211" s="244"/>
      <c r="S1211" s="169">
        <f>SUMIFS(операции!$V:$V,операции!$T:$T,"&lt;"&amp;S$8,операции!$X:$X,"",операции!$AB:$AB,"",операции!$O:$O,$F1200)+SUMIFS(операции!$V:$V,операции!$T:$T,"&lt;"&amp;S$8,операции!$X:$X,"&gt;="&amp;S$8,операции!$AB:$AB,"",операции!$O:$O,$F1200)+SUMIFS(операции!$V:$V,операции!$T:$T,"&lt;"&amp;S$8,операции!$X:$X,"",операции!$AB:$AB,"&gt;="&amp;S$8,операции!$O:$O,$F1200)+SUMIFS(операции!$V:$V,операции!$T:$T,"&lt;"&amp;S$8,операции!$X:$X,"&gt;="&amp;S$8,операции!$AB:$AB,"&gt;="&amp;S$8,операции!$O:$O,$F1200)</f>
        <v>10314.94</v>
      </c>
      <c r="T1211" s="170">
        <f>S1211-U1211-V1211</f>
        <v>0</v>
      </c>
      <c r="U1211" s="169">
        <f>SUMIFS(операции!$V:$V,операции!$T:$T,"&lt;"&amp;S$8,операции!$X:$X,"",операции!$AB:$AB,"",операции!$L:$L,U$9,операции!$O:$O,$F1200)+SUMIFS(операции!$V:$V,операции!$T:$T,"&lt;"&amp;S$8,операции!$X:$X,"&gt;="&amp;S$8,операции!$AB:$AB,"",операции!$L:$L,U$9,операции!$O:$O,$F1200)+SUMIFS(операции!$V:$V,операции!$T:$T,"&lt;"&amp;S$8,операции!$X:$X,"",операции!$AB:$AB,"&gt;="&amp;S$8,операции!$L:$L,U$9,операции!$O:$O,$F1200)+SUMIFS(операции!$V:$V,операции!$T:$T,"&lt;"&amp;S$8,операции!$X:$X,"&gt;="&amp;S$8,операции!$AB:$AB,"&gt;="&amp;S$8,операции!$L:$L,U$9,операции!$O:$O,$F1200)</f>
        <v>10314.94</v>
      </c>
      <c r="V1211" s="243">
        <f>SUMIFS(операции!$V:$V,операции!$T:$T,"&lt;"&amp;S$8,операции!$X:$X,"",операции!$AB:$AB,"",операции!$L:$L,V$9,операции!$O:$O,$F1200)+SUMIFS(операции!$V:$V,операции!$T:$T,"&lt;"&amp;S$8,операции!$X:$X,"&gt;="&amp;S$8,операции!$AB:$AB,"",операции!$L:$L,V$9,операции!$O:$O,$F1200)+SUMIFS(операции!$V:$V,операции!$T:$T,"&lt;"&amp;S$8,операции!$X:$X,"",операции!$AB:$AB,"&gt;="&amp;S$8,операции!$L:$L,V$9,операции!$O:$O,$F1200)+SUMIFS(операции!$V:$V,операции!$T:$T,"&lt;"&amp;S$8,операции!$X:$X,"&gt;="&amp;S$8,операции!$AB:$AB,"&gt;="&amp;S$8,операции!$L:$L,V$9,операции!$O:$O,$F1200)</f>
        <v>0</v>
      </c>
      <c r="W1211" s="244"/>
      <c r="X1211" s="169">
        <f>SUMIFS(операции!$V:$V,операции!$T:$T,"&lt;"&amp;X$8,операции!$X:$X,"",операции!$AB:$AB,"",операции!$O:$O,$F1200)+SUMIFS(операции!$V:$V,операции!$T:$T,"&lt;"&amp;X$8,операции!$X:$X,"&gt;="&amp;X$8,операции!$AB:$AB,"",операции!$O:$O,$F1200)+SUMIFS(операции!$V:$V,операции!$T:$T,"&lt;"&amp;X$8,операции!$X:$X,"",операции!$AB:$AB,"&gt;="&amp;X$8,операции!$O:$O,$F1200)+SUMIFS(операции!$V:$V,операции!$T:$T,"&lt;"&amp;X$8,операции!$X:$X,"&gt;="&amp;X$8,операции!$AB:$AB,"&gt;="&amp;X$8,операции!$O:$O,$F1200)</f>
        <v>17028.14</v>
      </c>
      <c r="Y1211" s="170">
        <f>X1211-Z1211-AA1211</f>
        <v>0</v>
      </c>
      <c r="Z1211" s="169">
        <f>SUMIFS(операции!$V:$V,операции!$T:$T,"&lt;"&amp;X$8,операции!$X:$X,"",операции!$AB:$AB,"",операции!$L:$L,Z$9,операции!$O:$O,$F1200)+SUMIFS(операции!$V:$V,операции!$T:$T,"&lt;"&amp;X$8,операции!$X:$X,"&gt;="&amp;X$8,операции!$AB:$AB,"",операции!$L:$L,Z$9,операции!$O:$O,$F1200)+SUMIFS(операции!$V:$V,операции!$T:$T,"&lt;"&amp;X$8,операции!$X:$X,"",операции!$AB:$AB,"&gt;="&amp;X$8,операции!$L:$L,Z$9,операции!$O:$O,$F1200)+SUMIFS(операции!$V:$V,операции!$T:$T,"&lt;"&amp;X$8,операции!$X:$X,"&gt;="&amp;X$8,операции!$AB:$AB,"&gt;="&amp;X$8,операции!$L:$L,Z$9,операции!$O:$O,$F1200)</f>
        <v>7914.14</v>
      </c>
      <c r="AA1211" s="243">
        <f>SUMIFS(операции!$V:$V,операции!$T:$T,"&lt;"&amp;X$8,операции!$X:$X,"",операции!$AB:$AB,"",операции!$L:$L,AA$9,операции!$O:$O,$F1200)+SUMIFS(операции!$V:$V,операции!$T:$T,"&lt;"&amp;X$8,операции!$X:$X,"&gt;="&amp;X$8,операции!$AB:$AB,"",операции!$L:$L,AA$9,операции!$O:$O,$F1200)+SUMIFS(операции!$V:$V,операции!$T:$T,"&lt;"&amp;X$8,операции!$X:$X,"",операции!$AB:$AB,"&gt;="&amp;X$8,операции!$L:$L,AA$9,операции!$O:$O,$F1200)+SUMIFS(операции!$V:$V,операции!$T:$T,"&lt;"&amp;X$8,операции!$X:$X,"&gt;="&amp;X$8,операции!$AB:$AB,"&gt;="&amp;X$8,операции!$L:$L,AA$9,операции!$O:$O,$F1200)</f>
        <v>9114</v>
      </c>
      <c r="AB1211" s="266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</row>
    <row r="1212" spans="1:42" s="192" customFormat="1" ht="11.25">
      <c r="A1212" s="37"/>
      <c r="B1212" s="37"/>
      <c r="C1212" s="37"/>
      <c r="D1212" s="191"/>
      <c r="E1212" s="191" t="s">
        <v>255</v>
      </c>
      <c r="F1212" s="191" t="str">
        <f t="shared" si="2120"/>
        <v>КлиматКо</v>
      </c>
      <c r="G1212" s="191" t="s">
        <v>262</v>
      </c>
      <c r="H1212" s="315"/>
      <c r="I1212" s="316">
        <f>IF(I1211=0,0,(SUMIFS(операции!$AF:$AF,операции!$T:$T,"&lt;"&amp;I$8,операции!$X:$X,"",операции!$AB:$AB,"",операции!$O:$O,$F1200)+SUMIFS(операции!$AF:$AF,операции!$T:$T,"&lt;"&amp;I$8,операции!$X:$X,"&gt;="&amp;I$8,операции!$AB:$AB,"",операции!$O:$O,$F1200)+SUMIFS(операции!$AF:$AF,операции!$T:$T,"&lt;"&amp;I$8,операции!$X:$X,"",операции!$AB:$AB,"&gt;="&amp;I$8,операции!$O:$O,$F1200)+SUMIFS(операции!$AF:$AF,операции!$T:$T,"&lt;"&amp;I$8,операции!$X:$X,"&gt;="&amp;I$8,операции!$AB:$AB,"&gt;="&amp;I$8,операции!$O:$O,$F1200))/I1211)</f>
        <v>42243.116633970116</v>
      </c>
      <c r="J1212" s="317"/>
      <c r="K1212" s="316">
        <f>IF(K1211=0,0,(SUMIFS(операции!$AF:$AF,операции!$T:$T,"&lt;"&amp;I$8,операции!$X:$X,"",операции!$AB:$AB,"",операции!$L:$L,K$9,операции!$O:$O,$F1200)+SUMIFS(операции!$AF:$AF,операции!$T:$T,"&lt;"&amp;I$8,операции!$X:$X,"&gt;="&amp;I$8,операции!$AB:$AB,"",операции!$L:$L,K$9,операции!$O:$O,$F1200)+SUMIFS(операции!$AF:$AF,операции!$T:$T,"&lt;"&amp;I$8,операции!$X:$X,"",операции!$AB:$AB,"&gt;="&amp;I$8,операции!$L:$L,K$9,операции!$O:$O,$F1200)+SUMIFS(операции!$AF:$AF,операции!$T:$T,"&lt;"&amp;I$8,операции!$X:$X,"&gt;="&amp;I$8,операции!$AB:$AB,"&gt;="&amp;I$8,операции!$L:$L,K$9,операции!$O:$O,$F1200))/K1211)</f>
        <v>42243.116633970116</v>
      </c>
      <c r="L1212" s="318">
        <f>IF(L1211=0,0,(SUMIFS(операции!$AF:$AF,операции!$T:$T,"&lt;"&amp;I$8,операции!$X:$X,"",операции!$AB:$AB,"",операции!$L:$L,L$9,операции!$O:$O,$F1200)+SUMIFS(операции!$AF:$AF,операции!$T:$T,"&lt;"&amp;I$8,операции!$X:$X,"&gt;="&amp;I$8,операции!$AB:$AB,"",операции!$L:$L,L$9,операции!$O:$O,$F1200)+SUMIFS(операции!$AF:$AF,операции!$T:$T,"&lt;"&amp;I$8,операции!$X:$X,"",операции!$AB:$AB,"&gt;="&amp;I$8,операции!$L:$L,L$9,операции!$O:$O,$F1200)+SUMIFS(операции!$AF:$AF,операции!$T:$T,"&lt;"&amp;I$8,операции!$X:$X,"&gt;="&amp;I$8,операции!$AB:$AB,"&gt;="&amp;I$8,операции!$L:$L,L$9,операции!$O:$O,$F1200))/L1211)</f>
        <v>0</v>
      </c>
      <c r="M1212" s="274"/>
      <c r="N1212" s="193">
        <f>IF(N1211=0,0,(SUMIFS(операции!$AF:$AF,операции!$T:$T,"&lt;"&amp;N$8,операции!$X:$X,"",операции!$AB:$AB,"",операции!$O:$O,$F1200)+SUMIFS(операции!$AF:$AF,операции!$T:$T,"&lt;"&amp;N$8,операции!$X:$X,"&gt;="&amp;N$8,операции!$AB:$AB,"",операции!$O:$O,$F1200)+SUMIFS(операции!$AF:$AF,операции!$T:$T,"&lt;"&amp;N$8,операции!$X:$X,"",операции!$AB:$AB,"&gt;="&amp;N$8,операции!$O:$O,$F1200)+SUMIFS(операции!$AF:$AF,операции!$T:$T,"&lt;"&amp;N$8,операции!$X:$X,"&gt;="&amp;N$8,операции!$AB:$AB,"&gt;="&amp;N$8,операции!$O:$O,$F1200))/N1211)</f>
        <v>42243.116633970116</v>
      </c>
      <c r="O1212" s="196"/>
      <c r="P1212" s="193">
        <f>IF(P1211=0,0,(SUMIFS(операции!$AF:$AF,операции!$T:$T,"&lt;"&amp;N$8,операции!$X:$X,"",операции!$AB:$AB,"",операции!$L:$L,P$9,операции!$O:$O,$F1200)+SUMIFS(операции!$AF:$AF,операции!$T:$T,"&lt;"&amp;N$8,операции!$X:$X,"&gt;="&amp;N$8,операции!$AB:$AB,"",операции!$L:$L,P$9,операции!$O:$O,$F1200)+SUMIFS(операции!$AF:$AF,операции!$T:$T,"&lt;"&amp;N$8,операции!$X:$X,"",операции!$AB:$AB,"&gt;="&amp;N$8,операции!$L:$L,P$9,операции!$O:$O,$F1200)+SUMIFS(операции!$AF:$AF,операции!$T:$T,"&lt;"&amp;N$8,операции!$X:$X,"&gt;="&amp;N$8,операции!$AB:$AB,"&gt;="&amp;N$8,операции!$L:$L,P$9,операции!$O:$O,$F1200))/P1211)</f>
        <v>42243.116633970116</v>
      </c>
      <c r="Q1212" s="237">
        <f>IF(Q1211=0,0,(SUMIFS(операции!$AF:$AF,операции!$T:$T,"&lt;"&amp;N$8,операции!$X:$X,"",операции!$AB:$AB,"",операции!$L:$L,Q$9,операции!$O:$O,$F1200)+SUMIFS(операции!$AF:$AF,операции!$T:$T,"&lt;"&amp;N$8,операции!$X:$X,"&gt;="&amp;N$8,операции!$AB:$AB,"",операции!$L:$L,Q$9,операции!$O:$O,$F1200)+SUMIFS(операции!$AF:$AF,операции!$T:$T,"&lt;"&amp;N$8,операции!$X:$X,"",операции!$AB:$AB,"&gt;="&amp;N$8,операции!$L:$L,Q$9,операции!$O:$O,$F1200)+SUMIFS(операции!$AF:$AF,операции!$T:$T,"&lt;"&amp;N$8,операции!$X:$X,"&gt;="&amp;N$8,операции!$AB:$AB,"&gt;="&amp;N$8,операции!$L:$L,Q$9,операции!$O:$O,$F1200))/Q1211)</f>
        <v>0</v>
      </c>
      <c r="R1212" s="238"/>
      <c r="S1212" s="193">
        <f>IF(S1211=0,0,(SUMIFS(операции!$AF:$AF,операции!$T:$T,"&lt;"&amp;S$8,операции!$X:$X,"",операции!$AB:$AB,"",операции!$O:$O,$F1200)+SUMIFS(операции!$AF:$AF,операции!$T:$T,"&lt;"&amp;S$8,операции!$X:$X,"&gt;="&amp;S$8,операции!$AB:$AB,"",операции!$O:$O,$F1200)+SUMIFS(операции!$AF:$AF,операции!$T:$T,"&lt;"&amp;S$8,операции!$X:$X,"",операции!$AB:$AB,"&gt;="&amp;S$8,операции!$O:$O,$F1200)+SUMIFS(операции!$AF:$AF,операции!$T:$T,"&lt;"&amp;S$8,операции!$X:$X,"&gt;="&amp;S$8,операции!$AB:$AB,"&gt;="&amp;S$8,операции!$O:$O,$F1200))/S1211)</f>
        <v>42265.798703627945</v>
      </c>
      <c r="T1212" s="196"/>
      <c r="U1212" s="193">
        <f>IF(U1211=0,0,(SUMIFS(операции!$AF:$AF,операции!$T:$T,"&lt;"&amp;S$8,операции!$X:$X,"",операции!$AB:$AB,"",операции!$L:$L,U$9,операции!$O:$O,$F1200)+SUMIFS(операции!$AF:$AF,операции!$T:$T,"&lt;"&amp;S$8,операции!$X:$X,"&gt;="&amp;S$8,операции!$AB:$AB,"",операции!$L:$L,U$9,операции!$O:$O,$F1200)+SUMIFS(операции!$AF:$AF,операции!$T:$T,"&lt;"&amp;S$8,операции!$X:$X,"",операции!$AB:$AB,"&gt;="&amp;S$8,операции!$L:$L,U$9,операции!$O:$O,$F1200)+SUMIFS(операции!$AF:$AF,операции!$T:$T,"&lt;"&amp;S$8,операции!$X:$X,"&gt;="&amp;S$8,операции!$AB:$AB,"&gt;="&amp;S$8,операции!$L:$L,U$9,операции!$O:$O,$F1200))/U1211)</f>
        <v>42265.798703627945</v>
      </c>
      <c r="V1212" s="237">
        <f>IF(V1211=0,0,(SUMIFS(операции!$AF:$AF,операции!$T:$T,"&lt;"&amp;S$8,операции!$X:$X,"",операции!$AB:$AB,"",операции!$L:$L,V$9,операции!$O:$O,$F1200)+SUMIFS(операции!$AF:$AF,операции!$T:$T,"&lt;"&amp;S$8,операции!$X:$X,"&gt;="&amp;S$8,операции!$AB:$AB,"",операции!$L:$L,V$9,операции!$O:$O,$F1200)+SUMIFS(операции!$AF:$AF,операции!$T:$T,"&lt;"&amp;S$8,операции!$X:$X,"",операции!$AB:$AB,"&gt;="&amp;S$8,операции!$L:$L,V$9,операции!$O:$O,$F1200)+SUMIFS(операции!$AF:$AF,операции!$T:$T,"&lt;"&amp;S$8,операции!$X:$X,"&gt;="&amp;S$8,операции!$AB:$AB,"&gt;="&amp;S$8,операции!$L:$L,V$9,операции!$O:$O,$F1200))/V1211)</f>
        <v>0</v>
      </c>
      <c r="W1212" s="238"/>
      <c r="X1212" s="193">
        <f>IF(X1211=0,0,(SUMIFS(операции!$AF:$AF,операции!$T:$T,"&lt;"&amp;X$8,операции!$X:$X,"",операции!$AB:$AB,"",операции!$O:$O,$F1200)+SUMIFS(операции!$AF:$AF,операции!$T:$T,"&lt;"&amp;X$8,операции!$X:$X,"&gt;="&amp;X$8,операции!$AB:$AB,"",операции!$O:$O,$F1200)+SUMIFS(операции!$AF:$AF,операции!$T:$T,"&lt;"&amp;X$8,операции!$X:$X,"",операции!$AB:$AB,"&gt;="&amp;X$8,операции!$O:$O,$F1200)+SUMIFS(операции!$AF:$AF,операции!$T:$T,"&lt;"&amp;X$8,операции!$X:$X,"&gt;="&amp;X$8,операции!$AB:$AB,"&gt;="&amp;X$8,операции!$O:$O,$F1200))/X1211)</f>
        <v>42321.599852949301</v>
      </c>
      <c r="Y1212" s="196"/>
      <c r="Z1212" s="193">
        <f>IF(Z1211=0,0,(SUMIFS(операции!$AF:$AF,операции!$T:$T,"&lt;"&amp;X$8,операции!$X:$X,"",операции!$AB:$AB,"",операции!$L:$L,Z$9,операции!$O:$O,$F1200)+SUMIFS(операции!$AF:$AF,операции!$T:$T,"&lt;"&amp;X$8,операции!$X:$X,"&gt;="&amp;X$8,операции!$AB:$AB,"",операции!$L:$L,Z$9,операции!$O:$O,$F1200)+SUMIFS(операции!$AF:$AF,операции!$T:$T,"&lt;"&amp;X$8,операции!$X:$X,"",операции!$AB:$AB,"&gt;="&amp;X$8,операции!$L:$L,Z$9,операции!$O:$O,$F1200)+SUMIFS(операции!$AF:$AF,операции!$T:$T,"&lt;"&amp;X$8,операции!$X:$X,"&gt;="&amp;X$8,операции!$AB:$AB,"&gt;="&amp;X$8,операции!$L:$L,Z$9,операции!$O:$O,$F1200))/Z1211)</f>
        <v>42305.016504636013</v>
      </c>
      <c r="AA1212" s="237">
        <f>IF(AA1211=0,0,(SUMIFS(операции!$AF:$AF,операции!$T:$T,"&lt;"&amp;X$8,операции!$X:$X,"",операции!$AB:$AB,"",операции!$L:$L,AA$9,операции!$O:$O,$F1200)+SUMIFS(операции!$AF:$AF,операции!$T:$T,"&lt;"&amp;X$8,операции!$X:$X,"&gt;="&amp;X$8,операции!$AB:$AB,"",операции!$L:$L,AA$9,операции!$O:$O,$F1200)+SUMIFS(операции!$AF:$AF,операции!$T:$T,"&lt;"&amp;X$8,операции!$X:$X,"",операции!$AB:$AB,"&gt;="&amp;X$8,операции!$L:$L,AA$9,операции!$O:$O,$F1200)+SUMIFS(операции!$AF:$AF,операции!$T:$T,"&lt;"&amp;X$8,операции!$X:$X,"&gt;="&amp;X$8,операции!$AB:$AB,"&gt;="&amp;X$8,операции!$L:$L,AA$9,операции!$O:$O,$F1200))/AA1211)</f>
        <v>42336</v>
      </c>
      <c r="AB1212" s="265"/>
      <c r="AC1212" s="37"/>
      <c r="AD1212" s="37"/>
      <c r="AE1212" s="37"/>
      <c r="AF1212" s="37"/>
      <c r="AG1212" s="37"/>
      <c r="AH1212" s="37"/>
      <c r="AI1212" s="37"/>
      <c r="AJ1212" s="37"/>
      <c r="AK1212" s="37"/>
      <c r="AL1212" s="37"/>
      <c r="AM1212" s="37"/>
      <c r="AN1212" s="37"/>
      <c r="AO1212" s="37"/>
      <c r="AP1212" s="37"/>
    </row>
    <row r="1213" spans="1:42" s="192" customFormat="1" ht="11.25">
      <c r="A1213" s="37"/>
      <c r="B1213" s="37"/>
      <c r="C1213" s="37"/>
      <c r="D1213" s="191"/>
      <c r="E1213" s="191" t="s">
        <v>263</v>
      </c>
      <c r="F1213" s="191" t="str">
        <f t="shared" si="2120"/>
        <v>КлиматКо</v>
      </c>
      <c r="G1213" s="191" t="s">
        <v>219</v>
      </c>
      <c r="H1213" s="315"/>
      <c r="I1213" s="329">
        <f>IF(I1211=0,0,I$8-I1212)</f>
        <v>34.883366029884201</v>
      </c>
      <c r="J1213" s="317"/>
      <c r="K1213" s="329">
        <f>IF(K1211=0,0,I$8-K1212)</f>
        <v>34.883366029884201</v>
      </c>
      <c r="L1213" s="330">
        <f>IF(L1211=0,0,I$8-L1212)</f>
        <v>0</v>
      </c>
      <c r="M1213" s="274"/>
      <c r="N1213" s="156">
        <f>IF(N1211=0,0,N$8-N1212)</f>
        <v>34.883366029884201</v>
      </c>
      <c r="O1213" s="196"/>
      <c r="P1213" s="156">
        <f>IF(P1211=0,0,N$8-P1212)</f>
        <v>34.883366029884201</v>
      </c>
      <c r="Q1213" s="245">
        <f>IF(Q1211=0,0,N$8-Q1212)</f>
        <v>0</v>
      </c>
      <c r="R1213" s="238"/>
      <c r="S1213" s="156">
        <f>IF(S1211=0,0,S$8-S1212)</f>
        <v>43.201296372055367</v>
      </c>
      <c r="T1213" s="196"/>
      <c r="U1213" s="156">
        <f>IF(U1211=0,0,S$8-U1212)</f>
        <v>43.201296372055367</v>
      </c>
      <c r="V1213" s="245">
        <f>IF(V1211=0,0,S$8-V1212)</f>
        <v>0</v>
      </c>
      <c r="W1213" s="238"/>
      <c r="X1213" s="156">
        <f>IF(X1211=0,0,X$8-X1212)</f>
        <v>17.400147050699161</v>
      </c>
      <c r="Y1213" s="196"/>
      <c r="Z1213" s="156">
        <f>IF(Z1211=0,0,X$8-Z1212)</f>
        <v>33.983495363987458</v>
      </c>
      <c r="AA1213" s="245">
        <f>IF(AA1211=0,0,X$8-AA1212)</f>
        <v>3</v>
      </c>
      <c r="AB1213" s="265"/>
      <c r="AC1213" s="37"/>
      <c r="AD1213" s="37"/>
      <c r="AE1213" s="37"/>
      <c r="AF1213" s="37"/>
      <c r="AG1213" s="37"/>
      <c r="AH1213" s="37"/>
      <c r="AI1213" s="37"/>
      <c r="AJ1213" s="37"/>
      <c r="AK1213" s="37"/>
      <c r="AL1213" s="37"/>
      <c r="AM1213" s="37"/>
      <c r="AN1213" s="37"/>
      <c r="AO1213" s="37"/>
      <c r="AP1213" s="37"/>
    </row>
    <row r="1214" spans="1:42" s="192" customFormat="1" ht="11.25">
      <c r="A1214" s="37"/>
      <c r="B1214" s="37"/>
      <c r="C1214" s="37"/>
      <c r="D1214" s="191"/>
      <c r="E1214" s="191" t="s">
        <v>311</v>
      </c>
      <c r="F1214" s="191" t="str">
        <f t="shared" si="2120"/>
        <v>КлиматКо</v>
      </c>
      <c r="G1214" s="191" t="s">
        <v>262</v>
      </c>
      <c r="H1214" s="315"/>
      <c r="I1214" s="316">
        <f>I$8</f>
        <v>42278</v>
      </c>
      <c r="J1214" s="317"/>
      <c r="K1214" s="316">
        <f>I$8</f>
        <v>42278</v>
      </c>
      <c r="L1214" s="318">
        <f>I$8</f>
        <v>42278</v>
      </c>
      <c r="M1214" s="274"/>
      <c r="N1214" s="193">
        <f>N$8</f>
        <v>42278</v>
      </c>
      <c r="O1214" s="196"/>
      <c r="P1214" s="193">
        <f>N$8</f>
        <v>42278</v>
      </c>
      <c r="Q1214" s="237">
        <f>N$8</f>
        <v>42278</v>
      </c>
      <c r="R1214" s="238"/>
      <c r="S1214" s="193">
        <f>S$8</f>
        <v>42309</v>
      </c>
      <c r="T1214" s="196"/>
      <c r="U1214" s="193">
        <f>S$8</f>
        <v>42309</v>
      </c>
      <c r="V1214" s="237">
        <f>S$8</f>
        <v>42309</v>
      </c>
      <c r="W1214" s="238"/>
      <c r="X1214" s="193">
        <f>X$8</f>
        <v>42339</v>
      </c>
      <c r="Y1214" s="196"/>
      <c r="Z1214" s="193">
        <f>X$8</f>
        <v>42339</v>
      </c>
      <c r="AA1214" s="237">
        <f>X$8</f>
        <v>42339</v>
      </c>
      <c r="AB1214" s="265"/>
      <c r="AC1214" s="37"/>
      <c r="AD1214" s="37"/>
      <c r="AE1214" s="37"/>
      <c r="AF1214" s="37"/>
      <c r="AG1214" s="37"/>
      <c r="AH1214" s="37"/>
      <c r="AI1214" s="37"/>
      <c r="AJ1214" s="37"/>
      <c r="AK1214" s="37"/>
      <c r="AL1214" s="37"/>
      <c r="AM1214" s="37"/>
      <c r="AN1214" s="37"/>
      <c r="AO1214" s="37"/>
      <c r="AP1214" s="37"/>
    </row>
    <row r="1215" spans="1:42" s="192" customFormat="1" ht="11.25">
      <c r="A1215" s="37"/>
      <c r="B1215" s="37"/>
      <c r="C1215" s="37"/>
      <c r="D1215" s="191"/>
      <c r="E1215" s="191" t="s">
        <v>264</v>
      </c>
      <c r="F1215" s="191" t="str">
        <f t="shared" si="2120"/>
        <v>КлиматКо</v>
      </c>
      <c r="G1215" s="191" t="s">
        <v>219</v>
      </c>
      <c r="H1215" s="315"/>
      <c r="I1215" s="329">
        <f>IF(I1211=0,0,I1214-I1212)</f>
        <v>34.883366029884201</v>
      </c>
      <c r="J1215" s="317"/>
      <c r="K1215" s="329">
        <f>IF(K1211=0,0,K1214-K1212)</f>
        <v>34.883366029884201</v>
      </c>
      <c r="L1215" s="330">
        <f>IF(L1211=0,0,L1214-L1212)</f>
        <v>0</v>
      </c>
      <c r="M1215" s="274"/>
      <c r="N1215" s="156">
        <f>IF(N1211=0,0,N1214-N1212)</f>
        <v>34.883366029884201</v>
      </c>
      <c r="O1215" s="196"/>
      <c r="P1215" s="156">
        <f>IF(P1211=0,0,P1214-P1212)</f>
        <v>34.883366029884201</v>
      </c>
      <c r="Q1215" s="245">
        <f>IF(Q1211=0,0,Q1214-Q1212)</f>
        <v>0</v>
      </c>
      <c r="R1215" s="238"/>
      <c r="S1215" s="156">
        <f>IF(S1211=0,0,S1214-S1212)</f>
        <v>43.201296372055367</v>
      </c>
      <c r="T1215" s="196"/>
      <c r="U1215" s="156">
        <f>IF(U1211=0,0,U1214-U1212)</f>
        <v>43.201296372055367</v>
      </c>
      <c r="V1215" s="245">
        <f>IF(V1211=0,0,V1214-V1212)</f>
        <v>0</v>
      </c>
      <c r="W1215" s="238"/>
      <c r="X1215" s="156">
        <f>IF(X1211=0,0,X1214-X1212)</f>
        <v>17.400147050699161</v>
      </c>
      <c r="Y1215" s="196"/>
      <c r="Z1215" s="156">
        <f>IF(Z1211=0,0,Z1214-Z1212)</f>
        <v>33.983495363987458</v>
      </c>
      <c r="AA1215" s="245">
        <f>IF(AA1211=0,0,AA1214-AA1212)</f>
        <v>3</v>
      </c>
      <c r="AB1215" s="265"/>
      <c r="AC1215" s="37"/>
      <c r="AD1215" s="37"/>
      <c r="AE1215" s="37"/>
      <c r="AF1215" s="37"/>
      <c r="AG1215" s="37"/>
      <c r="AH1215" s="37"/>
      <c r="AI1215" s="37"/>
      <c r="AJ1215" s="37"/>
      <c r="AK1215" s="37"/>
      <c r="AL1215" s="37"/>
      <c r="AM1215" s="37"/>
      <c r="AN1215" s="37"/>
      <c r="AO1215" s="37"/>
      <c r="AP1215" s="37"/>
    </row>
    <row r="1216" spans="1:42" s="192" customFormat="1" ht="11.25">
      <c r="A1216" s="37"/>
      <c r="B1216" s="37"/>
      <c r="C1216" s="37"/>
      <c r="D1216" s="207"/>
      <c r="E1216" s="207" t="s">
        <v>269</v>
      </c>
      <c r="F1216" s="207" t="str">
        <f t="shared" si="2120"/>
        <v>КлиматКо</v>
      </c>
      <c r="G1216" s="207" t="s">
        <v>219</v>
      </c>
      <c r="H1216" s="331"/>
      <c r="I1216" s="332">
        <f>I1213-I1215</f>
        <v>0</v>
      </c>
      <c r="J1216" s="333"/>
      <c r="K1216" s="332">
        <f t="shared" ref="K1216" si="2145">K1213-K1215</f>
        <v>0</v>
      </c>
      <c r="L1216" s="334">
        <f>L1213-L1215</f>
        <v>0</v>
      </c>
      <c r="M1216" s="278"/>
      <c r="N1216" s="162">
        <f>N1213-N1215</f>
        <v>0</v>
      </c>
      <c r="O1216" s="208"/>
      <c r="P1216" s="162">
        <f t="shared" ref="P1216" si="2146">P1213-P1215</f>
        <v>0</v>
      </c>
      <c r="Q1216" s="246">
        <f>Q1213-Q1215</f>
        <v>0</v>
      </c>
      <c r="R1216" s="247"/>
      <c r="S1216" s="162">
        <f>S1213-S1215</f>
        <v>0</v>
      </c>
      <c r="T1216" s="208"/>
      <c r="U1216" s="162">
        <f t="shared" ref="U1216" si="2147">U1213-U1215</f>
        <v>0</v>
      </c>
      <c r="V1216" s="246">
        <f>V1213-V1215</f>
        <v>0</v>
      </c>
      <c r="W1216" s="247"/>
      <c r="X1216" s="162">
        <f>X1213-X1215</f>
        <v>0</v>
      </c>
      <c r="Y1216" s="208"/>
      <c r="Z1216" s="162">
        <f t="shared" ref="Z1216" si="2148">Z1213-Z1215</f>
        <v>0</v>
      </c>
      <c r="AA1216" s="246">
        <f>AA1213-AA1215</f>
        <v>0</v>
      </c>
      <c r="AB1216" s="265"/>
      <c r="AC1216" s="37"/>
      <c r="AD1216" s="37"/>
      <c r="AE1216" s="37"/>
      <c r="AF1216" s="37"/>
      <c r="AG1216" s="37"/>
      <c r="AH1216" s="37"/>
      <c r="AI1216" s="37"/>
      <c r="AJ1216" s="37"/>
      <c r="AK1216" s="37"/>
      <c r="AL1216" s="37"/>
      <c r="AM1216" s="37"/>
      <c r="AN1216" s="37"/>
      <c r="AO1216" s="37"/>
      <c r="AP1216" s="37"/>
    </row>
    <row r="1217" spans="1:42" s="111" customFormat="1" ht="11.25">
      <c r="A1217" s="108"/>
      <c r="B1217" s="108"/>
      <c r="C1217" s="108" t="s">
        <v>272</v>
      </c>
      <c r="D1217" s="109"/>
      <c r="E1217" s="109"/>
      <c r="F1217" s="109" t="str">
        <f t="shared" si="2120"/>
        <v>КлиматКо</v>
      </c>
      <c r="G1217" s="109"/>
      <c r="H1217" s="307"/>
      <c r="I1217" s="308">
        <f>I1218-K1218-L1218</f>
        <v>0</v>
      </c>
      <c r="J1217" s="335"/>
      <c r="K1217" s="308"/>
      <c r="L1217" s="336"/>
      <c r="M1217" s="272"/>
      <c r="N1217" s="110">
        <f>N1218-P1218-Q1218</f>
        <v>0</v>
      </c>
      <c r="O1217" s="105"/>
      <c r="P1217" s="110"/>
      <c r="Q1217" s="248"/>
      <c r="R1217" s="234"/>
      <c r="S1217" s="110">
        <f>S1218-U1218-V1218</f>
        <v>0</v>
      </c>
      <c r="T1217" s="105"/>
      <c r="U1217" s="110"/>
      <c r="V1217" s="248"/>
      <c r="W1217" s="234"/>
      <c r="X1217" s="110">
        <f>X1218-Z1218-AA1218</f>
        <v>0</v>
      </c>
      <c r="Y1217" s="105"/>
      <c r="Z1217" s="110"/>
      <c r="AA1217" s="248"/>
      <c r="AB1217" s="263"/>
      <c r="AC1217" s="108"/>
      <c r="AD1217" s="108"/>
      <c r="AE1217" s="108"/>
      <c r="AF1217" s="108"/>
      <c r="AG1217" s="108"/>
      <c r="AH1217" s="108"/>
      <c r="AI1217" s="108"/>
      <c r="AJ1217" s="108"/>
      <c r="AK1217" s="108"/>
      <c r="AL1217" s="108"/>
      <c r="AM1217" s="108"/>
      <c r="AN1217" s="108"/>
      <c r="AO1217" s="108"/>
      <c r="AP1217" s="108"/>
    </row>
    <row r="1218" spans="1:42" s="5" customFormat="1">
      <c r="A1218" s="1"/>
      <c r="B1218" s="1"/>
      <c r="C1218" s="1"/>
      <c r="D1218" s="168" t="s">
        <v>273</v>
      </c>
      <c r="E1218" s="168"/>
      <c r="F1218" s="168" t="str">
        <f t="shared" si="2120"/>
        <v>КлиматКо</v>
      </c>
      <c r="G1218" s="168" t="s">
        <v>261</v>
      </c>
      <c r="H1218" s="326"/>
      <c r="I1218" s="327">
        <f>SUMIFS(операции!$V:$V,операции!$T:$T,"&gt;="&amp;I$8,операции!$T:$T,"&lt;="&amp;I$9,операции!$O:$O,$F1200)</f>
        <v>116055.72</v>
      </c>
      <c r="J1218" s="313"/>
      <c r="K1218" s="327">
        <f>SUMIFS(операции!$V:$V,операции!$T:$T,"&gt;="&amp;I$8,операции!$T:$T,"&lt;="&amp;I$9,операции!$L:$L,K$9,операции!$O:$O,$F1200)</f>
        <v>28694.640000000003</v>
      </c>
      <c r="L1218" s="328">
        <f>SUMIFS(операции!$V:$V,операции!$T:$T,"&gt;="&amp;I$8,операции!$T:$T,"&lt;="&amp;I$9,операции!$L:$L,L$9,операции!$O:$O,$F1200)</f>
        <v>87361.080000000016</v>
      </c>
      <c r="M1218" s="277"/>
      <c r="N1218" s="169">
        <f>SUMIFS(операции!$V:$V,операции!$T:$T,"&gt;="&amp;N$8,операции!$T:$T,"&lt;="&amp;N$9,операции!$O:$O,$F1200)</f>
        <v>24229.21</v>
      </c>
      <c r="O1218" s="170"/>
      <c r="P1218" s="169">
        <f>SUMIFS(операции!$V:$V,операции!$T:$T,"&gt;="&amp;N$8,операции!$T:$T,"&lt;="&amp;N$9,операции!$L:$L,P$9,операции!$O:$O,$F1200)</f>
        <v>11746.16</v>
      </c>
      <c r="Q1218" s="243">
        <f>SUMIFS(операции!$V:$V,операции!$T:$T,"&gt;="&amp;N$8,операции!$T:$T,"&lt;="&amp;N$9,операции!$L:$L,Q$9,операции!$O:$O,$F1200)</f>
        <v>12483.05</v>
      </c>
      <c r="R1218" s="244"/>
      <c r="S1218" s="169">
        <f>SUMIFS(операции!$V:$V,операции!$T:$T,"&gt;="&amp;S$8,операции!$T:$T,"&lt;="&amp;S$9,операции!$O:$O,$F1200)</f>
        <v>68372.36</v>
      </c>
      <c r="T1218" s="170"/>
      <c r="U1218" s="169">
        <f>SUMIFS(операции!$V:$V,операции!$T:$T,"&gt;="&amp;S$8,операции!$T:$T,"&lt;="&amp;S$9,операции!$L:$L,U$9,операции!$O:$O,$F1200)</f>
        <v>16948.48</v>
      </c>
      <c r="V1218" s="243">
        <f>SUMIFS(операции!$V:$V,операции!$T:$T,"&gt;="&amp;S$8,операции!$T:$T,"&lt;="&amp;S$9,операции!$L:$L,V$9,операции!$O:$O,$F1200)</f>
        <v>51423.880000000005</v>
      </c>
      <c r="W1218" s="244"/>
      <c r="X1218" s="169">
        <f>SUMIFS(операции!$V:$V,операции!$T:$T,"&gt;="&amp;X$8,операции!$T:$T,"&lt;="&amp;X$9,операции!$O:$O,$F1200)</f>
        <v>23454.15</v>
      </c>
      <c r="Y1218" s="170"/>
      <c r="Z1218" s="169">
        <f>SUMIFS(операции!$V:$V,операции!$T:$T,"&gt;="&amp;X$8,операции!$T:$T,"&lt;="&amp;X$9,операции!$L:$L,Z$9,операции!$O:$O,$F1200)</f>
        <v>0</v>
      </c>
      <c r="AA1218" s="243">
        <f>SUMIFS(операции!$V:$V,операции!$T:$T,"&gt;="&amp;X$8,операции!$T:$T,"&lt;="&amp;X$9,операции!$L:$L,AA$9,операции!$O:$O,$F1200)</f>
        <v>23454.15</v>
      </c>
      <c r="AB1218" s="266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</row>
    <row r="1219" spans="1:42" s="192" customFormat="1" ht="11.25">
      <c r="A1219" s="37"/>
      <c r="B1219" s="37"/>
      <c r="C1219" s="37"/>
      <c r="D1219" s="207" t="s">
        <v>255</v>
      </c>
      <c r="E1219" s="207"/>
      <c r="F1219" s="207" t="str">
        <f t="shared" si="2120"/>
        <v>КлиматКо</v>
      </c>
      <c r="G1219" s="207" t="s">
        <v>262</v>
      </c>
      <c r="H1219" s="331"/>
      <c r="I1219" s="337">
        <f>IF(I1218=0,0,SUMIFS(операции!$AF:$AF,операции!$T:$T,"&gt;="&amp;I$8,операции!$T:$T,"&lt;="&amp;I$9,операции!$O:$O,$F1200)/I1218)</f>
        <v>42325.262884328324</v>
      </c>
      <c r="J1219" s="333"/>
      <c r="K1219" s="337">
        <f>IF(K1218=0,0,SUMIFS(операции!$AF:$AF,операции!$T:$T,"&gt;="&amp;I$8,операции!$T:$T,"&lt;="&amp;I$9,операции!$L:$L,K$9,операции!$O:$O,$F1200)/K1218)</f>
        <v>42301.951243855998</v>
      </c>
      <c r="L1219" s="338">
        <f>IF(L1218=0,0,SUMIFS(операции!$AF:$AF,операции!$T:$T,"&gt;="&amp;I$8,операции!$T:$T,"&lt;="&amp;I$9,операции!$L:$L,L$9,операции!$O:$O,$F1200)/L1218)</f>
        <v>42332.919831004823</v>
      </c>
      <c r="M1219" s="278"/>
      <c r="N1219" s="217">
        <f>IF(N1218=0,0,SUMIFS(операции!$AF:$AF,операции!$T:$T,"&gt;="&amp;N$8,операции!$T:$T,"&lt;="&amp;N$9,операции!$O:$O,$F1200)/N1218)</f>
        <v>42296.271867716699</v>
      </c>
      <c r="O1219" s="208"/>
      <c r="P1219" s="217">
        <f>IF(P1218=0,0,SUMIFS(операции!$AF:$AF,операции!$T:$T,"&gt;="&amp;N$8,операции!$T:$T,"&lt;="&amp;N$9,операции!$L:$L,P$9,операции!$O:$O,$F1200)/P1218)</f>
        <v>42288.749787164488</v>
      </c>
      <c r="Q1219" s="249">
        <f>IF(Q1218=0,0,SUMIFS(операции!$AF:$AF,операции!$T:$T,"&gt;="&amp;N$8,операции!$T:$T,"&lt;="&amp;N$9,операции!$L:$L,Q$9,операции!$O:$O,$F1200)/Q1218)</f>
        <v>42303.349910478617</v>
      </c>
      <c r="R1219" s="247"/>
      <c r="S1219" s="217">
        <f>IF(S1218=0,0,SUMIFS(операции!$AF:$AF,операции!$T:$T,"&gt;="&amp;S$8,операции!$T:$T,"&lt;="&amp;S$9,операции!$O:$O,$F1200)/S1218)</f>
        <v>42322.674842290064</v>
      </c>
      <c r="T1219" s="208"/>
      <c r="U1219" s="217">
        <f>IF(U1218=0,0,SUMIFS(операции!$AF:$AF,операции!$T:$T,"&gt;="&amp;S$8,операции!$T:$T,"&lt;="&amp;S$9,операции!$L:$L,U$9,операции!$O:$O,$F1200)/U1218)</f>
        <v>42311.100525828871</v>
      </c>
      <c r="V1219" s="249">
        <f>IF(V1218=0,0,SUMIFS(операции!$AF:$AF,операции!$T:$T,"&gt;="&amp;S$8,операции!$T:$T,"&lt;="&amp;S$9,операции!$L:$L,V$9,операции!$O:$O,$F1200)/V1218)</f>
        <v>42326.489549991165</v>
      </c>
      <c r="W1219" s="247"/>
      <c r="X1219" s="217">
        <f>IF(X1218=0,0,SUMIFS(операции!$AF:$AF,операции!$T:$T,"&gt;="&amp;X$8,операции!$T:$T,"&lt;="&amp;X$9,операции!$O:$O,$F1200)/X1218)</f>
        <v>42362.756461010096</v>
      </c>
      <c r="Y1219" s="208"/>
      <c r="Z1219" s="217">
        <f>IF(Z1218=0,0,SUMIFS(операции!$AF:$AF,операции!$T:$T,"&gt;="&amp;X$8,операции!$T:$T,"&lt;="&amp;X$9,операции!$L:$L,Z$9,операции!$O:$O,$F1200)/Z1218)</f>
        <v>0</v>
      </c>
      <c r="AA1219" s="249">
        <f>IF(AA1218=0,0,SUMIFS(операции!$AF:$AF,операции!$T:$T,"&gt;="&amp;X$8,операции!$T:$T,"&lt;="&amp;X$9,операции!$L:$L,AA$9,операции!$O:$O,$F1200)/AA1218)</f>
        <v>42362.756461010096</v>
      </c>
      <c r="AB1219" s="265"/>
      <c r="AC1219" s="37"/>
      <c r="AD1219" s="37"/>
      <c r="AE1219" s="37"/>
      <c r="AF1219" s="37"/>
      <c r="AG1219" s="37"/>
      <c r="AH1219" s="37"/>
      <c r="AI1219" s="37"/>
      <c r="AJ1219" s="37"/>
      <c r="AK1219" s="37"/>
      <c r="AL1219" s="37"/>
      <c r="AM1219" s="37"/>
      <c r="AN1219" s="37"/>
      <c r="AO1219" s="37"/>
      <c r="AP1219" s="37"/>
    </row>
    <row r="1220" spans="1:42" s="93" customFormat="1" ht="15">
      <c r="A1220" s="92"/>
      <c r="B1220" s="92"/>
      <c r="C1220" s="92"/>
      <c r="D1220" s="212" t="s">
        <v>274</v>
      </c>
      <c r="E1220" s="212"/>
      <c r="F1220" s="212" t="str">
        <f t="shared" si="2120"/>
        <v>КлиматКо</v>
      </c>
      <c r="G1220" s="212" t="s">
        <v>261</v>
      </c>
      <c r="H1220" s="339"/>
      <c r="I1220" s="340">
        <f>SUMIFS(операции!$Z:$Z,операции!$X:$X,"&gt;="&amp;I$8,операции!$X:$X,"&lt;="&amp;I$9,операции!$O:$O,$F1200)</f>
        <v>125046</v>
      </c>
      <c r="J1220" s="341">
        <f>I1220-I1233-I1243</f>
        <v>0</v>
      </c>
      <c r="K1220" s="340">
        <f>SUMIFS(операции!$Z:$Z,операции!$X:$X,"&gt;="&amp;I$8,операции!$X:$X,"&lt;="&amp;I$9,операции!$L:$L,K$9,операции!$O:$O,$F1200)</f>
        <v>57322</v>
      </c>
      <c r="L1220" s="342">
        <f>SUMIFS(операции!$Z:$Z,операции!$X:$X,"&gt;="&amp;I$8,операции!$X:$X,"&lt;="&amp;I$9,операции!$L:$L,L$9,операции!$O:$O,$F1200)</f>
        <v>67724</v>
      </c>
      <c r="M1220" s="279"/>
      <c r="N1220" s="213">
        <f>SUMIFS(операции!$Z:$Z,операции!$X:$X,"&gt;="&amp;N$8,операции!$X:$X,"&lt;="&amp;N$9,операции!$O:$O,$F1200)</f>
        <v>25650</v>
      </c>
      <c r="O1220" s="216">
        <f>N1220-N1233-N1243</f>
        <v>0</v>
      </c>
      <c r="P1220" s="213">
        <f>SUMIFS(операции!$Z:$Z,операции!$X:$X,"&gt;="&amp;N$8,операции!$X:$X,"&lt;="&amp;N$9,операции!$L:$L,P$9,операции!$O:$O,$F1200)</f>
        <v>11800</v>
      </c>
      <c r="Q1220" s="250">
        <f>SUMIFS(операции!$Z:$Z,операции!$X:$X,"&gt;="&amp;N$8,операции!$X:$X,"&lt;="&amp;N$9,операции!$L:$L,Q$9,операции!$O:$O,$F1200)</f>
        <v>13850</v>
      </c>
      <c r="R1220" s="251"/>
      <c r="S1220" s="213">
        <f>SUMIFS(операции!$Z:$Z,операции!$X:$X,"&gt;="&amp;S$8,операции!$X:$X,"&lt;="&amp;S$9,операции!$O:$O,$F1200)</f>
        <v>74665</v>
      </c>
      <c r="T1220" s="216">
        <f>S1220-S1233-S1243</f>
        <v>0</v>
      </c>
      <c r="U1220" s="213">
        <f>SUMIFS(операции!$Z:$Z,операции!$X:$X,"&gt;="&amp;S$8,операции!$X:$X,"&lt;="&amp;S$9,операции!$L:$L,U$9,операции!$O:$O,$F1200)</f>
        <v>30496</v>
      </c>
      <c r="V1220" s="250">
        <f>SUMIFS(операции!$Z:$Z,операции!$X:$X,"&gt;="&amp;S$8,операции!$X:$X,"&lt;="&amp;S$9,операции!$L:$L,V$9,операции!$O:$O,$F1200)</f>
        <v>44169</v>
      </c>
      <c r="W1220" s="251"/>
      <c r="X1220" s="213">
        <f>SUMIFS(операции!$Z:$Z,операции!$X:$X,"&gt;="&amp;X$8,операции!$X:$X,"&lt;="&amp;X$9,операции!$O:$O,$F1200)</f>
        <v>24731</v>
      </c>
      <c r="Y1220" s="216">
        <f>X1220-X1233-X1243</f>
        <v>0</v>
      </c>
      <c r="Z1220" s="213">
        <f>SUMIFS(операции!$Z:$Z,операции!$X:$X,"&gt;="&amp;X$8,операции!$X:$X,"&lt;="&amp;X$9,операции!$L:$L,Z$9,операции!$O:$O,$F1200)</f>
        <v>15026</v>
      </c>
      <c r="AA1220" s="250">
        <f>SUMIFS(операции!$Z:$Z,операции!$X:$X,"&gt;="&amp;X$8,операции!$X:$X,"&lt;="&amp;X$9,операции!$L:$L,AA$9,операции!$O:$O,$F1200)</f>
        <v>9705</v>
      </c>
      <c r="AB1220" s="264"/>
      <c r="AC1220" s="92"/>
      <c r="AD1220" s="92"/>
      <c r="AE1220" s="92"/>
      <c r="AF1220" s="92"/>
      <c r="AG1220" s="92"/>
      <c r="AH1220" s="92"/>
      <c r="AI1220" s="92"/>
      <c r="AJ1220" s="92"/>
      <c r="AK1220" s="92"/>
      <c r="AL1220" s="92"/>
      <c r="AM1220" s="92"/>
      <c r="AN1220" s="92"/>
      <c r="AO1220" s="92"/>
      <c r="AP1220" s="92"/>
    </row>
    <row r="1221" spans="1:42" s="407" customFormat="1" ht="11.25">
      <c r="A1221" s="404"/>
      <c r="B1221" s="404"/>
      <c r="C1221" s="404"/>
      <c r="D1221" s="405" t="s">
        <v>332</v>
      </c>
      <c r="E1221" s="405"/>
      <c r="F1221" s="405" t="str">
        <f>F1219</f>
        <v>КлиматКо</v>
      </c>
      <c r="G1221" s="405" t="s">
        <v>218</v>
      </c>
      <c r="H1221" s="408"/>
      <c r="I1221" s="408">
        <f>IF(I$31=0,0,I1220/I$31)</f>
        <v>3.3707156442868785E-2</v>
      </c>
      <c r="J1221" s="409"/>
      <c r="K1221" s="408">
        <f t="shared" ref="K1221" si="2149">IF(K$31=0,0,K1220/K$31)</f>
        <v>4.4030374675275798E-2</v>
      </c>
      <c r="L1221" s="410">
        <f t="shared" ref="L1221" si="2150">IF(L$31=0,0,L1220/L$31)</f>
        <v>2.8125729369384636E-2</v>
      </c>
      <c r="M1221" s="411"/>
      <c r="N1221" s="412">
        <f t="shared" ref="N1221" si="2151">IF(N$31=0,0,N1220/N$31)</f>
        <v>3.3096646077499056E-2</v>
      </c>
      <c r="O1221" s="413"/>
      <c r="P1221" s="412">
        <f t="shared" ref="P1221" si="2152">IF(P$31=0,0,P1220/P$31)</f>
        <v>2.3577554168431655E-2</v>
      </c>
      <c r="Q1221" s="414">
        <f t="shared" ref="Q1221" si="2153">IF(Q$31=0,0,Q1220/Q$31)</f>
        <v>5.0450411070677929E-2</v>
      </c>
      <c r="R1221" s="415"/>
      <c r="S1221" s="412">
        <f t="shared" ref="S1221" si="2154">IF(S$31=0,0,S1220/S$31)</f>
        <v>4.2072018008728257E-2</v>
      </c>
      <c r="T1221" s="413"/>
      <c r="U1221" s="412">
        <f t="shared" ref="U1221" si="2155">IF(U$31=0,0,U1220/U$31)</f>
        <v>4.8425181221268591E-2</v>
      </c>
      <c r="V1221" s="414">
        <f t="shared" ref="V1221" si="2156">IF(V$31=0,0,V1220/V$31)</f>
        <v>3.8577567383443673E-2</v>
      </c>
      <c r="W1221" s="415"/>
      <c r="X1221" s="412">
        <f t="shared" ref="X1221" si="2157">IF(X$31=0,0,X1220/X$31)</f>
        <v>2.1318394107982395E-2</v>
      </c>
      <c r="Y1221" s="413"/>
      <c r="Z1221" s="412">
        <f t="shared" ref="Z1221" si="2158">IF(Z$31=0,0,Z1220/Z$31)</f>
        <v>8.754216600735247E-2</v>
      </c>
      <c r="AA1221" s="414">
        <f t="shared" ref="AA1221" si="2159">IF(AA$31=0,0,AA1220/AA$31)</f>
        <v>9.8185515486602561E-3</v>
      </c>
      <c r="AB1221" s="406"/>
      <c r="AC1221" s="404"/>
      <c r="AD1221" s="404"/>
      <c r="AE1221" s="404"/>
      <c r="AF1221" s="404"/>
      <c r="AG1221" s="404"/>
      <c r="AH1221" s="404"/>
      <c r="AI1221" s="404"/>
      <c r="AJ1221" s="404"/>
      <c r="AK1221" s="404"/>
      <c r="AL1221" s="404"/>
      <c r="AM1221" s="404"/>
      <c r="AN1221" s="404"/>
      <c r="AO1221" s="404"/>
      <c r="AP1221" s="404"/>
    </row>
    <row r="1222" spans="1:42" s="192" customFormat="1" ht="11.25">
      <c r="A1222" s="37"/>
      <c r="B1222" s="37"/>
      <c r="C1222" s="37"/>
      <c r="D1222" s="191" t="s">
        <v>331</v>
      </c>
      <c r="E1222" s="191"/>
      <c r="F1222" s="191" t="str">
        <f>F1220</f>
        <v>КлиматКо</v>
      </c>
      <c r="G1222" s="191" t="s">
        <v>334</v>
      </c>
      <c r="H1222" s="315"/>
      <c r="I1222" s="329">
        <f>SUMIFS(операции!$R:$R,операции!$X:$X,"&gt;="&amp;I$8,операции!$X:$X,"&lt;="&amp;I$9,операции!$O:$O,$F1200)</f>
        <v>28</v>
      </c>
      <c r="J1222" s="317">
        <f>I1222-K1222-L1222</f>
        <v>0</v>
      </c>
      <c r="K1222" s="329">
        <f>SUMIFS(операции!$R:$R,операции!$X:$X,"&gt;="&amp;I$8,операции!$X:$X,"&lt;="&amp;I$9,операции!$L:$L,K$9,операции!$O:$O,$F1200)</f>
        <v>15</v>
      </c>
      <c r="L1222" s="330">
        <f>SUMIFS(операции!$R:$R,операции!$X:$X,"&gt;="&amp;I$8,операции!$X:$X,"&lt;="&amp;I$9,операции!$L:$L,L$9,операции!$O:$O,$F1200)</f>
        <v>13</v>
      </c>
      <c r="M1222" s="402"/>
      <c r="N1222" s="156">
        <f>SUMIFS(операции!$R:$R,операции!$X:$X,"&gt;="&amp;N$8,операции!$X:$X,"&lt;="&amp;N$9,операции!$O:$O,$F1200)</f>
        <v>4</v>
      </c>
      <c r="O1222" s="196">
        <f t="shared" ref="O1222" si="2160">N1222-P1222-Q1222</f>
        <v>0</v>
      </c>
      <c r="P1222" s="156">
        <f>SUMIFS(операции!$R:$R,операции!$X:$X,"&gt;="&amp;N$8,операции!$X:$X,"&lt;="&amp;N$9,операции!$L:$L,P$9,операции!$O:$O,$F1200)</f>
        <v>2</v>
      </c>
      <c r="Q1222" s="245">
        <f>SUMIFS(операции!$R:$R,операции!$X:$X,"&gt;="&amp;N$8,операции!$X:$X,"&lt;="&amp;N$9,операции!$L:$L,Q$9,операции!$O:$O,$F1200)</f>
        <v>2</v>
      </c>
      <c r="R1222" s="403"/>
      <c r="S1222" s="156">
        <f>SUMIFS(операции!$R:$R,операции!$X:$X,"&gt;="&amp;S$8,операции!$X:$X,"&lt;="&amp;S$9,операции!$O:$O,$F1200)</f>
        <v>17</v>
      </c>
      <c r="T1222" s="196">
        <f t="shared" ref="T1222" si="2161">S1222-U1222-V1222</f>
        <v>0</v>
      </c>
      <c r="U1222" s="156">
        <f>SUMIFS(операции!$R:$R,операции!$X:$X,"&gt;="&amp;S$8,операции!$X:$X,"&lt;="&amp;S$9,операции!$L:$L,U$9,операции!$O:$O,$F1200)</f>
        <v>10</v>
      </c>
      <c r="V1222" s="245">
        <f>SUMIFS(операции!$R:$R,операции!$X:$X,"&gt;="&amp;S$8,операции!$X:$X,"&lt;="&amp;S$9,операции!$L:$L,V$9,операции!$O:$O,$F1200)</f>
        <v>7</v>
      </c>
      <c r="W1222" s="403"/>
      <c r="X1222" s="156">
        <f>SUMIFS(операции!$R:$R,операции!$X:$X,"&gt;="&amp;X$8,операции!$X:$X,"&lt;="&amp;X$9,операции!$O:$O,$F1200)</f>
        <v>7</v>
      </c>
      <c r="Y1222" s="196">
        <f t="shared" ref="Y1222" si="2162">X1222-Z1222-AA1222</f>
        <v>0</v>
      </c>
      <c r="Z1222" s="156">
        <f>SUMIFS(операции!$R:$R,операции!$X:$X,"&gt;="&amp;X$8,операции!$X:$X,"&lt;="&amp;X$9,операции!$L:$L,Z$9,операции!$O:$O,$F1200)</f>
        <v>3</v>
      </c>
      <c r="AA1222" s="245">
        <f>SUMIFS(операции!$R:$R,операции!$X:$X,"&gt;="&amp;X$8,операции!$X:$X,"&lt;="&amp;X$9,операции!$L:$L,AA$9,операции!$O:$O,$F1200)</f>
        <v>4</v>
      </c>
      <c r="AB1222" s="265"/>
      <c r="AC1222" s="37"/>
      <c r="AD1222" s="37"/>
      <c r="AE1222" s="37"/>
      <c r="AF1222" s="37"/>
      <c r="AG1222" s="37"/>
      <c r="AH1222" s="37"/>
      <c r="AI1222" s="37"/>
      <c r="AJ1222" s="37"/>
      <c r="AK1222" s="37"/>
      <c r="AL1222" s="37"/>
      <c r="AM1222" s="37"/>
      <c r="AN1222" s="37"/>
      <c r="AO1222" s="37"/>
      <c r="AP1222" s="37"/>
    </row>
    <row r="1223" spans="1:42" s="192" customFormat="1" ht="11.25">
      <c r="A1223" s="37"/>
      <c r="B1223" s="37"/>
      <c r="C1223" s="37"/>
      <c r="D1223" s="191" t="s">
        <v>333</v>
      </c>
      <c r="E1223" s="191"/>
      <c r="F1223" s="191" t="str">
        <f t="shared" si="2120"/>
        <v>КлиматКо</v>
      </c>
      <c r="G1223" s="191" t="s">
        <v>261</v>
      </c>
      <c r="H1223" s="315"/>
      <c r="I1223" s="329">
        <f>IF(I1222=0,0,I1220/I1222)</f>
        <v>4465.9285714285716</v>
      </c>
      <c r="J1223" s="317"/>
      <c r="K1223" s="329">
        <f t="shared" ref="K1223" si="2163">IF(K1222=0,0,K1220/K1222)</f>
        <v>3821.4666666666667</v>
      </c>
      <c r="L1223" s="330">
        <f t="shared" ref="L1223" si="2164">IF(L1222=0,0,L1220/L1222)</f>
        <v>5209.5384615384619</v>
      </c>
      <c r="M1223" s="402"/>
      <c r="N1223" s="156">
        <f>IF(N1222=0,0,N1220/N1222)</f>
        <v>6412.5</v>
      </c>
      <c r="O1223" s="196"/>
      <c r="P1223" s="156">
        <f>IF(P1222=0,0,P1220/P1222)</f>
        <v>5900</v>
      </c>
      <c r="Q1223" s="245">
        <f>IF(Q1222=0,0,Q1220/Q1222)</f>
        <v>6925</v>
      </c>
      <c r="R1223" s="403"/>
      <c r="S1223" s="156">
        <f>IF(S1222=0,0,S1220/S1222)</f>
        <v>4392.0588235294117</v>
      </c>
      <c r="T1223" s="196"/>
      <c r="U1223" s="156">
        <f>IF(U1222=0,0,U1220/U1222)</f>
        <v>3049.6</v>
      </c>
      <c r="V1223" s="245">
        <f>IF(V1222=0,0,V1220/V1222)</f>
        <v>6309.8571428571431</v>
      </c>
      <c r="W1223" s="403"/>
      <c r="X1223" s="156">
        <f>IF(X1222=0,0,X1220/X1222)</f>
        <v>3533</v>
      </c>
      <c r="Y1223" s="196"/>
      <c r="Z1223" s="156">
        <f>IF(Z1222=0,0,Z1220/Z1222)</f>
        <v>5008.666666666667</v>
      </c>
      <c r="AA1223" s="245">
        <f>IF(AA1222=0,0,AA1220/AA1222)</f>
        <v>2426.25</v>
      </c>
      <c r="AB1223" s="265"/>
      <c r="AC1223" s="37"/>
      <c r="AD1223" s="37"/>
      <c r="AE1223" s="37"/>
      <c r="AF1223" s="37"/>
      <c r="AG1223" s="37"/>
      <c r="AH1223" s="37"/>
      <c r="AI1223" s="37"/>
      <c r="AJ1223" s="37"/>
      <c r="AK1223" s="37"/>
      <c r="AL1223" s="37"/>
      <c r="AM1223" s="37"/>
      <c r="AN1223" s="37"/>
      <c r="AO1223" s="37"/>
      <c r="AP1223" s="37"/>
    </row>
    <row r="1224" spans="1:42" s="192" customFormat="1" ht="11.25">
      <c r="A1224" s="37"/>
      <c r="B1224" s="37"/>
      <c r="C1224" s="37"/>
      <c r="D1224" s="191" t="s">
        <v>290</v>
      </c>
      <c r="E1224" s="191"/>
      <c r="F1224" s="191" t="str">
        <f>F1220</f>
        <v>КлиматКо</v>
      </c>
      <c r="G1224" s="191" t="s">
        <v>262</v>
      </c>
      <c r="H1224" s="315"/>
      <c r="I1224" s="316">
        <f>IF(I1220=0,0,SUMIFS(операции!$AG:$AG,операции!$X:$X,"&gt;="&amp;I$8,операции!$X:$X,"&lt;="&amp;I$9,операции!$O:$O,$F1200)/I1220)</f>
        <v>42325.826479855416</v>
      </c>
      <c r="J1224" s="317"/>
      <c r="K1224" s="316">
        <f>IF(K1220=0,0,SUMIFS(операции!$AG:$AG,операции!$X:$X,"&gt;="&amp;I$8,операции!$X:$X,"&lt;="&amp;I$9,операции!$L:$L,K$9,операции!$O:$O,$F1200)/K1220)</f>
        <v>42325.615313492199</v>
      </c>
      <c r="L1224" s="318">
        <f>IF(L1220=0,0,SUMIFS(операции!$AG:$AG,операции!$X:$X,"&gt;="&amp;I$8,операции!$X:$X,"&lt;="&amp;I$9,операции!$L:$L,L$9,операции!$O:$O,$F1200)/L1220)</f>
        <v>42326.005212332406</v>
      </c>
      <c r="M1224" s="274"/>
      <c r="N1224" s="193">
        <f>IF(N1220=0,0,SUMIFS(операции!$AG:$AG,операции!$X:$X,"&gt;="&amp;N$8,операции!$X:$X,"&lt;="&amp;N$9,операции!$O:$O,$F1200)/N1220)</f>
        <v>42303.504873294347</v>
      </c>
      <c r="O1224" s="196"/>
      <c r="P1224" s="193">
        <f>IF(P1220=0,0,SUMIFS(операции!$AG:$AG,операции!$X:$X,"&gt;="&amp;N$8,операции!$X:$X,"&lt;="&amp;N$9,операции!$L:$L,P$9,операции!$O:$O,$F1200)/P1220)</f>
        <v>42299.5</v>
      </c>
      <c r="Q1224" s="237">
        <f>IF(Q1220=0,0,SUMIFS(операции!$AG:$AG,операции!$X:$X,"&gt;="&amp;N$8,операции!$X:$X,"&lt;="&amp;N$9,операции!$L:$L,Q$9,операции!$O:$O,$F1200)/Q1220)</f>
        <v>42306.916967509023</v>
      </c>
      <c r="R1224" s="238"/>
      <c r="S1224" s="193">
        <f>IF(S1220=0,0,SUMIFS(операции!$AG:$AG,операции!$X:$X,"&gt;="&amp;S$8,операции!$X:$X,"&lt;="&amp;S$9,операции!$O:$O,$F1200)/S1220)</f>
        <v>42328.660336168221</v>
      </c>
      <c r="T1224" s="196"/>
      <c r="U1224" s="193">
        <f>IF(U1220=0,0,SUMIFS(операции!$AG:$AG,операции!$X:$X,"&gt;="&amp;S$8,операции!$X:$X,"&lt;="&amp;S$9,операции!$L:$L,U$9,операции!$O:$O,$F1200)/U1220)</f>
        <v>42328.858112539347</v>
      </c>
      <c r="V1224" s="237">
        <f>IF(V1220=0,0,SUMIFS(операции!$AG:$AG,операции!$X:$X,"&gt;="&amp;S$8,операции!$X:$X,"&lt;="&amp;S$9,операции!$L:$L,V$9,операции!$O:$O,$F1200)/V1220)</f>
        <v>42328.523783649165</v>
      </c>
      <c r="W1224" s="238"/>
      <c r="X1224" s="193">
        <f>IF(X1220=0,0,SUMIFS(операции!$AG:$AG,операции!$X:$X,"&gt;="&amp;X$8,операции!$X:$X,"&lt;="&amp;X$9,операции!$O:$O,$F1200)/X1220)</f>
        <v>42340.421899640125</v>
      </c>
      <c r="Y1224" s="196"/>
      <c r="Z1224" s="193">
        <f>IF(Z1220=0,0,SUMIFS(операции!$AG:$AG,операции!$X:$X,"&gt;="&amp;X$8,операции!$X:$X,"&lt;="&amp;X$9,операции!$L:$L,Z$9,операции!$O:$O,$F1200)/Z1220)</f>
        <v>42339.542393185147</v>
      </c>
      <c r="AA1224" s="237">
        <f>IF(AA1220=0,0,SUMIFS(операции!$AG:$AG,операции!$X:$X,"&gt;="&amp;X$8,операции!$X:$X,"&lt;="&amp;X$9,операции!$L:$L,AA$9,операции!$O:$O,$F1200)/AA1220)</f>
        <v>42341.783616692424</v>
      </c>
      <c r="AB1224" s="265"/>
      <c r="AC1224" s="37"/>
      <c r="AD1224" s="37"/>
      <c r="AE1224" s="37"/>
      <c r="AF1224" s="37"/>
      <c r="AG1224" s="37"/>
      <c r="AH1224" s="37"/>
      <c r="AI1224" s="37"/>
      <c r="AJ1224" s="37"/>
      <c r="AK1224" s="37"/>
      <c r="AL1224" s="37"/>
      <c r="AM1224" s="37"/>
      <c r="AN1224" s="37"/>
      <c r="AO1224" s="37"/>
      <c r="AP1224" s="37"/>
    </row>
    <row r="1225" spans="1:42" s="93" customFormat="1" ht="15">
      <c r="A1225" s="92"/>
      <c r="B1225" s="92"/>
      <c r="C1225" s="92"/>
      <c r="D1225" s="151" t="s">
        <v>275</v>
      </c>
      <c r="E1225" s="151"/>
      <c r="F1225" s="151" t="str">
        <f t="shared" si="2120"/>
        <v>КлиматКо</v>
      </c>
      <c r="G1225" s="151" t="s">
        <v>261</v>
      </c>
      <c r="H1225" s="311"/>
      <c r="I1225" s="312">
        <f>SUMIFS(операции!$V:$V,операции!$X:$X,"&gt;="&amp;I$8,операции!$X:$X,"&lt;="&amp;I$9,операции!$O:$O,$F1200)</f>
        <v>114182.26000000001</v>
      </c>
      <c r="J1225" s="313">
        <f>I1225-I1235-I1245</f>
        <v>0</v>
      </c>
      <c r="K1225" s="312">
        <f>SUMIFS(операции!$V:$V,операции!$X:$X,"&gt;="&amp;I$8,операции!$X:$X,"&lt;="&amp;I$9,операции!$L:$L,K$9,операции!$O:$O,$F1200)</f>
        <v>50275.329999999994</v>
      </c>
      <c r="L1225" s="314">
        <f>SUMIFS(операции!$V:$V,операции!$X:$X,"&gt;="&amp;I$8,операции!$X:$X,"&lt;="&amp;I$9,операции!$L:$L,L$9,операции!$O:$O,$F1200)</f>
        <v>63906.930000000008</v>
      </c>
      <c r="M1225" s="273"/>
      <c r="N1225" s="152">
        <f>SUMIFS(операции!$V:$V,операции!$X:$X,"&gt;="&amp;N$8,операции!$X:$X,"&lt;="&amp;N$9,операции!$O:$O,$F1200)</f>
        <v>22923.05</v>
      </c>
      <c r="O1225" s="170">
        <f>N1225-N1235-N1245</f>
        <v>0</v>
      </c>
      <c r="P1225" s="152">
        <f>SUMIFS(операции!$V:$V,операции!$X:$X,"&gt;="&amp;N$8,операции!$X:$X,"&lt;="&amp;N$9,операции!$L:$L,P$9,операции!$O:$O,$F1200)</f>
        <v>10440</v>
      </c>
      <c r="Q1225" s="235">
        <f>SUMIFS(операции!$V:$V,операции!$X:$X,"&gt;="&amp;N$8,операции!$X:$X,"&lt;="&amp;N$9,операции!$L:$L,Q$9,операции!$O:$O,$F1200)</f>
        <v>12483.05</v>
      </c>
      <c r="R1225" s="236"/>
      <c r="S1225" s="152">
        <f>SUMIFS(операции!$V:$V,операции!$X:$X,"&gt;="&amp;S$8,операции!$X:$X,"&lt;="&amp;S$9,операции!$O:$O,$F1200)</f>
        <v>68931.760000000009</v>
      </c>
      <c r="T1225" s="170">
        <f>S1225-S1235-S1245</f>
        <v>1.4551915228366852E-11</v>
      </c>
      <c r="U1225" s="152">
        <f>SUMIFS(операции!$V:$V,операции!$X:$X,"&gt;="&amp;S$8,операции!$X:$X,"&lt;="&amp;S$9,операции!$L:$L,U$9,операции!$O:$O,$F1200)</f>
        <v>26621.88</v>
      </c>
      <c r="V1225" s="235">
        <f>SUMIFS(операции!$V:$V,операции!$X:$X,"&gt;="&amp;S$8,операции!$X:$X,"&lt;="&amp;S$9,операции!$L:$L,V$9,операции!$O:$O,$F1200)</f>
        <v>42309.880000000005</v>
      </c>
      <c r="W1225" s="236"/>
      <c r="X1225" s="152">
        <f>SUMIFS(операции!$V:$V,операции!$X:$X,"&gt;="&amp;X$8,операции!$X:$X,"&lt;="&amp;X$9,операции!$O:$O,$F1200)</f>
        <v>22327.45</v>
      </c>
      <c r="Y1225" s="170">
        <f>X1225-X1235-X1245</f>
        <v>0</v>
      </c>
      <c r="Z1225" s="152">
        <f>SUMIFS(операции!$V:$V,операции!$X:$X,"&gt;="&amp;X$8,операции!$X:$X,"&lt;="&amp;X$9,операции!$L:$L,Z$9,операции!$O:$O,$F1200)</f>
        <v>13213.45</v>
      </c>
      <c r="AA1225" s="235">
        <f>SUMIFS(операции!$V:$V,операции!$X:$X,"&gt;="&amp;X$8,операции!$X:$X,"&lt;="&amp;X$9,операции!$L:$L,AA$9,операции!$O:$O,$F1200)</f>
        <v>9114</v>
      </c>
      <c r="AB1225" s="264"/>
      <c r="AC1225" s="92"/>
      <c r="AD1225" s="92"/>
      <c r="AE1225" s="92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</row>
    <row r="1226" spans="1:42" s="192" customFormat="1" ht="11.25">
      <c r="A1226" s="37"/>
      <c r="B1226" s="37"/>
      <c r="C1226" s="37"/>
      <c r="D1226" s="191" t="s">
        <v>291</v>
      </c>
      <c r="E1226" s="191"/>
      <c r="F1226" s="191" t="str">
        <f t="shared" si="2120"/>
        <v>КлиматКо</v>
      </c>
      <c r="G1226" s="191" t="s">
        <v>262</v>
      </c>
      <c r="H1226" s="315"/>
      <c r="I1226" s="316">
        <f>IF(I1225=0,0,SUMIFS(операции!$AF:$AF,операции!$X:$X,"&gt;="&amp;I$8,операции!$X:$X,"&lt;="&amp;I$9,операции!$O:$O,$F1200)/I1225)</f>
        <v>42290.681620069532</v>
      </c>
      <c r="J1226" s="317"/>
      <c r="K1226" s="316">
        <f>IF(K1225=0,0,SUMIFS(операции!$AF:$AF,операции!$X:$X,"&gt;="&amp;I$8,операции!$X:$X,"&lt;="&amp;I$9,операции!$L:$L,K$9,операции!$O:$O,$F1200)/K1225)</f>
        <v>42250.910193528325</v>
      </c>
      <c r="L1226" s="318">
        <f>IF(L1225=0,0,SUMIFS(операции!$AF:$AF,операции!$X:$X,"&gt;="&amp;I$8,операции!$X:$X,"&lt;="&amp;I$9,операции!$L:$L,L$9,операции!$O:$O,$F1200)/L1225)</f>
        <v>42321.969644606615</v>
      </c>
      <c r="M1226" s="274"/>
      <c r="N1226" s="193">
        <f>IF(N1225=0,0,SUMIFS(операции!$AF:$AF,операции!$X:$X,"&gt;="&amp;N$8,операции!$X:$X,"&lt;="&amp;N$9,операции!$O:$O,$F1200)/N1225)</f>
        <v>42257.87458911445</v>
      </c>
      <c r="O1226" s="196"/>
      <c r="P1226" s="193">
        <f>IF(P1225=0,0,SUMIFS(операции!$AF:$AF,операции!$X:$X,"&gt;="&amp;N$8,операции!$X:$X,"&lt;="&amp;N$9,операции!$L:$L,P$9,операции!$O:$O,$F1200)/P1225)</f>
        <v>42203.5</v>
      </c>
      <c r="Q1226" s="237">
        <f>IF(Q1225=0,0,SUMIFS(операции!$AF:$AF,операции!$X:$X,"&gt;="&amp;N$8,операции!$X:$X,"&lt;="&amp;N$9,операции!$L:$L,Q$9,операции!$O:$O,$F1200)/Q1225)</f>
        <v>42303.349910478617</v>
      </c>
      <c r="R1226" s="238"/>
      <c r="S1226" s="193">
        <f>IF(S1225=0,0,SUMIFS(операции!$AF:$AF,операции!$X:$X,"&gt;="&amp;S$8,операции!$X:$X,"&lt;="&amp;S$9,операции!$O:$O,$F1200)/S1225)</f>
        <v>42300.791026806794</v>
      </c>
      <c r="T1226" s="196"/>
      <c r="U1226" s="193">
        <f>IF(U1225=0,0,SUMIFS(операции!$AF:$AF,операции!$X:$X,"&gt;="&amp;S$8,операции!$X:$X,"&lt;="&amp;S$9,операции!$L:$L,U$9,операции!$O:$O,$F1200)/U1225)</f>
        <v>42263.204530634204</v>
      </c>
      <c r="V1226" s="237">
        <f>IF(V1225=0,0,SUMIFS(операции!$AF:$AF,операции!$X:$X,"&gt;="&amp;S$8,операции!$X:$X,"&lt;="&amp;S$9,операции!$L:$L,V$9,операции!$O:$O,$F1200)/V1225)</f>
        <v>42324.440897492495</v>
      </c>
      <c r="W1226" s="238"/>
      <c r="X1226" s="193">
        <f>IF(X1225=0,0,SUMIFS(операции!$AF:$AF,операции!$X:$X,"&gt;="&amp;X$8,операции!$X:$X,"&lt;="&amp;X$9,операции!$O:$O,$F1200)/X1225)</f>
        <v>42293.152928346048</v>
      </c>
      <c r="Y1226" s="196"/>
      <c r="Z1226" s="193">
        <f>IF(Z1225=0,0,SUMIFS(операции!$AF:$AF,операции!$X:$X,"&gt;="&amp;X$8,операции!$X:$X,"&lt;="&amp;X$9,операции!$L:$L,Z$9,операции!$O:$O,$F1200)/Z1225)</f>
        <v>42263.599086536822</v>
      </c>
      <c r="AA1226" s="237">
        <f>IF(AA1225=0,0,SUMIFS(операции!$AF:$AF,операции!$X:$X,"&gt;="&amp;X$8,операции!$X:$X,"&lt;="&amp;X$9,операции!$L:$L,AA$9,операции!$O:$O,$F1200)/AA1225)</f>
        <v>42336</v>
      </c>
      <c r="AB1226" s="265"/>
      <c r="AC1226" s="37"/>
      <c r="AD1226" s="37"/>
      <c r="AE1226" s="37"/>
      <c r="AF1226" s="37"/>
      <c r="AG1226" s="37"/>
      <c r="AH1226" s="37"/>
      <c r="AI1226" s="37"/>
      <c r="AJ1226" s="37"/>
      <c r="AK1226" s="37"/>
      <c r="AL1226" s="37"/>
      <c r="AM1226" s="37"/>
      <c r="AN1226" s="37"/>
      <c r="AO1226" s="37"/>
      <c r="AP1226" s="37"/>
    </row>
    <row r="1227" spans="1:42" s="192" customFormat="1" ht="11.25">
      <c r="A1227" s="37"/>
      <c r="B1227" s="37"/>
      <c r="C1227" s="37"/>
      <c r="D1227" s="191" t="s">
        <v>308</v>
      </c>
      <c r="E1227" s="191"/>
      <c r="F1227" s="191" t="str">
        <f t="shared" si="2120"/>
        <v>КлиматКо</v>
      </c>
      <c r="G1227" s="191" t="s">
        <v>262</v>
      </c>
      <c r="H1227" s="315"/>
      <c r="I1227" s="316">
        <f>IF(I1225=0,0,(I1235*I1237+I1245*I1247)/I1225)</f>
        <v>42319.97557291299</v>
      </c>
      <c r="J1227" s="317"/>
      <c r="K1227" s="316">
        <f t="shared" ref="K1227:L1227" si="2165">IF(K1225=0,0,(K1235*K1237+K1245*K1247)/K1225)</f>
        <v>42291.291431801641</v>
      </c>
      <c r="L1227" s="318">
        <f t="shared" si="2165"/>
        <v>42342.541273692856</v>
      </c>
      <c r="M1227" s="274"/>
      <c r="N1227" s="193">
        <f>IF(N1225=0,0,(N1235*N1237+N1245*N1247)/N1225)</f>
        <v>42285.669254309527</v>
      </c>
      <c r="O1227" s="196"/>
      <c r="P1227" s="193">
        <f t="shared" ref="P1227:Q1227" si="2166">IF(P1225=0,0,(P1235*P1237+P1245*P1247)/P1225)</f>
        <v>42233.5</v>
      </c>
      <c r="Q1227" s="237">
        <f t="shared" si="2166"/>
        <v>42329.300179042788</v>
      </c>
      <c r="R1227" s="238"/>
      <c r="S1227" s="193">
        <f>IF(S1225=0,0,(S1235*S1237+S1245*S1247)/S1225)</f>
        <v>42323.252593724574</v>
      </c>
      <c r="T1227" s="196"/>
      <c r="U1227" s="193">
        <f t="shared" ref="U1227:V1227" si="2167">IF(U1225=0,0,(U1235*U1237+U1245*U1247)/U1225)</f>
        <v>42300.979714806017</v>
      </c>
      <c r="V1227" s="237">
        <f t="shared" si="2167"/>
        <v>42337.266954196042</v>
      </c>
      <c r="W1227" s="238"/>
      <c r="X1227" s="193">
        <f>IF(X1225=0,0,(X1235*X1237+X1245*X1247)/X1225)</f>
        <v>42330.615490349322</v>
      </c>
      <c r="Y1227" s="196"/>
      <c r="Z1227" s="193">
        <f t="shared" ref="Z1227:AA1227" si="2168">IF(Z1225=0,0,(Z1235*Z1237+Z1245*Z1247)/Z1225)</f>
        <v>42308.488005025181</v>
      </c>
      <c r="AA1227" s="237">
        <f t="shared" si="2168"/>
        <v>42362.695852534562</v>
      </c>
      <c r="AB1227" s="265"/>
      <c r="AC1227" s="37"/>
      <c r="AD1227" s="37"/>
      <c r="AE1227" s="37"/>
      <c r="AF1227" s="37"/>
      <c r="AG1227" s="37"/>
      <c r="AH1227" s="37"/>
      <c r="AI1227" s="37"/>
      <c r="AJ1227" s="37"/>
      <c r="AK1227" s="37"/>
      <c r="AL1227" s="37"/>
      <c r="AM1227" s="37"/>
      <c r="AN1227" s="37"/>
      <c r="AO1227" s="37"/>
      <c r="AP1227" s="37"/>
    </row>
    <row r="1228" spans="1:42" s="93" customFormat="1" ht="15">
      <c r="A1228" s="92"/>
      <c r="B1228" s="92"/>
      <c r="C1228" s="92"/>
      <c r="D1228" s="151" t="s">
        <v>278</v>
      </c>
      <c r="E1228" s="151"/>
      <c r="F1228" s="151" t="str">
        <f t="shared" si="2120"/>
        <v>КлиматКо</v>
      </c>
      <c r="G1228" s="151" t="s">
        <v>261</v>
      </c>
      <c r="H1228" s="311"/>
      <c r="I1228" s="312">
        <f>I1220-I1225</f>
        <v>10863.739999999991</v>
      </c>
      <c r="J1228" s="313">
        <f>I1228-K1228-L1228</f>
        <v>-7.2759576141834259E-12</v>
      </c>
      <c r="K1228" s="312">
        <f t="shared" ref="K1228:L1228" si="2169">K1220-K1225</f>
        <v>7046.6700000000055</v>
      </c>
      <c r="L1228" s="314">
        <f t="shared" si="2169"/>
        <v>3817.0699999999924</v>
      </c>
      <c r="M1228" s="273"/>
      <c r="N1228" s="152">
        <f>N1220-N1225</f>
        <v>2726.9500000000007</v>
      </c>
      <c r="O1228" s="170">
        <f>N1228-P1228-Q1228</f>
        <v>0</v>
      </c>
      <c r="P1228" s="152">
        <f t="shared" ref="P1228:Q1228" si="2170">P1220-P1225</f>
        <v>1360</v>
      </c>
      <c r="Q1228" s="235">
        <f t="shared" si="2170"/>
        <v>1366.9500000000007</v>
      </c>
      <c r="R1228" s="236"/>
      <c r="S1228" s="152">
        <f>S1220-S1225</f>
        <v>5733.2399999999907</v>
      </c>
      <c r="T1228" s="170">
        <f>S1228-U1228-V1228</f>
        <v>-3.637978807091713E-12</v>
      </c>
      <c r="U1228" s="152">
        <f t="shared" ref="U1228:V1228" si="2171">U1220-U1225</f>
        <v>3874.119999999999</v>
      </c>
      <c r="V1228" s="235">
        <f t="shared" si="2171"/>
        <v>1859.1199999999953</v>
      </c>
      <c r="W1228" s="236"/>
      <c r="X1228" s="152">
        <f>X1220-X1225</f>
        <v>2403.5499999999993</v>
      </c>
      <c r="Y1228" s="170">
        <f>X1228-Z1228-AA1228</f>
        <v>0</v>
      </c>
      <c r="Z1228" s="152">
        <f t="shared" ref="Z1228:AA1228" si="2172">Z1220-Z1225</f>
        <v>1812.5499999999993</v>
      </c>
      <c r="AA1228" s="235">
        <f t="shared" si="2172"/>
        <v>591</v>
      </c>
      <c r="AB1228" s="264"/>
      <c r="AC1228" s="92"/>
      <c r="AD1228" s="92"/>
      <c r="AE1228" s="92"/>
      <c r="AF1228" s="92"/>
      <c r="AG1228" s="92"/>
      <c r="AH1228" s="92"/>
      <c r="AI1228" s="92"/>
      <c r="AJ1228" s="92"/>
      <c r="AK1228" s="92"/>
      <c r="AL1228" s="92"/>
      <c r="AM1228" s="92"/>
      <c r="AN1228" s="92"/>
      <c r="AO1228" s="92"/>
      <c r="AP1228" s="92"/>
    </row>
    <row r="1229" spans="1:42" s="211" customFormat="1">
      <c r="A1229" s="210"/>
      <c r="B1229" s="210"/>
      <c r="C1229" s="210"/>
      <c r="D1229" s="218" t="s">
        <v>277</v>
      </c>
      <c r="E1229" s="218"/>
      <c r="F1229" s="218" t="str">
        <f t="shared" si="2120"/>
        <v>КлиматКо</v>
      </c>
      <c r="G1229" s="218" t="s">
        <v>218</v>
      </c>
      <c r="H1229" s="343"/>
      <c r="I1229" s="344">
        <f>IF(I1220=0,0,(I1228/I1220))</f>
        <v>8.6877948914799275E-2</v>
      </c>
      <c r="J1229" s="345"/>
      <c r="K1229" s="344">
        <f t="shared" ref="K1229" si="2173">IF(K1220=0,0,(K1228/K1220))</f>
        <v>0.12293133526394762</v>
      </c>
      <c r="L1229" s="346">
        <f t="shared" ref="L1229" si="2174">IF(L1220=0,0,(L1228/L1220))</f>
        <v>5.6362146358750108E-2</v>
      </c>
      <c r="M1229" s="280"/>
      <c r="N1229" s="219">
        <f>IF(N1220=0,0,(N1228/N1220))</f>
        <v>0.10631384015594544</v>
      </c>
      <c r="O1229" s="220"/>
      <c r="P1229" s="219">
        <f t="shared" ref="P1229" si="2175">IF(P1220=0,0,(P1228/P1220))</f>
        <v>0.11525423728813559</v>
      </c>
      <c r="Q1229" s="252">
        <f t="shared" ref="Q1229" si="2176">IF(Q1220=0,0,(Q1228/Q1220))</f>
        <v>9.8696750902527122E-2</v>
      </c>
      <c r="R1229" s="253"/>
      <c r="S1229" s="219">
        <f>IF(S1220=0,0,(S1228/S1220))</f>
        <v>7.6786178262907526E-2</v>
      </c>
      <c r="T1229" s="220"/>
      <c r="U1229" s="219">
        <f t="shared" ref="U1229" si="2177">IF(U1220=0,0,(U1228/U1220))</f>
        <v>0.12703698845750258</v>
      </c>
      <c r="V1229" s="252">
        <f t="shared" ref="V1229" si="2178">IF(V1220=0,0,(V1228/V1220))</f>
        <v>4.2091059340261167E-2</v>
      </c>
      <c r="W1229" s="253"/>
      <c r="X1229" s="219">
        <f>IF(X1220=0,0,(X1228/X1220))</f>
        <v>9.718774008329624E-2</v>
      </c>
      <c r="Y1229" s="220"/>
      <c r="Z1229" s="219">
        <f t="shared" ref="Z1229" si="2179">IF(Z1220=0,0,(Z1228/Z1220))</f>
        <v>0.12062757886330355</v>
      </c>
      <c r="AA1229" s="252">
        <f t="shared" ref="AA1229" si="2180">IF(AA1220=0,0,(AA1228/AA1220))</f>
        <v>6.0896445131375578E-2</v>
      </c>
      <c r="AB1229" s="267"/>
      <c r="AC1229" s="210"/>
      <c r="AD1229" s="210"/>
      <c r="AE1229" s="210"/>
      <c r="AF1229" s="210"/>
      <c r="AG1229" s="210"/>
      <c r="AH1229" s="210"/>
      <c r="AI1229" s="210"/>
      <c r="AJ1229" s="210"/>
      <c r="AK1229" s="210"/>
      <c r="AL1229" s="210"/>
      <c r="AM1229" s="210"/>
      <c r="AN1229" s="210"/>
      <c r="AO1229" s="210"/>
      <c r="AP1229" s="210"/>
    </row>
    <row r="1230" spans="1:42" s="93" customFormat="1" ht="15">
      <c r="A1230" s="92"/>
      <c r="B1230" s="92"/>
      <c r="C1230" s="92"/>
      <c r="D1230" s="198" t="s">
        <v>220</v>
      </c>
      <c r="E1230" s="198"/>
      <c r="F1230" s="198" t="str">
        <f t="shared" si="2120"/>
        <v>КлиматКо</v>
      </c>
      <c r="G1230" s="198" t="s">
        <v>219</v>
      </c>
      <c r="H1230" s="323"/>
      <c r="I1230" s="324">
        <f>I1224-I1226</f>
        <v>35.144859785883455</v>
      </c>
      <c r="J1230" s="321">
        <f>I1230-SUMIFS(ПОбТЗ!$I:$I,ПОбТЗ!$E:$E,$D1230,ПОбТЗ!$F:$F,$F1230)</f>
        <v>0</v>
      </c>
      <c r="K1230" s="324">
        <f t="shared" ref="K1230:L1230" si="2181">K1224-K1226</f>
        <v>74.705119963873585</v>
      </c>
      <c r="L1230" s="325">
        <f t="shared" si="2181"/>
        <v>4.0355677257903153</v>
      </c>
      <c r="M1230" s="276"/>
      <c r="N1230" s="199">
        <f>N1224-N1226</f>
        <v>45.630284179896989</v>
      </c>
      <c r="O1230" s="173">
        <f>N1230-SUMIFS(ПОбТЗ_3!$J:$J,ПОбТЗ_3!$D:$D,$D1230,ПОбТЗ_3!$E:$E,$F1230)</f>
        <v>0</v>
      </c>
      <c r="P1230" s="199">
        <f t="shared" ref="P1230:Q1230" si="2182">P1224-P1226</f>
        <v>96</v>
      </c>
      <c r="Q1230" s="241">
        <f t="shared" si="2182"/>
        <v>3.5670570304064313</v>
      </c>
      <c r="R1230" s="242"/>
      <c r="S1230" s="199">
        <f>S1224-S1226</f>
        <v>27.86930936142744</v>
      </c>
      <c r="T1230" s="173">
        <f>S1230-SUMIFS(ПОбТЗ_3!$K:$K,ПОбТЗ_3!$D:$D,$D1230,ПОбТЗ_3!$E:$E,$F1230)</f>
        <v>0</v>
      </c>
      <c r="U1230" s="199">
        <f t="shared" ref="U1230:V1230" si="2183">U1224-U1226</f>
        <v>65.653581905142346</v>
      </c>
      <c r="V1230" s="241">
        <f t="shared" si="2183"/>
        <v>4.0828861566697014</v>
      </c>
      <c r="W1230" s="242"/>
      <c r="X1230" s="199">
        <f>X1224-X1226</f>
        <v>47.268971294077346</v>
      </c>
      <c r="Y1230" s="173">
        <f>X1230-SUMIFS(ПОбТЗ_3!$L:$L,ПОбТЗ_3!$D:$D,$D1230,ПОбТЗ_3!$E:$E,$F1230)</f>
        <v>0</v>
      </c>
      <c r="Z1230" s="199">
        <f t="shared" ref="Z1230:AA1230" si="2184">Z1224-Z1226</f>
        <v>75.943306648325233</v>
      </c>
      <c r="AA1230" s="241">
        <f t="shared" si="2184"/>
        <v>5.7836166924244026</v>
      </c>
      <c r="AB1230" s="264"/>
      <c r="AC1230" s="92"/>
      <c r="AD1230" s="92"/>
      <c r="AE1230" s="92"/>
      <c r="AF1230" s="92"/>
      <c r="AG1230" s="92"/>
      <c r="AH1230" s="92"/>
      <c r="AI1230" s="92"/>
      <c r="AJ1230" s="92"/>
      <c r="AK1230" s="92"/>
      <c r="AL1230" s="92"/>
      <c r="AM1230" s="92"/>
      <c r="AN1230" s="92"/>
      <c r="AO1230" s="92"/>
      <c r="AP1230" s="92"/>
    </row>
    <row r="1231" spans="1:42" s="5" customFormat="1">
      <c r="A1231" s="1"/>
      <c r="B1231" s="1"/>
      <c r="C1231" s="1"/>
      <c r="D1231" s="227" t="s">
        <v>309</v>
      </c>
      <c r="E1231" s="227"/>
      <c r="F1231" s="227" t="str">
        <f t="shared" si="2120"/>
        <v>КлиматКо</v>
      </c>
      <c r="G1231" s="227" t="s">
        <v>219</v>
      </c>
      <c r="H1231" s="347"/>
      <c r="I1231" s="348">
        <f>I1227-I1226</f>
        <v>29.293952843458101</v>
      </c>
      <c r="J1231" s="321"/>
      <c r="K1231" s="348">
        <f t="shared" ref="K1231:L1231" si="2185">K1227-K1226</f>
        <v>40.38123827331583</v>
      </c>
      <c r="L1231" s="349">
        <f t="shared" si="2185"/>
        <v>20.571629086240137</v>
      </c>
      <c r="M1231" s="281"/>
      <c r="N1231" s="228">
        <f>N1227-N1226</f>
        <v>27.794665195076959</v>
      </c>
      <c r="O1231" s="173"/>
      <c r="P1231" s="228">
        <f t="shared" ref="P1231:Q1231" si="2186">P1227-P1226</f>
        <v>30</v>
      </c>
      <c r="Q1231" s="254">
        <f t="shared" si="2186"/>
        <v>25.950268564170983</v>
      </c>
      <c r="R1231" s="255"/>
      <c r="S1231" s="228">
        <f>S1227-S1226</f>
        <v>22.461566917780146</v>
      </c>
      <c r="T1231" s="173"/>
      <c r="U1231" s="228">
        <f t="shared" ref="U1231:V1231" si="2187">U1227-U1226</f>
        <v>37.775184171812725</v>
      </c>
      <c r="V1231" s="254">
        <f t="shared" si="2187"/>
        <v>12.826056703546783</v>
      </c>
      <c r="W1231" s="255"/>
      <c r="X1231" s="228">
        <f>X1227-X1226</f>
        <v>37.462562003274797</v>
      </c>
      <c r="Y1231" s="173"/>
      <c r="Z1231" s="228">
        <f t="shared" ref="Z1231:AA1231" si="2188">Z1227-Z1226</f>
        <v>44.888918488359195</v>
      </c>
      <c r="AA1231" s="254">
        <f t="shared" si="2188"/>
        <v>26.695852534561709</v>
      </c>
      <c r="AB1231" s="266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</row>
    <row r="1232" spans="1:42" s="5" customFormat="1">
      <c r="A1232" s="1"/>
      <c r="B1232" s="1"/>
      <c r="C1232" s="1"/>
      <c r="D1232" s="225" t="s">
        <v>310</v>
      </c>
      <c r="E1232" s="225"/>
      <c r="F1232" s="225" t="str">
        <f t="shared" si="2120"/>
        <v>КлиматКо</v>
      </c>
      <c r="G1232" s="225" t="s">
        <v>219</v>
      </c>
      <c r="H1232" s="350"/>
      <c r="I1232" s="351">
        <f>I1230-I1231</f>
        <v>5.8509069424253539</v>
      </c>
      <c r="J1232" s="352"/>
      <c r="K1232" s="351">
        <f t="shared" ref="K1232" si="2189">K1230-K1231</f>
        <v>34.323881690557755</v>
      </c>
      <c r="L1232" s="353">
        <f t="shared" ref="L1232" si="2190">L1230-L1231</f>
        <v>-16.536061360449821</v>
      </c>
      <c r="M1232" s="282"/>
      <c r="N1232" s="226">
        <f>N1230-N1231</f>
        <v>17.83561898482003</v>
      </c>
      <c r="O1232" s="181"/>
      <c r="P1232" s="226">
        <f t="shared" ref="P1232" si="2191">P1230-P1231</f>
        <v>66</v>
      </c>
      <c r="Q1232" s="256">
        <f t="shared" ref="Q1232" si="2192">Q1230-Q1231</f>
        <v>-22.383211533764552</v>
      </c>
      <c r="R1232" s="257"/>
      <c r="S1232" s="226">
        <f>S1230-S1231</f>
        <v>5.4077424436472938</v>
      </c>
      <c r="T1232" s="181"/>
      <c r="U1232" s="226">
        <f t="shared" ref="U1232" si="2193">U1230-U1231</f>
        <v>27.878397733329621</v>
      </c>
      <c r="V1232" s="256">
        <f t="shared" ref="V1232" si="2194">V1230-V1231</f>
        <v>-8.7431705468770815</v>
      </c>
      <c r="W1232" s="257"/>
      <c r="X1232" s="226">
        <f>X1230-X1231</f>
        <v>9.8064092908025486</v>
      </c>
      <c r="Y1232" s="181"/>
      <c r="Z1232" s="226">
        <f t="shared" ref="Z1232" si="2195">Z1230-Z1231</f>
        <v>31.054388159966038</v>
      </c>
      <c r="AA1232" s="256">
        <f t="shared" ref="AA1232" si="2196">AA1230-AA1231</f>
        <v>-20.912235842137306</v>
      </c>
      <c r="AB1232" s="266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</row>
    <row r="1233" spans="1:42" s="5" customFormat="1">
      <c r="A1233" s="1"/>
      <c r="B1233" s="1"/>
      <c r="C1233" s="1"/>
      <c r="D1233" s="223"/>
      <c r="E1233" s="223" t="s">
        <v>293</v>
      </c>
      <c r="F1233" s="223" t="str">
        <f t="shared" si="2120"/>
        <v>КлиматКо</v>
      </c>
      <c r="G1233" s="223" t="s">
        <v>261</v>
      </c>
      <c r="H1233" s="354"/>
      <c r="I1233" s="355">
        <f>SUMIFS(операции!$Z:$Z,операции!$X:$X,"&gt;="&amp;I$8,операции!$X:$X,"&lt;="&amp;I$9,операции!$AB:$AB,"&lt;&gt;"&amp;"",операции!$O:$O,$F1200)</f>
        <v>112002</v>
      </c>
      <c r="J1233" s="341">
        <f>I1233-K1233-L1233</f>
        <v>0</v>
      </c>
      <c r="K1233" s="355">
        <f>SUMIFS(операции!$Z:$Z,операции!$X:$X,"&gt;="&amp;I$8,операции!$X:$X,"&lt;="&amp;I$9,операции!$AB:$AB,"&lt;&gt;"&amp;"",операции!$L:$L,K$9,операции!$O:$O,$F1200)</f>
        <v>53368</v>
      </c>
      <c r="L1233" s="356">
        <f>SUMIFS(операции!$Z:$Z,операции!$X:$X,"&gt;="&amp;I$8,операции!$X:$X,"&lt;="&amp;I$9,операции!$AB:$AB,"&lt;&gt;"&amp;"",операции!$L:$L,L$9,операции!$O:$O,$F1200)</f>
        <v>58634</v>
      </c>
      <c r="M1233" s="283"/>
      <c r="N1233" s="224">
        <f>SUMIFS(операции!$Z:$Z,операции!$X:$X,"&gt;="&amp;N$8,операции!$X:$X,"&lt;="&amp;N$9,операции!$AB:$AB,"&lt;&gt;"&amp;"",операции!$O:$O,$F1200)</f>
        <v>25650</v>
      </c>
      <c r="O1233" s="216">
        <f>N1233-P1233-Q1233</f>
        <v>0</v>
      </c>
      <c r="P1233" s="224">
        <f>SUMIFS(операции!$Z:$Z,операции!$X:$X,"&gt;="&amp;N$8,операции!$X:$X,"&lt;="&amp;N$9,операции!$AB:$AB,"&lt;&gt;"&amp;"",операции!$L:$L,P$9,операции!$O:$O,$F1200)</f>
        <v>11800</v>
      </c>
      <c r="Q1233" s="258">
        <f>SUMIFS(операции!$Z:$Z,операции!$X:$X,"&gt;="&amp;N$8,операции!$X:$X,"&lt;="&amp;N$9,операции!$AB:$AB,"&lt;&gt;"&amp;"",операции!$L:$L,Q$9,операции!$O:$O,$F1200)</f>
        <v>13850</v>
      </c>
      <c r="R1233" s="259"/>
      <c r="S1233" s="224">
        <f>SUMIFS(операции!$Z:$Z,операции!$X:$X,"&gt;="&amp;S$8,операции!$X:$X,"&lt;="&amp;S$9,операции!$AB:$AB,"&lt;&gt;"&amp;"",операции!$O:$O,$F1200)</f>
        <v>63721</v>
      </c>
      <c r="T1233" s="216">
        <f>S1233-U1233-V1233</f>
        <v>0</v>
      </c>
      <c r="U1233" s="224">
        <f>SUMIFS(операции!$Z:$Z,операции!$X:$X,"&gt;="&amp;S$8,операции!$X:$X,"&lt;="&amp;S$9,операции!$AB:$AB,"&lt;&gt;"&amp;"",операции!$L:$L,U$9,операции!$O:$O,$F1200)</f>
        <v>26542</v>
      </c>
      <c r="V1233" s="258">
        <f>SUMIFS(операции!$Z:$Z,операции!$X:$X,"&gt;="&amp;S$8,операции!$X:$X,"&lt;="&amp;S$9,операции!$AB:$AB,"&lt;&gt;"&amp;"",операции!$L:$L,V$9,операции!$O:$O,$F1200)</f>
        <v>37179</v>
      </c>
      <c r="W1233" s="259"/>
      <c r="X1233" s="224">
        <f>SUMIFS(операции!$Z:$Z,операции!$X:$X,"&gt;="&amp;X$8,операции!$X:$X,"&lt;="&amp;X$9,операции!$AB:$AB,"&lt;&gt;"&amp;"",операции!$O:$O,$F1200)</f>
        <v>22631</v>
      </c>
      <c r="Y1233" s="216">
        <f>X1233-Z1233-AA1233</f>
        <v>0</v>
      </c>
      <c r="Z1233" s="224">
        <f>SUMIFS(операции!$Z:$Z,операции!$X:$X,"&gt;="&amp;X$8,операции!$X:$X,"&lt;="&amp;X$9,операции!$AB:$AB,"&lt;&gt;"&amp;"",операции!$L:$L,Z$9,операции!$O:$O,$F1200)</f>
        <v>15026</v>
      </c>
      <c r="AA1233" s="258">
        <f>SUMIFS(операции!$Z:$Z,операции!$X:$X,"&gt;="&amp;X$8,операции!$X:$X,"&lt;="&amp;X$9,операции!$AB:$AB,"&lt;&gt;"&amp;"",операции!$L:$L,AA$9,операции!$O:$O,$F1200)</f>
        <v>7605</v>
      </c>
      <c r="AB1233" s="266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</row>
    <row r="1234" spans="1:42" s="192" customFormat="1" ht="11.25">
      <c r="A1234" s="37"/>
      <c r="B1234" s="37"/>
      <c r="C1234" s="37"/>
      <c r="D1234" s="191"/>
      <c r="E1234" s="191" t="s">
        <v>295</v>
      </c>
      <c r="F1234" s="191" t="str">
        <f t="shared" si="2120"/>
        <v>КлиматКо</v>
      </c>
      <c r="G1234" s="191" t="s">
        <v>262</v>
      </c>
      <c r="H1234" s="315"/>
      <c r="I1234" s="316">
        <f>IF(I1233=0,0,SUMIFS(операции!$AG:$AG,операции!$X:$X,"&gt;="&amp;I$8,операции!$X:$X,"&lt;="&amp;I$9,операции!$AB:$AB,"&lt;&gt;"&amp;"",операции!$O:$O,$F1200)/I1233)</f>
        <v>42324.53970464813</v>
      </c>
      <c r="J1234" s="317"/>
      <c r="K1234" s="316">
        <f>IF(K1233=0,0,SUMIFS(операции!$AG:$AG,операции!$X:$X,"&gt;="&amp;I$8,операции!$X:$X,"&lt;="&amp;I$9,операции!$AB:$AB,"&lt;&gt;"&amp;"",операции!$L:$L,K$9,операции!$O:$O,$F1200)/K1233)</f>
        <v>42324.697740218857</v>
      </c>
      <c r="L1234" s="318">
        <f>IF(L1233=0,0,SUMIFS(операции!$AG:$AG,операции!$X:$X,"&gt;="&amp;I$8,операции!$X:$X,"&lt;="&amp;I$9,операции!$AB:$AB,"&lt;&gt;"&amp;"",операции!$L:$L,L$9,операции!$O:$O,$F1200)/L1233)</f>
        <v>42324.395862468875</v>
      </c>
      <c r="M1234" s="274"/>
      <c r="N1234" s="193">
        <f>IF(N1233=0,0,SUMIFS(операции!$AG:$AG,операции!$X:$X,"&gt;="&amp;N$8,операции!$X:$X,"&lt;="&amp;N$9,операции!$AB:$AB,"&lt;&gt;"&amp;"",операции!$O:$O,$F1200)/N1233)</f>
        <v>42303.504873294347</v>
      </c>
      <c r="O1234" s="196"/>
      <c r="P1234" s="193">
        <f>IF(P1233=0,0,SUMIFS(операции!$AG:$AG,операции!$X:$X,"&gt;="&amp;N$8,операции!$X:$X,"&lt;="&amp;N$9,операции!$AB:$AB,"&lt;&gt;"&amp;"",операции!$L:$L,P$9,операции!$O:$O,$F1200)/P1233)</f>
        <v>42299.5</v>
      </c>
      <c r="Q1234" s="237">
        <f>IF(Q1233=0,0,SUMIFS(операции!$AG:$AG,операции!$X:$X,"&gt;="&amp;N$8,операции!$X:$X,"&lt;="&amp;N$9,операции!$AB:$AB,"&lt;&gt;"&amp;"",операции!$L:$L,Q$9,операции!$O:$O,$F1200)/Q1233)</f>
        <v>42306.916967509023</v>
      </c>
      <c r="R1234" s="238"/>
      <c r="S1234" s="193">
        <f>IF(S1233=0,0,SUMIFS(операции!$AG:$AG,операции!$X:$X,"&gt;="&amp;S$8,операции!$X:$X,"&lt;="&amp;S$9,операции!$AB:$AB,"&lt;&gt;"&amp;"",операции!$O:$O,$F1200)/S1233)</f>
        <v>42327.385351767865</v>
      </c>
      <c r="T1234" s="196"/>
      <c r="U1234" s="193">
        <f>IF(U1233=0,0,SUMIFS(операции!$AG:$AG,операции!$X:$X,"&gt;="&amp;S$8,операции!$X:$X,"&lt;="&amp;S$9,операции!$AB:$AB,"&lt;&gt;"&amp;"",операции!$L:$L,U$9,операции!$O:$O,$F1200)/U1233)</f>
        <v>42327.496232386409</v>
      </c>
      <c r="V1234" s="237">
        <f>IF(V1233=0,0,SUMIFS(операции!$AG:$AG,операции!$X:$X,"&gt;="&amp;S$8,операции!$X:$X,"&lt;="&amp;S$9,операции!$AB:$AB,"&lt;&gt;"&amp;"",операции!$L:$L,V$9,операции!$O:$O,$F1200)/V1233)</f>
        <v>42327.306194357028</v>
      </c>
      <c r="W1234" s="238"/>
      <c r="X1234" s="193">
        <f>IF(X1233=0,0,SUMIFS(операции!$AG:$AG,операции!$X:$X,"&gt;="&amp;X$8,операции!$X:$X,"&lt;="&amp;X$9,операции!$AB:$AB,"&lt;&gt;"&amp;"",операции!$O:$O,$F1200)/X1233)</f>
        <v>42340.368255932131</v>
      </c>
      <c r="Y1234" s="196"/>
      <c r="Z1234" s="193">
        <f>IF(Z1233=0,0,SUMIFS(операции!$AG:$AG,операции!$X:$X,"&gt;="&amp;X$8,операции!$X:$X,"&lt;="&amp;X$9,операции!$AB:$AB,"&lt;&gt;"&amp;"",операции!$L:$L,Z$9,операции!$O:$O,$F1200)/Z1233)</f>
        <v>42339.542393185147</v>
      </c>
      <c r="AA1234" s="237">
        <f>IF(AA1233=0,0,SUMIFS(операции!$AG:$AG,операции!$X:$X,"&gt;="&amp;X$8,операции!$X:$X,"&lt;="&amp;X$9,операции!$AB:$AB,"&lt;&gt;"&amp;"",операции!$L:$L,AA$9,операции!$O:$O,$F1200)/AA1233)</f>
        <v>42342</v>
      </c>
      <c r="AB1234" s="265"/>
      <c r="AC1234" s="37"/>
      <c r="AD1234" s="37"/>
      <c r="AE1234" s="37"/>
      <c r="AF1234" s="37"/>
      <c r="AG1234" s="37"/>
      <c r="AH1234" s="37"/>
      <c r="AI1234" s="37"/>
      <c r="AJ1234" s="37"/>
      <c r="AK1234" s="37"/>
      <c r="AL1234" s="37"/>
      <c r="AM1234" s="37"/>
      <c r="AN1234" s="37"/>
      <c r="AO1234" s="37"/>
      <c r="AP1234" s="37"/>
    </row>
    <row r="1235" spans="1:42" s="93" customFormat="1" ht="15">
      <c r="A1235" s="92"/>
      <c r="B1235" s="92"/>
      <c r="C1235" s="92"/>
      <c r="D1235" s="151"/>
      <c r="E1235" s="151" t="s">
        <v>292</v>
      </c>
      <c r="F1235" s="151" t="str">
        <f t="shared" si="2120"/>
        <v>КлиматКо</v>
      </c>
      <c r="G1235" s="151" t="s">
        <v>261</v>
      </c>
      <c r="H1235" s="311"/>
      <c r="I1235" s="312">
        <f>SUMIFS(операции!$V:$V,операции!$X:$X,"&gt;="&amp;I$8,операции!$X:$X,"&lt;="&amp;I$9,операции!$AB:$AB,"&lt;&gt;"&amp;"",операции!$O:$O,$F1200)</f>
        <v>101832.44</v>
      </c>
      <c r="J1235" s="313">
        <f>I1235-K1235-L1235</f>
        <v>0</v>
      </c>
      <c r="K1235" s="312">
        <f>SUMIFS(операции!$V:$V,операции!$X:$X,"&gt;="&amp;I$8,операции!$X:$X,"&lt;="&amp;I$9,операции!$AB:$AB,"&lt;&gt;"&amp;"",операции!$L:$L,K$9,операции!$O:$O,$F1200)</f>
        <v>46462.549999999996</v>
      </c>
      <c r="L1235" s="314">
        <f>SUMIFS(операции!$V:$V,операции!$X:$X,"&gt;="&amp;I$8,операции!$X:$X,"&lt;="&amp;I$9,операции!$AB:$AB,"&lt;&gt;"&amp;"",операции!$L:$L,L$9,операции!$O:$O,$F1200)</f>
        <v>55369.89</v>
      </c>
      <c r="M1235" s="273"/>
      <c r="N1235" s="152">
        <f>SUMIFS(операции!$V:$V,операции!$X:$X,"&gt;="&amp;N$8,операции!$X:$X,"&lt;="&amp;N$9,операции!$AB:$AB,"&lt;&gt;"&amp;"",операции!$O:$O,$F1200)</f>
        <v>22923.05</v>
      </c>
      <c r="O1235" s="170">
        <f>N1235-P1235-Q1235</f>
        <v>0</v>
      </c>
      <c r="P1235" s="152">
        <f>SUMIFS(операции!$V:$V,операции!$X:$X,"&gt;="&amp;N$8,операции!$X:$X,"&lt;="&amp;N$9,операции!$AB:$AB,"&lt;&gt;"&amp;"",операции!$L:$L,P$9,операции!$O:$O,$F1200)</f>
        <v>10440</v>
      </c>
      <c r="Q1235" s="235">
        <f>SUMIFS(операции!$V:$V,операции!$X:$X,"&gt;="&amp;N$8,операции!$X:$X,"&lt;="&amp;N$9,операции!$AB:$AB,"&lt;&gt;"&amp;"",операции!$L:$L,Q$9,операции!$O:$O,$F1200)</f>
        <v>12483.05</v>
      </c>
      <c r="R1235" s="236"/>
      <c r="S1235" s="152">
        <f>SUMIFS(операции!$V:$V,операции!$X:$X,"&gt;="&amp;S$8,операции!$X:$X,"&lt;="&amp;S$9,операции!$AB:$AB,"&lt;&gt;"&amp;"",операции!$O:$O,$F1200)</f>
        <v>58513.939999999995</v>
      </c>
      <c r="T1235" s="170">
        <f>S1235-U1235-V1235</f>
        <v>0</v>
      </c>
      <c r="U1235" s="152">
        <f>SUMIFS(операции!$V:$V,операции!$X:$X,"&gt;="&amp;S$8,операции!$X:$X,"&lt;="&amp;S$9,операции!$AB:$AB,"&lt;&gt;"&amp;"",операции!$L:$L,U$9,операции!$O:$O,$F1200)</f>
        <v>22809.100000000002</v>
      </c>
      <c r="V1235" s="235">
        <f>SUMIFS(операции!$V:$V,операции!$X:$X,"&gt;="&amp;S$8,операции!$X:$X,"&lt;="&amp;S$9,операции!$AB:$AB,"&lt;&gt;"&amp;"",операции!$L:$L,V$9,операции!$O:$O,$F1200)</f>
        <v>35704.840000000004</v>
      </c>
      <c r="W1235" s="236"/>
      <c r="X1235" s="152">
        <f>SUMIFS(операции!$V:$V,операции!$X:$X,"&gt;="&amp;X$8,операции!$X:$X,"&lt;="&amp;X$9,операции!$AB:$AB,"&lt;&gt;"&amp;"",операции!$O:$O,$F1200)</f>
        <v>20395.45</v>
      </c>
      <c r="Y1235" s="170">
        <f>X1235-Z1235-AA1235</f>
        <v>0</v>
      </c>
      <c r="Z1235" s="152">
        <f>SUMIFS(операции!$V:$V,операции!$X:$X,"&gt;="&amp;X$8,операции!$X:$X,"&lt;="&amp;X$9,операции!$AB:$AB,"&lt;&gt;"&amp;"",операции!$L:$L,Z$9,операции!$O:$O,$F1200)</f>
        <v>13213.45</v>
      </c>
      <c r="AA1235" s="235">
        <f>SUMIFS(операции!$V:$V,операции!$X:$X,"&gt;="&amp;X$8,операции!$X:$X,"&lt;="&amp;X$9,операции!$AB:$AB,"&lt;&gt;"&amp;"",операции!$L:$L,AA$9,операции!$O:$O,$F1200)</f>
        <v>7182</v>
      </c>
      <c r="AB1235" s="264"/>
      <c r="AC1235" s="92"/>
      <c r="AD1235" s="92"/>
      <c r="AE1235" s="92"/>
      <c r="AF1235" s="92"/>
      <c r="AG1235" s="92"/>
      <c r="AH1235" s="92"/>
      <c r="AI1235" s="92"/>
      <c r="AJ1235" s="92"/>
      <c r="AK1235" s="92"/>
      <c r="AL1235" s="92"/>
      <c r="AM1235" s="92"/>
      <c r="AN1235" s="92"/>
      <c r="AO1235" s="92"/>
      <c r="AP1235" s="92"/>
    </row>
    <row r="1236" spans="1:42" s="192" customFormat="1" ht="11.25">
      <c r="A1236" s="37"/>
      <c r="B1236" s="37"/>
      <c r="C1236" s="37"/>
      <c r="D1236" s="191"/>
      <c r="E1236" s="191" t="s">
        <v>294</v>
      </c>
      <c r="F1236" s="191" t="str">
        <f t="shared" si="2120"/>
        <v>КлиматКо</v>
      </c>
      <c r="G1236" s="191" t="s">
        <v>262</v>
      </c>
      <c r="H1236" s="315"/>
      <c r="I1236" s="316">
        <f>IF(I1235=0,0,SUMIFS(операции!$AF:$AF,операции!$X:$X,"&gt;="&amp;I$8,операции!$X:$X,"&lt;="&amp;I$9,операции!$AB:$AB,"&lt;&gt;"&amp;"",операции!$O:$O,$F1200)/I1235)</f>
        <v>42289.938044890216</v>
      </c>
      <c r="J1236" s="317"/>
      <c r="K1236" s="316">
        <f>IF(K1235=0,0,SUMIFS(операции!$AF:$AF,операции!$X:$X,"&gt;="&amp;I$8,операции!$X:$X,"&lt;="&amp;I$9,операции!$AB:$AB,"&lt;&gt;"&amp;"",операции!$L:$L,K$9,операции!$O:$O,$F1200)/K1235)</f>
        <v>42253.77497145551</v>
      </c>
      <c r="L1236" s="318">
        <f>IF(L1235=0,0,SUMIFS(операции!$AF:$AF,операции!$X:$X,"&gt;="&amp;I$8,операции!$X:$X,"&lt;="&amp;I$9,операции!$AB:$AB,"&lt;&gt;"&amp;"",операции!$L:$L,L$9,операции!$O:$O,$F1200)/L1235)</f>
        <v>42320.283573978566</v>
      </c>
      <c r="M1236" s="274"/>
      <c r="N1236" s="193">
        <f>IF(N1235=0,0,SUMIFS(операции!$AF:$AF,операции!$X:$X,"&gt;="&amp;N$8,операции!$X:$X,"&lt;="&amp;N$9,операции!$AB:$AB,"&lt;&gt;"&amp;"",операции!$O:$O,$F1200)/N1235)</f>
        <v>42257.87458911445</v>
      </c>
      <c r="O1236" s="196"/>
      <c r="P1236" s="193">
        <f>IF(P1235=0,0,SUMIFS(операции!$AF:$AF,операции!$X:$X,"&gt;="&amp;N$8,операции!$X:$X,"&lt;="&amp;N$9,операции!$AB:$AB,"&lt;&gt;"&amp;"",операции!$L:$L,P$9,операции!$O:$O,$F1200)/P1235)</f>
        <v>42203.5</v>
      </c>
      <c r="Q1236" s="237">
        <f>IF(Q1235=0,0,SUMIFS(операции!$AF:$AF,операции!$X:$X,"&gt;="&amp;N$8,операции!$X:$X,"&lt;="&amp;N$9,операции!$AB:$AB,"&lt;&gt;"&amp;"",операции!$L:$L,Q$9,операции!$O:$O,$F1200)/Q1235)</f>
        <v>42303.349910478617</v>
      </c>
      <c r="R1236" s="238"/>
      <c r="S1236" s="193">
        <f>IF(S1235=0,0,SUMIFS(операции!$AF:$AF,операции!$X:$X,"&gt;="&amp;S$8,операции!$X:$X,"&lt;="&amp;S$9,операции!$AB:$AB,"&lt;&gt;"&amp;"",операции!$O:$O,$F1200)/S1235)</f>
        <v>42302.793165355135</v>
      </c>
      <c r="T1236" s="196"/>
      <c r="U1236" s="193">
        <f>IF(U1235=0,0,SUMIFS(операции!$AF:$AF,операции!$X:$X,"&gt;="&amp;S$8,операции!$X:$X,"&lt;="&amp;S$9,операции!$AB:$AB,"&lt;&gt;"&amp;"",операции!$L:$L,U$9,операции!$O:$O,$F1200)/U1235)</f>
        <v>42271.095262417191</v>
      </c>
      <c r="V1236" s="237">
        <f>IF(V1235=0,0,SUMIFS(операции!$AF:$AF,операции!$X:$X,"&gt;="&amp;S$8,операции!$X:$X,"&lt;="&amp;S$9,операции!$AB:$AB,"&lt;&gt;"&amp;"",операции!$L:$L,V$9,операции!$O:$O,$F1200)/V1235)</f>
        <v>42323.042538770649</v>
      </c>
      <c r="W1236" s="238"/>
      <c r="X1236" s="193">
        <f>IF(X1235=0,0,SUMIFS(операции!$AF:$AF,операции!$X:$X,"&gt;="&amp;X$8,операции!$X:$X,"&lt;="&amp;X$9,операции!$AB:$AB,"&lt;&gt;"&amp;"",операции!$O:$O,$F1200)/X1235)</f>
        <v>42289.094153352831</v>
      </c>
      <c r="Y1236" s="196"/>
      <c r="Z1236" s="193">
        <f>IF(Z1235=0,0,SUMIFS(операции!$AF:$AF,операции!$X:$X,"&gt;="&amp;X$8,операции!$X:$X,"&lt;="&amp;X$9,операции!$AB:$AB,"&lt;&gt;"&amp;"",операции!$L:$L,Z$9,операции!$O:$O,$F1200)/Z1235)</f>
        <v>42263.599086536822</v>
      </c>
      <c r="AA1236" s="237">
        <f>IF(AA1235=0,0,SUMIFS(операции!$AF:$AF,операции!$X:$X,"&gt;="&amp;X$8,операции!$X:$X,"&lt;="&amp;X$9,операции!$AB:$AB,"&lt;&gt;"&amp;"",операции!$L:$L,AA$9,операции!$O:$O,$F1200)/AA1235)</f>
        <v>42336</v>
      </c>
      <c r="AB1236" s="265"/>
      <c r="AC1236" s="37"/>
      <c r="AD1236" s="37"/>
      <c r="AE1236" s="37"/>
      <c r="AF1236" s="37"/>
      <c r="AG1236" s="37"/>
      <c r="AH1236" s="37"/>
      <c r="AI1236" s="37"/>
      <c r="AJ1236" s="37"/>
      <c r="AK1236" s="37"/>
      <c r="AL1236" s="37"/>
      <c r="AM1236" s="37"/>
      <c r="AN1236" s="37"/>
      <c r="AO1236" s="37"/>
      <c r="AP1236" s="37"/>
    </row>
    <row r="1237" spans="1:42" s="192" customFormat="1" ht="11.25">
      <c r="A1237" s="37"/>
      <c r="B1237" s="37"/>
      <c r="C1237" s="37"/>
      <c r="D1237" s="191"/>
      <c r="E1237" s="191" t="s">
        <v>299</v>
      </c>
      <c r="F1237" s="191" t="str">
        <f t="shared" si="2120"/>
        <v>КлиматКо</v>
      </c>
      <c r="G1237" s="191" t="s">
        <v>262</v>
      </c>
      <c r="H1237" s="315"/>
      <c r="I1237" s="316">
        <f>IF(I1235=0,0,SUMIFS(операции!$AH:$AH,операции!$X:$X,"&gt;="&amp;I$8,операции!$X:$X,"&lt;="&amp;I$9,операции!$AB:$AB,"&lt;&gt;"&amp;"",операции!$O:$O,$F1200)/I1235)</f>
        <v>42314.03009178608</v>
      </c>
      <c r="J1237" s="317"/>
      <c r="K1237" s="316">
        <f>IF(K1235=0,0,SUMIFS(операции!$AH:$AH,операции!$X:$X,"&gt;="&amp;I$8,операции!$X:$X,"&lt;="&amp;I$9,операции!$AB:$AB,"&lt;&gt;"&amp;"",операции!$L:$L,K$9,операции!$O:$O,$F1200)/K1235)</f>
        <v>42284.914561081991</v>
      </c>
      <c r="L1237" s="318">
        <f>IF(L1235=0,0,SUMIFS(операции!$AH:$AH,операции!$X:$X,"&gt;="&amp;I$8,операции!$X:$X,"&lt;="&amp;I$9,операции!$AB:$AB,"&lt;&gt;"&amp;"",операции!$L:$L,L$9,операции!$O:$O,$F1200)/L1235)</f>
        <v>42338.461814534938</v>
      </c>
      <c r="M1237" s="274"/>
      <c r="N1237" s="193">
        <f>IF(N1235=0,0,SUMIFS(операции!$AH:$AH,операции!$X:$X,"&gt;="&amp;N$8,операции!$X:$X,"&lt;="&amp;N$9,операции!$AB:$AB,"&lt;&gt;"&amp;"",операции!$O:$O,$F1200)/N1235)</f>
        <v>42285.669254309527</v>
      </c>
      <c r="O1237" s="196"/>
      <c r="P1237" s="193">
        <f>IF(P1235=0,0,SUMIFS(операции!$AH:$AH,операции!$X:$X,"&gt;="&amp;N$8,операции!$X:$X,"&lt;="&amp;N$9,операции!$AB:$AB,"&lt;&gt;"&amp;"",операции!$L:$L,P$9,операции!$O:$O,$F1200)/P1235)</f>
        <v>42233.5</v>
      </c>
      <c r="Q1237" s="237">
        <f>IF(Q1235=0,0,SUMIFS(операции!$AH:$AH,операции!$X:$X,"&gt;="&amp;N$8,операции!$X:$X,"&lt;="&amp;N$9,операции!$AB:$AB,"&lt;&gt;"&amp;"",операции!$L:$L,Q$9,операции!$O:$O,$F1200)/Q1235)</f>
        <v>42329.300179042788</v>
      </c>
      <c r="R1237" s="238"/>
      <c r="S1237" s="193">
        <f>IF(S1235=0,0,SUMIFS(операции!$AH:$AH,операции!$X:$X,"&gt;="&amp;S$8,операции!$X:$X,"&lt;="&amp;S$9,операции!$AB:$AB,"&lt;&gt;"&amp;"",операции!$O:$O,$F1200)/S1235)</f>
        <v>42320.62696598452</v>
      </c>
      <c r="T1237" s="196"/>
      <c r="U1237" s="193">
        <f>IF(U1235=0,0,SUMIFS(операции!$AH:$AH,операции!$X:$X,"&gt;="&amp;S$8,операции!$X:$X,"&lt;="&amp;S$9,операции!$AB:$AB,"&lt;&gt;"&amp;"",операции!$L:$L,U$9,операции!$O:$O,$F1200)/U1235)</f>
        <v>42294.791386332647</v>
      </c>
      <c r="V1237" s="237">
        <f>IF(V1235=0,0,SUMIFS(операции!$AH:$AH,операции!$X:$X,"&gt;="&amp;S$8,операции!$X:$X,"&lt;="&amp;S$9,операции!$AB:$AB,"&lt;&gt;"&amp;"",операции!$L:$L,V$9,операции!$O:$O,$F1200)/V1235)</f>
        <v>42337.131348018927</v>
      </c>
      <c r="W1237" s="238"/>
      <c r="X1237" s="193">
        <f>IF(X1235=0,0,SUMIFS(операции!$AH:$AH,операции!$X:$X,"&gt;="&amp;X$8,операции!$X:$X,"&lt;="&amp;X$9,операции!$AB:$AB,"&lt;&gt;"&amp;"",операции!$O:$O,$F1200)/X1235)</f>
        <v>42326.97944051247</v>
      </c>
      <c r="Y1237" s="196"/>
      <c r="Z1237" s="193">
        <f>IF(Z1235=0,0,SUMIFS(операции!$AH:$AH,операции!$X:$X,"&gt;="&amp;X$8,операции!$X:$X,"&lt;="&amp;X$9,операции!$AB:$AB,"&lt;&gt;"&amp;"",операции!$L:$L,Z$9,операции!$O:$O,$F1200)/Z1235)</f>
        <v>42308.488005025181</v>
      </c>
      <c r="AA1237" s="237">
        <f>IF(AA1235=0,0,SUMIFS(операции!$AH:$AH,операции!$X:$X,"&gt;="&amp;X$8,операции!$X:$X,"&lt;="&amp;X$9,операции!$AB:$AB,"&lt;&gt;"&amp;"",операции!$L:$L,AA$9,операции!$O:$O,$F1200)/AA1235)</f>
        <v>42361</v>
      </c>
      <c r="AB1237" s="265"/>
      <c r="AC1237" s="37"/>
      <c r="AD1237" s="37"/>
      <c r="AE1237" s="37"/>
      <c r="AF1237" s="37"/>
      <c r="AG1237" s="37"/>
      <c r="AH1237" s="37"/>
      <c r="AI1237" s="37"/>
      <c r="AJ1237" s="37"/>
      <c r="AK1237" s="37"/>
      <c r="AL1237" s="37"/>
      <c r="AM1237" s="37"/>
      <c r="AN1237" s="37"/>
      <c r="AO1237" s="37"/>
      <c r="AP1237" s="37"/>
    </row>
    <row r="1238" spans="1:42" s="5" customFormat="1">
      <c r="A1238" s="1"/>
      <c r="B1238" s="1"/>
      <c r="C1238" s="1"/>
      <c r="D1238" s="168"/>
      <c r="E1238" s="168" t="s">
        <v>296</v>
      </c>
      <c r="F1238" s="168" t="str">
        <f t="shared" si="2120"/>
        <v>КлиматКо</v>
      </c>
      <c r="G1238" s="168" t="s">
        <v>261</v>
      </c>
      <c r="H1238" s="326"/>
      <c r="I1238" s="327">
        <f>I1233-I1235</f>
        <v>10169.559999999998</v>
      </c>
      <c r="J1238" s="313">
        <f>I1238-K1238-L1238</f>
        <v>-7.2759576141834259E-12</v>
      </c>
      <c r="K1238" s="327">
        <f t="shared" ref="K1238:L1238" si="2197">K1233-K1235</f>
        <v>6905.4500000000044</v>
      </c>
      <c r="L1238" s="328">
        <f t="shared" si="2197"/>
        <v>3264.1100000000006</v>
      </c>
      <c r="M1238" s="277"/>
      <c r="N1238" s="169">
        <f>N1233-N1235</f>
        <v>2726.9500000000007</v>
      </c>
      <c r="O1238" s="170">
        <f>N1238-P1238-Q1238</f>
        <v>0</v>
      </c>
      <c r="P1238" s="169">
        <f t="shared" ref="P1238:Q1238" si="2198">P1233-P1235</f>
        <v>1360</v>
      </c>
      <c r="Q1238" s="243">
        <f t="shared" si="2198"/>
        <v>1366.9500000000007</v>
      </c>
      <c r="R1238" s="244"/>
      <c r="S1238" s="169">
        <f>S1233-S1235</f>
        <v>5207.0600000000049</v>
      </c>
      <c r="T1238" s="170">
        <f>S1238-U1238-V1238</f>
        <v>1.0913936421275139E-11</v>
      </c>
      <c r="U1238" s="169">
        <f t="shared" ref="U1238:V1238" si="2199">U1233-U1235</f>
        <v>3732.8999999999978</v>
      </c>
      <c r="V1238" s="243">
        <f t="shared" si="2199"/>
        <v>1474.1599999999962</v>
      </c>
      <c r="W1238" s="244"/>
      <c r="X1238" s="169">
        <f>X1233-X1235</f>
        <v>2235.5499999999993</v>
      </c>
      <c r="Y1238" s="170">
        <f>X1238-Z1238-AA1238</f>
        <v>0</v>
      </c>
      <c r="Z1238" s="169">
        <f t="shared" ref="Z1238:AA1238" si="2200">Z1233-Z1235</f>
        <v>1812.5499999999993</v>
      </c>
      <c r="AA1238" s="243">
        <f t="shared" si="2200"/>
        <v>423</v>
      </c>
      <c r="AB1238" s="266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</row>
    <row r="1239" spans="1:42" s="211" customFormat="1">
      <c r="A1239" s="210"/>
      <c r="B1239" s="210"/>
      <c r="C1239" s="210"/>
      <c r="D1239" s="218"/>
      <c r="E1239" s="218" t="s">
        <v>297</v>
      </c>
      <c r="F1239" s="218" t="str">
        <f t="shared" si="2120"/>
        <v>КлиматКо</v>
      </c>
      <c r="G1239" s="218" t="s">
        <v>218</v>
      </c>
      <c r="H1239" s="343"/>
      <c r="I1239" s="344">
        <f>IF(I1233=0,0,(I1238/I1233))</f>
        <v>9.0798021463902409E-2</v>
      </c>
      <c r="J1239" s="345"/>
      <c r="K1239" s="344">
        <f t="shared" ref="K1239" si="2201">IF(K1233=0,0,(K1238/K1233))</f>
        <v>0.12939308199670221</v>
      </c>
      <c r="L1239" s="346">
        <f t="shared" ref="L1239" si="2202">IF(L1233=0,0,(L1238/L1233))</f>
        <v>5.5669236279291885E-2</v>
      </c>
      <c r="M1239" s="280"/>
      <c r="N1239" s="219">
        <f>IF(N1233=0,0,(N1238/N1233))</f>
        <v>0.10631384015594544</v>
      </c>
      <c r="O1239" s="220"/>
      <c r="P1239" s="219">
        <f t="shared" ref="P1239" si="2203">IF(P1233=0,0,(P1238/P1233))</f>
        <v>0.11525423728813559</v>
      </c>
      <c r="Q1239" s="252">
        <f t="shared" ref="Q1239" si="2204">IF(Q1233=0,0,(Q1238/Q1233))</f>
        <v>9.8696750902527122E-2</v>
      </c>
      <c r="R1239" s="253"/>
      <c r="S1239" s="219">
        <f>IF(S1233=0,0,(S1238/S1233))</f>
        <v>8.1716545565826096E-2</v>
      </c>
      <c r="T1239" s="220"/>
      <c r="U1239" s="219">
        <f t="shared" ref="U1239" si="2205">IF(U1233=0,0,(U1238/U1233))</f>
        <v>0.14064124783362211</v>
      </c>
      <c r="V1239" s="252">
        <f t="shared" ref="V1239" si="2206">IF(V1233=0,0,(V1238/V1233))</f>
        <v>3.9650340245837599E-2</v>
      </c>
      <c r="W1239" s="253"/>
      <c r="X1239" s="219">
        <f>IF(X1233=0,0,(X1238/X1233))</f>
        <v>9.8782643276921003E-2</v>
      </c>
      <c r="Y1239" s="220"/>
      <c r="Z1239" s="219">
        <f t="shared" ref="Z1239" si="2207">IF(Z1233=0,0,(Z1238/Z1233))</f>
        <v>0.12062757886330355</v>
      </c>
      <c r="AA1239" s="252">
        <f t="shared" ref="AA1239" si="2208">IF(AA1233=0,0,(AA1238/AA1233))</f>
        <v>5.562130177514793E-2</v>
      </c>
      <c r="AB1239" s="267"/>
      <c r="AC1239" s="210"/>
      <c r="AD1239" s="210"/>
      <c r="AE1239" s="210"/>
      <c r="AF1239" s="210"/>
      <c r="AG1239" s="210"/>
      <c r="AH1239" s="210"/>
      <c r="AI1239" s="210"/>
      <c r="AJ1239" s="210"/>
      <c r="AK1239" s="210"/>
      <c r="AL1239" s="210"/>
      <c r="AM1239" s="210"/>
      <c r="AN1239" s="210"/>
      <c r="AO1239" s="210"/>
      <c r="AP1239" s="210"/>
    </row>
    <row r="1240" spans="1:42" s="5" customFormat="1">
      <c r="A1240" s="1"/>
      <c r="B1240" s="1"/>
      <c r="C1240" s="1"/>
      <c r="D1240" s="227"/>
      <c r="E1240" s="227" t="s">
        <v>298</v>
      </c>
      <c r="F1240" s="227" t="str">
        <f t="shared" si="2120"/>
        <v>КлиматКо</v>
      </c>
      <c r="G1240" s="227" t="s">
        <v>219</v>
      </c>
      <c r="H1240" s="347"/>
      <c r="I1240" s="348">
        <f>I1234-I1236</f>
        <v>34.601659757914604</v>
      </c>
      <c r="J1240" s="321"/>
      <c r="K1240" s="348">
        <f t="shared" ref="K1240:L1240" si="2209">K1234-K1236</f>
        <v>70.922768763346539</v>
      </c>
      <c r="L1240" s="349">
        <f t="shared" si="2209"/>
        <v>4.1122884903088561</v>
      </c>
      <c r="M1240" s="281"/>
      <c r="N1240" s="228">
        <f>N1234-N1236</f>
        <v>45.630284179896989</v>
      </c>
      <c r="O1240" s="173"/>
      <c r="P1240" s="228">
        <f t="shared" ref="P1240:Q1240" si="2210">P1234-P1236</f>
        <v>96</v>
      </c>
      <c r="Q1240" s="254">
        <f t="shared" si="2210"/>
        <v>3.5670570304064313</v>
      </c>
      <c r="R1240" s="255"/>
      <c r="S1240" s="228">
        <f>S1234-S1236</f>
        <v>24.592186412730371</v>
      </c>
      <c r="T1240" s="173"/>
      <c r="U1240" s="228">
        <f t="shared" ref="U1240:V1240" si="2211">U1234-U1236</f>
        <v>56.40096996921784</v>
      </c>
      <c r="V1240" s="254">
        <f t="shared" si="2211"/>
        <v>4.2636555863791727</v>
      </c>
      <c r="W1240" s="255"/>
      <c r="X1240" s="228">
        <f>X1234-X1236</f>
        <v>51.274102579300234</v>
      </c>
      <c r="Y1240" s="173"/>
      <c r="Z1240" s="228">
        <f t="shared" ref="Z1240:AA1240" si="2212">Z1234-Z1236</f>
        <v>75.943306648325233</v>
      </c>
      <c r="AA1240" s="254">
        <f t="shared" si="2212"/>
        <v>6</v>
      </c>
      <c r="AB1240" s="266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</row>
    <row r="1241" spans="1:42" s="5" customFormat="1">
      <c r="A1241" s="1"/>
      <c r="B1241" s="1"/>
      <c r="C1241" s="1"/>
      <c r="D1241" s="227"/>
      <c r="E1241" s="227" t="s">
        <v>300</v>
      </c>
      <c r="F1241" s="227" t="str">
        <f t="shared" si="2120"/>
        <v>КлиматКо</v>
      </c>
      <c r="G1241" s="227" t="s">
        <v>219</v>
      </c>
      <c r="H1241" s="347"/>
      <c r="I1241" s="348">
        <f>I1237-I1236</f>
        <v>24.092046895864769</v>
      </c>
      <c r="J1241" s="321"/>
      <c r="K1241" s="348">
        <f t="shared" ref="K1241:L1241" si="2213">K1237-K1236</f>
        <v>31.139589626480301</v>
      </c>
      <c r="L1241" s="349">
        <f t="shared" si="2213"/>
        <v>18.178240556371748</v>
      </c>
      <c r="M1241" s="281"/>
      <c r="N1241" s="228">
        <f>N1237-N1236</f>
        <v>27.794665195076959</v>
      </c>
      <c r="O1241" s="173"/>
      <c r="P1241" s="228">
        <f t="shared" ref="P1241:Q1241" si="2214">P1237-P1236</f>
        <v>30</v>
      </c>
      <c r="Q1241" s="254">
        <f t="shared" si="2214"/>
        <v>25.950268564170983</v>
      </c>
      <c r="R1241" s="255"/>
      <c r="S1241" s="228">
        <f>S1237-S1236</f>
        <v>17.833800629385223</v>
      </c>
      <c r="T1241" s="173"/>
      <c r="U1241" s="228">
        <f t="shared" ref="U1241:V1241" si="2215">U1237-U1236</f>
        <v>23.696123915455246</v>
      </c>
      <c r="V1241" s="254">
        <f t="shared" si="2215"/>
        <v>14.088809248278267</v>
      </c>
      <c r="W1241" s="255"/>
      <c r="X1241" s="228">
        <f>X1237-X1236</f>
        <v>37.88528715963912</v>
      </c>
      <c r="Y1241" s="173"/>
      <c r="Z1241" s="228">
        <f t="shared" ref="Z1241:AA1241" si="2216">Z1237-Z1236</f>
        <v>44.888918488359195</v>
      </c>
      <c r="AA1241" s="254">
        <f t="shared" si="2216"/>
        <v>25</v>
      </c>
      <c r="AB1241" s="266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</row>
    <row r="1242" spans="1:42" s="93" customFormat="1" ht="15">
      <c r="A1242" s="92"/>
      <c r="B1242" s="92"/>
      <c r="C1242" s="92"/>
      <c r="D1242" s="221"/>
      <c r="E1242" s="221" t="s">
        <v>301</v>
      </c>
      <c r="F1242" s="221" t="str">
        <f t="shared" si="2120"/>
        <v>КлиматКо</v>
      </c>
      <c r="G1242" s="221" t="s">
        <v>219</v>
      </c>
      <c r="H1242" s="357"/>
      <c r="I1242" s="358">
        <f>I1240-I1241</f>
        <v>10.509612862049835</v>
      </c>
      <c r="J1242" s="352"/>
      <c r="K1242" s="358">
        <f t="shared" ref="K1242" si="2217">K1240-K1241</f>
        <v>39.783179136866238</v>
      </c>
      <c r="L1242" s="359">
        <f t="shared" ref="L1242" si="2218">L1240-L1241</f>
        <v>-14.065952066062891</v>
      </c>
      <c r="M1242" s="284"/>
      <c r="N1242" s="222">
        <f>N1240-N1241</f>
        <v>17.83561898482003</v>
      </c>
      <c r="O1242" s="181"/>
      <c r="P1242" s="222">
        <f t="shared" ref="P1242" si="2219">P1240-P1241</f>
        <v>66</v>
      </c>
      <c r="Q1242" s="260">
        <f t="shared" ref="Q1242" si="2220">Q1240-Q1241</f>
        <v>-22.383211533764552</v>
      </c>
      <c r="R1242" s="261"/>
      <c r="S1242" s="222">
        <f>S1240-S1241</f>
        <v>6.7583857833451475</v>
      </c>
      <c r="T1242" s="181"/>
      <c r="U1242" s="222">
        <f t="shared" ref="U1242" si="2221">U1240-U1241</f>
        <v>32.704846053762594</v>
      </c>
      <c r="V1242" s="260">
        <f t="shared" ref="V1242" si="2222">V1240-V1241</f>
        <v>-9.825153661899094</v>
      </c>
      <c r="W1242" s="261"/>
      <c r="X1242" s="222">
        <f>X1240-X1241</f>
        <v>13.388815419661114</v>
      </c>
      <c r="Y1242" s="181"/>
      <c r="Z1242" s="222">
        <f t="shared" ref="Z1242" si="2223">Z1240-Z1241</f>
        <v>31.054388159966038</v>
      </c>
      <c r="AA1242" s="260">
        <f t="shared" ref="AA1242" si="2224">AA1240-AA1241</f>
        <v>-19</v>
      </c>
      <c r="AB1242" s="264"/>
      <c r="AC1242" s="92"/>
      <c r="AD1242" s="92"/>
      <c r="AE1242" s="92"/>
      <c r="AF1242" s="92"/>
      <c r="AG1242" s="92"/>
      <c r="AH1242" s="92"/>
      <c r="AI1242" s="92"/>
      <c r="AJ1242" s="92"/>
      <c r="AK1242" s="92"/>
      <c r="AL1242" s="92"/>
      <c r="AM1242" s="92"/>
      <c r="AN1242" s="92"/>
      <c r="AO1242" s="92"/>
      <c r="AP1242" s="92"/>
    </row>
    <row r="1243" spans="1:42" s="5" customFormat="1">
      <c r="A1243" s="1"/>
      <c r="B1243" s="1"/>
      <c r="C1243" s="1"/>
      <c r="D1243" s="223"/>
      <c r="E1243" s="223" t="s">
        <v>302</v>
      </c>
      <c r="F1243" s="223" t="str">
        <f t="shared" si="2120"/>
        <v>КлиматКо</v>
      </c>
      <c r="G1243" s="223" t="s">
        <v>261</v>
      </c>
      <c r="H1243" s="354"/>
      <c r="I1243" s="355">
        <f>SUMIFS(операции!$Z:$Z,операции!$X:$X,"&gt;="&amp;I$8,операции!$X:$X,"&lt;="&amp;I$9,операции!$AB:$AB,"",операции!$O:$O,$F1200)</f>
        <v>13044</v>
      </c>
      <c r="J1243" s="341">
        <f>I1243-K1243-L1243</f>
        <v>0</v>
      </c>
      <c r="K1243" s="355">
        <f>SUMIFS(операции!$Z:$Z,операции!$X:$X,"&gt;="&amp;I$8,операции!$X:$X,"&lt;="&amp;I$9,операции!$AB:$AB,"",операции!$L:$L,K$9,операции!$O:$O,$F1200)</f>
        <v>3954</v>
      </c>
      <c r="L1243" s="356">
        <f>SUMIFS(операции!$Z:$Z,операции!$X:$X,"&gt;="&amp;I$8,операции!$X:$X,"&lt;="&amp;I$9,операции!$AB:$AB,"",операции!$L:$L,L$9,операции!$O:$O,$F1200)</f>
        <v>9090</v>
      </c>
      <c r="M1243" s="283"/>
      <c r="N1243" s="224">
        <f>SUMIFS(операции!$Z:$Z,операции!$X:$X,"&gt;="&amp;N$8,операции!$X:$X,"&lt;="&amp;N$9,операции!$AB:$AB,"",операции!$O:$O,$F1200)</f>
        <v>0</v>
      </c>
      <c r="O1243" s="216">
        <f>N1243-P1243-Q1243</f>
        <v>0</v>
      </c>
      <c r="P1243" s="224">
        <f>SUMIFS(операции!$Z:$Z,операции!$X:$X,"&gt;="&amp;N$8,операции!$X:$X,"&lt;="&amp;N$9,операции!$AB:$AB,"",операции!$L:$L,P$9,операции!$O:$O,$F1200)</f>
        <v>0</v>
      </c>
      <c r="Q1243" s="258">
        <f>SUMIFS(операции!$Z:$Z,операции!$X:$X,"&gt;="&amp;N$8,операции!$X:$X,"&lt;="&amp;N$9,операции!$AB:$AB,"",операции!$L:$L,Q$9,операции!$O:$O,$F1200)</f>
        <v>0</v>
      </c>
      <c r="R1243" s="259"/>
      <c r="S1243" s="224">
        <f>SUMIFS(операции!$Z:$Z,операции!$X:$X,"&gt;="&amp;S$8,операции!$X:$X,"&lt;="&amp;S$9,операции!$AB:$AB,"",операции!$O:$O,$F1200)</f>
        <v>10944</v>
      </c>
      <c r="T1243" s="216">
        <f>S1243-U1243-V1243</f>
        <v>0</v>
      </c>
      <c r="U1243" s="224">
        <f>SUMIFS(операции!$Z:$Z,операции!$X:$X,"&gt;="&amp;S$8,операции!$X:$X,"&lt;="&amp;S$9,операции!$AB:$AB,"",операции!$L:$L,U$9,операции!$O:$O,$F1200)</f>
        <v>3954</v>
      </c>
      <c r="V1243" s="258">
        <f>SUMIFS(операции!$Z:$Z,операции!$X:$X,"&gt;="&amp;S$8,операции!$X:$X,"&lt;="&amp;S$9,операции!$AB:$AB,"",операции!$L:$L,V$9,операции!$O:$O,$F1200)</f>
        <v>6990</v>
      </c>
      <c r="W1243" s="259"/>
      <c r="X1243" s="224">
        <f>SUMIFS(операции!$Z:$Z,операции!$X:$X,"&gt;="&amp;X$8,операции!$X:$X,"&lt;="&amp;X$9,операции!$AB:$AB,"",операции!$O:$O,$F1200)</f>
        <v>2100</v>
      </c>
      <c r="Y1243" s="216">
        <f>X1243-Z1243-AA1243</f>
        <v>0</v>
      </c>
      <c r="Z1243" s="224">
        <f>SUMIFS(операции!$Z:$Z,операции!$X:$X,"&gt;="&amp;X$8,операции!$X:$X,"&lt;="&amp;X$9,операции!$AB:$AB,"",операции!$L:$L,Z$9,операции!$O:$O,$F1200)</f>
        <v>0</v>
      </c>
      <c r="AA1243" s="258">
        <f>SUMIFS(операции!$Z:$Z,операции!$X:$X,"&gt;="&amp;X$8,операции!$X:$X,"&lt;="&amp;X$9,операции!$AB:$AB,"",операции!$L:$L,AA$9,операции!$O:$O,$F1200)</f>
        <v>2100</v>
      </c>
      <c r="AB1243" s="266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</row>
    <row r="1244" spans="1:42" s="192" customFormat="1" ht="11.25">
      <c r="A1244" s="37"/>
      <c r="B1244" s="37"/>
      <c r="C1244" s="37"/>
      <c r="D1244" s="191"/>
      <c r="E1244" s="191" t="s">
        <v>303</v>
      </c>
      <c r="F1244" s="191" t="str">
        <f t="shared" si="2120"/>
        <v>КлиматКо</v>
      </c>
      <c r="G1244" s="191" t="s">
        <v>262</v>
      </c>
      <c r="H1244" s="315"/>
      <c r="I1244" s="316">
        <f>IF(I1243=0,0,SUMIFS(операции!$AG:$AG,операции!$X:$X,"&gt;="&amp;I$8,операции!$X:$X,"&lt;="&amp;I$9,операции!$AB:$AB,"",операции!$O:$O,$F1200)/I1243)</f>
        <v>42336.875344986198</v>
      </c>
      <c r="J1244" s="317"/>
      <c r="K1244" s="316">
        <f>IF(K1243=0,0,SUMIFS(операции!$AG:$AG,операции!$X:$X,"&gt;="&amp;I$8,операции!$X:$X,"&lt;="&amp;I$9,операции!$AB:$AB,"",операции!$L:$L,K$9,операции!$O:$O,$F1200)/K1243)</f>
        <v>42338</v>
      </c>
      <c r="L1244" s="318">
        <f>IF(L1243=0,0,SUMIFS(операции!$AG:$AG,операции!$X:$X,"&gt;="&amp;I$8,операции!$X:$X,"&lt;="&amp;I$9,операции!$AB:$AB,"",операции!$L:$L,L$9,операции!$O:$O,$F1200)/L1243)</f>
        <v>42336.38613861386</v>
      </c>
      <c r="M1244" s="274"/>
      <c r="N1244" s="193">
        <f>IF(N1243=0,0,SUMIFS(операции!$AG:$AG,операции!$X:$X,"&gt;="&amp;N$8,операции!$X:$X,"&lt;="&amp;N$9,операции!$AB:$AB,"",операции!$O:$O,$F1200)/N1243)</f>
        <v>0</v>
      </c>
      <c r="O1244" s="196"/>
      <c r="P1244" s="193">
        <f>IF(P1243=0,0,SUMIFS(операции!$AG:$AG,операции!$X:$X,"&gt;="&amp;N$8,операции!$X:$X,"&lt;="&amp;N$9,операции!$AB:$AB,"",операции!$L:$L,P$9,операции!$O:$O,$F1200)/P1243)</f>
        <v>0</v>
      </c>
      <c r="Q1244" s="237">
        <f>IF(Q1243=0,0,SUMIFS(операции!$AG:$AG,операции!$X:$X,"&gt;="&amp;N$8,операции!$X:$X,"&lt;="&amp;N$9,операции!$AB:$AB,"",операции!$L:$L,Q$9,операции!$O:$O,$F1200)/Q1243)</f>
        <v>0</v>
      </c>
      <c r="R1244" s="238"/>
      <c r="S1244" s="193">
        <f>IF(S1243=0,0,SUMIFS(операции!$AG:$AG,операции!$X:$X,"&gt;="&amp;S$8,операции!$X:$X,"&lt;="&amp;S$9,операции!$AB:$AB,"",операции!$O:$O,$F1200)/S1243)</f>
        <v>42336.083881578947</v>
      </c>
      <c r="T1244" s="196"/>
      <c r="U1244" s="193">
        <f>IF(U1243=0,0,SUMIFS(операции!$AG:$AG,операции!$X:$X,"&gt;="&amp;S$8,операции!$X:$X,"&lt;="&amp;S$9,операции!$AB:$AB,"",операции!$L:$L,U$9,операции!$O:$O,$F1200)/U1243)</f>
        <v>42338</v>
      </c>
      <c r="V1244" s="237">
        <f>IF(V1243=0,0,SUMIFS(операции!$AG:$AG,операции!$X:$X,"&gt;="&amp;S$8,операции!$X:$X,"&lt;="&amp;S$9,операции!$AB:$AB,"",операции!$L:$L,V$9,операции!$O:$O,$F1200)/V1243)</f>
        <v>42335</v>
      </c>
      <c r="W1244" s="238"/>
      <c r="X1244" s="193">
        <f>IF(X1243=0,0,SUMIFS(операции!$AG:$AG,операции!$X:$X,"&gt;="&amp;X$8,операции!$X:$X,"&lt;="&amp;X$9,операции!$AB:$AB,"",операции!$O:$O,$F1200)/X1243)</f>
        <v>42341</v>
      </c>
      <c r="Y1244" s="196"/>
      <c r="Z1244" s="193">
        <f>IF(Z1243=0,0,SUMIFS(операции!$AG:$AG,операции!$X:$X,"&gt;="&amp;X$8,операции!$X:$X,"&lt;="&amp;X$9,операции!$AB:$AB,"",операции!$L:$L,Z$9,операции!$O:$O,$F1200)/Z1243)</f>
        <v>0</v>
      </c>
      <c r="AA1244" s="237">
        <f>IF(AA1243=0,0,SUMIFS(операции!$AG:$AG,операции!$X:$X,"&gt;="&amp;X$8,операции!$X:$X,"&lt;="&amp;X$9,операции!$AB:$AB,"",операции!$L:$L,AA$9,операции!$O:$O,$F1200)/AA1243)</f>
        <v>42341</v>
      </c>
      <c r="AB1244" s="265"/>
      <c r="AC1244" s="37"/>
      <c r="AD1244" s="37"/>
      <c r="AE1244" s="37"/>
      <c r="AF1244" s="37"/>
      <c r="AG1244" s="37"/>
      <c r="AH1244" s="37"/>
      <c r="AI1244" s="37"/>
      <c r="AJ1244" s="37"/>
      <c r="AK1244" s="37"/>
      <c r="AL1244" s="37"/>
      <c r="AM1244" s="37"/>
      <c r="AN1244" s="37"/>
      <c r="AO1244" s="37"/>
      <c r="AP1244" s="37"/>
    </row>
    <row r="1245" spans="1:42" s="5" customFormat="1">
      <c r="A1245" s="1"/>
      <c r="B1245" s="1"/>
      <c r="C1245" s="1"/>
      <c r="D1245" s="168"/>
      <c r="E1245" s="168" t="s">
        <v>304</v>
      </c>
      <c r="F1245" s="168" t="str">
        <f t="shared" si="2120"/>
        <v>КлиматКо</v>
      </c>
      <c r="G1245" s="168" t="s">
        <v>261</v>
      </c>
      <c r="H1245" s="326"/>
      <c r="I1245" s="327">
        <f>SUMIFS(операции!$V:$V,операции!$X:$X,"&gt;="&amp;I$8,операции!$X:$X,"&lt;="&amp;I$9,операции!$AB:$AB,"",операции!$O:$O,$F1200)</f>
        <v>12349.820000000002</v>
      </c>
      <c r="J1245" s="313">
        <f>I1245-K1245-L1245</f>
        <v>0</v>
      </c>
      <c r="K1245" s="327">
        <f>SUMIFS(операции!$V:$V,операции!$X:$X,"&gt;="&amp;I$8,операции!$X:$X,"&lt;="&amp;I$9,операции!$AB:$AB,"",операции!$L:$L,K$9,операции!$O:$O,$F1200)</f>
        <v>3812.78</v>
      </c>
      <c r="L1245" s="328">
        <f>SUMIFS(операции!$V:$V,операции!$X:$X,"&gt;="&amp;I$8,операции!$X:$X,"&lt;="&amp;I$9,операции!$AB:$AB,"",операции!$L:$L,L$9,операции!$O:$O,$F1200)</f>
        <v>8537.0400000000009</v>
      </c>
      <c r="M1245" s="277"/>
      <c r="N1245" s="169">
        <f>SUMIFS(операции!$V:$V,операции!$X:$X,"&gt;="&amp;N$8,операции!$X:$X,"&lt;="&amp;N$9,операции!$AB:$AB,"",операции!$O:$O,$F1200)</f>
        <v>0</v>
      </c>
      <c r="O1245" s="170">
        <f>N1245-P1245-Q1245</f>
        <v>0</v>
      </c>
      <c r="P1245" s="169">
        <f>SUMIFS(операции!$V:$V,операции!$X:$X,"&gt;="&amp;N$8,операции!$X:$X,"&lt;="&amp;N$9,операции!$AB:$AB,"",операции!$L:$L,P$9,операции!$O:$O,$F1200)</f>
        <v>0</v>
      </c>
      <c r="Q1245" s="243">
        <f>SUMIFS(операции!$V:$V,операции!$X:$X,"&gt;="&amp;N$8,операции!$X:$X,"&lt;="&amp;N$9,операции!$AB:$AB,"",операции!$L:$L,Q$9,операции!$O:$O,$F1200)</f>
        <v>0</v>
      </c>
      <c r="R1245" s="244"/>
      <c r="S1245" s="169">
        <f>SUMIFS(операции!$V:$V,операции!$X:$X,"&gt;="&amp;S$8,операции!$X:$X,"&lt;="&amp;S$9,операции!$AB:$AB,"",операции!$O:$O,$F1200)</f>
        <v>10417.82</v>
      </c>
      <c r="T1245" s="170">
        <f>S1245-U1245-V1245</f>
        <v>0</v>
      </c>
      <c r="U1245" s="169">
        <f>SUMIFS(операции!$V:$V,операции!$X:$X,"&gt;="&amp;S$8,операции!$X:$X,"&lt;="&amp;S$9,операции!$AB:$AB,"",операции!$L:$L,U$9,операции!$O:$O,$F1200)</f>
        <v>3812.78</v>
      </c>
      <c r="V1245" s="243">
        <f>SUMIFS(операции!$V:$V,операции!$X:$X,"&gt;="&amp;S$8,операции!$X:$X,"&lt;="&amp;S$9,операции!$AB:$AB,"",операции!$L:$L,V$9,операции!$O:$O,$F1200)</f>
        <v>6605.04</v>
      </c>
      <c r="W1245" s="244"/>
      <c r="X1245" s="169">
        <f>SUMIFS(операции!$V:$V,операции!$X:$X,"&gt;="&amp;X$8,операции!$X:$X,"&lt;="&amp;X$9,операции!$AB:$AB,"",операции!$O:$O,$F1200)</f>
        <v>1932</v>
      </c>
      <c r="Y1245" s="170">
        <f>X1245-Z1245-AA1245</f>
        <v>0</v>
      </c>
      <c r="Z1245" s="169">
        <f>SUMIFS(операции!$V:$V,операции!$X:$X,"&gt;="&amp;X$8,операции!$X:$X,"&lt;="&amp;X$9,операции!$AB:$AB,"",операции!$L:$L,Z$9,операции!$O:$O,$F1200)</f>
        <v>0</v>
      </c>
      <c r="AA1245" s="243">
        <f>SUMIFS(операции!$V:$V,операции!$X:$X,"&gt;="&amp;X$8,операции!$X:$X,"&lt;="&amp;X$9,операции!$AB:$AB,"",операции!$L:$L,AA$9,операции!$O:$O,$F1200)</f>
        <v>1932</v>
      </c>
      <c r="AB1245" s="266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</row>
    <row r="1246" spans="1:42" s="192" customFormat="1" ht="11.25">
      <c r="A1246" s="37"/>
      <c r="B1246" s="37"/>
      <c r="C1246" s="37"/>
      <c r="D1246" s="191"/>
      <c r="E1246" s="191" t="s">
        <v>305</v>
      </c>
      <c r="F1246" s="191" t="str">
        <f t="shared" si="2120"/>
        <v>КлиматКо</v>
      </c>
      <c r="G1246" s="191" t="s">
        <v>262</v>
      </c>
      <c r="H1246" s="315"/>
      <c r="I1246" s="316">
        <f>IF(I1245=0,0,SUMIFS(операции!$AF:$AF,операции!$X:$X,"&gt;="&amp;I$8,операции!$X:$X,"&lt;="&amp;I$9,операции!$AB:$AB,"",операции!$O:$O,$F1200)/I1245)</f>
        <v>42296.812889580571</v>
      </c>
      <c r="J1246" s="317"/>
      <c r="K1246" s="316">
        <f>IF(K1245=0,0,SUMIFS(операции!$AF:$AF,операции!$X:$X,"&gt;="&amp;I$8,операции!$X:$X,"&lt;="&amp;I$9,операции!$AB:$AB,"",операции!$L:$L,K$9,операции!$O:$O,$F1200)/K1245)</f>
        <v>42216</v>
      </c>
      <c r="L1246" s="318">
        <f>IF(L1245=0,0,SUMIFS(операции!$AF:$AF,операции!$X:$X,"&gt;="&amp;I$8,операции!$X:$X,"&lt;="&amp;I$9,операции!$AB:$AB,"",операции!$L:$L,L$9,операции!$O:$O,$F1200)/L1245)</f>
        <v>42332.905231789933</v>
      </c>
      <c r="M1246" s="274"/>
      <c r="N1246" s="193">
        <f>IF(N1245=0,0,SUMIFS(операции!$AF:$AF,операции!$X:$X,"&gt;="&amp;N$8,операции!$X:$X,"&lt;="&amp;N$9,операции!$AB:$AB,"",операции!$O:$O,$F1200)/N1245)</f>
        <v>0</v>
      </c>
      <c r="O1246" s="196"/>
      <c r="P1246" s="193">
        <f>IF(P1245=0,0,SUMIFS(операции!$AF:$AF,операции!$X:$X,"&gt;="&amp;N$8,операции!$X:$X,"&lt;="&amp;N$9,операции!$AB:$AB,"",операции!$L:$L,P$9,операции!$O:$O,$F1200)/P1245)</f>
        <v>0</v>
      </c>
      <c r="Q1246" s="237">
        <f>IF(Q1245=0,0,SUMIFS(операции!$AF:$AF,операции!$X:$X,"&gt;="&amp;N$8,операции!$X:$X,"&lt;="&amp;N$9,операции!$AB:$AB,"",операции!$L:$L,Q$9,операции!$O:$O,$F1200)/Q1245)</f>
        <v>0</v>
      </c>
      <c r="R1246" s="238"/>
      <c r="S1246" s="193">
        <f>IF(S1245=0,0,SUMIFS(операции!$AF:$AF,операции!$X:$X,"&gt;="&amp;S$8,операции!$X:$X,"&lt;="&amp;S$9,операции!$AB:$AB,"",операции!$O:$O,$F1200)/S1245)</f>
        <v>42289.545582473111</v>
      </c>
      <c r="T1246" s="196"/>
      <c r="U1246" s="193">
        <f>IF(U1245=0,0,SUMIFS(операции!$AF:$AF,операции!$X:$X,"&gt;="&amp;S$8,операции!$X:$X,"&lt;="&amp;S$9,операции!$AB:$AB,"",операции!$L:$L,U$9,операции!$O:$O,$F1200)/U1245)</f>
        <v>42216</v>
      </c>
      <c r="V1246" s="237">
        <f>IF(V1245=0,0,SUMIFS(операции!$AF:$AF,операции!$X:$X,"&gt;="&amp;S$8,операции!$X:$X,"&lt;="&amp;S$9,операции!$AB:$AB,"",операции!$L:$L,V$9,операции!$O:$O,$F1200)/V1245)</f>
        <v>42331.999999999993</v>
      </c>
      <c r="W1246" s="238"/>
      <c r="X1246" s="193">
        <f>IF(X1245=0,0,SUMIFS(операции!$AF:$AF,операции!$X:$X,"&gt;="&amp;X$8,операции!$X:$X,"&lt;="&amp;X$9,операции!$AB:$AB,"",операции!$O:$O,$F1200)/X1245)</f>
        <v>42336</v>
      </c>
      <c r="Y1246" s="196"/>
      <c r="Z1246" s="193">
        <f>IF(Z1245=0,0,SUMIFS(операции!$AF:$AF,операции!$X:$X,"&gt;="&amp;X$8,операции!$X:$X,"&lt;="&amp;X$9,операции!$AB:$AB,"",операции!$L:$L,Z$9,операции!$O:$O,$F1200)/Z1245)</f>
        <v>0</v>
      </c>
      <c r="AA1246" s="237">
        <f>IF(AA1245=0,0,SUMIFS(операции!$AF:$AF,операции!$X:$X,"&gt;="&amp;X$8,операции!$X:$X,"&lt;="&amp;X$9,операции!$AB:$AB,"",операции!$L:$L,AA$9,операции!$O:$O,$F1200)/AA1245)</f>
        <v>42336</v>
      </c>
      <c r="AB1246" s="265"/>
      <c r="AC1246" s="37"/>
      <c r="AD1246" s="37"/>
      <c r="AE1246" s="37"/>
      <c r="AF1246" s="37"/>
      <c r="AG1246" s="37"/>
      <c r="AH1246" s="37"/>
      <c r="AI1246" s="37"/>
      <c r="AJ1246" s="37"/>
      <c r="AK1246" s="37"/>
      <c r="AL1246" s="37"/>
      <c r="AM1246" s="37"/>
      <c r="AN1246" s="37"/>
      <c r="AO1246" s="37"/>
      <c r="AP1246" s="37"/>
    </row>
    <row r="1247" spans="1:42" s="192" customFormat="1" ht="11.25">
      <c r="A1247" s="37"/>
      <c r="B1247" s="37"/>
      <c r="C1247" s="37"/>
      <c r="D1247" s="191"/>
      <c r="E1247" s="191" t="s">
        <v>307</v>
      </c>
      <c r="F1247" s="191" t="str">
        <f t="shared" si="2120"/>
        <v>КлиматКо</v>
      </c>
      <c r="G1247" s="191" t="s">
        <v>262</v>
      </c>
      <c r="H1247" s="315"/>
      <c r="I1247" s="316">
        <f>I$9</f>
        <v>42369</v>
      </c>
      <c r="J1247" s="317"/>
      <c r="K1247" s="316">
        <f>I$9</f>
        <v>42369</v>
      </c>
      <c r="L1247" s="318">
        <f>I$9</f>
        <v>42369</v>
      </c>
      <c r="M1247" s="274"/>
      <c r="N1247" s="193">
        <f>N$9</f>
        <v>42308</v>
      </c>
      <c r="O1247" s="196"/>
      <c r="P1247" s="193">
        <f>N$9</f>
        <v>42308</v>
      </c>
      <c r="Q1247" s="237">
        <f>N$9</f>
        <v>42308</v>
      </c>
      <c r="R1247" s="238"/>
      <c r="S1247" s="193">
        <f>S$9</f>
        <v>42338</v>
      </c>
      <c r="T1247" s="196"/>
      <c r="U1247" s="193">
        <f>S$9</f>
        <v>42338</v>
      </c>
      <c r="V1247" s="237">
        <f>S$9</f>
        <v>42338</v>
      </c>
      <c r="W1247" s="238"/>
      <c r="X1247" s="193">
        <f>X$9</f>
        <v>42369</v>
      </c>
      <c r="Y1247" s="196"/>
      <c r="Z1247" s="193">
        <f>X$9</f>
        <v>42369</v>
      </c>
      <c r="AA1247" s="237">
        <f>X$9</f>
        <v>42369</v>
      </c>
      <c r="AB1247" s="265"/>
      <c r="AC1247" s="37"/>
      <c r="AD1247" s="37"/>
      <c r="AE1247" s="37"/>
      <c r="AF1247" s="37"/>
      <c r="AG1247" s="37"/>
      <c r="AH1247" s="37"/>
      <c r="AI1247" s="37"/>
      <c r="AJ1247" s="37"/>
      <c r="AK1247" s="37"/>
      <c r="AL1247" s="37"/>
      <c r="AM1247" s="37"/>
      <c r="AN1247" s="37"/>
      <c r="AO1247" s="37"/>
      <c r="AP1247" s="37"/>
    </row>
    <row r="1248" spans="1:42" s="5" customFormat="1">
      <c r="A1248" s="1"/>
      <c r="B1248" s="1"/>
      <c r="C1248" s="1"/>
      <c r="D1248" s="168"/>
      <c r="E1248" s="168" t="s">
        <v>380</v>
      </c>
      <c r="F1248" s="168" t="str">
        <f t="shared" si="2120"/>
        <v>КлиматКо</v>
      </c>
      <c r="G1248" s="168" t="s">
        <v>261</v>
      </c>
      <c r="H1248" s="326"/>
      <c r="I1248" s="327">
        <f>I1243-I1245</f>
        <v>694.17999999999847</v>
      </c>
      <c r="J1248" s="313">
        <f>I1248-K1248-L1248</f>
        <v>0</v>
      </c>
      <c r="K1248" s="327">
        <f t="shared" ref="K1248:L1248" si="2225">K1243-K1245</f>
        <v>141.2199999999998</v>
      </c>
      <c r="L1248" s="328">
        <f t="shared" si="2225"/>
        <v>552.95999999999913</v>
      </c>
      <c r="M1248" s="277"/>
      <c r="N1248" s="169">
        <f>N1243-N1245</f>
        <v>0</v>
      </c>
      <c r="O1248" s="170">
        <f>N1248-P1248-Q1248</f>
        <v>0</v>
      </c>
      <c r="P1248" s="169">
        <f t="shared" ref="P1248:Q1248" si="2226">P1243-P1245</f>
        <v>0</v>
      </c>
      <c r="Q1248" s="243">
        <f t="shared" si="2226"/>
        <v>0</v>
      </c>
      <c r="R1248" s="244"/>
      <c r="S1248" s="169">
        <f>S1243-S1245</f>
        <v>526.18000000000029</v>
      </c>
      <c r="T1248" s="170">
        <f>S1248-U1248-V1248</f>
        <v>4.5474735088646412E-13</v>
      </c>
      <c r="U1248" s="169">
        <f t="shared" ref="U1248:V1248" si="2227">U1243-U1245</f>
        <v>141.2199999999998</v>
      </c>
      <c r="V1248" s="243">
        <f t="shared" si="2227"/>
        <v>384.96000000000004</v>
      </c>
      <c r="W1248" s="244"/>
      <c r="X1248" s="169">
        <f>X1243-X1245</f>
        <v>168</v>
      </c>
      <c r="Y1248" s="170">
        <f>X1248-Z1248-AA1248</f>
        <v>0</v>
      </c>
      <c r="Z1248" s="169">
        <f t="shared" ref="Z1248:AA1248" si="2228">Z1243-Z1245</f>
        <v>0</v>
      </c>
      <c r="AA1248" s="243">
        <f t="shared" si="2228"/>
        <v>168</v>
      </c>
      <c r="AB1248" s="266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</row>
    <row r="1249" spans="1:42" s="211" customFormat="1">
      <c r="A1249" s="210"/>
      <c r="B1249" s="210"/>
      <c r="C1249" s="210"/>
      <c r="D1249" s="218"/>
      <c r="E1249" s="218" t="s">
        <v>381</v>
      </c>
      <c r="F1249" s="218" t="str">
        <f t="shared" si="2120"/>
        <v>КлиматКо</v>
      </c>
      <c r="G1249" s="218" t="s">
        <v>218</v>
      </c>
      <c r="H1249" s="343"/>
      <c r="I1249" s="344">
        <f>IF(I1243=0,0,(I1248/I1243))</f>
        <v>5.3218337933149222E-2</v>
      </c>
      <c r="J1249" s="345"/>
      <c r="K1249" s="344">
        <f t="shared" ref="K1249" si="2229">IF(K1243=0,0,(K1248/K1243))</f>
        <v>3.5715730905412191E-2</v>
      </c>
      <c r="L1249" s="346">
        <f t="shared" ref="L1249" si="2230">IF(L1243=0,0,(L1248/L1243))</f>
        <v>6.0831683168316733E-2</v>
      </c>
      <c r="M1249" s="280"/>
      <c r="N1249" s="219">
        <f>IF(N1243=0,0,(N1248/N1243))</f>
        <v>0</v>
      </c>
      <c r="O1249" s="220"/>
      <c r="P1249" s="219">
        <f t="shared" ref="P1249" si="2231">IF(P1243=0,0,(P1248/P1243))</f>
        <v>0</v>
      </c>
      <c r="Q1249" s="252">
        <f t="shared" ref="Q1249" si="2232">IF(Q1243=0,0,(Q1248/Q1243))</f>
        <v>0</v>
      </c>
      <c r="R1249" s="253"/>
      <c r="S1249" s="219">
        <f>IF(S1243=0,0,(S1248/S1243))</f>
        <v>4.8079312865497104E-2</v>
      </c>
      <c r="T1249" s="220"/>
      <c r="U1249" s="219">
        <f t="shared" ref="U1249" si="2233">IF(U1243=0,0,(U1248/U1243))</f>
        <v>3.5715730905412191E-2</v>
      </c>
      <c r="V1249" s="252">
        <f t="shared" ref="V1249" si="2234">IF(V1243=0,0,(V1248/V1243))</f>
        <v>5.5072961373390565E-2</v>
      </c>
      <c r="W1249" s="253"/>
      <c r="X1249" s="219">
        <f>IF(X1243=0,0,(X1248/X1243))</f>
        <v>0.08</v>
      </c>
      <c r="Y1249" s="220"/>
      <c r="Z1249" s="219">
        <f t="shared" ref="Z1249" si="2235">IF(Z1243=0,0,(Z1248/Z1243))</f>
        <v>0</v>
      </c>
      <c r="AA1249" s="252">
        <f t="shared" ref="AA1249" si="2236">IF(AA1243=0,0,(AA1248/AA1243))</f>
        <v>0.08</v>
      </c>
      <c r="AB1249" s="267"/>
      <c r="AC1249" s="210"/>
      <c r="AD1249" s="210"/>
      <c r="AE1249" s="210"/>
      <c r="AF1249" s="210"/>
      <c r="AG1249" s="210"/>
      <c r="AH1249" s="210"/>
      <c r="AI1249" s="210"/>
      <c r="AJ1249" s="210"/>
      <c r="AK1249" s="210"/>
      <c r="AL1249" s="210"/>
      <c r="AM1249" s="210"/>
      <c r="AN1249" s="210"/>
      <c r="AO1249" s="210"/>
      <c r="AP1249" s="210"/>
    </row>
    <row r="1250" spans="1:42" s="5" customFormat="1">
      <c r="A1250" s="1"/>
      <c r="B1250" s="1"/>
      <c r="C1250" s="1"/>
      <c r="D1250" s="227"/>
      <c r="E1250" s="227" t="s">
        <v>306</v>
      </c>
      <c r="F1250" s="227" t="str">
        <f t="shared" si="2120"/>
        <v>КлиматКо</v>
      </c>
      <c r="G1250" s="227" t="s">
        <v>219</v>
      </c>
      <c r="H1250" s="347"/>
      <c r="I1250" s="348">
        <f>I1244-I1246</f>
        <v>40.062455405626679</v>
      </c>
      <c r="J1250" s="321"/>
      <c r="K1250" s="348">
        <f t="shared" ref="K1250:L1250" si="2237">K1244-K1246</f>
        <v>122</v>
      </c>
      <c r="L1250" s="349">
        <f t="shared" si="2237"/>
        <v>3.4809068239264889</v>
      </c>
      <c r="M1250" s="281"/>
      <c r="N1250" s="228">
        <f>N1244-N1246</f>
        <v>0</v>
      </c>
      <c r="O1250" s="173"/>
      <c r="P1250" s="228">
        <f t="shared" ref="P1250:Q1250" si="2238">P1244-P1246</f>
        <v>0</v>
      </c>
      <c r="Q1250" s="254">
        <f t="shared" si="2238"/>
        <v>0</v>
      </c>
      <c r="R1250" s="255"/>
      <c r="S1250" s="228">
        <f>S1244-S1246</f>
        <v>46.538299105835904</v>
      </c>
      <c r="T1250" s="173"/>
      <c r="U1250" s="228">
        <f t="shared" ref="U1250:V1250" si="2239">U1244-U1246</f>
        <v>122</v>
      </c>
      <c r="V1250" s="254">
        <f t="shared" si="2239"/>
        <v>3.000000000007276</v>
      </c>
      <c r="W1250" s="255"/>
      <c r="X1250" s="228">
        <f>X1244-X1246</f>
        <v>5</v>
      </c>
      <c r="Y1250" s="173"/>
      <c r="Z1250" s="228">
        <f t="shared" ref="Z1250:AA1250" si="2240">Z1244-Z1246</f>
        <v>0</v>
      </c>
      <c r="AA1250" s="254">
        <f t="shared" si="2240"/>
        <v>5</v>
      </c>
      <c r="AB1250" s="266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</row>
    <row r="1251" spans="1:42" s="5" customFormat="1">
      <c r="A1251" s="1"/>
      <c r="B1251" s="1"/>
      <c r="C1251" s="1"/>
      <c r="D1251" s="227"/>
      <c r="E1251" s="227" t="s">
        <v>382</v>
      </c>
      <c r="F1251" s="227" t="str">
        <f t="shared" si="2120"/>
        <v>КлиматКо</v>
      </c>
      <c r="G1251" s="227" t="s">
        <v>219</v>
      </c>
      <c r="H1251" s="347"/>
      <c r="I1251" s="348">
        <f>I1247-I1246</f>
        <v>72.187110419428791</v>
      </c>
      <c r="J1251" s="321"/>
      <c r="K1251" s="348">
        <f t="shared" ref="K1251:L1251" si="2241">K1247-K1246</f>
        <v>153</v>
      </c>
      <c r="L1251" s="349">
        <f t="shared" si="2241"/>
        <v>36.094768210066832</v>
      </c>
      <c r="M1251" s="281"/>
      <c r="N1251" s="228">
        <f>N1247-N1246</f>
        <v>42308</v>
      </c>
      <c r="O1251" s="173"/>
      <c r="P1251" s="228">
        <f t="shared" ref="P1251:Q1251" si="2242">P1247-P1246</f>
        <v>42308</v>
      </c>
      <c r="Q1251" s="254">
        <f t="shared" si="2242"/>
        <v>42308</v>
      </c>
      <c r="R1251" s="255"/>
      <c r="S1251" s="228">
        <f>S1247-S1246</f>
        <v>48.454417526889301</v>
      </c>
      <c r="T1251" s="173"/>
      <c r="U1251" s="228">
        <f t="shared" ref="U1251:V1251" si="2243">U1247-U1246</f>
        <v>122</v>
      </c>
      <c r="V1251" s="254">
        <f t="shared" si="2243"/>
        <v>6.000000000007276</v>
      </c>
      <c r="W1251" s="255"/>
      <c r="X1251" s="228">
        <f>X1247-X1246</f>
        <v>33</v>
      </c>
      <c r="Y1251" s="173"/>
      <c r="Z1251" s="228">
        <f t="shared" ref="Z1251:AA1251" si="2244">Z1247-Z1246</f>
        <v>42369</v>
      </c>
      <c r="AA1251" s="254">
        <f t="shared" si="2244"/>
        <v>33</v>
      </c>
      <c r="AB1251" s="266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</row>
    <row r="1252" spans="1:42" s="5" customFormat="1">
      <c r="A1252" s="1"/>
      <c r="B1252" s="1"/>
      <c r="C1252" s="1"/>
      <c r="D1252" s="225"/>
      <c r="E1252" s="225" t="s">
        <v>383</v>
      </c>
      <c r="F1252" s="225" t="str">
        <f t="shared" si="2120"/>
        <v>КлиматКо</v>
      </c>
      <c r="G1252" s="225" t="s">
        <v>219</v>
      </c>
      <c r="H1252" s="350"/>
      <c r="I1252" s="351">
        <f>I1250-I1251</f>
        <v>-32.124655013802112</v>
      </c>
      <c r="J1252" s="352"/>
      <c r="K1252" s="351">
        <f t="shared" ref="K1252" si="2245">K1250-K1251</f>
        <v>-31</v>
      </c>
      <c r="L1252" s="353">
        <f t="shared" ref="L1252" si="2246">L1250-L1251</f>
        <v>-32.613861386140343</v>
      </c>
      <c r="M1252" s="282"/>
      <c r="N1252" s="226">
        <f>N1250-N1251</f>
        <v>-42308</v>
      </c>
      <c r="O1252" s="181"/>
      <c r="P1252" s="226">
        <f t="shared" ref="P1252" si="2247">P1250-P1251</f>
        <v>-42308</v>
      </c>
      <c r="Q1252" s="256">
        <f t="shared" ref="Q1252" si="2248">Q1250-Q1251</f>
        <v>-42308</v>
      </c>
      <c r="R1252" s="257"/>
      <c r="S1252" s="226">
        <f>S1250-S1251</f>
        <v>-1.9161184210533975</v>
      </c>
      <c r="T1252" s="181"/>
      <c r="U1252" s="226">
        <f t="shared" ref="U1252" si="2249">U1250-U1251</f>
        <v>0</v>
      </c>
      <c r="V1252" s="256">
        <f t="shared" ref="V1252" si="2250">V1250-V1251</f>
        <v>-3</v>
      </c>
      <c r="W1252" s="257"/>
      <c r="X1252" s="226">
        <f>X1250-X1251</f>
        <v>-28</v>
      </c>
      <c r="Y1252" s="181"/>
      <c r="Z1252" s="226">
        <f t="shared" ref="Z1252" si="2251">Z1250-Z1251</f>
        <v>-42369</v>
      </c>
      <c r="AA1252" s="256">
        <f t="shared" ref="AA1252" si="2252">AA1250-AA1251</f>
        <v>-28</v>
      </c>
      <c r="AB1252" s="266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</row>
    <row r="1253" spans="1:42" s="5" customFormat="1">
      <c r="A1253" s="1"/>
      <c r="B1253" s="1"/>
      <c r="C1253" s="1"/>
      <c r="D1253" s="168" t="s">
        <v>312</v>
      </c>
      <c r="E1253" s="168"/>
      <c r="F1253" s="168" t="str">
        <f t="shared" si="2120"/>
        <v>КлиматКо</v>
      </c>
      <c r="G1253" s="168" t="s">
        <v>261</v>
      </c>
      <c r="H1253" s="326"/>
      <c r="I1253" s="327">
        <f>SUMIFS(операции!$AC:$AC,операции!$AB:$AB,"&gt;="&amp;I$8,операции!$AB:$AB,"&lt;="&amp;I$9,операции!$O:$O,$F1200)</f>
        <v>99969.45</v>
      </c>
      <c r="J1253" s="313">
        <f>I1253-K1253-L1253</f>
        <v>0</v>
      </c>
      <c r="K1253" s="327">
        <f>SUMIFS(операции!$AC:$AC,операции!$AB:$AB,"&gt;="&amp;I$8,операции!$AB:$AB,"&lt;="&amp;I$9,операции!$L:$L,K$9,операции!$O:$O,$F1200)</f>
        <v>44599.560000000005</v>
      </c>
      <c r="L1253" s="328">
        <f>SUMIFS(операции!$AC:$AC,операции!$AB:$AB,"&gt;="&amp;I$8,операции!$AB:$AB,"&lt;="&amp;I$9,операции!$L:$L,L$9,операции!$O:$O,$F1200)</f>
        <v>55369.89</v>
      </c>
      <c r="M1253" s="277"/>
      <c r="N1253" s="169">
        <f>SUMIFS(операции!$AC:$AC,операции!$AB:$AB,"&gt;="&amp;N$8,операции!$AB:$AB,"&lt;="&amp;N$9,операции!$O:$O,$F1200)</f>
        <v>24400</v>
      </c>
      <c r="O1253" s="170">
        <f>N1253-P1253-Q1253</f>
        <v>0</v>
      </c>
      <c r="P1253" s="169">
        <f>SUMIFS(операции!$AC:$AC,операции!$AB:$AB,"&gt;="&amp;N$8,операции!$AB:$AB,"&lt;="&amp;N$9,операции!$L:$L,P$9,операции!$O:$O,$F1200)</f>
        <v>24400</v>
      </c>
      <c r="Q1253" s="243">
        <f>SUMIFS(операции!$AC:$AC,операции!$AB:$AB,"&gt;="&amp;N$8,операции!$AB:$AB,"&lt;="&amp;N$9,операции!$L:$L,Q$9,операции!$O:$O,$F1200)</f>
        <v>0</v>
      </c>
      <c r="R1253" s="244"/>
      <c r="S1253" s="169">
        <f>SUMIFS(операции!$AC:$AC,операции!$AB:$AB,"&gt;="&amp;S$8,операции!$AB:$AB,"&lt;="&amp;S$9,операции!$O:$O,$F1200)</f>
        <v>47215.7</v>
      </c>
      <c r="T1253" s="170">
        <f>S1253-U1253-V1253</f>
        <v>0</v>
      </c>
      <c r="U1253" s="169">
        <f>SUMIFS(операции!$AC:$AC,операции!$AB:$AB,"&gt;="&amp;S$8,операции!$AB:$AB,"&lt;="&amp;S$9,операции!$L:$L,U$9,операции!$O:$O,$F1200)</f>
        <v>14056.850000000002</v>
      </c>
      <c r="V1253" s="243">
        <f>SUMIFS(операции!$AC:$AC,операции!$AB:$AB,"&gt;="&amp;S$8,операции!$AB:$AB,"&lt;="&amp;S$9,операции!$L:$L,V$9,операции!$O:$O,$F1200)</f>
        <v>33158.85</v>
      </c>
      <c r="W1253" s="244"/>
      <c r="X1253" s="169">
        <f>SUMIFS(операции!$AC:$AC,операции!$AB:$AB,"&gt;="&amp;X$8,операции!$AB:$AB,"&lt;="&amp;X$9,операции!$O:$O,$F1200)</f>
        <v>28353.750000000004</v>
      </c>
      <c r="Y1253" s="170">
        <f>X1253-Z1253-AA1253</f>
        <v>0</v>
      </c>
      <c r="Z1253" s="169">
        <f>SUMIFS(операции!$AC:$AC,операции!$AB:$AB,"&gt;="&amp;X$8,операции!$AB:$AB,"&lt;="&amp;X$9,операции!$L:$L,Z$9,операции!$O:$O,$F1200)</f>
        <v>6142.7100000000009</v>
      </c>
      <c r="AA1253" s="243">
        <f>SUMIFS(операции!$AC:$AC,операции!$AB:$AB,"&gt;="&amp;X$8,операции!$AB:$AB,"&lt;="&amp;X$9,операции!$L:$L,AA$9,операции!$O:$O,$F1200)</f>
        <v>22211.040000000001</v>
      </c>
      <c r="AB1253" s="266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</row>
    <row r="1254" spans="1:42" s="192" customFormat="1" ht="11.25">
      <c r="A1254" s="37"/>
      <c r="B1254" s="37"/>
      <c r="C1254" s="37"/>
      <c r="D1254" s="207" t="s">
        <v>255</v>
      </c>
      <c r="E1254" s="207"/>
      <c r="F1254" s="207" t="str">
        <f t="shared" si="2120"/>
        <v>КлиматКо</v>
      </c>
      <c r="G1254" s="207" t="s">
        <v>262</v>
      </c>
      <c r="H1254" s="331"/>
      <c r="I1254" s="337">
        <f>IF(I1253=0,0,SUMIFS(операции!$AH:$AH,операции!$AB:$AB,"&gt;="&amp;I$8,операции!$AB:$AB,"&lt;="&amp;I$9,операции!$O:$O,$F1200)/I1253)</f>
        <v>42325.276270200549</v>
      </c>
      <c r="J1254" s="333"/>
      <c r="K1254" s="337">
        <f>IF(K1253=0,0,SUMIFS(операции!$AH:$AH,операции!$AB:$AB,"&gt;="&amp;I$8,операции!$AB:$AB,"&lt;="&amp;I$9,операции!$L:$L,K$9,операции!$O:$O,$F1200)/K1253)</f>
        <v>42308.906554010842</v>
      </c>
      <c r="L1254" s="338">
        <f>IF(L1253=0,0,SUMIFS(операции!$AH:$AH,операции!$AB:$AB,"&gt;="&amp;I$8,операции!$AB:$AB,"&lt;="&amp;I$9,операции!$L:$L,L$9,операции!$O:$O,$F1200)/L1253)</f>
        <v>42338.461814534938</v>
      </c>
      <c r="M1254" s="278"/>
      <c r="N1254" s="217">
        <f>IF(N1253=0,0,SUMIFS(операции!$AH:$AH,операции!$AB:$AB,"&gt;="&amp;N$8,операции!$AB:$AB,"&lt;="&amp;N$9,операции!$O:$O,$F1200)/N1253)</f>
        <v>42287.099426229506</v>
      </c>
      <c r="O1254" s="208"/>
      <c r="P1254" s="217">
        <f>IF(P1253=0,0,SUMIFS(операции!$AH:$AH,операции!$AB:$AB,"&gt;="&amp;N$8,операции!$AB:$AB,"&lt;="&amp;N$9,операции!$L:$L,P$9,операции!$O:$O,$F1200)/P1253)</f>
        <v>42287.099426229506</v>
      </c>
      <c r="Q1254" s="249">
        <f>IF(Q1253=0,0,SUMIFS(операции!$AH:$AH,операции!$AB:$AB,"&gt;="&amp;N$8,операции!$AB:$AB,"&lt;="&amp;N$9,операции!$L:$L,Q$9,операции!$O:$O,$F1200)/Q1253)</f>
        <v>0</v>
      </c>
      <c r="R1254" s="247"/>
      <c r="S1254" s="217">
        <f>IF(S1253=0,0,SUMIFS(операции!$AH:$AH,операции!$AB:$AB,"&gt;="&amp;S$8,операции!$AB:$AB,"&lt;="&amp;S$9,операции!$O:$O,$F1200)/S1253)</f>
        <v>42330.321317273709</v>
      </c>
      <c r="T1254" s="208"/>
      <c r="U1254" s="217">
        <f>IF(U1253=0,0,SUMIFS(операции!$AH:$AH,операции!$AB:$AB,"&gt;="&amp;S$8,операции!$AB:$AB,"&lt;="&amp;S$9,операции!$L:$L,U$9,операции!$O:$O,$F1200)/U1253)</f>
        <v>42325.347671775678</v>
      </c>
      <c r="V1254" s="249">
        <f>IF(V1253=0,0,SUMIFS(операции!$AH:$AH,операции!$AB:$AB,"&gt;="&amp;S$8,операции!$AB:$AB,"&lt;="&amp;S$9,операции!$L:$L,V$9,операции!$O:$O,$F1200)/V1253)</f>
        <v>42332.429767618611</v>
      </c>
      <c r="W1254" s="247"/>
      <c r="X1254" s="217">
        <f>IF(X1253=0,0,SUMIFS(операции!$AH:$AH,операции!$AB:$AB,"&gt;="&amp;X$8,операции!$AB:$AB,"&lt;="&amp;X$9,операции!$O:$O,$F1200)/X1253)</f>
        <v>42349.728399594409</v>
      </c>
      <c r="Y1254" s="208"/>
      <c r="Z1254" s="217">
        <f>IF(Z1253=0,0,SUMIFS(операции!$AH:$AH,операции!$AB:$AB,"&gt;="&amp;X$8,операции!$AB:$AB,"&lt;="&amp;X$9,операции!$L:$L,Z$9,операции!$O:$O,$F1200)/Z1253)</f>
        <v>42357.90505656298</v>
      </c>
      <c r="AA1254" s="249">
        <f>IF(AA1253=0,0,SUMIFS(операции!$AH:$AH,операции!$AB:$AB,"&gt;="&amp;X$8,операции!$AB:$AB,"&lt;="&amp;X$9,операции!$L:$L,AA$9,операции!$O:$O,$F1200)/AA1253)</f>
        <v>42347.467054221685</v>
      </c>
      <c r="AB1254" s="265"/>
      <c r="AC1254" s="37"/>
      <c r="AD1254" s="37"/>
      <c r="AE1254" s="37"/>
      <c r="AF1254" s="37"/>
      <c r="AG1254" s="37"/>
      <c r="AH1254" s="37"/>
      <c r="AI1254" s="37"/>
      <c r="AJ1254" s="37"/>
      <c r="AK1254" s="37"/>
      <c r="AL1254" s="37"/>
      <c r="AM1254" s="37"/>
      <c r="AN1254" s="37"/>
      <c r="AO1254" s="37"/>
      <c r="AP1254" s="37"/>
    </row>
    <row r="1255" spans="1:42" s="111" customFormat="1" ht="11.25">
      <c r="A1255" s="108"/>
      <c r="B1255" s="108"/>
      <c r="C1255" s="209" t="s">
        <v>279</v>
      </c>
      <c r="D1255" s="109"/>
      <c r="E1255" s="109"/>
      <c r="F1255" s="109" t="str">
        <f t="shared" si="2120"/>
        <v>КлиматКо</v>
      </c>
      <c r="G1255" s="109"/>
      <c r="H1255" s="307"/>
      <c r="I1255" s="308">
        <f>I1256-K1256-L1256+K1255+L1255</f>
        <v>-3.637978807091713E-12</v>
      </c>
      <c r="J1255" s="309">
        <f>I1200+I1218-I1225-I1256</f>
        <v>0</v>
      </c>
      <c r="K1255" s="308">
        <f>K1200+K1218-K1225-K1256</f>
        <v>0</v>
      </c>
      <c r="L1255" s="336">
        <f>L1200+L1218-L1225-L1256</f>
        <v>0</v>
      </c>
      <c r="M1255" s="272"/>
      <c r="N1255" s="110">
        <f>N1256-P1256-Q1256</f>
        <v>0</v>
      </c>
      <c r="O1255" s="215">
        <f>N1200+N1218-N1225-N1256</f>
        <v>0</v>
      </c>
      <c r="P1255" s="110">
        <f>P1200+P1218-P1225-P1256</f>
        <v>0</v>
      </c>
      <c r="Q1255" s="248">
        <f>Q1200+Q1218-Q1225-Q1256</f>
        <v>0</v>
      </c>
      <c r="R1255" s="234"/>
      <c r="S1255" s="110">
        <f>S1256-U1256-V1256</f>
        <v>0</v>
      </c>
      <c r="T1255" s="215">
        <f>S1200+S1218-S1225-S1256</f>
        <v>0</v>
      </c>
      <c r="U1255" s="110">
        <f>U1200+U1218-U1225-U1256</f>
        <v>0</v>
      </c>
      <c r="V1255" s="248">
        <f>V1200+V1218-V1225-V1256</f>
        <v>0</v>
      </c>
      <c r="W1255" s="234"/>
      <c r="X1255" s="110">
        <f>X1256-Z1256-AA1256</f>
        <v>0</v>
      </c>
      <c r="Y1255" s="215">
        <f>X1200+X1218-X1225-X1256</f>
        <v>0</v>
      </c>
      <c r="Z1255" s="110">
        <f>Z1200+Z1218-Z1225-Z1256</f>
        <v>0</v>
      </c>
      <c r="AA1255" s="248">
        <f>AA1200+AA1218-AA1225-AA1256</f>
        <v>0</v>
      </c>
      <c r="AB1255" s="263"/>
      <c r="AC1255" s="108"/>
      <c r="AD1255" s="108"/>
      <c r="AE1255" s="108"/>
      <c r="AF1255" s="108"/>
      <c r="AG1255" s="108"/>
      <c r="AH1255" s="108"/>
      <c r="AI1255" s="108"/>
      <c r="AJ1255" s="108"/>
      <c r="AK1255" s="108"/>
      <c r="AL1255" s="108"/>
      <c r="AM1255" s="108"/>
      <c r="AN1255" s="108"/>
      <c r="AO1255" s="108"/>
      <c r="AP1255" s="108"/>
    </row>
    <row r="1256" spans="1:42" s="93" customFormat="1" ht="15">
      <c r="A1256" s="92"/>
      <c r="B1256" s="92"/>
      <c r="C1256" s="214"/>
      <c r="D1256" s="151" t="s">
        <v>238</v>
      </c>
      <c r="E1256" s="151"/>
      <c r="F1256" s="151" t="str">
        <f t="shared" si="2120"/>
        <v>КлиматКо</v>
      </c>
      <c r="G1256" s="151" t="s">
        <v>261</v>
      </c>
      <c r="H1256" s="311"/>
      <c r="I1256" s="312">
        <f>SUMIFS(операции!$V:$V,операции!$T:$T,"&lt;="&amp;I$9,операции!$X:$X,"",операции!$O:$O,$F1200)+SUMIFS(операции!$V:$V,операции!$T:$T,"&lt;="&amp;I$9,операции!$X:$X,"&gt;"&amp;I$9,операции!$O:$O,$F1200)</f>
        <v>50976.86</v>
      </c>
      <c r="J1256" s="313">
        <f>I1256-I1261-I1267</f>
        <v>0</v>
      </c>
      <c r="K1256" s="312">
        <f>SUMIFS(операции!$V:$V,операции!$T:$T,"&lt;="&amp;I$9,операции!$X:$X,"",операции!$L:$L,K$9,операции!$O:$O,$F1200)+SUMIFS(операции!$V:$V,операции!$T:$T,"&lt;="&amp;I$9,операции!$X:$X,"&gt;"&amp;I$9,операции!$L:$L,K$9,операции!$O:$O,$F1200)</f>
        <v>27522.710000000003</v>
      </c>
      <c r="L1256" s="314">
        <f>SUMIFS(операции!$V:$V,операции!$T:$T,"&lt;="&amp;I$9,операции!$X:$X,"",операции!$L:$L,L$9,операции!$O:$O,$F1200)+SUMIFS(операции!$V:$V,операции!$T:$T,"&lt;="&amp;I$9,операции!$X:$X,"&gt;"&amp;I$9,операции!$L:$L,L$9,операции!$O:$O,$F1200)</f>
        <v>23454.15</v>
      </c>
      <c r="M1256" s="273"/>
      <c r="N1256" s="152">
        <f>SUMIFS(операции!$V:$V,операции!$T:$T,"&lt;="&amp;N$9,операции!$X:$X,"",операции!$O:$O,$F1200)+SUMIFS(операции!$V:$V,операции!$T:$T,"&lt;="&amp;N$9,операции!$X:$X,"&gt;"&amp;N$9,операции!$O:$O,$F1200)</f>
        <v>50409.56</v>
      </c>
      <c r="O1256" s="170">
        <f>N1256-N1261-N1267</f>
        <v>0</v>
      </c>
      <c r="P1256" s="152">
        <f>SUMIFS(операции!$V:$V,операции!$T:$T,"&lt;="&amp;N$9,операции!$X:$X,"",операции!$L:$L,P$9,операции!$O:$O,$F1200)+SUMIFS(операции!$V:$V,операции!$T:$T,"&lt;="&amp;N$9,операции!$X:$X,"&gt;"&amp;N$9,операции!$L:$L,P$9,операции!$O:$O,$F1200)</f>
        <v>50409.56</v>
      </c>
      <c r="Q1256" s="235">
        <f>SUMIFS(операции!$V:$V,операции!$T:$T,"&lt;="&amp;N$9,операции!$X:$X,"",операции!$L:$L,Q$9,операции!$O:$O,$F1200)+SUMIFS(операции!$V:$V,операции!$T:$T,"&lt;="&amp;N$9,операции!$X:$X,"&gt;"&amp;N$9,операции!$L:$L,Q$9,операции!$O:$O,$F1200)</f>
        <v>0</v>
      </c>
      <c r="R1256" s="236"/>
      <c r="S1256" s="152">
        <f>SUMIFS(операции!$V:$V,операции!$T:$T,"&lt;="&amp;S$9,операции!$X:$X,"",операции!$O:$O,$F1200)+SUMIFS(операции!$V:$V,операции!$T:$T,"&lt;="&amp;S$9,операции!$X:$X,"&gt;"&amp;S$9,операции!$O:$O,$F1200)</f>
        <v>49850.16</v>
      </c>
      <c r="T1256" s="170">
        <f>S1256-S1261-S1267</f>
        <v>0</v>
      </c>
      <c r="U1256" s="152">
        <f>SUMIFS(операции!$V:$V,операции!$T:$T,"&lt;="&amp;S$9,операции!$X:$X,"",операции!$L:$L,U$9,операции!$O:$O,$F1200)+SUMIFS(операции!$V:$V,операции!$T:$T,"&lt;="&amp;S$9,операции!$X:$X,"&gt;"&amp;S$9,операции!$L:$L,U$9,операции!$O:$O,$F1200)</f>
        <v>40736.160000000003</v>
      </c>
      <c r="V1256" s="235">
        <f>SUMIFS(операции!$V:$V,операции!$T:$T,"&lt;="&amp;S$9,операции!$X:$X,"",операции!$L:$L,V$9,операции!$O:$O,$F1200)+SUMIFS(операции!$V:$V,операции!$T:$T,"&lt;="&amp;S$9,операции!$X:$X,"&gt;"&amp;S$9,операции!$L:$L,V$9,операции!$O:$O,$F1200)</f>
        <v>9114</v>
      </c>
      <c r="W1256" s="236"/>
      <c r="X1256" s="152">
        <f>SUMIFS(операции!$V:$V,операции!$T:$T,"&lt;="&amp;X$9,операции!$X:$X,"",операции!$O:$O,$F1200)+SUMIFS(операции!$V:$V,операции!$T:$T,"&lt;="&amp;X$9,операции!$X:$X,"&gt;"&amp;X$9,операции!$O:$O,$F1200)</f>
        <v>50976.86</v>
      </c>
      <c r="Y1256" s="170">
        <f>X1256-X1261-X1267</f>
        <v>0</v>
      </c>
      <c r="Z1256" s="152">
        <f>SUMIFS(операции!$V:$V,операции!$T:$T,"&lt;="&amp;X$9,операции!$X:$X,"",операции!$L:$L,Z$9,операции!$O:$O,$F1200)+SUMIFS(операции!$V:$V,операции!$T:$T,"&lt;="&amp;X$9,операции!$X:$X,"&gt;"&amp;X$9,операции!$L:$L,Z$9,операции!$O:$O,$F1200)</f>
        <v>27522.710000000003</v>
      </c>
      <c r="AA1256" s="235">
        <f>SUMIFS(операции!$V:$V,операции!$T:$T,"&lt;="&amp;X$9,операции!$X:$X,"",операции!$L:$L,AA$9,операции!$O:$O,$F1200)+SUMIFS(операции!$V:$V,операции!$T:$T,"&lt;="&amp;X$9,операции!$X:$X,"&gt;"&amp;X$9,операции!$L:$L,AA$9,операции!$O:$O,$F1200)</f>
        <v>23454.15</v>
      </c>
      <c r="AB1256" s="264"/>
      <c r="AC1256" s="92"/>
      <c r="AD1256" s="92"/>
      <c r="AE1256" s="92"/>
      <c r="AF1256" s="92"/>
      <c r="AG1256" s="92"/>
      <c r="AH1256" s="92"/>
      <c r="AI1256" s="92"/>
      <c r="AJ1256" s="92"/>
      <c r="AK1256" s="92"/>
      <c r="AL1256" s="92"/>
      <c r="AM1256" s="92"/>
      <c r="AN1256" s="92"/>
      <c r="AO1256" s="92"/>
      <c r="AP1256" s="92"/>
    </row>
    <row r="1257" spans="1:42" s="192" customFormat="1" ht="11.25">
      <c r="A1257" s="37"/>
      <c r="B1257" s="37"/>
      <c r="C1257" s="37"/>
      <c r="D1257" s="191" t="s">
        <v>255</v>
      </c>
      <c r="E1257" s="191"/>
      <c r="F1257" s="191" t="str">
        <f t="shared" si="2120"/>
        <v>КлиматКо</v>
      </c>
      <c r="G1257" s="191" t="s">
        <v>262</v>
      </c>
      <c r="H1257" s="315"/>
      <c r="I1257" s="316">
        <f>IF(I1256=0,0,(SUMIFS(операции!$AF:$AF,операции!$T:$T,"&lt;="&amp;I$9,операции!$X:$X,"",операции!$O:$O,$F1200)+SUMIFS(операции!$AF:$AF,операции!$T:$T,"&lt;="&amp;I$9,операции!$X:$X,"&gt;"&amp;I$9,операции!$O:$O,$F1200))/I1256)</f>
        <v>42304.09198977732</v>
      </c>
      <c r="J1257" s="317"/>
      <c r="K1257" s="316">
        <f>IF(K1256=0,0,(SUMIFS(операции!$AF:$AF,операции!$T:$T,"&lt;="&amp;I$9,операции!$X:$X,"",операции!$L:$L,K$9,операции!$O:$O,$F1200)+SUMIFS(операции!$AF:$AF,операции!$T:$T,"&lt;="&amp;I$9,операции!$X:$X,"&gt;"&amp;I$9,операции!$L:$L,K$9,операции!$O:$O,$F1200))/K1256)</f>
        <v>42254.099626817275</v>
      </c>
      <c r="L1257" s="318">
        <f>IF(L1256=0,0,(SUMIFS(операции!$AF:$AF,операции!$T:$T,"&lt;="&amp;I$9,операции!$X:$X,"",операции!$L:$L,L$9,операции!$O:$O,$F1200)+SUMIFS(операции!$AF:$AF,операции!$T:$T,"&lt;="&amp;I$9,операции!$X:$X,"&gt;"&amp;I$9,операции!$L:$L,L$9,операции!$O:$O,$F1200))/L1256)</f>
        <v>42362.756461010096</v>
      </c>
      <c r="M1257" s="274"/>
      <c r="N1257" s="193">
        <f>IF(N1256=0,0,(SUMIFS(операции!$AF:$AF,операции!$T:$T,"&lt;="&amp;N$9,операции!$X:$X,"",операции!$O:$O,$F1200)+SUMIFS(операции!$AF:$AF,операции!$T:$T,"&lt;="&amp;N$9,операции!$X:$X,"&gt;"&amp;N$9,операции!$O:$O,$F1200))/N1256)</f>
        <v>42242.233458891526</v>
      </c>
      <c r="O1257" s="196"/>
      <c r="P1257" s="193">
        <f>IF(P1256=0,0,(SUMIFS(операции!$AF:$AF,операции!$T:$T,"&lt;="&amp;N$9,операции!$X:$X,"",операции!$L:$L,P$9,операции!$O:$O,$F1200)+SUMIFS(операции!$AF:$AF,операции!$T:$T,"&lt;="&amp;N$9,операции!$X:$X,"&gt;"&amp;N$9,операции!$L:$L,P$9,операции!$O:$O,$F1200))/P1256)</f>
        <v>42242.233458891526</v>
      </c>
      <c r="Q1257" s="237">
        <f>IF(Q1256=0,0,(SUMIFS(операции!$AF:$AF,операции!$T:$T,"&lt;="&amp;N$9,операции!$X:$X,"",операции!$L:$L,Q$9,операции!$O:$O,$F1200)+SUMIFS(операции!$AF:$AF,операции!$T:$T,"&lt;="&amp;N$9,операции!$X:$X,"&gt;"&amp;N$9,операции!$L:$L,Q$9,операции!$O:$O,$F1200))/Q1256)</f>
        <v>0</v>
      </c>
      <c r="R1257" s="238"/>
      <c r="S1257" s="193">
        <f>IF(S1256=0,0,(SUMIFS(операции!$AF:$AF,операции!$T:$T,"&lt;="&amp;S$9,операции!$X:$X,"",операции!$O:$O,$F1200)+SUMIFS(операции!$AF:$AF,операции!$T:$T,"&lt;="&amp;S$9,операции!$X:$X,"&gt;"&amp;S$9,операции!$O:$O,$F1200))/S1256)</f>
        <v>42271.591258483422</v>
      </c>
      <c r="T1257" s="196"/>
      <c r="U1257" s="193">
        <f>IF(U1256=0,0,(SUMIFS(операции!$AF:$AF,операции!$T:$T,"&lt;="&amp;S$9,операции!$X:$X,"",операции!$L:$L,U$9,операции!$O:$O,$F1200)+SUMIFS(операции!$AF:$AF,операции!$T:$T,"&lt;="&amp;S$9,операции!$X:$X,"&gt;"&amp;S$9,операции!$L:$L,U$9,операции!$O:$O,$F1200))/U1256)</f>
        <v>42257.180934334508</v>
      </c>
      <c r="V1257" s="237">
        <f>IF(V1256=0,0,(SUMIFS(операции!$AF:$AF,операции!$T:$T,"&lt;="&amp;S$9,операции!$X:$X,"",операции!$L:$L,V$9,операции!$O:$O,$F1200)+SUMIFS(операции!$AF:$AF,операции!$T:$T,"&lt;="&amp;S$9,операции!$X:$X,"&gt;"&amp;S$9,операции!$L:$L,V$9,операции!$O:$O,$F1200))/V1256)</f>
        <v>42336</v>
      </c>
      <c r="W1257" s="238"/>
      <c r="X1257" s="193">
        <f>IF(X1256=0,0,(SUMIFS(операции!$AF:$AF,операции!$T:$T,"&lt;="&amp;X$9,операции!$X:$X,"",операции!$O:$O,$F1200)+SUMIFS(операции!$AF:$AF,операции!$T:$T,"&lt;="&amp;X$9,операции!$X:$X,"&gt;"&amp;X$9,операции!$O:$O,$F1200))/X1256)</f>
        <v>42304.09198977732</v>
      </c>
      <c r="Y1257" s="196"/>
      <c r="Z1257" s="193">
        <f>IF(Z1256=0,0,(SUMIFS(операции!$AF:$AF,операции!$T:$T,"&lt;="&amp;X$9,операции!$X:$X,"",операции!$L:$L,Z$9,операции!$O:$O,$F1200)+SUMIFS(операции!$AF:$AF,операции!$T:$T,"&lt;="&amp;X$9,операции!$X:$X,"&gt;"&amp;X$9,операции!$L:$L,Z$9,операции!$O:$O,$F1200))/Z1256)</f>
        <v>42254.099626817275</v>
      </c>
      <c r="AA1257" s="237">
        <f>IF(AA1256=0,0,(SUMIFS(операции!$AF:$AF,операции!$T:$T,"&lt;="&amp;X$9,операции!$X:$X,"",операции!$L:$L,AA$9,операции!$O:$O,$F1200)+SUMIFS(операции!$AF:$AF,операции!$T:$T,"&lt;="&amp;X$9,операции!$X:$X,"&gt;"&amp;X$9,операции!$L:$L,AA$9,операции!$O:$O,$F1200))/AA1256)</f>
        <v>42362.756461010096</v>
      </c>
      <c r="AB1257" s="265"/>
      <c r="AC1257" s="37"/>
      <c r="AD1257" s="37"/>
      <c r="AE1257" s="37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</row>
    <row r="1258" spans="1:42" s="50" customFormat="1" ht="11.25">
      <c r="A1258" s="48"/>
      <c r="B1258" s="48"/>
      <c r="C1258" s="48"/>
      <c r="D1258" s="154" t="s">
        <v>239</v>
      </c>
      <c r="E1258" s="154"/>
      <c r="F1258" s="154" t="str">
        <f t="shared" si="2120"/>
        <v>КлиматКо</v>
      </c>
      <c r="G1258" s="154" t="s">
        <v>219</v>
      </c>
      <c r="H1258" s="319"/>
      <c r="I1258" s="320">
        <f>IF(I1256=0,0,I$9-I1257)</f>
        <v>64.908010222679877</v>
      </c>
      <c r="J1258" s="321">
        <f>I1258-SUMIFS(ПОбТЗ!$I:$I,ПОбТЗ!$E:$E,$D1258,ПОбТЗ!$F:$F,$F1258)</f>
        <v>0</v>
      </c>
      <c r="K1258" s="320">
        <f>IF(K1256=0,0,I$9-K1257)</f>
        <v>114.90037318272516</v>
      </c>
      <c r="L1258" s="322">
        <f>IF(L1256=0,0,I$9-L1257)</f>
        <v>6.2435389899037546</v>
      </c>
      <c r="M1258" s="275"/>
      <c r="N1258" s="155">
        <f>IF(N1256=0,0,N$9-N1257)</f>
        <v>65.766541108474485</v>
      </c>
      <c r="O1258" s="173">
        <f>N1258-SUMIFS(ПОбТЗ_3!$J:$J,ПОбТЗ_3!$D:$D,$D1258,ПОбТЗ_3!$E:$E,$F1258)</f>
        <v>0</v>
      </c>
      <c r="P1258" s="155">
        <f>IF(P1256=0,0,N$9-P1257)</f>
        <v>65.766541108474485</v>
      </c>
      <c r="Q1258" s="239">
        <f>IF(Q1256=0,0,N$9-Q1257)</f>
        <v>0</v>
      </c>
      <c r="R1258" s="240"/>
      <c r="S1258" s="155">
        <f>IF(S1256=0,0,S$9-S1257)</f>
        <v>66.40874151657772</v>
      </c>
      <c r="T1258" s="173">
        <f>S1258-SUMIFS(ПОбТЗ_3!$K:$K,ПОбТЗ_3!$D:$D,$D1258,ПОбТЗ_3!$E:$E,$F1258)</f>
        <v>0</v>
      </c>
      <c r="U1258" s="155">
        <f>IF(U1256=0,0,S$9-U1257)</f>
        <v>80.819065665491507</v>
      </c>
      <c r="V1258" s="239">
        <f>IF(V1256=0,0,S$9-V1257)</f>
        <v>2</v>
      </c>
      <c r="W1258" s="240"/>
      <c r="X1258" s="155">
        <f>IF(X1256=0,0,X$9-X1257)</f>
        <v>64.908010222679877</v>
      </c>
      <c r="Y1258" s="173">
        <f>X1258-SUMIFS(ПОбТЗ_3!$L:$L,ПОбТЗ_3!$D:$D,$D1258,ПОбТЗ_3!$E:$E,$F1258)</f>
        <v>0</v>
      </c>
      <c r="Z1258" s="155">
        <f>IF(Z1256=0,0,X$9-Z1257)</f>
        <v>114.90037318272516</v>
      </c>
      <c r="AA1258" s="239">
        <f>IF(AA1256=0,0,X$9-AA1257)</f>
        <v>6.2435389899037546</v>
      </c>
      <c r="AB1258" s="230"/>
      <c r="AC1258" s="48"/>
      <c r="AD1258" s="48"/>
      <c r="AE1258" s="48"/>
      <c r="AF1258" s="48"/>
      <c r="AG1258" s="48"/>
      <c r="AH1258" s="48"/>
      <c r="AI1258" s="48"/>
      <c r="AJ1258" s="48"/>
      <c r="AK1258" s="48"/>
      <c r="AL1258" s="48"/>
      <c r="AM1258" s="48"/>
      <c r="AN1258" s="48"/>
      <c r="AO1258" s="48"/>
      <c r="AP1258" s="48"/>
    </row>
    <row r="1259" spans="1:42" s="93" customFormat="1" ht="15">
      <c r="A1259" s="92"/>
      <c r="B1259" s="92"/>
      <c r="C1259" s="92"/>
      <c r="D1259" s="198" t="s">
        <v>280</v>
      </c>
      <c r="E1259" s="198"/>
      <c r="F1259" s="198" t="str">
        <f t="shared" si="2120"/>
        <v>КлиматКо</v>
      </c>
      <c r="G1259" s="198" t="s">
        <v>219</v>
      </c>
      <c r="H1259" s="323"/>
      <c r="I1259" s="324">
        <f>IF(I1256=0,0,(I1261*I1265+I1267*I1271)/I1256)</f>
        <v>21.520817092304569</v>
      </c>
      <c r="J1259" s="321"/>
      <c r="K1259" s="324">
        <f>IF(K1256=0,0,(K1261*K1265+K1267*K1271)/K1256)</f>
        <v>34.539723014185952</v>
      </c>
      <c r="L1259" s="325">
        <f>IF(L1256=0,0,(L1261*L1265+L1267*L1271)/L1256)</f>
        <v>6.2435389899037546</v>
      </c>
      <c r="M1259" s="276"/>
      <c r="N1259" s="199">
        <f>IF(N1256=0,0,(N1261*N1265+N1267*N1271)/N1256)</f>
        <v>34.494542106695455</v>
      </c>
      <c r="O1259" s="173"/>
      <c r="P1259" s="199">
        <f>IF(P1256=0,0,(P1261*P1265+P1267*P1271)/P1256)</f>
        <v>34.494542106695455</v>
      </c>
      <c r="Q1259" s="241">
        <f>IF(Q1256=0,0,(Q1261*Q1265+Q1267*Q1271)/Q1256)</f>
        <v>0</v>
      </c>
      <c r="R1259" s="242"/>
      <c r="S1259" s="199">
        <f>IF(S1256=0,0,(S1261*S1265+S1267*S1271)/S1256)</f>
        <v>27.067021249278305</v>
      </c>
      <c r="T1259" s="173"/>
      <c r="U1259" s="199">
        <f>IF(U1256=0,0,(U1261*U1265+U1267*U1271)/U1256)</f>
        <v>32.675326785832993</v>
      </c>
      <c r="V1259" s="241">
        <f>IF(V1256=0,0,(V1261*V1265+V1267*V1271)/V1256)</f>
        <v>2</v>
      </c>
      <c r="W1259" s="242"/>
      <c r="X1259" s="199">
        <f>IF(X1256=0,0,(X1261*X1265+X1267*X1271)/X1256)</f>
        <v>21.520817092304569</v>
      </c>
      <c r="Y1259" s="173"/>
      <c r="Z1259" s="199">
        <f>IF(Z1256=0,0,(Z1261*Z1265+Z1267*Z1271)/Z1256)</f>
        <v>34.539723014185952</v>
      </c>
      <c r="AA1259" s="241">
        <f>IF(AA1256=0,0,(AA1261*AA1265+AA1267*AA1271)/AA1256)</f>
        <v>6.2435389899037546</v>
      </c>
      <c r="AB1259" s="264"/>
      <c r="AC1259" s="92"/>
      <c r="AD1259" s="92"/>
      <c r="AE1259" s="92"/>
      <c r="AF1259" s="92"/>
      <c r="AG1259" s="92"/>
      <c r="AH1259" s="92"/>
      <c r="AI1259" s="92"/>
      <c r="AJ1259" s="92"/>
      <c r="AK1259" s="92"/>
      <c r="AL1259" s="92"/>
      <c r="AM1259" s="92"/>
      <c r="AN1259" s="92"/>
      <c r="AO1259" s="92"/>
      <c r="AP1259" s="92"/>
    </row>
    <row r="1260" spans="1:42" s="50" customFormat="1" ht="11.25">
      <c r="A1260" s="48"/>
      <c r="B1260" s="48"/>
      <c r="C1260" s="48"/>
      <c r="D1260" s="154" t="s">
        <v>281</v>
      </c>
      <c r="E1260" s="154"/>
      <c r="F1260" s="154" t="str">
        <f t="shared" si="2120"/>
        <v>КлиматКо</v>
      </c>
      <c r="G1260" s="154" t="s">
        <v>219</v>
      </c>
      <c r="H1260" s="319"/>
      <c r="I1260" s="320">
        <f>I1258-I1259</f>
        <v>43.387193130375309</v>
      </c>
      <c r="J1260" s="321"/>
      <c r="K1260" s="320">
        <f>K1258-K1259</f>
        <v>80.360650168539209</v>
      </c>
      <c r="L1260" s="322">
        <f>L1258-L1259</f>
        <v>0</v>
      </c>
      <c r="M1260" s="275"/>
      <c r="N1260" s="155">
        <f>N1258-N1259</f>
        <v>31.271999001779029</v>
      </c>
      <c r="O1260" s="173"/>
      <c r="P1260" s="155">
        <f>P1258-P1259</f>
        <v>31.271999001779029</v>
      </c>
      <c r="Q1260" s="239">
        <f>Q1258-Q1259</f>
        <v>0</v>
      </c>
      <c r="R1260" s="240"/>
      <c r="S1260" s="155">
        <f>S1258-S1259</f>
        <v>39.341720267299415</v>
      </c>
      <c r="T1260" s="173"/>
      <c r="U1260" s="155">
        <f>U1258-U1259</f>
        <v>48.143738879658514</v>
      </c>
      <c r="V1260" s="239">
        <f>V1258-V1259</f>
        <v>0</v>
      </c>
      <c r="W1260" s="240"/>
      <c r="X1260" s="155">
        <f>X1258-X1259</f>
        <v>43.387193130375309</v>
      </c>
      <c r="Y1260" s="173"/>
      <c r="Z1260" s="155">
        <f>Z1258-Z1259</f>
        <v>80.360650168539209</v>
      </c>
      <c r="AA1260" s="239">
        <f>AA1258-AA1259</f>
        <v>0</v>
      </c>
      <c r="AB1260" s="230"/>
      <c r="AC1260" s="48"/>
      <c r="AD1260" s="48"/>
      <c r="AE1260" s="48"/>
      <c r="AF1260" s="48"/>
      <c r="AG1260" s="48"/>
      <c r="AH1260" s="48"/>
      <c r="AI1260" s="48"/>
      <c r="AJ1260" s="48"/>
      <c r="AK1260" s="48"/>
      <c r="AL1260" s="48"/>
      <c r="AM1260" s="48"/>
      <c r="AN1260" s="48"/>
      <c r="AO1260" s="48"/>
      <c r="AP1260" s="48"/>
    </row>
    <row r="1261" spans="1:42" s="5" customFormat="1">
      <c r="A1261" s="1"/>
      <c r="B1261" s="1"/>
      <c r="C1261" s="1"/>
      <c r="D1261" s="168"/>
      <c r="E1261" s="168" t="s">
        <v>282</v>
      </c>
      <c r="F1261" s="168" t="str">
        <f t="shared" si="2120"/>
        <v>КлиматКо</v>
      </c>
      <c r="G1261" s="168" t="s">
        <v>261</v>
      </c>
      <c r="H1261" s="326"/>
      <c r="I1261" s="327">
        <f>SUMIFS(операции!$V:$V,операции!$T:$T,"&lt;="&amp;I$9,операции!$X:$X,"",операции!$AB:$AB,"&lt;&gt;"&amp;"",операции!$AB:$AB,"&lt;="&amp;I$9,операции!$O:$O,$F1200)+SUMIFS(операции!$V:$V,операции!$T:$T,"&lt;="&amp;I$9,операции!$X:$X,"&gt;"&amp;I$9,операции!$AB:$AB,"&lt;&gt;"&amp;"",операции!$AB:$AB,"&lt;="&amp;I$9,операции!$O:$O,$F1200)</f>
        <v>24271.63</v>
      </c>
      <c r="J1261" s="313">
        <f>I1261-K1261-L1261</f>
        <v>0</v>
      </c>
      <c r="K1261" s="327">
        <f>SUMIFS(операции!$V:$V,операции!$T:$T,"&lt;="&amp;I$9,операции!$X:$X,"",операции!$AB:$AB,"&lt;&gt;"&amp;"",операции!$AB:$AB,"&lt;="&amp;I$9,операции!$L:$L,K$9,операции!$O:$O,$F1200)+SUMIFS(операции!$V:$V,операции!$T:$T,"&lt;="&amp;I$9,операции!$X:$X,"&gt;"&amp;I$9,операции!$AB:$AB,"&lt;&gt;"&amp;"",операции!$AB:$AB,"&lt;="&amp;I$9,операции!$L:$L,K$9,операции!$O:$O,$F1200)</f>
        <v>24271.63</v>
      </c>
      <c r="L1261" s="328">
        <f>SUMIFS(операции!$V:$V,операции!$T:$T,"&lt;="&amp;I$9,операции!$X:$X,"",операции!$AB:$AB,"&lt;&gt;"&amp;"",операции!$AB:$AB,"&lt;="&amp;I$9,операции!$L:$L,L$9,операции!$O:$O,$F1200)+SUMIFS(операции!$V:$V,операции!$T:$T,"&lt;="&amp;I$9,операции!$X:$X,"&gt;"&amp;I$9,операции!$AB:$AB,"&lt;&gt;"&amp;"",операции!$AB:$AB,"&lt;="&amp;I$9,операции!$L:$L,L$9,операции!$O:$O,$F1200)</f>
        <v>0</v>
      </c>
      <c r="M1261" s="277"/>
      <c r="N1261" s="169">
        <f>SUMIFS(операции!$V:$V,операции!$T:$T,"&lt;="&amp;N$9,операции!$X:$X,"",операции!$AB:$AB,"&lt;&gt;"&amp;"",операции!$AB:$AB,"&lt;="&amp;N$9,операции!$O:$O,$F1200)+SUMIFS(операции!$V:$V,операции!$T:$T,"&lt;="&amp;N$9,операции!$X:$X,"&gt;"&amp;N$9,операции!$AB:$AB,"&lt;&gt;"&amp;"",операции!$AB:$AB,"&lt;="&amp;N$9,операции!$O:$O,$F1200)</f>
        <v>40094.619999999995</v>
      </c>
      <c r="O1261" s="170">
        <f>N1261-P1261-Q1261</f>
        <v>0</v>
      </c>
      <c r="P1261" s="169">
        <f>SUMIFS(операции!$V:$V,операции!$T:$T,"&lt;="&amp;N$9,операции!$X:$X,"",операции!$AB:$AB,"&lt;&gt;"&amp;"",операции!$AB:$AB,"&lt;="&amp;N$9,операции!$L:$L,P$9,операции!$O:$O,$F1200)+SUMIFS(операции!$V:$V,операции!$T:$T,"&lt;="&amp;N$9,операции!$X:$X,"&gt;"&amp;N$9,операции!$AB:$AB,"&lt;&gt;"&amp;"",операции!$AB:$AB,"&lt;="&amp;N$9,операции!$L:$L,P$9,операции!$O:$O,$F1200)</f>
        <v>40094.619999999995</v>
      </c>
      <c r="Q1261" s="243">
        <f>SUMIFS(операции!$V:$V,операции!$T:$T,"&lt;="&amp;N$9,операции!$X:$X,"",операции!$AB:$AB,"&lt;&gt;"&amp;"",операции!$AB:$AB,"&lt;="&amp;N$9,операции!$L:$L,Q$9,операции!$O:$O,$F1200)+SUMIFS(операции!$V:$V,операции!$T:$T,"&lt;="&amp;N$9,операции!$X:$X,"&gt;"&amp;N$9,операции!$AB:$AB,"&lt;&gt;"&amp;"",операции!$AB:$AB,"&lt;="&amp;N$9,операции!$L:$L,Q$9,операции!$O:$O,$F1200)</f>
        <v>0</v>
      </c>
      <c r="R1261" s="244"/>
      <c r="S1261" s="169">
        <f>SUMIFS(операции!$V:$V,операции!$T:$T,"&lt;="&amp;S$9,операции!$X:$X,"",операции!$AB:$AB,"&lt;&gt;"&amp;"",операции!$AB:$AB,"&lt;="&amp;S$9,операции!$O:$O,$F1200)+SUMIFS(операции!$V:$V,операции!$T:$T,"&lt;="&amp;S$9,операции!$X:$X,"&gt;"&amp;S$9,операции!$AB:$AB,"&lt;&gt;"&amp;"",операции!$AB:$AB,"&lt;="&amp;S$9,операции!$O:$O,$F1200)</f>
        <v>32822.020000000004</v>
      </c>
      <c r="T1261" s="170">
        <f>S1261-U1261-V1261</f>
        <v>0</v>
      </c>
      <c r="U1261" s="169">
        <f>SUMIFS(операции!$V:$V,операции!$T:$T,"&lt;="&amp;S$9,операции!$X:$X,"",операции!$AB:$AB,"&lt;&gt;"&amp;"",операции!$AB:$AB,"&lt;="&amp;S$9,операции!$L:$L,U$9,операции!$O:$O,$F1200)+SUMIFS(операции!$V:$V,операции!$T:$T,"&lt;="&amp;S$9,операции!$X:$X,"&gt;"&amp;S$9,операции!$AB:$AB,"&lt;&gt;"&amp;"",операции!$AB:$AB,"&lt;="&amp;S$9,операции!$L:$L,U$9,операции!$O:$O,$F1200)</f>
        <v>32822.020000000004</v>
      </c>
      <c r="V1261" s="243">
        <f>SUMIFS(операции!$V:$V,операции!$T:$T,"&lt;="&amp;S$9,операции!$X:$X,"",операции!$AB:$AB,"&lt;&gt;"&amp;"",операции!$AB:$AB,"&lt;="&amp;S$9,операции!$L:$L,V$9,операции!$O:$O,$F1200)+SUMIFS(операции!$V:$V,операции!$T:$T,"&lt;="&amp;S$9,операции!$X:$X,"&gt;"&amp;S$9,операции!$AB:$AB,"&lt;&gt;"&amp;"",операции!$AB:$AB,"&lt;="&amp;S$9,операции!$L:$L,V$9,операции!$O:$O,$F1200)</f>
        <v>0</v>
      </c>
      <c r="W1261" s="244"/>
      <c r="X1261" s="169">
        <f>SUMIFS(операции!$V:$V,операции!$T:$T,"&lt;="&amp;X$9,операции!$X:$X,"",операции!$AB:$AB,"&lt;&gt;"&amp;"",операции!$AB:$AB,"&lt;="&amp;X$9,операции!$O:$O,$F1200)+SUMIFS(операции!$V:$V,операции!$T:$T,"&lt;="&amp;X$9,операции!$X:$X,"&gt;"&amp;X$9,операции!$AB:$AB,"&lt;&gt;"&amp;"",операции!$AB:$AB,"&lt;="&amp;X$9,операции!$O:$O,$F1200)</f>
        <v>24271.63</v>
      </c>
      <c r="Y1261" s="170">
        <f>X1261-Z1261-AA1261</f>
        <v>0</v>
      </c>
      <c r="Z1261" s="169">
        <f>SUMIFS(операции!$V:$V,операции!$T:$T,"&lt;="&amp;X$9,операции!$X:$X,"",операции!$AB:$AB,"&lt;&gt;"&amp;"",операции!$AB:$AB,"&lt;="&amp;X$9,операции!$L:$L,Z$9,операции!$O:$O,$F1200)+SUMIFS(операции!$V:$V,операции!$T:$T,"&lt;="&amp;X$9,операции!$X:$X,"&gt;"&amp;X$9,операции!$AB:$AB,"&lt;&gt;"&amp;"",операции!$AB:$AB,"&lt;="&amp;X$9,операции!$L:$L,Z$9,операции!$O:$O,$F1200)</f>
        <v>24271.63</v>
      </c>
      <c r="AA1261" s="243">
        <f>SUMIFS(операции!$V:$V,операции!$T:$T,"&lt;="&amp;X$9,операции!$X:$X,"",операции!$AB:$AB,"&lt;&gt;"&amp;"",операции!$AB:$AB,"&lt;="&amp;X$9,операции!$L:$L,AA$9,операции!$O:$O,$F1200)+SUMIFS(операции!$V:$V,операции!$T:$T,"&lt;="&amp;X$9,операции!$X:$X,"&gt;"&amp;X$9,операции!$AB:$AB,"&lt;&gt;"&amp;"",операции!$AB:$AB,"&lt;="&amp;X$9,операции!$L:$L,AA$9,операции!$O:$O,$F1200)</f>
        <v>0</v>
      </c>
      <c r="AB1261" s="266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</row>
    <row r="1262" spans="1:42" s="192" customFormat="1" ht="11.25">
      <c r="A1262" s="37"/>
      <c r="B1262" s="37"/>
      <c r="C1262" s="37"/>
      <c r="D1262" s="191"/>
      <c r="E1262" s="191" t="s">
        <v>255</v>
      </c>
      <c r="F1262" s="191" t="str">
        <f t="shared" si="2120"/>
        <v>КлиматКо</v>
      </c>
      <c r="G1262" s="191" t="s">
        <v>262</v>
      </c>
      <c r="H1262" s="315"/>
      <c r="I1262" s="316">
        <f>IF(I1261=0,0,(SUMIFS(операции!$AF:$AF,операции!$T:$T,"&lt;="&amp;I$9,операции!$X:$X,"",операции!$AB:$AB,"&lt;&gt;"&amp;"",операции!$AB:$AB,"&lt;="&amp;I$9,операции!$O:$O,$F1200)+SUMIFS(операции!$AF:$AF,операции!$T:$T,"&lt;="&amp;I$9,операции!$X:$X,"&gt;"&amp;I$9,операции!$AB:$AB,"&lt;&gt;"&amp;"",операции!$AB:$AB,"&lt;="&amp;I$9,операции!$O:$O,$F1200))/I1261)</f>
        <v>42248.621198493885</v>
      </c>
      <c r="J1262" s="317"/>
      <c r="K1262" s="316">
        <f>IF(K1261=0,0,(SUMIFS(операции!$AF:$AF,операции!$T:$T,"&lt;="&amp;I$9,операции!$X:$X,"",операции!$AB:$AB,"&lt;&gt;"&amp;"",операции!$AB:$AB,"&lt;="&amp;I$9,операции!$L:$L,K$9,операции!$O:$O,$F1200)+SUMIFS(операции!$AF:$AF,операции!$T:$T,"&lt;="&amp;I$9,операции!$X:$X,"&gt;"&amp;I$9,операции!$AB:$AB,"&lt;&gt;"&amp;"",операции!$AB:$AB,"&lt;="&amp;I$9,операции!$L:$L,K$9,операции!$O:$O,$F1200))/K1261)</f>
        <v>42248.621198493885</v>
      </c>
      <c r="L1262" s="318">
        <f>IF(L1261=0,0,(SUMIFS(операции!$AF:$AF,операции!$T:$T,"&lt;="&amp;I$9,операции!$X:$X,"",операции!$AB:$AB,"&lt;&gt;"&amp;"",операции!$AB:$AB,"&lt;="&amp;I$9,операции!$L:$L,L$9,операции!$O:$O,$F1200)+SUMIFS(операции!$AF:$AF,операции!$T:$T,"&lt;="&amp;I$9,операции!$X:$X,"&gt;"&amp;I$9,операции!$AB:$AB,"&lt;&gt;"&amp;"",операции!$AB:$AB,"&lt;="&amp;I$9,операции!$L:$L,L$9,операции!$O:$O,$F1200))/L1261)</f>
        <v>0</v>
      </c>
      <c r="M1262" s="274"/>
      <c r="N1262" s="193">
        <f>IF(N1261=0,0,(SUMIFS(операции!$AF:$AF,операции!$T:$T,"&lt;="&amp;N$9,операции!$X:$X,"",операции!$AB:$AB,"&lt;&gt;"&amp;"",операции!$AB:$AB,"&lt;="&amp;N$9,операции!$O:$O,$F1200)+SUMIFS(операции!$AF:$AF,операции!$T:$T,"&lt;="&amp;N$9,операции!$X:$X,"&gt;"&amp;N$9,операции!$AB:$AB,"&lt;&gt;"&amp;"",операции!$AB:$AB,"&lt;="&amp;N$9,операции!$O:$O,$F1200))/N1261)</f>
        <v>42236.170947623403</v>
      </c>
      <c r="O1262" s="196"/>
      <c r="P1262" s="193">
        <f>IF(P1261=0,0,(SUMIFS(операции!$AF:$AF,операции!$T:$T,"&lt;="&amp;N$9,операции!$X:$X,"",операции!$AB:$AB,"&lt;&gt;"&amp;"",операции!$AB:$AB,"&lt;="&amp;N$9,операции!$L:$L,P$9,операции!$O:$O,$F1200)+SUMIFS(операции!$AF:$AF,операции!$T:$T,"&lt;="&amp;N$9,операции!$X:$X,"&gt;"&amp;N$9,операции!$AB:$AB,"&lt;&gt;"&amp;"",операции!$AB:$AB,"&lt;="&amp;N$9,операции!$L:$L,P$9,операции!$O:$O,$F1200))/P1261)</f>
        <v>42236.170947623403</v>
      </c>
      <c r="Q1262" s="237">
        <f>IF(Q1261=0,0,(SUMIFS(операции!$AF:$AF,операции!$T:$T,"&lt;="&amp;N$9,операции!$X:$X,"",операции!$AB:$AB,"&lt;&gt;"&amp;"",операции!$AB:$AB,"&lt;="&amp;N$9,операции!$L:$L,Q$9,операции!$O:$O,$F1200)+SUMIFS(операции!$AF:$AF,операции!$T:$T,"&lt;="&amp;N$9,операции!$X:$X,"&gt;"&amp;N$9,операции!$AB:$AB,"&lt;&gt;"&amp;"",операции!$AB:$AB,"&lt;="&amp;N$9,операции!$L:$L,Q$9,операции!$O:$O,$F1200))/Q1261)</f>
        <v>0</v>
      </c>
      <c r="R1262" s="238"/>
      <c r="S1262" s="193">
        <f>IF(S1261=0,0,(SUMIFS(операции!$AF:$AF,операции!$T:$T,"&lt;="&amp;S$9,операции!$X:$X,"",операции!$AB:$AB,"&lt;&gt;"&amp;"",операции!$AB:$AB,"&lt;="&amp;S$9,операции!$O:$O,$F1200)+SUMIFS(операции!$AF:$AF,операции!$T:$T,"&lt;="&amp;S$9,операции!$X:$X,"&gt;"&amp;S$9,операции!$AB:$AB,"&lt;&gt;"&amp;"",операции!$AB:$AB,"&lt;="&amp;S$9,операции!$O:$O,$F1200))/S1261)</f>
        <v>42245.646683842126</v>
      </c>
      <c r="T1262" s="196"/>
      <c r="U1262" s="193">
        <f>IF(U1261=0,0,(SUMIFS(операции!$AF:$AF,операции!$T:$T,"&lt;="&amp;S$9,операции!$X:$X,"",операции!$AB:$AB,"&lt;&gt;"&amp;"",операции!$AB:$AB,"&lt;="&amp;S$9,операции!$L:$L,U$9,операции!$O:$O,$F1200)+SUMIFS(операции!$AF:$AF,операции!$T:$T,"&lt;="&amp;S$9,операции!$X:$X,"&gt;"&amp;S$9,операции!$AB:$AB,"&lt;&gt;"&amp;"",операции!$AB:$AB,"&lt;="&amp;S$9,операции!$L:$L,U$9,операции!$O:$O,$F1200))/U1261)</f>
        <v>42245.646683842126</v>
      </c>
      <c r="V1262" s="237">
        <f>IF(V1261=0,0,(SUMIFS(операции!$AF:$AF,операции!$T:$T,"&lt;="&amp;S$9,операции!$X:$X,"",операции!$AB:$AB,"&lt;&gt;"&amp;"",операции!$AB:$AB,"&lt;="&amp;S$9,операции!$L:$L,V$9,операции!$O:$O,$F1200)+SUMIFS(операции!$AF:$AF,операции!$T:$T,"&lt;="&amp;S$9,операции!$X:$X,"&gt;"&amp;S$9,операции!$AB:$AB,"&lt;&gt;"&amp;"",операции!$AB:$AB,"&lt;="&amp;S$9,операции!$L:$L,V$9,операции!$O:$O,$F1200))/V1261)</f>
        <v>0</v>
      </c>
      <c r="W1262" s="238"/>
      <c r="X1262" s="193">
        <f>IF(X1261=0,0,(SUMIFS(операции!$AF:$AF,операции!$T:$T,"&lt;="&amp;X$9,операции!$X:$X,"",операции!$AB:$AB,"&lt;&gt;"&amp;"",операции!$AB:$AB,"&lt;="&amp;X$9,операции!$O:$O,$F1200)+SUMIFS(операции!$AF:$AF,операции!$T:$T,"&lt;="&amp;X$9,операции!$X:$X,"&gt;"&amp;X$9,операции!$AB:$AB,"&lt;&gt;"&amp;"",операции!$AB:$AB,"&lt;="&amp;X$9,операции!$O:$O,$F1200))/X1261)</f>
        <v>42248.621198493885</v>
      </c>
      <c r="Y1262" s="196"/>
      <c r="Z1262" s="193">
        <f>IF(Z1261=0,0,(SUMIFS(операции!$AF:$AF,операции!$T:$T,"&lt;="&amp;X$9,операции!$X:$X,"",операции!$AB:$AB,"&lt;&gt;"&amp;"",операции!$AB:$AB,"&lt;="&amp;X$9,операции!$L:$L,Z$9,операции!$O:$O,$F1200)+SUMIFS(операции!$AF:$AF,операции!$T:$T,"&lt;="&amp;X$9,операции!$X:$X,"&gt;"&amp;X$9,операции!$AB:$AB,"&lt;&gt;"&amp;"",операции!$AB:$AB,"&lt;="&amp;X$9,операции!$L:$L,Z$9,операции!$O:$O,$F1200))/Z1261)</f>
        <v>42248.621198493885</v>
      </c>
      <c r="AA1262" s="237">
        <f>IF(AA1261=0,0,(SUMIFS(операции!$AF:$AF,операции!$T:$T,"&lt;="&amp;X$9,операции!$X:$X,"",операции!$AB:$AB,"&lt;&gt;"&amp;"",операции!$AB:$AB,"&lt;="&amp;X$9,операции!$L:$L,AA$9,операции!$O:$O,$F1200)+SUMIFS(операции!$AF:$AF,операции!$T:$T,"&lt;="&amp;X$9,операции!$X:$X,"&gt;"&amp;X$9,операции!$AB:$AB,"&lt;&gt;"&amp;"",операции!$AB:$AB,"&lt;="&amp;X$9,операции!$L:$L,AA$9,операции!$O:$O,$F1200))/AA1261)</f>
        <v>0</v>
      </c>
      <c r="AB1262" s="265"/>
      <c r="AC1262" s="37"/>
      <c r="AD1262" s="37"/>
      <c r="AE1262" s="37"/>
      <c r="AF1262" s="37"/>
      <c r="AG1262" s="37"/>
      <c r="AH1262" s="37"/>
      <c r="AI1262" s="37"/>
      <c r="AJ1262" s="37"/>
      <c r="AK1262" s="37"/>
      <c r="AL1262" s="37"/>
      <c r="AM1262" s="37"/>
      <c r="AN1262" s="37"/>
      <c r="AO1262" s="37"/>
      <c r="AP1262" s="37"/>
    </row>
    <row r="1263" spans="1:42" s="192" customFormat="1" ht="11.25">
      <c r="A1263" s="37"/>
      <c r="B1263" s="37"/>
      <c r="C1263" s="37"/>
      <c r="D1263" s="191"/>
      <c r="E1263" s="191" t="s">
        <v>283</v>
      </c>
      <c r="F1263" s="191" t="str">
        <f t="shared" si="2120"/>
        <v>КлиматКо</v>
      </c>
      <c r="G1263" s="191" t="s">
        <v>219</v>
      </c>
      <c r="H1263" s="315"/>
      <c r="I1263" s="329">
        <f>IF(I1261=0,0,I$9-I1262)</f>
        <v>120.37880150611454</v>
      </c>
      <c r="J1263" s="317"/>
      <c r="K1263" s="329">
        <f>IF(K1261=0,0,I$9-K1262)</f>
        <v>120.37880150611454</v>
      </c>
      <c r="L1263" s="330">
        <f>IF(L1261=0,0,I$9-L1262)</f>
        <v>0</v>
      </c>
      <c r="M1263" s="274"/>
      <c r="N1263" s="156">
        <f>IF(N1261=0,0,N$9-N1262)</f>
        <v>71.829052376597247</v>
      </c>
      <c r="O1263" s="196"/>
      <c r="P1263" s="156">
        <f>IF(P1261=0,0,N$9-P1262)</f>
        <v>71.829052376597247</v>
      </c>
      <c r="Q1263" s="245">
        <f>IF(Q1261=0,0,N$9-Q1262)</f>
        <v>0</v>
      </c>
      <c r="R1263" s="238"/>
      <c r="S1263" s="156">
        <f>IF(S1261=0,0,S$9-S1262)</f>
        <v>92.35331615787436</v>
      </c>
      <c r="T1263" s="196"/>
      <c r="U1263" s="156">
        <f>IF(U1261=0,0,S$9-U1262)</f>
        <v>92.35331615787436</v>
      </c>
      <c r="V1263" s="245">
        <f>IF(V1261=0,0,S$9-V1262)</f>
        <v>0</v>
      </c>
      <c r="W1263" s="238"/>
      <c r="X1263" s="156">
        <f>IF(X1261=0,0,X$9-X1262)</f>
        <v>120.37880150611454</v>
      </c>
      <c r="Y1263" s="196"/>
      <c r="Z1263" s="156">
        <f>IF(Z1261=0,0,X$9-Z1262)</f>
        <v>120.37880150611454</v>
      </c>
      <c r="AA1263" s="245">
        <f>IF(AA1261=0,0,X$9-AA1262)</f>
        <v>0</v>
      </c>
      <c r="AB1263" s="265"/>
      <c r="AC1263" s="37"/>
      <c r="AD1263" s="37"/>
      <c r="AE1263" s="37"/>
      <c r="AF1263" s="37"/>
      <c r="AG1263" s="37"/>
      <c r="AH1263" s="37"/>
      <c r="AI1263" s="37"/>
      <c r="AJ1263" s="37"/>
      <c r="AK1263" s="37"/>
      <c r="AL1263" s="37"/>
      <c r="AM1263" s="37"/>
      <c r="AN1263" s="37"/>
      <c r="AO1263" s="37"/>
      <c r="AP1263" s="37"/>
    </row>
    <row r="1264" spans="1:42" s="192" customFormat="1" ht="11.25">
      <c r="A1264" s="37"/>
      <c r="B1264" s="37"/>
      <c r="C1264" s="37"/>
      <c r="D1264" s="191"/>
      <c r="E1264" s="191" t="s">
        <v>259</v>
      </c>
      <c r="F1264" s="191" t="str">
        <f t="shared" si="2120"/>
        <v>КлиматКо</v>
      </c>
      <c r="G1264" s="191" t="s">
        <v>262</v>
      </c>
      <c r="H1264" s="315"/>
      <c r="I1264" s="316">
        <f>IF(I1261=0,0,(SUMIFS(операции!$AH:$AH,операции!$T:$T,"&lt;="&amp;I$9,операции!$X:$X,"",операции!$AB:$AB,"&lt;&gt;"&amp;"",операции!$AB:$AB,"&lt;="&amp;I$9,операции!$O:$O,$F1200)+SUMIFS(операции!$AH:$AH,операции!$T:$T,"&lt;="&amp;I$9,операции!$X:$X,"&gt;"&amp;I$9,операции!$AB:$AB,"&lt;&gt;"&amp;"",операции!$AB:$AB,"&lt;="&amp;I$9,операции!$O:$O,$F1200))/I1261)</f>
        <v>42277.875387849926</v>
      </c>
      <c r="J1264" s="317"/>
      <c r="K1264" s="316">
        <f>IF(K1261=0,0,(SUMIFS(операции!$AH:$AH,операции!$T:$T,"&lt;="&amp;I$9,операции!$X:$X,"",операции!$AB:$AB,"&lt;&gt;"&amp;"",операции!$AB:$AB,"&lt;="&amp;I$9,операции!$L:$L,K$9,операции!$O:$O,$F1200)+SUMIFS(операции!$AH:$AH,операции!$T:$T,"&lt;="&amp;I$9,операции!$X:$X,"&gt;"&amp;I$9,операции!$AB:$AB,"&lt;&gt;"&amp;"",операции!$AB:$AB,"&lt;="&amp;I$9,операции!$L:$L,K$9,операции!$O:$O,$F1200))/K1261)</f>
        <v>42277.875387849926</v>
      </c>
      <c r="L1264" s="318">
        <f>IF(L1261=0,0,(SUMIFS(операции!$AH:$AH,операции!$T:$T,"&lt;="&amp;I$9,операции!$X:$X,"",операции!$AB:$AB,"&lt;&gt;"&amp;"",операции!$AB:$AB,"&lt;="&amp;I$9,операции!$L:$L,L$9,операции!$O:$O,$F1200)+SUMIFS(операции!$AH:$AH,операции!$T:$T,"&lt;="&amp;I$9,операции!$X:$X,"&gt;"&amp;I$9,операции!$AB:$AB,"&lt;&gt;"&amp;"",операции!$AB:$AB,"&lt;="&amp;I$9,операции!$L:$L,L$9,операции!$O:$O,$F1200))/L1261)</f>
        <v>0</v>
      </c>
      <c r="M1264" s="274"/>
      <c r="N1264" s="193">
        <f>IF(N1261=0,0,(SUMIFS(операции!$AH:$AH,операции!$T:$T,"&lt;="&amp;N$9,операции!$X:$X,"",операции!$AB:$AB,"&lt;&gt;"&amp;"",операции!$AB:$AB,"&lt;="&amp;N$9,операции!$O:$O,$F1200)+SUMIFS(операции!$AH:$AH,операции!$T:$T,"&lt;="&amp;N$9,операции!$X:$X,"&gt;"&amp;N$9,операции!$AB:$AB,"&lt;&gt;"&amp;"",операции!$AB:$AB,"&lt;="&amp;N$9,операции!$O:$O,$F1200))/N1261)</f>
        <v>42268.682812058083</v>
      </c>
      <c r="O1264" s="196"/>
      <c r="P1264" s="193">
        <f>IF(P1261=0,0,(SUMIFS(операции!$AH:$AH,операции!$T:$T,"&lt;="&amp;N$9,операции!$X:$X,"",операции!$AB:$AB,"&lt;&gt;"&amp;"",операции!$AB:$AB,"&lt;="&amp;N$9,операции!$L:$L,P$9,операции!$O:$O,$F1200)+SUMIFS(операции!$AH:$AH,операции!$T:$T,"&lt;="&amp;N$9,операции!$X:$X,"&gt;"&amp;N$9,операции!$AB:$AB,"&lt;&gt;"&amp;"",операции!$AB:$AB,"&lt;="&amp;N$9,операции!$L:$L,P$9,операции!$O:$O,$F1200))/P1261)</f>
        <v>42268.682812058083</v>
      </c>
      <c r="Q1264" s="237">
        <f>IF(Q1261=0,0,(SUMIFS(операции!$AH:$AH,операции!$T:$T,"&lt;="&amp;N$9,операции!$X:$X,"",операции!$AB:$AB,"&lt;&gt;"&amp;"",операции!$AB:$AB,"&lt;="&amp;N$9,операции!$L:$L,Q$9,операции!$O:$O,$F1200)+SUMIFS(операции!$AH:$AH,операции!$T:$T,"&lt;="&amp;N$9,операции!$X:$X,"&gt;"&amp;N$9,операции!$AB:$AB,"&lt;&gt;"&amp;"",операции!$AB:$AB,"&lt;="&amp;N$9,операции!$L:$L,Q$9,операции!$O:$O,$F1200))/Q1261)</f>
        <v>0</v>
      </c>
      <c r="R1264" s="238"/>
      <c r="S1264" s="193">
        <f>IF(S1261=0,0,(SUMIFS(операции!$AH:$AH,операции!$T:$T,"&lt;="&amp;S$9,операции!$X:$X,"",операции!$AB:$AB,"&lt;&gt;"&amp;"",операции!$AB:$AB,"&lt;="&amp;S$9,операции!$O:$O,$F1200)+SUMIFS(операции!$AH:$AH,операции!$T:$T,"&lt;="&amp;S$9,операции!$X:$X,"&gt;"&amp;S$9,операции!$AB:$AB,"&lt;&gt;"&amp;"",операции!$AB:$AB,"&lt;="&amp;S$9,операции!$O:$O,$F1200))/S1261)</f>
        <v>42278.247704132773</v>
      </c>
      <c r="T1264" s="196"/>
      <c r="U1264" s="193">
        <f>IF(U1261=0,0,(SUMIFS(операции!$AH:$AH,операции!$T:$T,"&lt;="&amp;S$9,операции!$X:$X,"",операции!$AB:$AB,"&lt;&gt;"&amp;"",операции!$AB:$AB,"&lt;="&amp;S$9,операции!$L:$L,U$9,операции!$O:$O,$F1200)+SUMIFS(операции!$AH:$AH,операции!$T:$T,"&lt;="&amp;S$9,операции!$X:$X,"&gt;"&amp;S$9,операции!$AB:$AB,"&lt;&gt;"&amp;"",операции!$AB:$AB,"&lt;="&amp;S$9,операции!$L:$L,U$9,операции!$O:$O,$F1200))/U1261)</f>
        <v>42278.247704132773</v>
      </c>
      <c r="V1264" s="237">
        <f>IF(V1261=0,0,(SUMIFS(операции!$AH:$AH,операции!$T:$T,"&lt;="&amp;S$9,операции!$X:$X,"",операции!$AB:$AB,"&lt;&gt;"&amp;"",операции!$AB:$AB,"&lt;="&amp;S$9,операции!$L:$L,V$9,операции!$O:$O,$F1200)+SUMIFS(операции!$AH:$AH,операции!$T:$T,"&lt;="&amp;S$9,операции!$X:$X,"&gt;"&amp;S$9,операции!$AB:$AB,"&lt;&gt;"&amp;"",операции!$AB:$AB,"&lt;="&amp;S$9,операции!$L:$L,V$9,операции!$O:$O,$F1200))/V1261)</f>
        <v>0</v>
      </c>
      <c r="W1264" s="238"/>
      <c r="X1264" s="193">
        <f>IF(X1261=0,0,(SUMIFS(операции!$AH:$AH,операции!$T:$T,"&lt;="&amp;X$9,операции!$X:$X,"",операции!$AB:$AB,"&lt;&gt;"&amp;"",операции!$AB:$AB,"&lt;="&amp;X$9,операции!$O:$O,$F1200)+SUMIFS(операции!$AH:$AH,операции!$T:$T,"&lt;="&amp;X$9,операции!$X:$X,"&gt;"&amp;X$9,операции!$AB:$AB,"&lt;&gt;"&amp;"",операции!$AB:$AB,"&lt;="&amp;X$9,операции!$O:$O,$F1200))/X1261)</f>
        <v>42277.875387849926</v>
      </c>
      <c r="Y1264" s="196"/>
      <c r="Z1264" s="193">
        <f>IF(Z1261=0,0,(SUMIFS(операции!$AH:$AH,операции!$T:$T,"&lt;="&amp;X$9,операции!$X:$X,"",операции!$AB:$AB,"&lt;&gt;"&amp;"",операции!$AB:$AB,"&lt;="&amp;X$9,операции!$L:$L,Z$9,операции!$O:$O,$F1200)+SUMIFS(операции!$AH:$AH,операции!$T:$T,"&lt;="&amp;X$9,операции!$X:$X,"&gt;"&amp;X$9,операции!$AB:$AB,"&lt;&gt;"&amp;"",операции!$AB:$AB,"&lt;="&amp;X$9,операции!$L:$L,Z$9,операции!$O:$O,$F1200))/Z1261)</f>
        <v>42277.875387849926</v>
      </c>
      <c r="AA1264" s="237">
        <f>IF(AA1261=0,0,(SUMIFS(операции!$AH:$AH,операции!$T:$T,"&lt;="&amp;X$9,операции!$X:$X,"",операции!$AB:$AB,"&lt;&gt;"&amp;"",операции!$AB:$AB,"&lt;="&amp;X$9,операции!$L:$L,AA$9,операции!$O:$O,$F1200)+SUMIFS(операции!$AH:$AH,операции!$T:$T,"&lt;="&amp;X$9,операции!$X:$X,"&gt;"&amp;X$9,операции!$AB:$AB,"&lt;&gt;"&amp;"",операции!$AB:$AB,"&lt;="&amp;X$9,операции!$L:$L,AA$9,операции!$O:$O,$F1200))/AA1261)</f>
        <v>0</v>
      </c>
      <c r="AB1264" s="265"/>
      <c r="AC1264" s="37"/>
      <c r="AD1264" s="37"/>
      <c r="AE1264" s="37"/>
      <c r="AF1264" s="37"/>
      <c r="AG1264" s="37"/>
      <c r="AH1264" s="37"/>
      <c r="AI1264" s="37"/>
      <c r="AJ1264" s="37"/>
      <c r="AK1264" s="37"/>
      <c r="AL1264" s="37"/>
      <c r="AM1264" s="37"/>
      <c r="AN1264" s="37"/>
      <c r="AO1264" s="37"/>
      <c r="AP1264" s="37"/>
    </row>
    <row r="1265" spans="1:42" s="192" customFormat="1" ht="11.25">
      <c r="A1265" s="37"/>
      <c r="B1265" s="37"/>
      <c r="C1265" s="37"/>
      <c r="D1265" s="191"/>
      <c r="E1265" s="191" t="s">
        <v>284</v>
      </c>
      <c r="F1265" s="191" t="str">
        <f t="shared" si="2120"/>
        <v>КлиматКо</v>
      </c>
      <c r="G1265" s="191" t="s">
        <v>219</v>
      </c>
      <c r="H1265" s="315"/>
      <c r="I1265" s="329">
        <f>I1264-I1262</f>
        <v>29.254189356041024</v>
      </c>
      <c r="J1265" s="317"/>
      <c r="K1265" s="329">
        <f>K1264-K1262</f>
        <v>29.254189356041024</v>
      </c>
      <c r="L1265" s="330">
        <f>L1264-L1262</f>
        <v>0</v>
      </c>
      <c r="M1265" s="274"/>
      <c r="N1265" s="156">
        <f>N1264-N1262</f>
        <v>32.511864434680319</v>
      </c>
      <c r="O1265" s="196"/>
      <c r="P1265" s="156">
        <f>P1264-P1262</f>
        <v>32.511864434680319</v>
      </c>
      <c r="Q1265" s="245">
        <f>Q1264-Q1262</f>
        <v>0</v>
      </c>
      <c r="R1265" s="238"/>
      <c r="S1265" s="156">
        <f>S1264-S1262</f>
        <v>32.601020290647284</v>
      </c>
      <c r="T1265" s="196"/>
      <c r="U1265" s="156">
        <f>U1264-U1262</f>
        <v>32.601020290647284</v>
      </c>
      <c r="V1265" s="245">
        <f>V1264-V1262</f>
        <v>0</v>
      </c>
      <c r="W1265" s="238"/>
      <c r="X1265" s="156">
        <f>X1264-X1262</f>
        <v>29.254189356041024</v>
      </c>
      <c r="Y1265" s="196"/>
      <c r="Z1265" s="156">
        <f>Z1264-Z1262</f>
        <v>29.254189356041024</v>
      </c>
      <c r="AA1265" s="245">
        <f>AA1264-AA1262</f>
        <v>0</v>
      </c>
      <c r="AB1265" s="265"/>
      <c r="AC1265" s="37"/>
      <c r="AD1265" s="37"/>
      <c r="AE1265" s="37"/>
      <c r="AF1265" s="37"/>
      <c r="AG1265" s="37"/>
      <c r="AH1265" s="37"/>
      <c r="AI1265" s="37"/>
      <c r="AJ1265" s="37"/>
      <c r="AK1265" s="37"/>
      <c r="AL1265" s="37"/>
      <c r="AM1265" s="37"/>
      <c r="AN1265" s="37"/>
      <c r="AO1265" s="37"/>
      <c r="AP1265" s="37"/>
    </row>
    <row r="1266" spans="1:42" s="192" customFormat="1" ht="11.25">
      <c r="A1266" s="37"/>
      <c r="B1266" s="37"/>
      <c r="C1266" s="37"/>
      <c r="D1266" s="191"/>
      <c r="E1266" s="191" t="s">
        <v>285</v>
      </c>
      <c r="F1266" s="191" t="str">
        <f t="shared" si="2120"/>
        <v>КлиматКо</v>
      </c>
      <c r="G1266" s="191" t="s">
        <v>219</v>
      </c>
      <c r="H1266" s="315"/>
      <c r="I1266" s="329">
        <f>I1263-I1265</f>
        <v>91.124612150073517</v>
      </c>
      <c r="J1266" s="317"/>
      <c r="K1266" s="329">
        <f>K1263-K1265</f>
        <v>91.124612150073517</v>
      </c>
      <c r="L1266" s="330">
        <f>L1263-L1265</f>
        <v>0</v>
      </c>
      <c r="M1266" s="274"/>
      <c r="N1266" s="156">
        <f>N1263-N1265</f>
        <v>39.317187941916927</v>
      </c>
      <c r="O1266" s="196"/>
      <c r="P1266" s="156">
        <f>P1263-P1265</f>
        <v>39.317187941916927</v>
      </c>
      <c r="Q1266" s="245">
        <f>Q1263-Q1265</f>
        <v>0</v>
      </c>
      <c r="R1266" s="238"/>
      <c r="S1266" s="156">
        <f>S1263-S1265</f>
        <v>59.752295867227076</v>
      </c>
      <c r="T1266" s="196"/>
      <c r="U1266" s="156">
        <f>U1263-U1265</f>
        <v>59.752295867227076</v>
      </c>
      <c r="V1266" s="245">
        <f>V1263-V1265</f>
        <v>0</v>
      </c>
      <c r="W1266" s="238"/>
      <c r="X1266" s="156">
        <f>X1263-X1265</f>
        <v>91.124612150073517</v>
      </c>
      <c r="Y1266" s="196"/>
      <c r="Z1266" s="156">
        <f>Z1263-Z1265</f>
        <v>91.124612150073517</v>
      </c>
      <c r="AA1266" s="245">
        <f>AA1263-AA1265</f>
        <v>0</v>
      </c>
      <c r="AB1266" s="265"/>
      <c r="AC1266" s="37"/>
      <c r="AD1266" s="37"/>
      <c r="AE1266" s="37"/>
      <c r="AF1266" s="37"/>
      <c r="AG1266" s="37"/>
      <c r="AH1266" s="37"/>
      <c r="AI1266" s="37"/>
      <c r="AJ1266" s="37"/>
      <c r="AK1266" s="37"/>
      <c r="AL1266" s="37"/>
      <c r="AM1266" s="37"/>
      <c r="AN1266" s="37"/>
      <c r="AO1266" s="37"/>
      <c r="AP1266" s="37"/>
    </row>
    <row r="1267" spans="1:42" s="5" customFormat="1">
      <c r="A1267" s="1"/>
      <c r="B1267" s="1"/>
      <c r="C1267" s="1"/>
      <c r="D1267" s="168"/>
      <c r="E1267" s="168" t="s">
        <v>286</v>
      </c>
      <c r="F1267" s="168" t="str">
        <f t="shared" si="2120"/>
        <v>КлиматКо</v>
      </c>
      <c r="G1267" s="168" t="s">
        <v>261</v>
      </c>
      <c r="H1267" s="326"/>
      <c r="I1267" s="327">
        <f>SUMIFS(операции!$V:$V,операции!$T:$T,"&lt;="&amp;I$9,операции!$X:$X,"",операции!$AB:$AB,"",операции!$O:$O,$F1200)+SUMIFS(операции!$V:$V,операции!$T:$T,"&lt;="&amp;I$9,операции!$X:$X,"&gt;"&amp;I$9,операции!$AB:$AB,"",операции!$O:$O,$F1200)+SUMIFS(операции!$V:$V,операции!$T:$T,"&lt;="&amp;I$9,операции!$X:$X,"",операции!$AB:$AB,"&gt;"&amp;I$9,операции!$O:$O,$F1200)+SUMIFS(операции!$V:$V,операции!$T:$T,"&lt;="&amp;I$9,операции!$X:$X,"&gt;"&amp;I$9,операции!$AB:$AB,"&gt;"&amp;I$9,операции!$O:$O,$F1200)</f>
        <v>26705.230000000003</v>
      </c>
      <c r="J1267" s="313">
        <f>I1267-K1267-L1267</f>
        <v>0</v>
      </c>
      <c r="K1267" s="327">
        <f>SUMIFS(операции!$V:$V,операции!$T:$T,"&lt;="&amp;I$9,операции!$X:$X,"",операции!$AB:$AB,"",операции!$L:$L,K$9,операции!$O:$O,$F1200)+SUMIFS(операции!$V:$V,операции!$T:$T,"&lt;="&amp;I$9,операции!$X:$X,"&gt;"&amp;I$9,операции!$AB:$AB,"",операции!$L:$L,K$9,операции!$O:$O,$F1200)+SUMIFS(операции!$V:$V,операции!$T:$T,"&lt;="&amp;I$9,операции!$X:$X,"",операции!$AB:$AB,"&gt;"&amp;I$9,операции!$L:$L,K$9,операции!$O:$O,$F1200)+SUMIFS(операции!$V:$V,операции!$T:$T,"&lt;="&amp;I$9,операции!$X:$X,"&gt;"&amp;I$9,операции!$AB:$AB,"&gt;"&amp;I$9,операции!$L:$L,K$9,операции!$O:$O,$F1200)</f>
        <v>3251.08</v>
      </c>
      <c r="L1267" s="328">
        <f>SUMIFS(операции!$V:$V,операции!$T:$T,"&lt;="&amp;I$9,операции!$X:$X,"",операции!$AB:$AB,"",операции!$L:$L,L$9,операции!$O:$O,$F1200)+SUMIFS(операции!$V:$V,операции!$T:$T,"&lt;="&amp;I$9,операции!$X:$X,"&gt;"&amp;I$9,операции!$AB:$AB,"",операции!$L:$L,L$9,операции!$O:$O,$F1200)+SUMIFS(операции!$V:$V,операции!$T:$T,"&lt;="&amp;I$9,операции!$X:$X,"",операции!$AB:$AB,"&gt;"&amp;I$9,операции!$L:$L,L$9,операции!$O:$O,$F1200)+SUMIFS(операции!$V:$V,операции!$T:$T,"&lt;="&amp;I$9,операции!$X:$X,"&gt;"&amp;I$9,операции!$AB:$AB,"&gt;"&amp;I$9,операции!$L:$L,L$9,операции!$O:$O,$F1200)</f>
        <v>23454.15</v>
      </c>
      <c r="M1267" s="277"/>
      <c r="N1267" s="169">
        <f>SUMIFS(операции!$V:$V,операции!$T:$T,"&lt;="&amp;N$9,операции!$X:$X,"",операции!$AB:$AB,"",операции!$O:$O,$F1200)+SUMIFS(операции!$V:$V,операции!$T:$T,"&lt;="&amp;N$9,операции!$X:$X,"&gt;"&amp;N$9,операции!$AB:$AB,"",операции!$O:$O,$F1200)+SUMIFS(операции!$V:$V,операции!$T:$T,"&lt;="&amp;N$9,операции!$X:$X,"",операции!$AB:$AB,"&gt;"&amp;N$9,операции!$O:$O,$F1200)+SUMIFS(операции!$V:$V,операции!$T:$T,"&lt;="&amp;N$9,операции!$X:$X,"&gt;"&amp;N$9,операции!$AB:$AB,"&gt;"&amp;N$9,операции!$O:$O,$F1200)</f>
        <v>10314.94</v>
      </c>
      <c r="O1267" s="170">
        <f>N1267-P1267-Q1267</f>
        <v>0</v>
      </c>
      <c r="P1267" s="169">
        <f>SUMIFS(операции!$V:$V,операции!$T:$T,"&lt;="&amp;N$9,операции!$X:$X,"",операции!$AB:$AB,"",операции!$L:$L,P$9,операции!$O:$O,$F1200)+SUMIFS(операции!$V:$V,операции!$T:$T,"&lt;="&amp;N$9,операции!$X:$X,"&gt;"&amp;N$9,операции!$AB:$AB,"",операции!$L:$L,P$9,операции!$O:$O,$F1200)+SUMIFS(операции!$V:$V,операции!$T:$T,"&lt;="&amp;N$9,операции!$X:$X,"",операции!$AB:$AB,"&gt;"&amp;N$9,операции!$L:$L,P$9,операции!$O:$O,$F1200)+SUMIFS(операции!$V:$V,операции!$T:$T,"&lt;="&amp;N$9,операции!$X:$X,"&gt;"&amp;N$9,операции!$AB:$AB,"&gt;"&amp;N$9,операции!$L:$L,P$9,операции!$O:$O,$F1200)</f>
        <v>10314.94</v>
      </c>
      <c r="Q1267" s="243">
        <f>SUMIFS(операции!$V:$V,операции!$T:$T,"&lt;="&amp;N$9,операции!$X:$X,"",операции!$AB:$AB,"",операции!$L:$L,Q$9,операции!$O:$O,$F1200)+SUMIFS(операции!$V:$V,операции!$T:$T,"&lt;="&amp;N$9,операции!$X:$X,"&gt;"&amp;N$9,операции!$AB:$AB,"",операции!$L:$L,Q$9,операции!$O:$O,$F1200)+SUMIFS(операции!$V:$V,операции!$T:$T,"&lt;="&amp;N$9,операции!$X:$X,"",операции!$AB:$AB,"&gt;"&amp;N$9,операции!$L:$L,Q$9,операции!$O:$O,$F1200)+SUMIFS(операции!$V:$V,операции!$T:$T,"&lt;="&amp;N$9,операции!$X:$X,"&gt;"&amp;N$9,операции!$AB:$AB,"&gt;"&amp;N$9,операции!$L:$L,Q$9,операции!$O:$O,$F1200)</f>
        <v>0</v>
      </c>
      <c r="R1267" s="244"/>
      <c r="S1267" s="169">
        <f>SUMIFS(операции!$V:$V,операции!$T:$T,"&lt;="&amp;S$9,операции!$X:$X,"",операции!$AB:$AB,"",операции!$O:$O,$F1200)+SUMIFS(операции!$V:$V,операции!$T:$T,"&lt;="&amp;S$9,операции!$X:$X,"&gt;"&amp;S$9,операции!$AB:$AB,"",операции!$O:$O,$F1200)+SUMIFS(операции!$V:$V,операции!$T:$T,"&lt;="&amp;S$9,операции!$X:$X,"",операции!$AB:$AB,"&gt;"&amp;S$9,операции!$O:$O,$F1200)+SUMIFS(операции!$V:$V,операции!$T:$T,"&lt;="&amp;S$9,операции!$X:$X,"&gt;"&amp;S$9,операции!$AB:$AB,"&gt;"&amp;S$9,операции!$O:$O,$F1200)</f>
        <v>17028.14</v>
      </c>
      <c r="T1267" s="170">
        <f>S1267-U1267-V1267</f>
        <v>0</v>
      </c>
      <c r="U1267" s="169">
        <f>SUMIFS(операции!$V:$V,операции!$T:$T,"&lt;="&amp;S$9,операции!$X:$X,"",операции!$AB:$AB,"",операции!$L:$L,U$9,операции!$O:$O,$F1200)+SUMIFS(операции!$V:$V,операции!$T:$T,"&lt;="&amp;S$9,операции!$X:$X,"&gt;"&amp;S$9,операции!$AB:$AB,"",операции!$L:$L,U$9,операции!$O:$O,$F1200)+SUMIFS(операции!$V:$V,операции!$T:$T,"&lt;="&amp;S$9,операции!$X:$X,"",операции!$AB:$AB,"&gt;"&amp;S$9,операции!$L:$L,U$9,операции!$O:$O,$F1200)+SUMIFS(операции!$V:$V,операции!$T:$T,"&lt;="&amp;S$9,операции!$X:$X,"&gt;"&amp;S$9,операции!$AB:$AB,"&gt;"&amp;S$9,операции!$L:$L,U$9,операции!$O:$O,$F1200)</f>
        <v>7914.14</v>
      </c>
      <c r="V1267" s="243">
        <f>SUMIFS(операции!$V:$V,операции!$T:$T,"&lt;="&amp;S$9,операции!$X:$X,"",операции!$AB:$AB,"",операции!$L:$L,V$9,операции!$O:$O,$F1200)+SUMIFS(операции!$V:$V,операции!$T:$T,"&lt;="&amp;S$9,операции!$X:$X,"&gt;"&amp;S$9,операции!$AB:$AB,"",операции!$L:$L,V$9,операции!$O:$O,$F1200)+SUMIFS(операции!$V:$V,операции!$T:$T,"&lt;="&amp;S$9,операции!$X:$X,"",операции!$AB:$AB,"&gt;"&amp;S$9,операции!$L:$L,V$9,операции!$O:$O,$F1200)+SUMIFS(операции!$V:$V,операции!$T:$T,"&lt;="&amp;S$9,операции!$X:$X,"&gt;"&amp;S$9,операции!$AB:$AB,"&gt;"&amp;S$9,операции!$L:$L,V$9,операции!$O:$O,$F1200)</f>
        <v>9114</v>
      </c>
      <c r="W1267" s="244"/>
      <c r="X1267" s="169">
        <f>SUMIFS(операции!$V:$V,операции!$T:$T,"&lt;="&amp;X$9,операции!$X:$X,"",операции!$AB:$AB,"",операции!$O:$O,$F1200)+SUMIFS(операции!$V:$V,операции!$T:$T,"&lt;="&amp;X$9,операции!$X:$X,"&gt;"&amp;X$9,операции!$AB:$AB,"",операции!$O:$O,$F1200)+SUMIFS(операции!$V:$V,операции!$T:$T,"&lt;="&amp;X$9,операции!$X:$X,"",операции!$AB:$AB,"&gt;"&amp;X$9,операции!$O:$O,$F1200)+SUMIFS(операции!$V:$V,операции!$T:$T,"&lt;="&amp;X$9,операции!$X:$X,"&gt;"&amp;X$9,операции!$AB:$AB,"&gt;"&amp;X$9,операции!$O:$O,$F1200)</f>
        <v>26705.230000000003</v>
      </c>
      <c r="Y1267" s="170">
        <f>X1267-Z1267-AA1267</f>
        <v>0</v>
      </c>
      <c r="Z1267" s="169">
        <f>SUMIFS(операции!$V:$V,операции!$T:$T,"&lt;="&amp;X$9,операции!$X:$X,"",операции!$AB:$AB,"",операции!$L:$L,Z$9,операции!$O:$O,$F1200)+SUMIFS(операции!$V:$V,операции!$T:$T,"&lt;="&amp;X$9,операции!$X:$X,"&gt;"&amp;X$9,операции!$AB:$AB,"",операции!$L:$L,Z$9,операции!$O:$O,$F1200)+SUMIFS(операции!$V:$V,операции!$T:$T,"&lt;="&amp;X$9,операции!$X:$X,"",операции!$AB:$AB,"&gt;"&amp;X$9,операции!$L:$L,Z$9,операции!$O:$O,$F1200)+SUMIFS(операции!$V:$V,операции!$T:$T,"&lt;="&amp;X$9,операции!$X:$X,"&gt;"&amp;X$9,операции!$AB:$AB,"&gt;"&amp;X$9,операции!$L:$L,Z$9,операции!$O:$O,$F1200)</f>
        <v>3251.08</v>
      </c>
      <c r="AA1267" s="243">
        <f>SUMIFS(операции!$V:$V,операции!$T:$T,"&lt;="&amp;X$9,операции!$X:$X,"",операции!$AB:$AB,"",операции!$L:$L,AA$9,операции!$O:$O,$F1200)+SUMIFS(операции!$V:$V,операции!$T:$T,"&lt;="&amp;X$9,операции!$X:$X,"&gt;"&amp;X$9,операции!$AB:$AB,"",операции!$L:$L,AA$9,операции!$O:$O,$F1200)+SUMIFS(операции!$V:$V,операции!$T:$T,"&lt;="&amp;X$9,операции!$X:$X,"",операции!$AB:$AB,"&gt;"&amp;X$9,операции!$L:$L,AA$9,операции!$O:$O,$F1200)+SUMIFS(операции!$V:$V,операции!$T:$T,"&lt;="&amp;X$9,операции!$X:$X,"&gt;"&amp;X$9,операции!$AB:$AB,"&gt;"&amp;X$9,операции!$L:$L,AA$9,операции!$O:$O,$F1200)</f>
        <v>23454.15</v>
      </c>
      <c r="AB1267" s="266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</row>
    <row r="1268" spans="1:42" s="192" customFormat="1" ht="11.25">
      <c r="A1268" s="37"/>
      <c r="B1268" s="37"/>
      <c r="C1268" s="37"/>
      <c r="D1268" s="191"/>
      <c r="E1268" s="191" t="s">
        <v>255</v>
      </c>
      <c r="F1268" s="191" t="str">
        <f t="shared" si="2120"/>
        <v>КлиматКо</v>
      </c>
      <c r="G1268" s="191" t="s">
        <v>262</v>
      </c>
      <c r="H1268" s="315"/>
      <c r="I1268" s="316">
        <f>IF(I1267=0,0,(SUMIFS(операции!$AF:$AF,операции!$T:$T,"&lt;="&amp;I$9,операции!$X:$X,"",операции!$AB:$AB,"",операции!$O:$O,$F1200)+SUMIFS(операции!$AF:$AF,операции!$T:$T,"&lt;="&amp;I$9,операции!$X:$X,"&gt;"&amp;I$9,операции!$AB:$AB,"",операции!$O:$O,$F1200)+SUMIFS(операции!$AF:$AF,операции!$T:$T,"&lt;="&amp;I$9,операции!$X:$X,"",операции!$AB:$AB,"&gt;"&amp;I$9,операции!$O:$O,$F1200)+SUMIFS(операции!$AF:$AF,операции!$T:$T,"&lt;="&amp;I$9,операции!$X:$X,"&gt;"&amp;I$9,операции!$AB:$AB,"&gt;"&amp;I$9,операции!$O:$O,$F1200))/I1267)</f>
        <v>42354.50782674404</v>
      </c>
      <c r="J1268" s="317"/>
      <c r="K1268" s="316">
        <f>IF(K1267=0,0,(SUMIFS(операции!$AF:$AF,операции!$T:$T,"&lt;="&amp;I$9,операции!$X:$X,"",операции!$AB:$AB,"",операции!$L:$L,K$9,операции!$O:$O,$F1200)+SUMIFS(операции!$AF:$AF,операции!$T:$T,"&lt;="&amp;I$9,операции!$X:$X,"&gt;"&amp;I$9,операции!$AB:$AB,"",операции!$L:$L,K$9,операции!$O:$O,$F1200)+SUMIFS(операции!$AF:$AF,операции!$T:$T,"&lt;="&amp;I$9,операции!$X:$X,"",операции!$AB:$AB,"&gt;"&amp;I$9,операции!$L:$L,K$9,операции!$O:$O,$F1200)+SUMIFS(операции!$AF:$AF,операции!$T:$T,"&lt;="&amp;I$9,операции!$X:$X,"&gt;"&amp;I$9,операции!$AB:$AB,"&gt;"&amp;I$9,операции!$L:$L,K$9,операции!$O:$O,$F1200))/K1267)</f>
        <v>42295</v>
      </c>
      <c r="L1268" s="318">
        <f>IF(L1267=0,0,(SUMIFS(операции!$AF:$AF,операции!$T:$T,"&lt;="&amp;I$9,операции!$X:$X,"",операции!$AB:$AB,"",операции!$L:$L,L$9,операции!$O:$O,$F1200)+SUMIFS(операции!$AF:$AF,операции!$T:$T,"&lt;="&amp;I$9,операции!$X:$X,"&gt;"&amp;I$9,операции!$AB:$AB,"",операции!$L:$L,L$9,операции!$O:$O,$F1200)+SUMIFS(операции!$AF:$AF,операции!$T:$T,"&lt;="&amp;I$9,операции!$X:$X,"",операции!$AB:$AB,"&gt;"&amp;I$9,операции!$L:$L,L$9,операции!$O:$O,$F1200)+SUMIFS(операции!$AF:$AF,операции!$T:$T,"&lt;="&amp;I$9,операции!$X:$X,"&gt;"&amp;I$9,операции!$AB:$AB,"&gt;"&amp;I$9,операции!$L:$L,L$9,операции!$O:$O,$F1200))/L1267)</f>
        <v>42362.756461010096</v>
      </c>
      <c r="M1268" s="274"/>
      <c r="N1268" s="193">
        <f>IF(N1267=0,0,(SUMIFS(операции!$AF:$AF,операции!$T:$T,"&lt;="&amp;N$9,операции!$X:$X,"",операции!$AB:$AB,"",операции!$O:$O,$F1200)+SUMIFS(операции!$AF:$AF,операции!$T:$T,"&lt;="&amp;N$9,операции!$X:$X,"&gt;"&amp;N$9,операции!$AB:$AB,"",операции!$O:$O,$F1200)+SUMIFS(операции!$AF:$AF,операции!$T:$T,"&lt;="&amp;N$9,операции!$X:$X,"",операции!$AB:$AB,"&gt;"&amp;N$9,операции!$O:$O,$F1200)+SUMIFS(операции!$AF:$AF,операции!$T:$T,"&lt;="&amp;N$9,операции!$X:$X,"&gt;"&amp;N$9,операции!$AB:$AB,"&gt;"&amp;N$9,операции!$O:$O,$F1200))/N1267)</f>
        <v>42265.798703627945</v>
      </c>
      <c r="O1268" s="196"/>
      <c r="P1268" s="193">
        <f>IF(P1267=0,0,(SUMIFS(операции!$AF:$AF,операции!$T:$T,"&lt;="&amp;N$9,операции!$X:$X,"",операции!$AB:$AB,"",операции!$L:$L,P$9,операции!$O:$O,$F1200)+SUMIFS(операции!$AF:$AF,операции!$T:$T,"&lt;="&amp;N$9,операции!$X:$X,"&gt;"&amp;N$9,операции!$AB:$AB,"",операции!$L:$L,P$9,операции!$O:$O,$F1200)+SUMIFS(операции!$AF:$AF,операции!$T:$T,"&lt;="&amp;N$9,операции!$X:$X,"",операции!$AB:$AB,"&gt;"&amp;N$9,операции!$L:$L,P$9,операции!$O:$O,$F1200)+SUMIFS(операции!$AF:$AF,операции!$T:$T,"&lt;="&amp;N$9,операции!$X:$X,"&gt;"&amp;N$9,операции!$AB:$AB,"&gt;"&amp;N$9,операции!$L:$L,P$9,операции!$O:$O,$F1200))/P1267)</f>
        <v>42265.798703627945</v>
      </c>
      <c r="Q1268" s="237">
        <f>IF(Q1267=0,0,(SUMIFS(операции!$AF:$AF,операции!$T:$T,"&lt;="&amp;N$9,операции!$X:$X,"",операции!$AB:$AB,"",операции!$L:$L,Q$9,операции!$O:$O,$F1200)+SUMIFS(операции!$AF:$AF,операции!$T:$T,"&lt;="&amp;N$9,операции!$X:$X,"&gt;"&amp;N$9,операции!$AB:$AB,"",операции!$L:$L,Q$9,операции!$O:$O,$F1200)+SUMIFS(операции!$AF:$AF,операции!$T:$T,"&lt;="&amp;N$9,операции!$X:$X,"",операции!$AB:$AB,"&gt;"&amp;N$9,операции!$L:$L,Q$9,операции!$O:$O,$F1200)+SUMIFS(операции!$AF:$AF,операции!$T:$T,"&lt;="&amp;N$9,операции!$X:$X,"&gt;"&amp;N$9,операции!$AB:$AB,"&gt;"&amp;N$9,операции!$L:$L,Q$9,операции!$O:$O,$F1200))/Q1267)</f>
        <v>0</v>
      </c>
      <c r="R1268" s="238"/>
      <c r="S1268" s="193">
        <f>IF(S1267=0,0,(SUMIFS(операции!$AF:$AF,операции!$T:$T,"&lt;="&amp;S$9,операции!$X:$X,"",операции!$AB:$AB,"",операции!$O:$O,$F1200)+SUMIFS(операции!$AF:$AF,операции!$T:$T,"&lt;="&amp;S$9,операции!$X:$X,"&gt;"&amp;S$9,операции!$AB:$AB,"",операции!$O:$O,$F1200)+SUMIFS(операции!$AF:$AF,операции!$T:$T,"&lt;="&amp;S$9,операции!$X:$X,"",операции!$AB:$AB,"&gt;"&amp;S$9,операции!$O:$O,$F1200)+SUMIFS(операции!$AF:$AF,операции!$T:$T,"&lt;="&amp;S$9,операции!$X:$X,"&gt;"&amp;S$9,операции!$AB:$AB,"&gt;"&amp;S$9,операции!$O:$O,$F1200))/S1267)</f>
        <v>42321.599852949301</v>
      </c>
      <c r="T1268" s="196"/>
      <c r="U1268" s="193">
        <f>IF(U1267=0,0,(SUMIFS(операции!$AF:$AF,операции!$T:$T,"&lt;="&amp;S$9,операции!$X:$X,"",операции!$AB:$AB,"",операции!$L:$L,U$9,операции!$O:$O,$F1200)+SUMIFS(операции!$AF:$AF,операции!$T:$T,"&lt;="&amp;S$9,операции!$X:$X,"&gt;"&amp;S$9,операции!$AB:$AB,"",операции!$L:$L,U$9,операции!$O:$O,$F1200)+SUMIFS(операции!$AF:$AF,операции!$T:$T,"&lt;="&amp;S$9,операции!$X:$X,"",операции!$AB:$AB,"&gt;"&amp;S$9,операции!$L:$L,U$9,операции!$O:$O,$F1200)+SUMIFS(операции!$AF:$AF,операции!$T:$T,"&lt;="&amp;S$9,операции!$X:$X,"&gt;"&amp;S$9,операции!$AB:$AB,"&gt;"&amp;S$9,операции!$L:$L,U$9,операции!$O:$O,$F1200))/U1267)</f>
        <v>42305.016504636013</v>
      </c>
      <c r="V1268" s="237">
        <f>IF(V1267=0,0,(SUMIFS(операции!$AF:$AF,операции!$T:$T,"&lt;="&amp;S$9,операции!$X:$X,"",операции!$AB:$AB,"",операции!$L:$L,V$9,операции!$O:$O,$F1200)+SUMIFS(операции!$AF:$AF,операции!$T:$T,"&lt;="&amp;S$9,операции!$X:$X,"&gt;"&amp;S$9,операции!$AB:$AB,"",операции!$L:$L,V$9,операции!$O:$O,$F1200)+SUMIFS(операции!$AF:$AF,операции!$T:$T,"&lt;="&amp;S$9,операции!$X:$X,"",операции!$AB:$AB,"&gt;"&amp;S$9,операции!$L:$L,V$9,операции!$O:$O,$F1200)+SUMIFS(операции!$AF:$AF,операции!$T:$T,"&lt;="&amp;S$9,операции!$X:$X,"&gt;"&amp;S$9,операции!$AB:$AB,"&gt;"&amp;S$9,операции!$L:$L,V$9,операции!$O:$O,$F1200))/V1267)</f>
        <v>42336</v>
      </c>
      <c r="W1268" s="238"/>
      <c r="X1268" s="193">
        <f>IF(X1267=0,0,(SUMIFS(операции!$AF:$AF,операции!$T:$T,"&lt;="&amp;X$9,операции!$X:$X,"",операции!$AB:$AB,"",операции!$O:$O,$F1200)+SUMIFS(операции!$AF:$AF,операции!$T:$T,"&lt;="&amp;X$9,операции!$X:$X,"&gt;"&amp;X$9,операции!$AB:$AB,"",операции!$O:$O,$F1200)+SUMIFS(операции!$AF:$AF,операции!$T:$T,"&lt;="&amp;X$9,операции!$X:$X,"",операции!$AB:$AB,"&gt;"&amp;X$9,операции!$O:$O,$F1200)+SUMIFS(операции!$AF:$AF,операции!$T:$T,"&lt;="&amp;X$9,операции!$X:$X,"&gt;"&amp;X$9,операции!$AB:$AB,"&gt;"&amp;X$9,операции!$O:$O,$F1200))/X1267)</f>
        <v>42354.50782674404</v>
      </c>
      <c r="Y1268" s="196"/>
      <c r="Z1268" s="193">
        <f>IF(Z1267=0,0,(SUMIFS(операции!$AF:$AF,операции!$T:$T,"&lt;="&amp;X$9,операции!$X:$X,"",операции!$AB:$AB,"",операции!$L:$L,Z$9,операции!$O:$O,$F1200)+SUMIFS(операции!$AF:$AF,операции!$T:$T,"&lt;="&amp;X$9,операции!$X:$X,"&gt;"&amp;X$9,операции!$AB:$AB,"",операции!$L:$L,Z$9,операции!$O:$O,$F1200)+SUMIFS(операции!$AF:$AF,операции!$T:$T,"&lt;="&amp;X$9,операции!$X:$X,"",операции!$AB:$AB,"&gt;"&amp;X$9,операции!$L:$L,Z$9,операции!$O:$O,$F1200)+SUMIFS(операции!$AF:$AF,операции!$T:$T,"&lt;="&amp;X$9,операции!$X:$X,"&gt;"&amp;X$9,операции!$AB:$AB,"&gt;"&amp;X$9,операции!$L:$L,Z$9,операции!$O:$O,$F1200))/Z1267)</f>
        <v>42295</v>
      </c>
      <c r="AA1268" s="237">
        <f>IF(AA1267=0,0,(SUMIFS(операции!$AF:$AF,операции!$T:$T,"&lt;="&amp;X$9,операции!$X:$X,"",операции!$AB:$AB,"",операции!$L:$L,AA$9,операции!$O:$O,$F1200)+SUMIFS(операции!$AF:$AF,операции!$T:$T,"&lt;="&amp;X$9,операции!$X:$X,"&gt;"&amp;X$9,операции!$AB:$AB,"",операции!$L:$L,AA$9,операции!$O:$O,$F1200)+SUMIFS(операции!$AF:$AF,операции!$T:$T,"&lt;="&amp;X$9,операции!$X:$X,"",операции!$AB:$AB,"&gt;"&amp;X$9,операции!$L:$L,AA$9,операции!$O:$O,$F1200)+SUMIFS(операции!$AF:$AF,операции!$T:$T,"&lt;="&amp;X$9,операции!$X:$X,"&gt;"&amp;X$9,операции!$AB:$AB,"&gt;"&amp;X$9,операции!$L:$L,AA$9,операции!$O:$O,$F1200))/AA1267)</f>
        <v>42362.756461010096</v>
      </c>
      <c r="AB1268" s="265"/>
      <c r="AC1268" s="37"/>
      <c r="AD1268" s="37"/>
      <c r="AE1268" s="37"/>
      <c r="AF1268" s="37"/>
      <c r="AG1268" s="37"/>
      <c r="AH1268" s="37"/>
      <c r="AI1268" s="37"/>
      <c r="AJ1268" s="37"/>
      <c r="AK1268" s="37"/>
      <c r="AL1268" s="37"/>
      <c r="AM1268" s="37"/>
      <c r="AN1268" s="37"/>
      <c r="AO1268" s="37"/>
      <c r="AP1268" s="37"/>
    </row>
    <row r="1269" spans="1:42" s="192" customFormat="1" ht="11.25">
      <c r="A1269" s="37"/>
      <c r="B1269" s="37"/>
      <c r="C1269" s="37"/>
      <c r="D1269" s="191"/>
      <c r="E1269" s="191" t="s">
        <v>287</v>
      </c>
      <c r="F1269" s="191" t="str">
        <f t="shared" ref="F1269:F1272" si="2253">F1268</f>
        <v>КлиматКо</v>
      </c>
      <c r="G1269" s="191" t="s">
        <v>219</v>
      </c>
      <c r="H1269" s="315"/>
      <c r="I1269" s="329">
        <f>IF(I1267=0,0,I$9-I1268)</f>
        <v>14.492173255959642</v>
      </c>
      <c r="J1269" s="317"/>
      <c r="K1269" s="329">
        <f>IF(K1267=0,0,I$9-K1268)</f>
        <v>74</v>
      </c>
      <c r="L1269" s="330">
        <f>IF(L1267=0,0,I$9-L1268)</f>
        <v>6.2435389899037546</v>
      </c>
      <c r="M1269" s="274"/>
      <c r="N1269" s="156">
        <f>IF(N1267=0,0,N$9-N1268)</f>
        <v>42.201296372055367</v>
      </c>
      <c r="O1269" s="196"/>
      <c r="P1269" s="156">
        <f>IF(P1267=0,0,N$9-P1268)</f>
        <v>42.201296372055367</v>
      </c>
      <c r="Q1269" s="245">
        <f>IF(Q1267=0,0,N$9-Q1268)</f>
        <v>0</v>
      </c>
      <c r="R1269" s="238"/>
      <c r="S1269" s="156">
        <f>IF(S1267=0,0,S$9-S1268)</f>
        <v>16.400147050699161</v>
      </c>
      <c r="T1269" s="196"/>
      <c r="U1269" s="156">
        <f>IF(U1267=0,0,S$9-U1268)</f>
        <v>32.983495363987458</v>
      </c>
      <c r="V1269" s="245">
        <f>IF(V1267=0,0,S$9-V1268)</f>
        <v>2</v>
      </c>
      <c r="W1269" s="238"/>
      <c r="X1269" s="156">
        <f>IF(X1267=0,0,X$9-X1268)</f>
        <v>14.492173255959642</v>
      </c>
      <c r="Y1269" s="196"/>
      <c r="Z1269" s="156">
        <f>IF(Z1267=0,0,X$9-Z1268)</f>
        <v>74</v>
      </c>
      <c r="AA1269" s="245">
        <f>IF(AA1267=0,0,X$9-AA1268)</f>
        <v>6.2435389899037546</v>
      </c>
      <c r="AB1269" s="265"/>
      <c r="AC1269" s="37"/>
      <c r="AD1269" s="37"/>
      <c r="AE1269" s="37"/>
      <c r="AF1269" s="37"/>
      <c r="AG1269" s="37"/>
      <c r="AH1269" s="37"/>
      <c r="AI1269" s="37"/>
      <c r="AJ1269" s="37"/>
      <c r="AK1269" s="37"/>
      <c r="AL1269" s="37"/>
      <c r="AM1269" s="37"/>
      <c r="AN1269" s="37"/>
      <c r="AO1269" s="37"/>
      <c r="AP1269" s="37"/>
    </row>
    <row r="1270" spans="1:42" s="192" customFormat="1" ht="11.25">
      <c r="A1270" s="37"/>
      <c r="B1270" s="37"/>
      <c r="C1270" s="37"/>
      <c r="D1270" s="191"/>
      <c r="E1270" s="191" t="s">
        <v>311</v>
      </c>
      <c r="F1270" s="191" t="str">
        <f t="shared" si="2253"/>
        <v>КлиматКо</v>
      </c>
      <c r="G1270" s="191" t="s">
        <v>262</v>
      </c>
      <c r="H1270" s="315"/>
      <c r="I1270" s="316">
        <f>I$9</f>
        <v>42369</v>
      </c>
      <c r="J1270" s="317"/>
      <c r="K1270" s="316">
        <f>I$9</f>
        <v>42369</v>
      </c>
      <c r="L1270" s="318">
        <f>I$9</f>
        <v>42369</v>
      </c>
      <c r="M1270" s="274"/>
      <c r="N1270" s="193">
        <f>N$9</f>
        <v>42308</v>
      </c>
      <c r="O1270" s="196"/>
      <c r="P1270" s="193">
        <f>N$9</f>
        <v>42308</v>
      </c>
      <c r="Q1270" s="237">
        <f>N$9</f>
        <v>42308</v>
      </c>
      <c r="R1270" s="238"/>
      <c r="S1270" s="193">
        <f>S$9</f>
        <v>42338</v>
      </c>
      <c r="T1270" s="196"/>
      <c r="U1270" s="193">
        <f>S$9</f>
        <v>42338</v>
      </c>
      <c r="V1270" s="237">
        <f>S$9</f>
        <v>42338</v>
      </c>
      <c r="W1270" s="238"/>
      <c r="X1270" s="193">
        <f>X$9</f>
        <v>42369</v>
      </c>
      <c r="Y1270" s="196"/>
      <c r="Z1270" s="193">
        <f>X$9</f>
        <v>42369</v>
      </c>
      <c r="AA1270" s="237">
        <f>X$9</f>
        <v>42369</v>
      </c>
      <c r="AB1270" s="265"/>
      <c r="AC1270" s="37"/>
      <c r="AD1270" s="37"/>
      <c r="AE1270" s="37"/>
      <c r="AF1270" s="37"/>
      <c r="AG1270" s="37"/>
      <c r="AH1270" s="37"/>
      <c r="AI1270" s="37"/>
      <c r="AJ1270" s="37"/>
      <c r="AK1270" s="37"/>
      <c r="AL1270" s="37"/>
      <c r="AM1270" s="37"/>
      <c r="AN1270" s="37"/>
      <c r="AO1270" s="37"/>
      <c r="AP1270" s="37"/>
    </row>
    <row r="1271" spans="1:42" s="192" customFormat="1" ht="11.25">
      <c r="A1271" s="37"/>
      <c r="B1271" s="37"/>
      <c r="C1271" s="37"/>
      <c r="D1271" s="191"/>
      <c r="E1271" s="191" t="s">
        <v>288</v>
      </c>
      <c r="F1271" s="191" t="str">
        <f t="shared" si="2253"/>
        <v>КлиматКо</v>
      </c>
      <c r="G1271" s="191" t="s">
        <v>219</v>
      </c>
      <c r="H1271" s="315"/>
      <c r="I1271" s="329">
        <f>IF(I1267=0,0,I1270-I1268)</f>
        <v>14.492173255959642</v>
      </c>
      <c r="J1271" s="317"/>
      <c r="K1271" s="329">
        <f>IF(K1267=0,0,K1270-K1268)</f>
        <v>74</v>
      </c>
      <c r="L1271" s="330">
        <f>IF(L1267=0,0,L1270-L1268)</f>
        <v>6.2435389899037546</v>
      </c>
      <c r="M1271" s="274"/>
      <c r="N1271" s="156">
        <f>IF(N1267=0,0,N1270-N1268)</f>
        <v>42.201296372055367</v>
      </c>
      <c r="O1271" s="196"/>
      <c r="P1271" s="156">
        <f>IF(P1267=0,0,P1270-P1268)</f>
        <v>42.201296372055367</v>
      </c>
      <c r="Q1271" s="245">
        <f>IF(Q1267=0,0,Q1270-Q1268)</f>
        <v>0</v>
      </c>
      <c r="R1271" s="238"/>
      <c r="S1271" s="156">
        <f>IF(S1267=0,0,S1270-S1268)</f>
        <v>16.400147050699161</v>
      </c>
      <c r="T1271" s="196"/>
      <c r="U1271" s="156">
        <f>IF(U1267=0,0,U1270-U1268)</f>
        <v>32.983495363987458</v>
      </c>
      <c r="V1271" s="245">
        <f>IF(V1267=0,0,V1270-V1268)</f>
        <v>2</v>
      </c>
      <c r="W1271" s="238"/>
      <c r="X1271" s="156">
        <f>IF(X1267=0,0,X1270-X1268)</f>
        <v>14.492173255959642</v>
      </c>
      <c r="Y1271" s="196"/>
      <c r="Z1271" s="156">
        <f>IF(Z1267=0,0,Z1270-Z1268)</f>
        <v>74</v>
      </c>
      <c r="AA1271" s="245">
        <f>IF(AA1267=0,0,AA1270-AA1268)</f>
        <v>6.2435389899037546</v>
      </c>
      <c r="AB1271" s="265"/>
      <c r="AC1271" s="37"/>
      <c r="AD1271" s="37"/>
      <c r="AE1271" s="37"/>
      <c r="AF1271" s="37"/>
      <c r="AG1271" s="37"/>
      <c r="AH1271" s="37"/>
      <c r="AI1271" s="37"/>
      <c r="AJ1271" s="37"/>
      <c r="AK1271" s="37"/>
      <c r="AL1271" s="37"/>
      <c r="AM1271" s="37"/>
      <c r="AN1271" s="37"/>
      <c r="AO1271" s="37"/>
      <c r="AP1271" s="37"/>
    </row>
    <row r="1272" spans="1:42" s="192" customFormat="1" ht="12" thickBot="1">
      <c r="A1272" s="37"/>
      <c r="B1272" s="37"/>
      <c r="C1272" s="37"/>
      <c r="D1272" s="297"/>
      <c r="E1272" s="297" t="s">
        <v>289</v>
      </c>
      <c r="F1272" s="297" t="str">
        <f t="shared" si="2253"/>
        <v>КлиматКо</v>
      </c>
      <c r="G1272" s="297" t="s">
        <v>219</v>
      </c>
      <c r="H1272" s="377"/>
      <c r="I1272" s="378">
        <f>I1269-I1271</f>
        <v>0</v>
      </c>
      <c r="J1272" s="379"/>
      <c r="K1272" s="378">
        <f>K1269-K1271</f>
        <v>0</v>
      </c>
      <c r="L1272" s="380">
        <f>L1269-L1271</f>
        <v>0</v>
      </c>
      <c r="M1272" s="300"/>
      <c r="N1272" s="298">
        <f>N1269-N1271</f>
        <v>0</v>
      </c>
      <c r="O1272" s="299"/>
      <c r="P1272" s="298">
        <f>P1269-P1271</f>
        <v>0</v>
      </c>
      <c r="Q1272" s="301">
        <f>Q1269-Q1271</f>
        <v>0</v>
      </c>
      <c r="R1272" s="302"/>
      <c r="S1272" s="298">
        <f>S1269-S1271</f>
        <v>0</v>
      </c>
      <c r="T1272" s="299"/>
      <c r="U1272" s="298">
        <f>U1269-U1271</f>
        <v>0</v>
      </c>
      <c r="V1272" s="301">
        <f>V1269-V1271</f>
        <v>0</v>
      </c>
      <c r="W1272" s="302"/>
      <c r="X1272" s="298">
        <f>X1269-X1271</f>
        <v>0</v>
      </c>
      <c r="Y1272" s="299"/>
      <c r="Z1272" s="298">
        <f>Z1269-Z1271</f>
        <v>0</v>
      </c>
      <c r="AA1272" s="301">
        <f>AA1269-AA1271</f>
        <v>0</v>
      </c>
      <c r="AB1272" s="265"/>
      <c r="AC1272" s="37"/>
      <c r="AD1272" s="37"/>
      <c r="AE1272" s="37"/>
      <c r="AF1272" s="37"/>
      <c r="AG1272" s="37"/>
      <c r="AH1272" s="37"/>
      <c r="AI1272" s="37"/>
      <c r="AJ1272" s="37"/>
      <c r="AK1272" s="37"/>
      <c r="AL1272" s="37"/>
      <c r="AM1272" s="37"/>
      <c r="AN1272" s="37"/>
      <c r="AO1272" s="37"/>
      <c r="AP1272" s="37"/>
    </row>
    <row r="1273" spans="1:42" s="111" customFormat="1" ht="11.25">
      <c r="A1273" s="108"/>
      <c r="B1273" s="108"/>
      <c r="C1273" s="108" t="s">
        <v>271</v>
      </c>
      <c r="D1273" s="291"/>
      <c r="E1273" s="291"/>
      <c r="F1273" s="291" t="str">
        <f>F1274</f>
        <v>Лайтс</v>
      </c>
      <c r="G1273" s="291"/>
      <c r="H1273" s="373"/>
      <c r="I1273" s="374">
        <f>I1274-K1274-L1274</f>
        <v>0</v>
      </c>
      <c r="J1273" s="375">
        <f>N1273+N1291+N1329+SUM(O:O)+S1273+S1291+S1329+SUM(T:T)+X1273+X1291+X1329+SUM(Y:Y)</f>
        <v>3.7104683769939584E-9</v>
      </c>
      <c r="K1273" s="373"/>
      <c r="L1273" s="376"/>
      <c r="M1273" s="293"/>
      <c r="N1273" s="292">
        <f>N1274-P1274-Q1274</f>
        <v>0</v>
      </c>
      <c r="O1273" s="294"/>
      <c r="P1273" s="291"/>
      <c r="Q1273" s="295"/>
      <c r="R1273" s="296"/>
      <c r="S1273" s="292">
        <f>S1274-U1274-V1274</f>
        <v>0</v>
      </c>
      <c r="T1273" s="294"/>
      <c r="U1273" s="291"/>
      <c r="V1273" s="295"/>
      <c r="W1273" s="296"/>
      <c r="X1273" s="292">
        <f>X1274-Z1274-AA1274</f>
        <v>0</v>
      </c>
      <c r="Y1273" s="294"/>
      <c r="Z1273" s="291"/>
      <c r="AA1273" s="295"/>
      <c r="AB1273" s="263"/>
      <c r="AC1273" s="108"/>
      <c r="AD1273" s="108"/>
      <c r="AE1273" s="108"/>
      <c r="AF1273" s="108"/>
      <c r="AG1273" s="108"/>
      <c r="AH1273" s="108"/>
      <c r="AI1273" s="108"/>
      <c r="AJ1273" s="108"/>
      <c r="AK1273" s="108"/>
      <c r="AL1273" s="108"/>
      <c r="AM1273" s="108"/>
      <c r="AN1273" s="108"/>
      <c r="AO1273" s="108"/>
      <c r="AP1273" s="108"/>
    </row>
    <row r="1274" spans="1:42" s="93" customFormat="1" ht="15">
      <c r="A1274" s="92"/>
      <c r="B1274" s="92"/>
      <c r="C1274" s="92"/>
      <c r="D1274" s="151" t="s">
        <v>256</v>
      </c>
      <c r="E1274" s="151"/>
      <c r="F1274" s="286" t="str">
        <f>микс!$H$34</f>
        <v>Лайтс</v>
      </c>
      <c r="G1274" s="151" t="s">
        <v>261</v>
      </c>
      <c r="H1274" s="311"/>
      <c r="I1274" s="312">
        <f>SUMIFS(операции!$V:$V,операции!$T:$T,"&lt;"&amp;I$8,операции!$X:$X,"",операции!$O:$O,$F1274)+SUMIFS(операции!$V:$V,операции!$T:$T,"&lt;"&amp;I$8,операции!$X:$X,"&gt;="&amp;I$8,операции!$O:$O,$F1274)</f>
        <v>60724.99</v>
      </c>
      <c r="J1274" s="313">
        <f>I1274-I1279-I1285</f>
        <v>0</v>
      </c>
      <c r="K1274" s="312">
        <f>SUMIFS(операции!$V:$V,операции!$T:$T,"&lt;"&amp;I$8,операции!$X:$X,"",операции!$L:$L,K$9,операции!$O:$O,$F1274)+SUMIFS(операции!$V:$V,операции!$T:$T,"&lt;"&amp;I$8,операции!$X:$X,"&gt;="&amp;I$8,операции!$L:$L,K$9,операции!$O:$O,$F1274)</f>
        <v>60724.99</v>
      </c>
      <c r="L1274" s="314">
        <f>SUMIFS(операции!$V:$V,операции!$T:$T,"&lt;"&amp;I$8,операции!$X:$X,"",операции!$L:$L,L$9,операции!$O:$O,$F1274)+SUMIFS(операции!$V:$V,операции!$T:$T,"&lt;"&amp;I$8,операции!$X:$X,"&gt;="&amp;I$8,операции!$L:$L,L$9,операции!$O:$O,$F1274)</f>
        <v>0</v>
      </c>
      <c r="M1274" s="273"/>
      <c r="N1274" s="152">
        <f>SUMIFS(операции!$V:$V,операции!$T:$T,"&lt;"&amp;N$8,операции!$X:$X,"",операции!$O:$O,$F1274)+SUMIFS(операции!$V:$V,операции!$T:$T,"&lt;"&amp;N$8,операции!$X:$X,"&gt;="&amp;N$8,операции!$O:$O,$F1274)</f>
        <v>60724.99</v>
      </c>
      <c r="O1274" s="170">
        <f>N1274-N1279-N1285</f>
        <v>0</v>
      </c>
      <c r="P1274" s="152">
        <f>SUMIFS(операции!$V:$V,операции!$T:$T,"&lt;"&amp;N$8,операции!$X:$X,"",операции!$L:$L,P$9,операции!$O:$O,$F1274)+SUMIFS(операции!$V:$V,операции!$T:$T,"&lt;"&amp;N$8,операции!$X:$X,"&gt;="&amp;N$8,операции!$L:$L,P$9,операции!$O:$O,$F1274)</f>
        <v>60724.99</v>
      </c>
      <c r="Q1274" s="235">
        <f>SUMIFS(операции!$V:$V,операции!$T:$T,"&lt;"&amp;N$8,операции!$X:$X,"",операции!$L:$L,Q$9,операции!$O:$O,$F1274)+SUMIFS(операции!$V:$V,операции!$T:$T,"&lt;"&amp;N$8,операции!$X:$X,"&gt;="&amp;N$8,операции!$L:$L,Q$9,операции!$O:$O,$F1274)</f>
        <v>0</v>
      </c>
      <c r="R1274" s="236"/>
      <c r="S1274" s="152">
        <f>SUMIFS(операции!$V:$V,операции!$T:$T,"&lt;"&amp;S$8,операции!$X:$X,"",операции!$O:$O,$F1274)+SUMIFS(операции!$V:$V,операции!$T:$T,"&lt;"&amp;S$8,операции!$X:$X,"&gt;="&amp;S$8,операции!$O:$O,$F1274)</f>
        <v>122541.60999999999</v>
      </c>
      <c r="T1274" s="170">
        <f>S1274-S1279-S1285</f>
        <v>0</v>
      </c>
      <c r="U1274" s="152">
        <f>SUMIFS(операции!$V:$V,операции!$T:$T,"&lt;"&amp;S$8,операции!$X:$X,"",операции!$L:$L,U$9,операции!$O:$O,$F1274)+SUMIFS(операции!$V:$V,операции!$T:$T,"&lt;"&amp;S$8,операции!$X:$X,"&gt;="&amp;S$8,операции!$L:$L,U$9,операции!$O:$O,$F1274)</f>
        <v>72853.009999999995</v>
      </c>
      <c r="V1274" s="235">
        <f>SUMIFS(операции!$V:$V,операции!$T:$T,"&lt;"&amp;S$8,операции!$X:$X,"",операции!$L:$L,V$9,операции!$O:$O,$F1274)+SUMIFS(операции!$V:$V,операции!$T:$T,"&lt;"&amp;S$8,операции!$X:$X,"&gt;="&amp;S$8,операции!$L:$L,V$9,операции!$O:$O,$F1274)</f>
        <v>49688.6</v>
      </c>
      <c r="W1274" s="236"/>
      <c r="X1274" s="152">
        <f>SUMIFS(операции!$V:$V,операции!$T:$T,"&lt;"&amp;X$8,операции!$X:$X,"",операции!$O:$O,$F1274)+SUMIFS(операции!$V:$V,операции!$T:$T,"&lt;"&amp;X$8,операции!$X:$X,"&gt;="&amp;X$8,операции!$O:$O,$F1274)</f>
        <v>45456.67</v>
      </c>
      <c r="Y1274" s="170">
        <f>X1274-X1279-X1285</f>
        <v>0</v>
      </c>
      <c r="Z1274" s="152">
        <f>SUMIFS(операции!$V:$V,операции!$T:$T,"&lt;"&amp;X$8,операции!$X:$X,"",операции!$L:$L,Z$9,операции!$O:$O,$F1274)+SUMIFS(операции!$V:$V,операции!$T:$T,"&lt;"&amp;X$8,операции!$X:$X,"&gt;="&amp;X$8,операции!$L:$L,Z$9,операции!$O:$O,$F1274)</f>
        <v>29531.93</v>
      </c>
      <c r="AA1274" s="235">
        <f>SUMIFS(операции!$V:$V,операции!$T:$T,"&lt;"&amp;X$8,операции!$X:$X,"",операции!$L:$L,AA$9,операции!$O:$O,$F1274)+SUMIFS(операции!$V:$V,операции!$T:$T,"&lt;"&amp;X$8,операции!$X:$X,"&gt;="&amp;X$8,операции!$L:$L,AA$9,операции!$O:$O,$F1274)</f>
        <v>15924.74</v>
      </c>
      <c r="AB1274" s="264"/>
      <c r="AC1274" s="92"/>
      <c r="AD1274" s="92"/>
      <c r="AE1274" s="92"/>
      <c r="AF1274" s="92"/>
      <c r="AG1274" s="92"/>
      <c r="AH1274" s="92"/>
      <c r="AI1274" s="92"/>
      <c r="AJ1274" s="92"/>
      <c r="AK1274" s="92"/>
      <c r="AL1274" s="92"/>
      <c r="AM1274" s="92"/>
      <c r="AN1274" s="92"/>
      <c r="AO1274" s="92"/>
      <c r="AP1274" s="92"/>
    </row>
    <row r="1275" spans="1:42" s="192" customFormat="1" ht="11.25">
      <c r="A1275" s="37"/>
      <c r="B1275" s="37"/>
      <c r="C1275" s="37"/>
      <c r="D1275" s="191" t="s">
        <v>255</v>
      </c>
      <c r="E1275" s="191"/>
      <c r="F1275" s="191" t="str">
        <f>F1274</f>
        <v>Лайтс</v>
      </c>
      <c r="G1275" s="191" t="s">
        <v>262</v>
      </c>
      <c r="H1275" s="315"/>
      <c r="I1275" s="316">
        <f>IF(I1274=0,0,(SUMIFS(операции!$AF:$AF,операции!$T:$T,"&lt;"&amp;I$8,операции!$X:$X,"",операции!$O:$O,$F1274)+SUMIFS(операции!$AF:$AF,операции!$T:$T,"&lt;"&amp;I$8,операции!$X:$X,"&gt;="&amp;I$8,операции!$O:$O,$F1274))/I1274)</f>
        <v>42248.914444942689</v>
      </c>
      <c r="J1275" s="317"/>
      <c r="K1275" s="316">
        <f>IF(K1274=0,0,(SUMIFS(операции!$AF:$AF,операции!$T:$T,"&lt;"&amp;I$8,операции!$X:$X,"",операции!$L:$L,K$9,операции!$O:$O,$F1274)+SUMIFS(операции!$AF:$AF,операции!$T:$T,"&lt;"&amp;I$8,операции!$X:$X,"&gt;="&amp;I$8,операции!$L:$L,K$9,операции!$O:$O,$F1274))/K1274)</f>
        <v>42248.914444942689</v>
      </c>
      <c r="L1275" s="318">
        <f>IF(L1274=0,0,(SUMIFS(операции!$AF:$AF,операции!$T:$T,"&lt;"&amp;I$8,операции!$X:$X,"",операции!$L:$L,L$9,операции!$O:$O,$F1274)+SUMIFS(операции!$AF:$AF,операции!$T:$T,"&lt;"&amp;I$8,операции!$X:$X,"&gt;="&amp;I$8,операции!$L:$L,L$9,операции!$O:$O,$F1274))/L1274)</f>
        <v>0</v>
      </c>
      <c r="M1275" s="274"/>
      <c r="N1275" s="193">
        <f>IF(N1274=0,0,(SUMIFS(операции!$AF:$AF,операции!$T:$T,"&lt;"&amp;N$8,операции!$X:$X,"",операции!$O:$O,$F1274)+SUMIFS(операции!$AF:$AF,операции!$T:$T,"&lt;"&amp;N$8,операции!$X:$X,"&gt;="&amp;N$8,операции!$O:$O,$F1274))/N1274)</f>
        <v>42248.914444942689</v>
      </c>
      <c r="O1275" s="196"/>
      <c r="P1275" s="193">
        <f>IF(P1274=0,0,(SUMIFS(операции!$AF:$AF,операции!$T:$T,"&lt;"&amp;N$8,операции!$X:$X,"",операции!$L:$L,P$9,операции!$O:$O,$F1274)+SUMIFS(операции!$AF:$AF,операции!$T:$T,"&lt;"&amp;N$8,операции!$X:$X,"&gt;="&amp;N$8,операции!$L:$L,P$9,операции!$O:$O,$F1274))/P1274)</f>
        <v>42248.914444942689</v>
      </c>
      <c r="Q1275" s="237">
        <f>IF(Q1274=0,0,(SUMIFS(операции!$AF:$AF,операции!$T:$T,"&lt;"&amp;N$8,операции!$X:$X,"",операции!$L:$L,Q$9,операции!$O:$O,$F1274)+SUMIFS(операции!$AF:$AF,операции!$T:$T,"&lt;"&amp;N$8,операции!$X:$X,"&gt;="&amp;N$8,операции!$L:$L,Q$9,операции!$O:$O,$F1274))/Q1274)</f>
        <v>0</v>
      </c>
      <c r="R1275" s="238"/>
      <c r="S1275" s="193">
        <f>IF(S1274=0,0,(SUMIFS(операции!$AF:$AF,операции!$T:$T,"&lt;"&amp;S$8,операции!$X:$X,"",операции!$O:$O,$F1274)+SUMIFS(операции!$AF:$AF,операции!$T:$T,"&lt;"&amp;S$8,операции!$X:$X,"&gt;="&amp;S$8,операции!$O:$O,$F1274))/S1274)</f>
        <v>42279.430740790835</v>
      </c>
      <c r="T1275" s="196"/>
      <c r="U1275" s="193">
        <f>IF(U1274=0,0,(SUMIFS(операции!$AF:$AF,операции!$T:$T,"&lt;"&amp;S$8,операции!$X:$X,"",операции!$L:$L,U$9,операции!$O:$O,$F1274)+SUMIFS(операции!$AF:$AF,операции!$T:$T,"&lt;"&amp;S$8,операции!$X:$X,"&gt;="&amp;S$8,операции!$L:$L,U$9,операции!$O:$O,$F1274))/U1274)</f>
        <v>42261.741172533577</v>
      </c>
      <c r="V1275" s="237">
        <f>IF(V1274=0,0,(SUMIFS(операции!$AF:$AF,операции!$T:$T,"&lt;"&amp;S$8,операции!$X:$X,"",операции!$L:$L,V$9,операции!$O:$O,$F1274)+SUMIFS(операции!$AF:$AF,операции!$T:$T,"&lt;"&amp;S$8,операции!$X:$X,"&gt;="&amp;S$8,операции!$L:$L,V$9,операции!$O:$O,$F1274))/V1274)</f>
        <v>42305.367037912118</v>
      </c>
      <c r="W1275" s="238"/>
      <c r="X1275" s="193">
        <f>IF(X1274=0,0,(SUMIFS(операции!$AF:$AF,операции!$T:$T,"&lt;"&amp;X$8,операции!$X:$X,"",операции!$O:$O,$F1274)+SUMIFS(операции!$AF:$AF,операции!$T:$T,"&lt;"&amp;X$8,операции!$X:$X,"&gt;="&amp;X$8,операции!$O:$O,$F1274))/X1274)</f>
        <v>42286.291249227012</v>
      </c>
      <c r="Y1275" s="196"/>
      <c r="Z1275" s="193">
        <f>IF(Z1274=0,0,(SUMIFS(операции!$AF:$AF,операции!$T:$T,"&lt;"&amp;X$8,операции!$X:$X,"",операции!$L:$L,Z$9,операции!$O:$O,$F1274)+SUMIFS(операции!$AF:$AF,операции!$T:$T,"&lt;"&amp;X$8,операции!$X:$X,"&gt;="&amp;X$8,операции!$L:$L,Z$9,операции!$O:$O,$F1274))/Z1274)</f>
        <v>42261.497149018025</v>
      </c>
      <c r="AA1275" s="237">
        <f>IF(AA1274=0,0,(SUMIFS(операции!$AF:$AF,операции!$T:$T,"&lt;"&amp;X$8,операции!$X:$X,"",операции!$L:$L,AA$9,операции!$O:$O,$F1274)+SUMIFS(операции!$AF:$AF,операции!$T:$T,"&lt;"&amp;X$8,операции!$X:$X,"&gt;="&amp;X$8,операции!$L:$L,AA$9,операции!$O:$O,$F1274))/AA1274)</f>
        <v>42332.271129073379</v>
      </c>
      <c r="AB1275" s="265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37"/>
    </row>
    <row r="1276" spans="1:42" s="50" customFormat="1" ht="11.25">
      <c r="A1276" s="48"/>
      <c r="B1276" s="48"/>
      <c r="C1276" s="48"/>
      <c r="D1276" s="154" t="s">
        <v>257</v>
      </c>
      <c r="E1276" s="154"/>
      <c r="F1276" s="154" t="str">
        <f t="shared" ref="F1276:F1342" si="2254">F1275</f>
        <v>Лайтс</v>
      </c>
      <c r="G1276" s="154" t="s">
        <v>219</v>
      </c>
      <c r="H1276" s="319"/>
      <c r="I1276" s="320">
        <f>IF(I1274=0,0,I$8-I1275)</f>
        <v>29.085555057310557</v>
      </c>
      <c r="J1276" s="321">
        <f>I1276-IF(I1274=0,0,(I1279*I1281+I1285*I1287)/I1274)</f>
        <v>-1.113775738303957E-11</v>
      </c>
      <c r="K1276" s="320">
        <f>IF(K1274=0,0,I$8-K1275)</f>
        <v>29.085555057310557</v>
      </c>
      <c r="L1276" s="322">
        <f>IF(L1274=0,0,I$8-L1275)</f>
        <v>0</v>
      </c>
      <c r="M1276" s="275"/>
      <c r="N1276" s="155">
        <f>IF(N1274=0,0,N$8-N1275)</f>
        <v>29.085555057310557</v>
      </c>
      <c r="O1276" s="173">
        <f>N1276-IF(N1274=0,0,(N1279*N1281+N1285*N1287)/N1274)</f>
        <v>-1.113775738303957E-11</v>
      </c>
      <c r="P1276" s="155">
        <f>IF(P1274=0,0,N$8-P1275)</f>
        <v>29.085555057310557</v>
      </c>
      <c r="Q1276" s="239">
        <f>IF(Q1274=0,0,N$8-Q1275)</f>
        <v>0</v>
      </c>
      <c r="R1276" s="240"/>
      <c r="S1276" s="155">
        <f>IF(S1274=0,0,S$8-S1275)</f>
        <v>29.569259209165466</v>
      </c>
      <c r="T1276" s="173">
        <f>S1276-IF(S1274=0,0,(S1279*S1281+S1285*S1287)/S1274)</f>
        <v>-9.567457937009749E-12</v>
      </c>
      <c r="U1276" s="155">
        <f>IF(U1274=0,0,S$8-U1275)</f>
        <v>47.258827466423099</v>
      </c>
      <c r="V1276" s="239">
        <f>IF(V1274=0,0,S$8-V1275)</f>
        <v>3.6329620878823334</v>
      </c>
      <c r="W1276" s="240"/>
      <c r="X1276" s="155">
        <f>IF(X1274=0,0,X$8-X1275)</f>
        <v>52.708750772988424</v>
      </c>
      <c r="Y1276" s="173">
        <f>X1276-IF(X1274=0,0,(X1279*X1281+X1285*X1287)/X1274)</f>
        <v>-4.7037929107318632E-12</v>
      </c>
      <c r="Z1276" s="155">
        <f>IF(Z1274=0,0,X$8-Z1275)</f>
        <v>77.502850981974916</v>
      </c>
      <c r="AA1276" s="239">
        <f>IF(AA1274=0,0,X$8-AA1275)</f>
        <v>6.7288709266213118</v>
      </c>
      <c r="AB1276" s="230"/>
      <c r="AC1276" s="48"/>
      <c r="AD1276" s="48"/>
      <c r="AE1276" s="48"/>
      <c r="AF1276" s="48"/>
      <c r="AG1276" s="48"/>
      <c r="AH1276" s="48"/>
      <c r="AI1276" s="48"/>
      <c r="AJ1276" s="48"/>
      <c r="AK1276" s="48"/>
      <c r="AL1276" s="48"/>
      <c r="AM1276" s="48"/>
      <c r="AN1276" s="48"/>
      <c r="AO1276" s="48"/>
      <c r="AP1276" s="48"/>
    </row>
    <row r="1277" spans="1:42" s="93" customFormat="1" ht="15">
      <c r="A1277" s="92"/>
      <c r="B1277" s="92"/>
      <c r="C1277" s="92"/>
      <c r="D1277" s="198" t="s">
        <v>267</v>
      </c>
      <c r="E1277" s="198"/>
      <c r="F1277" s="198" t="str">
        <f t="shared" si="2254"/>
        <v>Лайтс</v>
      </c>
      <c r="G1277" s="198" t="s">
        <v>219</v>
      </c>
      <c r="H1277" s="323"/>
      <c r="I1277" s="324">
        <f>IF(I1274=0,0,(I1279*I1283+I1285*I1289)/I1274)</f>
        <v>16.267588022661812</v>
      </c>
      <c r="J1277" s="321"/>
      <c r="K1277" s="324">
        <f t="shared" ref="K1277" si="2255">IF(K1274=0,0,(K1279*K1283+K1285*K1289)/K1274)</f>
        <v>16.267588022661812</v>
      </c>
      <c r="L1277" s="325">
        <f>IF(L1274=0,0,(L1279*L1283+L1285*L1289)/L1274)</f>
        <v>0</v>
      </c>
      <c r="M1277" s="276"/>
      <c r="N1277" s="199">
        <f>IF(N1274=0,0,(N1279*N1283+N1285*N1289)/N1274)</f>
        <v>16.267588022661812</v>
      </c>
      <c r="O1277" s="173"/>
      <c r="P1277" s="199">
        <f t="shared" ref="P1277" si="2256">IF(P1274=0,0,(P1279*P1283+P1285*P1289)/P1274)</f>
        <v>16.267588022661812</v>
      </c>
      <c r="Q1277" s="241">
        <f>IF(Q1274=0,0,(Q1279*Q1283+Q1285*Q1289)/Q1274)</f>
        <v>0</v>
      </c>
      <c r="R1277" s="242"/>
      <c r="S1277" s="199">
        <f>IF(S1274=0,0,(S1279*S1283+S1285*S1289)/S1274)</f>
        <v>18.379134075352891</v>
      </c>
      <c r="T1277" s="173"/>
      <c r="U1277" s="199">
        <f t="shared" ref="U1277" si="2257">IF(U1274=0,0,(U1279*U1283+U1285*U1289)/U1274)</f>
        <v>28.436599668293834</v>
      </c>
      <c r="V1277" s="241">
        <f>IF(V1274=0,0,(V1279*V1283+V1285*V1289)/V1274)</f>
        <v>3.6329620878823334</v>
      </c>
      <c r="W1277" s="242"/>
      <c r="X1277" s="199">
        <f>IF(X1274=0,0,(X1279*X1283+X1285*X1289)/X1274)</f>
        <v>28.171303793263831</v>
      </c>
      <c r="Y1277" s="173"/>
      <c r="Z1277" s="199">
        <f t="shared" ref="Z1277" si="2258">IF(Z1274=0,0,(Z1279*Z1283+Z1285*Z1289)/Z1274)</f>
        <v>39.73387922835046</v>
      </c>
      <c r="AA1277" s="241">
        <f>IF(AA1274=0,0,(AA1279*AA1283+AA1285*AA1289)/AA1274)</f>
        <v>6.7288709266213118</v>
      </c>
      <c r="AB1277" s="264"/>
      <c r="AC1277" s="92"/>
      <c r="AD1277" s="92"/>
      <c r="AE1277" s="92"/>
      <c r="AF1277" s="92"/>
      <c r="AG1277" s="92"/>
      <c r="AH1277" s="92"/>
      <c r="AI1277" s="92"/>
      <c r="AJ1277" s="92"/>
      <c r="AK1277" s="92"/>
      <c r="AL1277" s="92"/>
      <c r="AM1277" s="92"/>
      <c r="AN1277" s="92"/>
      <c r="AO1277" s="92"/>
      <c r="AP1277" s="92"/>
    </row>
    <row r="1278" spans="1:42" s="50" customFormat="1" ht="11.25">
      <c r="A1278" s="48"/>
      <c r="B1278" s="48"/>
      <c r="C1278" s="48"/>
      <c r="D1278" s="154" t="s">
        <v>270</v>
      </c>
      <c r="E1278" s="154"/>
      <c r="F1278" s="154" t="str">
        <f t="shared" si="2254"/>
        <v>Лайтс</v>
      </c>
      <c r="G1278" s="154" t="s">
        <v>219</v>
      </c>
      <c r="H1278" s="319"/>
      <c r="I1278" s="320">
        <f>I1276-I1277</f>
        <v>12.817967034648746</v>
      </c>
      <c r="J1278" s="321"/>
      <c r="K1278" s="320">
        <f t="shared" ref="K1278" si="2259">K1276-K1277</f>
        <v>12.817967034648746</v>
      </c>
      <c r="L1278" s="322">
        <f t="shared" ref="L1278" si="2260">L1276-L1277</f>
        <v>0</v>
      </c>
      <c r="M1278" s="275"/>
      <c r="N1278" s="155">
        <f>N1276-N1277</f>
        <v>12.817967034648746</v>
      </c>
      <c r="O1278" s="173"/>
      <c r="P1278" s="155">
        <f t="shared" ref="P1278" si="2261">P1276-P1277</f>
        <v>12.817967034648746</v>
      </c>
      <c r="Q1278" s="239">
        <f t="shared" ref="Q1278" si="2262">Q1276-Q1277</f>
        <v>0</v>
      </c>
      <c r="R1278" s="240"/>
      <c r="S1278" s="155">
        <f>S1276-S1277</f>
        <v>11.190125133812575</v>
      </c>
      <c r="T1278" s="173"/>
      <c r="U1278" s="155">
        <f t="shared" ref="U1278" si="2263">U1276-U1277</f>
        <v>18.822227798129266</v>
      </c>
      <c r="V1278" s="239">
        <f t="shared" ref="V1278" si="2264">V1276-V1277</f>
        <v>0</v>
      </c>
      <c r="W1278" s="240"/>
      <c r="X1278" s="155">
        <f>X1276-X1277</f>
        <v>24.537446979724592</v>
      </c>
      <c r="Y1278" s="173"/>
      <c r="Z1278" s="155">
        <f t="shared" ref="Z1278" si="2265">Z1276-Z1277</f>
        <v>37.768971753624456</v>
      </c>
      <c r="AA1278" s="239">
        <f t="shared" ref="AA1278" si="2266">AA1276-AA1277</f>
        <v>0</v>
      </c>
      <c r="AB1278" s="230"/>
      <c r="AC1278" s="48"/>
      <c r="AD1278" s="48"/>
      <c r="AE1278" s="48"/>
      <c r="AF1278" s="48"/>
      <c r="AG1278" s="48"/>
      <c r="AH1278" s="48"/>
      <c r="AI1278" s="48"/>
      <c r="AJ1278" s="48"/>
      <c r="AK1278" s="48"/>
      <c r="AL1278" s="48"/>
      <c r="AM1278" s="48"/>
      <c r="AN1278" s="48"/>
      <c r="AO1278" s="48"/>
      <c r="AP1278" s="48"/>
    </row>
    <row r="1279" spans="1:42" s="5" customFormat="1">
      <c r="A1279" s="1"/>
      <c r="B1279" s="1"/>
      <c r="C1279" s="1"/>
      <c r="D1279" s="168"/>
      <c r="E1279" s="168" t="s">
        <v>258</v>
      </c>
      <c r="F1279" s="168" t="str">
        <f t="shared" si="2254"/>
        <v>Лайтс</v>
      </c>
      <c r="G1279" s="168" t="s">
        <v>261</v>
      </c>
      <c r="H1279" s="326"/>
      <c r="I1279" s="327">
        <f>SUMIFS(операции!$V:$V,операции!$T:$T,"&lt;"&amp;I$8,операции!$X:$X,"",операции!$AB:$AB,"&lt;&gt;"&amp;"",операции!$AB:$AB,"&lt;"&amp;I$8,операции!$O:$O,$F1274)+SUMIFS(операции!$V:$V,операции!$T:$T,"&lt;"&amp;I$8,операции!$X:$X,"&gt;="&amp;I$8,операции!$AB:$AB,"&lt;&gt;"&amp;"",операции!$AB:$AB,"&lt;"&amp;I$8,операции!$O:$O,$F1274)</f>
        <v>8025.4000000000005</v>
      </c>
      <c r="J1279" s="313">
        <f>I1279-K1279-L1279</f>
        <v>0</v>
      </c>
      <c r="K1279" s="327">
        <f>SUMIFS(операции!$V:$V,операции!$T:$T,"&lt;"&amp;I$8,операции!$X:$X,"",операции!$AB:$AB,"&lt;&gt;"&amp;"",операции!$AB:$AB,"&lt;"&amp;I$8,операции!$L:$L,K$9,операции!$O:$O,$F1274)+SUMIFS(операции!$V:$V,операции!$T:$T,"&lt;"&amp;I$8,операции!$X:$X,"&gt;="&amp;I$8,операции!$AB:$AB,"&lt;&gt;"&amp;"",операции!$AB:$AB,"&lt;"&amp;I$8,операции!$L:$L,K$9,операции!$O:$O,$F1274)</f>
        <v>8025.4000000000005</v>
      </c>
      <c r="L1279" s="328">
        <f>SUMIFS(операции!$V:$V,операции!$T:$T,"&lt;"&amp;I$8,операции!$X:$X,"",операции!$AB:$AB,"&lt;&gt;"&amp;"",операции!$AB:$AB,"&lt;"&amp;I$8,операции!$L:$L,L$9,операции!$O:$O,$F1274)+SUMIFS(операции!$V:$V,операции!$T:$T,"&lt;"&amp;I$8,операции!$X:$X,"&gt;="&amp;I$8,операции!$AB:$AB,"&lt;&gt;"&amp;"",операции!$AB:$AB,"&lt;"&amp;I$8,операции!$L:$L,L$9,операции!$O:$O,$F1274)</f>
        <v>0</v>
      </c>
      <c r="M1279" s="277"/>
      <c r="N1279" s="169">
        <f>SUMIFS(операции!$V:$V,операции!$T:$T,"&lt;"&amp;N$8,операции!$X:$X,"",операции!$AB:$AB,"&lt;&gt;"&amp;"",операции!$AB:$AB,"&lt;"&amp;N$8,операции!$O:$O,$F1274)+SUMIFS(операции!$V:$V,операции!$T:$T,"&lt;"&amp;N$8,операции!$X:$X,"&gt;="&amp;N$8,операции!$AB:$AB,"&lt;&gt;"&amp;"",операции!$AB:$AB,"&lt;"&amp;N$8,операции!$O:$O,$F1274)</f>
        <v>8025.4000000000005</v>
      </c>
      <c r="O1279" s="170">
        <f>N1279-P1279-Q1279</f>
        <v>0</v>
      </c>
      <c r="P1279" s="169">
        <f>SUMIFS(операции!$V:$V,операции!$T:$T,"&lt;"&amp;N$8,операции!$X:$X,"",операции!$AB:$AB,"&lt;&gt;"&amp;"",операции!$AB:$AB,"&lt;"&amp;N$8,операции!$L:$L,P$9,операции!$O:$O,$F1274)+SUMIFS(операции!$V:$V,операции!$T:$T,"&lt;"&amp;N$8,операции!$X:$X,"&gt;="&amp;N$8,операции!$AB:$AB,"&lt;&gt;"&amp;"",операции!$AB:$AB,"&lt;"&amp;N$8,операции!$L:$L,P$9,операции!$O:$O,$F1274)</f>
        <v>8025.4000000000005</v>
      </c>
      <c r="Q1279" s="243">
        <f>SUMIFS(операции!$V:$V,операции!$T:$T,"&lt;"&amp;N$8,операции!$X:$X,"",операции!$AB:$AB,"&lt;&gt;"&amp;"",операции!$AB:$AB,"&lt;"&amp;N$8,операции!$L:$L,Q$9,операции!$O:$O,$F1274)+SUMIFS(операции!$V:$V,операции!$T:$T,"&lt;"&amp;N$8,операции!$X:$X,"&gt;="&amp;N$8,операции!$AB:$AB,"&lt;&gt;"&amp;"",операции!$AB:$AB,"&lt;"&amp;N$8,операции!$L:$L,Q$9,операции!$O:$O,$F1274)</f>
        <v>0</v>
      </c>
      <c r="R1279" s="244"/>
      <c r="S1279" s="169">
        <f>SUMIFS(операции!$V:$V,операции!$T:$T,"&lt;"&amp;S$8,операции!$X:$X,"",операции!$AB:$AB,"&lt;&gt;"&amp;"",операции!$AB:$AB,"&lt;"&amp;S$8,операции!$O:$O,$F1274)+SUMIFS(операции!$V:$V,операции!$T:$T,"&lt;"&amp;S$8,операции!$X:$X,"&gt;="&amp;S$8,операции!$AB:$AB,"&lt;&gt;"&amp;"",операции!$AB:$AB,"&lt;"&amp;S$8,операции!$O:$O,$F1274)</f>
        <v>33355.11</v>
      </c>
      <c r="T1279" s="170">
        <f>S1279-U1279-V1279</f>
        <v>0</v>
      </c>
      <c r="U1279" s="169">
        <f>SUMIFS(операции!$V:$V,операции!$T:$T,"&lt;"&amp;S$8,операции!$X:$X,"",операции!$AB:$AB,"&lt;&gt;"&amp;"",операции!$AB:$AB,"&lt;"&amp;S$8,операции!$L:$L,U$9,операции!$O:$O,$F1274)+SUMIFS(операции!$V:$V,операции!$T:$T,"&lt;"&amp;S$8,операции!$X:$X,"&gt;="&amp;S$8,операции!$AB:$AB,"&lt;&gt;"&amp;"",операции!$AB:$AB,"&lt;"&amp;S$8,операции!$L:$L,U$9,операции!$O:$O,$F1274)</f>
        <v>33355.11</v>
      </c>
      <c r="V1279" s="243">
        <f>SUMIFS(операции!$V:$V,операции!$T:$T,"&lt;"&amp;S$8,операции!$X:$X,"",операции!$AB:$AB,"&lt;&gt;"&amp;"",операции!$AB:$AB,"&lt;"&amp;S$8,операции!$L:$L,V$9,операции!$O:$O,$F1274)+SUMIFS(операции!$V:$V,операции!$T:$T,"&lt;"&amp;S$8,операции!$X:$X,"&gt;="&amp;S$8,операции!$AB:$AB,"&lt;&gt;"&amp;"",операции!$AB:$AB,"&lt;"&amp;S$8,операции!$L:$L,V$9,операции!$O:$O,$F1274)</f>
        <v>0</v>
      </c>
      <c r="W1279" s="244"/>
      <c r="X1279" s="169">
        <f>SUMIFS(операции!$V:$V,операции!$T:$T,"&lt;"&amp;X$8,операции!$X:$X,"",операции!$AB:$AB,"&lt;&gt;"&amp;"",операции!$AB:$AB,"&lt;"&amp;X$8,операции!$O:$O,$F1274)+SUMIFS(операции!$V:$V,операции!$T:$T,"&lt;"&amp;X$8,операции!$X:$X,"&gt;="&amp;X$8,операции!$AB:$AB,"&lt;&gt;"&amp;"",операции!$AB:$AB,"&lt;"&amp;X$8,операции!$O:$O,$F1274)</f>
        <v>27160.170000000002</v>
      </c>
      <c r="Y1279" s="170">
        <f>X1279-Z1279-AA1279</f>
        <v>0</v>
      </c>
      <c r="Z1279" s="169">
        <f>SUMIFS(операции!$V:$V,операции!$T:$T,"&lt;"&amp;X$8,операции!$X:$X,"",операции!$AB:$AB,"&lt;&gt;"&amp;"",операции!$AB:$AB,"&lt;"&amp;X$8,операции!$L:$L,Z$9,операции!$O:$O,$F1274)+SUMIFS(операции!$V:$V,операции!$T:$T,"&lt;"&amp;X$8,операции!$X:$X,"&gt;="&amp;X$8,операции!$AB:$AB,"&lt;&gt;"&amp;"",операции!$AB:$AB,"&lt;"&amp;X$8,операции!$L:$L,Z$9,операции!$O:$O,$F1274)</f>
        <v>27160.170000000002</v>
      </c>
      <c r="AA1279" s="243">
        <f>SUMIFS(операции!$V:$V,операции!$T:$T,"&lt;"&amp;X$8,операции!$X:$X,"",операции!$AB:$AB,"&lt;&gt;"&amp;"",операции!$AB:$AB,"&lt;"&amp;X$8,операции!$L:$L,AA$9,операции!$O:$O,$F1274)+SUMIFS(операции!$V:$V,операции!$T:$T,"&lt;"&amp;X$8,операции!$X:$X,"&gt;="&amp;X$8,операции!$AB:$AB,"&lt;&gt;"&amp;"",операции!$AB:$AB,"&lt;"&amp;X$8,операции!$L:$L,AA$9,операции!$O:$O,$F1274)</f>
        <v>0</v>
      </c>
      <c r="AB1279" s="266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</row>
    <row r="1280" spans="1:42" s="192" customFormat="1" ht="11.25">
      <c r="A1280" s="37"/>
      <c r="B1280" s="37"/>
      <c r="C1280" s="37"/>
      <c r="D1280" s="191"/>
      <c r="E1280" s="191" t="s">
        <v>255</v>
      </c>
      <c r="F1280" s="191" t="str">
        <f t="shared" si="2254"/>
        <v>Лайтс</v>
      </c>
      <c r="G1280" s="191" t="s">
        <v>262</v>
      </c>
      <c r="H1280" s="315"/>
      <c r="I1280" s="316">
        <f>IF(I1279=0,0,(SUMIFS(операции!$AF:$AF,операции!$T:$T,"&lt;"&amp;I$8,операции!$X:$X,"",операции!$AB:$AB,"&lt;&gt;"&amp;"",операции!$AB:$AB,"&lt;"&amp;I$8,операции!$O:$O,$F1274)+SUMIFS(операции!$AF:$AF,операции!$T:$T,"&lt;"&amp;I$8,операции!$X:$X,"&gt;="&amp;I$8,операции!$AB:$AB,"&lt;&gt;"&amp;"",операции!$AB:$AB,"&lt;"&amp;I$8,операции!$O:$O,$F1274))/I1279)</f>
        <v>42161.878246567147</v>
      </c>
      <c r="J1280" s="317"/>
      <c r="K1280" s="316">
        <f>IF(K1279=0,0,(SUMIFS(операции!$AF:$AF,операции!$T:$T,"&lt;"&amp;I$8,операции!$X:$X,"",операции!$AB:$AB,"&lt;&gt;"&amp;"",операции!$AB:$AB,"&lt;"&amp;I$8,операции!$L:$L,K$9,операции!$O:$O,$F1274)+SUMIFS(операции!$AF:$AF,операции!$T:$T,"&lt;"&amp;I$8,операции!$X:$X,"&gt;="&amp;I$8,операции!$AB:$AB,"&lt;&gt;"&amp;"",операции!$AB:$AB,"&lt;"&amp;I$8,операции!$L:$L,K$9,операции!$O:$O,$F1274))/K1279)</f>
        <v>42161.878246567147</v>
      </c>
      <c r="L1280" s="318">
        <f>IF(L1279=0,0,(SUMIFS(операции!$AF:$AF,операции!$T:$T,"&lt;"&amp;I$8,операции!$X:$X,"",операции!$AB:$AB,"&lt;&gt;"&amp;"",операции!$AB:$AB,"&lt;"&amp;I$8,операции!$L:$L,L$9,операции!$O:$O,$F1274)+SUMIFS(операции!$AF:$AF,операции!$T:$T,"&lt;"&amp;I$8,операции!$X:$X,"&gt;="&amp;I$8,операции!$AB:$AB,"&lt;&gt;"&amp;"",операции!$AB:$AB,"&lt;"&amp;I$8,операции!$L:$L,L$9,операции!$O:$O,$F1274))/L1279)</f>
        <v>0</v>
      </c>
      <c r="M1280" s="274"/>
      <c r="N1280" s="193">
        <f>IF(N1279=0,0,(SUMIFS(операции!$AF:$AF,операции!$T:$T,"&lt;"&amp;N$8,операции!$X:$X,"",операции!$AB:$AB,"&lt;&gt;"&amp;"",операции!$AB:$AB,"&lt;"&amp;N$8,операции!$O:$O,$F1274)+SUMIFS(операции!$AF:$AF,операции!$T:$T,"&lt;"&amp;N$8,операции!$X:$X,"&gt;="&amp;N$8,операции!$AB:$AB,"&lt;&gt;"&amp;"",операции!$AB:$AB,"&lt;"&amp;N$8,операции!$O:$O,$F1274))/N1279)</f>
        <v>42161.878246567147</v>
      </c>
      <c r="O1280" s="196"/>
      <c r="P1280" s="193">
        <f>IF(P1279=0,0,(SUMIFS(операции!$AF:$AF,операции!$T:$T,"&lt;"&amp;N$8,операции!$X:$X,"",операции!$AB:$AB,"&lt;&gt;"&amp;"",операции!$AB:$AB,"&lt;"&amp;N$8,операции!$L:$L,P$9,операции!$O:$O,$F1274)+SUMIFS(операции!$AF:$AF,операции!$T:$T,"&lt;"&amp;N$8,операции!$X:$X,"&gt;="&amp;N$8,операции!$AB:$AB,"&lt;&gt;"&amp;"",операции!$AB:$AB,"&lt;"&amp;N$8,операции!$L:$L,P$9,операции!$O:$O,$F1274))/P1279)</f>
        <v>42161.878246567147</v>
      </c>
      <c r="Q1280" s="237">
        <f>IF(Q1279=0,0,(SUMIFS(операции!$AF:$AF,операции!$T:$T,"&lt;"&amp;N$8,операции!$X:$X,"",операции!$AB:$AB,"&lt;&gt;"&amp;"",операции!$AB:$AB,"&lt;"&amp;N$8,операции!$L:$L,Q$9,операции!$O:$O,$F1274)+SUMIFS(операции!$AF:$AF,операции!$T:$T,"&lt;"&amp;N$8,операции!$X:$X,"&gt;="&amp;N$8,операции!$AB:$AB,"&lt;&gt;"&amp;"",операции!$AB:$AB,"&lt;"&amp;N$8,операции!$L:$L,Q$9,операции!$O:$O,$F1274))/Q1279)</f>
        <v>0</v>
      </c>
      <c r="R1280" s="238"/>
      <c r="S1280" s="193">
        <f>IF(S1279=0,0,(SUMIFS(операции!$AF:$AF,операции!$T:$T,"&lt;"&amp;S$8,операции!$X:$X,"",операции!$AB:$AB,"&lt;&gt;"&amp;"",операции!$AB:$AB,"&lt;"&amp;S$8,операции!$O:$O,$F1274)+SUMIFS(операции!$AF:$AF,операции!$T:$T,"&lt;"&amp;S$8,операции!$X:$X,"&gt;="&amp;S$8,операции!$AB:$AB,"&lt;&gt;"&amp;"",операции!$AB:$AB,"&lt;"&amp;S$8,операции!$O:$O,$F1274))/S1279)</f>
        <v>42240.740124676551</v>
      </c>
      <c r="T1280" s="196"/>
      <c r="U1280" s="193">
        <f>IF(U1279=0,0,(SUMIFS(операции!$AF:$AF,операции!$T:$T,"&lt;"&amp;S$8,операции!$X:$X,"",операции!$AB:$AB,"&lt;&gt;"&amp;"",операции!$AB:$AB,"&lt;"&amp;S$8,операции!$L:$L,U$9,операции!$O:$O,$F1274)+SUMIFS(операции!$AF:$AF,операции!$T:$T,"&lt;"&amp;S$8,операции!$X:$X,"&gt;="&amp;S$8,операции!$AB:$AB,"&lt;&gt;"&amp;"",операции!$AB:$AB,"&lt;"&amp;S$8,операции!$L:$L,U$9,операции!$O:$O,$F1274))/U1279)</f>
        <v>42240.740124676551</v>
      </c>
      <c r="V1280" s="237">
        <f>IF(V1279=0,0,(SUMIFS(операции!$AF:$AF,операции!$T:$T,"&lt;"&amp;S$8,операции!$X:$X,"",операции!$AB:$AB,"&lt;&gt;"&amp;"",операции!$AB:$AB,"&lt;"&amp;S$8,операции!$L:$L,V$9,операции!$O:$O,$F1274)+SUMIFS(операции!$AF:$AF,операции!$T:$T,"&lt;"&amp;S$8,операции!$X:$X,"&gt;="&amp;S$8,операции!$AB:$AB,"&lt;&gt;"&amp;"",операции!$AB:$AB,"&lt;"&amp;S$8,операции!$L:$L,V$9,операции!$O:$O,$F1274))/V1279)</f>
        <v>0</v>
      </c>
      <c r="W1280" s="238"/>
      <c r="X1280" s="193">
        <f>IF(X1279=0,0,(SUMIFS(операции!$AF:$AF,операции!$T:$T,"&lt;"&amp;X$8,операции!$X:$X,"",операции!$AB:$AB,"&lt;&gt;"&amp;"",операции!$AB:$AB,"&lt;"&amp;X$8,операции!$O:$O,$F1274)+SUMIFS(операции!$AF:$AF,операции!$T:$T,"&lt;"&amp;X$8,операции!$X:$X,"&gt;="&amp;X$8,операции!$AB:$AB,"&lt;&gt;"&amp;"",операции!$AB:$AB,"&lt;"&amp;X$8,операции!$O:$O,$F1274))/X1279)</f>
        <v>42267.456083669575</v>
      </c>
      <c r="Y1280" s="196"/>
      <c r="Z1280" s="193">
        <f>IF(Z1279=0,0,(SUMIFS(операции!$AF:$AF,операции!$T:$T,"&lt;"&amp;X$8,операции!$X:$X,"",операции!$AB:$AB,"&lt;&gt;"&amp;"",операции!$AB:$AB,"&lt;"&amp;X$8,операции!$L:$L,Z$9,операции!$O:$O,$F1274)+SUMIFS(операции!$AF:$AF,операции!$T:$T,"&lt;"&amp;X$8,операции!$X:$X,"&gt;="&amp;X$8,операции!$AB:$AB,"&lt;&gt;"&amp;"",операции!$AB:$AB,"&lt;"&amp;X$8,операции!$L:$L,Z$9,операции!$O:$O,$F1274))/Z1279)</f>
        <v>42267.456083669575</v>
      </c>
      <c r="AA1280" s="237">
        <f>IF(AA1279=0,0,(SUMIFS(операции!$AF:$AF,операции!$T:$T,"&lt;"&amp;X$8,операции!$X:$X,"",операции!$AB:$AB,"&lt;&gt;"&amp;"",операции!$AB:$AB,"&lt;"&amp;X$8,операции!$L:$L,AA$9,операции!$O:$O,$F1274)+SUMIFS(операции!$AF:$AF,операции!$T:$T,"&lt;"&amp;X$8,операции!$X:$X,"&gt;="&amp;X$8,операции!$AB:$AB,"&lt;&gt;"&amp;"",операции!$AB:$AB,"&lt;"&amp;X$8,операции!$L:$L,AA$9,операции!$O:$O,$F1274))/AA1279)</f>
        <v>0</v>
      </c>
      <c r="AB1280" s="265"/>
      <c r="AC1280" s="37"/>
      <c r="AD1280" s="37"/>
      <c r="AE1280" s="37"/>
      <c r="AF1280" s="37"/>
      <c r="AG1280" s="37"/>
      <c r="AH1280" s="37"/>
      <c r="AI1280" s="37"/>
      <c r="AJ1280" s="37"/>
      <c r="AK1280" s="37"/>
      <c r="AL1280" s="37"/>
      <c r="AM1280" s="37"/>
      <c r="AN1280" s="37"/>
      <c r="AO1280" s="37"/>
      <c r="AP1280" s="37"/>
    </row>
    <row r="1281" spans="1:42" s="192" customFormat="1" ht="11.25">
      <c r="A1281" s="37"/>
      <c r="B1281" s="37"/>
      <c r="C1281" s="37"/>
      <c r="D1281" s="191"/>
      <c r="E1281" s="191" t="s">
        <v>260</v>
      </c>
      <c r="F1281" s="191" t="str">
        <f t="shared" si="2254"/>
        <v>Лайтс</v>
      </c>
      <c r="G1281" s="191" t="s">
        <v>219</v>
      </c>
      <c r="H1281" s="315"/>
      <c r="I1281" s="329">
        <f>IF(I1279=0,0,I$8-I1280)</f>
        <v>116.12175343285344</v>
      </c>
      <c r="J1281" s="317"/>
      <c r="K1281" s="329">
        <f>IF(K1279=0,0,I$8-K1280)</f>
        <v>116.12175343285344</v>
      </c>
      <c r="L1281" s="330">
        <f>IF(L1279=0,0,I$8-L1280)</f>
        <v>0</v>
      </c>
      <c r="M1281" s="274"/>
      <c r="N1281" s="156">
        <f>IF(N1279=0,0,N$8-N1280)</f>
        <v>116.12175343285344</v>
      </c>
      <c r="O1281" s="196"/>
      <c r="P1281" s="156">
        <f>IF(P1279=0,0,N$8-P1280)</f>
        <v>116.12175343285344</v>
      </c>
      <c r="Q1281" s="245">
        <f>IF(Q1279=0,0,N$8-Q1280)</f>
        <v>0</v>
      </c>
      <c r="R1281" s="238"/>
      <c r="S1281" s="156">
        <f>IF(S1279=0,0,S$8-S1280)</f>
        <v>68.259875323448796</v>
      </c>
      <c r="T1281" s="196"/>
      <c r="U1281" s="156">
        <f>IF(U1279=0,0,S$8-U1280)</f>
        <v>68.259875323448796</v>
      </c>
      <c r="V1281" s="245">
        <f>IF(V1279=0,0,S$8-V1280)</f>
        <v>0</v>
      </c>
      <c r="W1281" s="238"/>
      <c r="X1281" s="156">
        <f>IF(X1279=0,0,X$8-X1280)</f>
        <v>71.543916330425418</v>
      </c>
      <c r="Y1281" s="196"/>
      <c r="Z1281" s="156">
        <f>IF(Z1279=0,0,X$8-Z1280)</f>
        <v>71.543916330425418</v>
      </c>
      <c r="AA1281" s="245">
        <f>IF(AA1279=0,0,X$8-AA1280)</f>
        <v>0</v>
      </c>
      <c r="AB1281" s="265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/>
      <c r="AM1281" s="37"/>
      <c r="AN1281" s="37"/>
      <c r="AO1281" s="37"/>
      <c r="AP1281" s="37"/>
    </row>
    <row r="1282" spans="1:42" s="192" customFormat="1" ht="11.25">
      <c r="A1282" s="37"/>
      <c r="B1282" s="37"/>
      <c r="C1282" s="37"/>
      <c r="D1282" s="191"/>
      <c r="E1282" s="191" t="s">
        <v>259</v>
      </c>
      <c r="F1282" s="191" t="str">
        <f t="shared" si="2254"/>
        <v>Лайтс</v>
      </c>
      <c r="G1282" s="191" t="s">
        <v>262</v>
      </c>
      <c r="H1282" s="315"/>
      <c r="I1282" s="316">
        <f>IF(I1279=0,0,(SUMIFS(операции!$AH:$AH,операции!$T:$T,"&lt;"&amp;I$8,операции!$X:$X,"",операции!$AB:$AB,"&lt;&gt;"&amp;"",операции!$AB:$AB,"&lt;"&amp;I$8,операции!$O:$O,$F1274)+SUMIFS(операции!$AH:$AH,операции!$T:$T,"&lt;"&amp;I$8,операции!$X:$X,"&gt;="&amp;I$8,операции!$AB:$AB,"&lt;&gt;"&amp;"",операции!$AB:$AB,"&lt;"&amp;I$8,операции!$O:$O,$F1274))/I1279)</f>
        <v>42181.011573254909</v>
      </c>
      <c r="J1282" s="317"/>
      <c r="K1282" s="316">
        <f>IF(K1279=0,0,(SUMIFS(операции!$AH:$AH,операции!$T:$T,"&lt;"&amp;I$8,операции!$X:$X,"",операции!$AB:$AB,"&lt;&gt;"&amp;"",операции!$AB:$AB,"&lt;"&amp;I$8,операции!$L:$L,K$9,операции!$O:$O,$F1274)+SUMIFS(операции!$AH:$AH,операции!$T:$T,"&lt;"&amp;I$8,операции!$X:$X,"&gt;="&amp;I$8,операции!$AB:$AB,"&lt;&gt;"&amp;"",операции!$AB:$AB,"&lt;"&amp;I$8,операции!$L:$L,K$9,операции!$O:$O,$F1274))/K1279)</f>
        <v>42181.011573254909</v>
      </c>
      <c r="L1282" s="318">
        <f>IF(L1279=0,0,(SUMIFS(операции!$AH:$AH,операции!$T:$T,"&lt;"&amp;I$8,операции!$X:$X,"",операции!$AB:$AB,"&lt;&gt;"&amp;"",операции!$AB:$AB,"&lt;"&amp;I$8,операции!$L:$L,L$9,операции!$O:$O,$F1274)+SUMIFS(операции!$AH:$AH,операции!$T:$T,"&lt;"&amp;I$8,операции!$X:$X,"&gt;="&amp;I$8,операции!$AB:$AB,"&lt;&gt;"&amp;"",операции!$AB:$AB,"&lt;"&amp;I$8,операции!$L:$L,L$9,операции!$O:$O,$F1274))/L1279)</f>
        <v>0</v>
      </c>
      <c r="M1282" s="274"/>
      <c r="N1282" s="193">
        <f>IF(N1279=0,0,(SUMIFS(операции!$AH:$AH,операции!$T:$T,"&lt;"&amp;N$8,операции!$X:$X,"",операции!$AB:$AB,"&lt;&gt;"&amp;"",операции!$AB:$AB,"&lt;"&amp;N$8,операции!$O:$O,$F1274)+SUMIFS(операции!$AH:$AH,операции!$T:$T,"&lt;"&amp;N$8,операции!$X:$X,"&gt;="&amp;N$8,операции!$AB:$AB,"&lt;&gt;"&amp;"",операции!$AB:$AB,"&lt;"&amp;N$8,операции!$O:$O,$F1274))/N1279)</f>
        <v>42181.011573254909</v>
      </c>
      <c r="O1282" s="196"/>
      <c r="P1282" s="193">
        <f>IF(P1279=0,0,(SUMIFS(операции!$AH:$AH,операции!$T:$T,"&lt;"&amp;N$8,операции!$X:$X,"",операции!$AB:$AB,"&lt;&gt;"&amp;"",операции!$AB:$AB,"&lt;"&amp;N$8,операции!$L:$L,P$9,операции!$O:$O,$F1274)+SUMIFS(операции!$AH:$AH,операции!$T:$T,"&lt;"&amp;N$8,операции!$X:$X,"&gt;="&amp;N$8,операции!$AB:$AB,"&lt;&gt;"&amp;"",операции!$AB:$AB,"&lt;"&amp;N$8,операции!$L:$L,P$9,операции!$O:$O,$F1274))/P1279)</f>
        <v>42181.011573254909</v>
      </c>
      <c r="Q1282" s="237">
        <f>IF(Q1279=0,0,(SUMIFS(операции!$AH:$AH,операции!$T:$T,"&lt;"&amp;N$8,операции!$X:$X,"",операции!$AB:$AB,"&lt;&gt;"&amp;"",операции!$AB:$AB,"&lt;"&amp;N$8,операции!$L:$L,Q$9,операции!$O:$O,$F1274)+SUMIFS(операции!$AH:$AH,операции!$T:$T,"&lt;"&amp;N$8,операции!$X:$X,"&gt;="&amp;N$8,операции!$AB:$AB,"&lt;&gt;"&amp;"",операции!$AB:$AB,"&lt;"&amp;N$8,операции!$L:$L,Q$9,операции!$O:$O,$F1274))/Q1279)</f>
        <v>0</v>
      </c>
      <c r="R1282" s="238"/>
      <c r="S1282" s="193">
        <f>IF(S1279=0,0,(SUMIFS(операции!$AH:$AH,операции!$T:$T,"&lt;"&amp;S$8,операции!$X:$X,"",операции!$AB:$AB,"&lt;&gt;"&amp;"",операции!$AB:$AB,"&lt;"&amp;S$8,операции!$O:$O,$F1274)+SUMIFS(операции!$AH:$AH,операции!$T:$T,"&lt;"&amp;S$8,операции!$X:$X,"&gt;="&amp;S$8,операции!$AB:$AB,"&lt;&gt;"&amp;"",операции!$AB:$AB,"&lt;"&amp;S$8,операции!$O:$O,$F1274))/S1279)</f>
        <v>42267.889179199228</v>
      </c>
      <c r="T1282" s="196"/>
      <c r="U1282" s="193">
        <f>IF(U1279=0,0,(SUMIFS(операции!$AH:$AH,операции!$T:$T,"&lt;"&amp;S$8,операции!$X:$X,"",операции!$AB:$AB,"&lt;&gt;"&amp;"",операции!$AB:$AB,"&lt;"&amp;S$8,операции!$L:$L,U$9,операции!$O:$O,$F1274)+SUMIFS(операции!$AH:$AH,операции!$T:$T,"&lt;"&amp;S$8,операции!$X:$X,"&gt;="&amp;S$8,операции!$AB:$AB,"&lt;&gt;"&amp;"",операции!$AB:$AB,"&lt;"&amp;S$8,операции!$L:$L,U$9,операции!$O:$O,$F1274))/U1279)</f>
        <v>42267.889179199228</v>
      </c>
      <c r="V1282" s="237">
        <f>IF(V1279=0,0,(SUMIFS(операции!$AH:$AH,операции!$T:$T,"&lt;"&amp;S$8,операции!$X:$X,"",операции!$AB:$AB,"&lt;&gt;"&amp;"",операции!$AB:$AB,"&lt;"&amp;S$8,операции!$L:$L,V$9,операции!$O:$O,$F1274)+SUMIFS(операции!$AH:$AH,операции!$T:$T,"&lt;"&amp;S$8,операции!$X:$X,"&gt;="&amp;S$8,операции!$AB:$AB,"&lt;&gt;"&amp;"",операции!$AB:$AB,"&lt;"&amp;S$8,операции!$L:$L,V$9,операции!$O:$O,$F1274))/V1279)</f>
        <v>0</v>
      </c>
      <c r="W1282" s="238"/>
      <c r="X1282" s="193">
        <f>IF(X1279=0,0,(SUMIFS(операции!$AH:$AH,операции!$T:$T,"&lt;"&amp;X$8,операции!$X:$X,"",операции!$AB:$AB,"&lt;&gt;"&amp;"",операции!$AB:$AB,"&lt;"&amp;X$8,операции!$O:$O,$F1274)+SUMIFS(операции!$AH:$AH,операции!$T:$T,"&lt;"&amp;X$8,операции!$X:$X,"&gt;="&amp;X$8,операции!$AB:$AB,"&lt;&gt;"&amp;"",операции!$AB:$AB,"&lt;"&amp;X$8,операции!$O:$O,$F1274))/X1279)</f>
        <v>42297.932855353996</v>
      </c>
      <c r="Y1282" s="196"/>
      <c r="Z1282" s="193">
        <f>IF(Z1279=0,0,(SUMIFS(операции!$AH:$AH,операции!$T:$T,"&lt;"&amp;X$8,операции!$X:$X,"",операции!$AB:$AB,"&lt;&gt;"&amp;"",операции!$AB:$AB,"&lt;"&amp;X$8,операции!$L:$L,Z$9,операции!$O:$O,$F1274)+SUMIFS(операции!$AH:$AH,операции!$T:$T,"&lt;"&amp;X$8,операции!$X:$X,"&gt;="&amp;X$8,операции!$AB:$AB,"&lt;&gt;"&amp;"",операции!$AB:$AB,"&lt;"&amp;X$8,операции!$L:$L,Z$9,операции!$O:$O,$F1274))/Z1279)</f>
        <v>42297.932855353996</v>
      </c>
      <c r="AA1282" s="237">
        <f>IF(AA1279=0,0,(SUMIFS(операции!$AH:$AH,операции!$T:$T,"&lt;"&amp;X$8,операции!$X:$X,"",операции!$AB:$AB,"&lt;&gt;"&amp;"",операции!$AB:$AB,"&lt;"&amp;X$8,операции!$L:$L,AA$9,операции!$O:$O,$F1274)+SUMIFS(операции!$AH:$AH,операции!$T:$T,"&lt;"&amp;X$8,операции!$X:$X,"&gt;="&amp;X$8,операции!$AB:$AB,"&lt;&gt;"&amp;"",операции!$AB:$AB,"&lt;"&amp;X$8,операции!$L:$L,AA$9,операции!$O:$O,$F1274))/AA1279)</f>
        <v>0</v>
      </c>
      <c r="AB1282" s="265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/>
      <c r="AM1282" s="37"/>
      <c r="AN1282" s="37"/>
      <c r="AO1282" s="37"/>
      <c r="AP1282" s="37"/>
    </row>
    <row r="1283" spans="1:42" s="192" customFormat="1" ht="11.25">
      <c r="A1283" s="37"/>
      <c r="B1283" s="37"/>
      <c r="C1283" s="37"/>
      <c r="D1283" s="191"/>
      <c r="E1283" s="191" t="s">
        <v>265</v>
      </c>
      <c r="F1283" s="191" t="str">
        <f t="shared" si="2254"/>
        <v>Лайтс</v>
      </c>
      <c r="G1283" s="191" t="s">
        <v>219</v>
      </c>
      <c r="H1283" s="315"/>
      <c r="I1283" s="329">
        <f>I1282-I1280</f>
        <v>19.133326687762747</v>
      </c>
      <c r="J1283" s="317"/>
      <c r="K1283" s="329">
        <f t="shared" ref="K1283" si="2267">K1282-K1280</f>
        <v>19.133326687762747</v>
      </c>
      <c r="L1283" s="330">
        <f>L1282-L1280</f>
        <v>0</v>
      </c>
      <c r="M1283" s="274"/>
      <c r="N1283" s="156">
        <f>N1282-N1280</f>
        <v>19.133326687762747</v>
      </c>
      <c r="O1283" s="196"/>
      <c r="P1283" s="156">
        <f t="shared" ref="P1283" si="2268">P1282-P1280</f>
        <v>19.133326687762747</v>
      </c>
      <c r="Q1283" s="245">
        <f>Q1282-Q1280</f>
        <v>0</v>
      </c>
      <c r="R1283" s="238"/>
      <c r="S1283" s="156">
        <f>S1282-S1280</f>
        <v>27.149054522677034</v>
      </c>
      <c r="T1283" s="196"/>
      <c r="U1283" s="156">
        <f t="shared" ref="U1283" si="2269">U1282-U1280</f>
        <v>27.149054522677034</v>
      </c>
      <c r="V1283" s="245">
        <f>V1282-V1280</f>
        <v>0</v>
      </c>
      <c r="W1283" s="238"/>
      <c r="X1283" s="156">
        <f>X1282-X1280</f>
        <v>30.476771684421692</v>
      </c>
      <c r="Y1283" s="196"/>
      <c r="Z1283" s="156">
        <f t="shared" ref="Z1283" si="2270">Z1282-Z1280</f>
        <v>30.476771684421692</v>
      </c>
      <c r="AA1283" s="245">
        <f>AA1282-AA1280</f>
        <v>0</v>
      </c>
      <c r="AB1283" s="265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37"/>
    </row>
    <row r="1284" spans="1:42" s="192" customFormat="1" ht="11.25">
      <c r="A1284" s="37"/>
      <c r="B1284" s="37"/>
      <c r="C1284" s="37"/>
      <c r="D1284" s="191"/>
      <c r="E1284" s="191" t="s">
        <v>268</v>
      </c>
      <c r="F1284" s="191" t="str">
        <f t="shared" si="2254"/>
        <v>Лайтс</v>
      </c>
      <c r="G1284" s="191" t="s">
        <v>219</v>
      </c>
      <c r="H1284" s="315"/>
      <c r="I1284" s="329">
        <f>I1281-I1283</f>
        <v>96.988426745090692</v>
      </c>
      <c r="J1284" s="317"/>
      <c r="K1284" s="329">
        <f t="shared" ref="K1284" si="2271">K1281-K1283</f>
        <v>96.988426745090692</v>
      </c>
      <c r="L1284" s="330">
        <f t="shared" ref="L1284" si="2272">L1281-L1283</f>
        <v>0</v>
      </c>
      <c r="M1284" s="274"/>
      <c r="N1284" s="156">
        <f>N1281-N1283</f>
        <v>96.988426745090692</v>
      </c>
      <c r="O1284" s="196"/>
      <c r="P1284" s="156">
        <f t="shared" ref="P1284" si="2273">P1281-P1283</f>
        <v>96.988426745090692</v>
      </c>
      <c r="Q1284" s="245">
        <f t="shared" ref="Q1284" si="2274">Q1281-Q1283</f>
        <v>0</v>
      </c>
      <c r="R1284" s="238"/>
      <c r="S1284" s="156">
        <f>S1281-S1283</f>
        <v>41.110820800771762</v>
      </c>
      <c r="T1284" s="196"/>
      <c r="U1284" s="156">
        <f t="shared" ref="U1284" si="2275">U1281-U1283</f>
        <v>41.110820800771762</v>
      </c>
      <c r="V1284" s="245">
        <f t="shared" ref="V1284" si="2276">V1281-V1283</f>
        <v>0</v>
      </c>
      <c r="W1284" s="238"/>
      <c r="X1284" s="156">
        <f>X1281-X1283</f>
        <v>41.067144646003726</v>
      </c>
      <c r="Y1284" s="196"/>
      <c r="Z1284" s="156">
        <f t="shared" ref="Z1284" si="2277">Z1281-Z1283</f>
        <v>41.067144646003726</v>
      </c>
      <c r="AA1284" s="245">
        <f t="shared" ref="AA1284" si="2278">AA1281-AA1283</f>
        <v>0</v>
      </c>
      <c r="AB1284" s="265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/>
      <c r="AM1284" s="37"/>
      <c r="AN1284" s="37"/>
      <c r="AO1284" s="37"/>
      <c r="AP1284" s="37"/>
    </row>
    <row r="1285" spans="1:42" s="5" customFormat="1">
      <c r="A1285" s="1"/>
      <c r="B1285" s="1"/>
      <c r="C1285" s="1"/>
      <c r="D1285" s="168"/>
      <c r="E1285" s="168" t="s">
        <v>276</v>
      </c>
      <c r="F1285" s="168" t="str">
        <f t="shared" si="2254"/>
        <v>Лайтс</v>
      </c>
      <c r="G1285" s="168" t="s">
        <v>261</v>
      </c>
      <c r="H1285" s="326"/>
      <c r="I1285" s="327">
        <f>SUMIFS(операции!$V:$V,операции!$T:$T,"&lt;"&amp;I$8,операции!$X:$X,"",операции!$AB:$AB,"",операции!$O:$O,$F1274)+SUMIFS(операции!$V:$V,операции!$T:$T,"&lt;"&amp;I$8,операции!$X:$X,"&gt;="&amp;I$8,операции!$AB:$AB,"",операции!$O:$O,$F1274)+SUMIFS(операции!$V:$V,операции!$T:$T,"&lt;"&amp;I$8,операции!$X:$X,"",операции!$AB:$AB,"&gt;="&amp;I$8,операции!$O:$O,$F1274)+SUMIFS(операции!$V:$V,операции!$T:$T,"&lt;"&amp;I$8,операции!$X:$X,"&gt;="&amp;I$8,операции!$AB:$AB,"&gt;="&amp;I$8,операции!$O:$O,$F1274)</f>
        <v>52699.590000000004</v>
      </c>
      <c r="J1285" s="313">
        <f>I1285-K1285-L1285</f>
        <v>0</v>
      </c>
      <c r="K1285" s="327">
        <f>SUMIFS(операции!$V:$V,операции!$T:$T,"&lt;"&amp;I$8,операции!$X:$X,"",операции!$AB:$AB,"",операции!$L:$L,K$9,операции!$O:$O,$F1274)+SUMIFS(операции!$V:$V,операции!$T:$T,"&lt;"&amp;I$8,операции!$X:$X,"&gt;="&amp;I$8,операции!$AB:$AB,"",операции!$L:$L,K$9,операции!$O:$O,$F1274)+SUMIFS(операции!$V:$V,операции!$T:$T,"&lt;"&amp;I$8,операции!$X:$X,"",операции!$AB:$AB,"&gt;="&amp;I$8,операции!$L:$L,K$9,операции!$O:$O,$F1274)+SUMIFS(операции!$V:$V,операции!$T:$T,"&lt;"&amp;I$8,операции!$X:$X,"&gt;="&amp;I$8,операции!$AB:$AB,"&gt;="&amp;I$8,операции!$L:$L,K$9,операции!$O:$O,$F1274)</f>
        <v>52699.590000000004</v>
      </c>
      <c r="L1285" s="328">
        <f>SUMIFS(операции!$V:$V,операции!$T:$T,"&lt;"&amp;I$8,операции!$X:$X,"",операции!$AB:$AB,"",операции!$L:$L,L$9,операции!$O:$O,$F1274)+SUMIFS(операции!$V:$V,операции!$T:$T,"&lt;"&amp;I$8,операции!$X:$X,"&gt;="&amp;I$8,операции!$AB:$AB,"",операции!$L:$L,L$9,операции!$O:$O,$F1274)+SUMIFS(операции!$V:$V,операции!$T:$T,"&lt;"&amp;I$8,операции!$X:$X,"",операции!$AB:$AB,"&gt;="&amp;I$8,операции!$L:$L,L$9,операции!$O:$O,$F1274)+SUMIFS(операции!$V:$V,операции!$T:$T,"&lt;"&amp;I$8,операции!$X:$X,"&gt;="&amp;I$8,операции!$AB:$AB,"&gt;="&amp;I$8,операции!$L:$L,L$9,операции!$O:$O,$F1274)</f>
        <v>0</v>
      </c>
      <c r="M1285" s="277"/>
      <c r="N1285" s="169">
        <f>SUMIFS(операции!$V:$V,операции!$T:$T,"&lt;"&amp;N$8,операции!$X:$X,"",операции!$AB:$AB,"",операции!$O:$O,$F1274)+SUMIFS(операции!$V:$V,операции!$T:$T,"&lt;"&amp;N$8,операции!$X:$X,"&gt;="&amp;N$8,операции!$AB:$AB,"",операции!$O:$O,$F1274)+SUMIFS(операции!$V:$V,операции!$T:$T,"&lt;"&amp;N$8,операции!$X:$X,"",операции!$AB:$AB,"&gt;="&amp;N$8,операции!$O:$O,$F1274)+SUMIFS(операции!$V:$V,операции!$T:$T,"&lt;"&amp;N$8,операции!$X:$X,"&gt;="&amp;N$8,операции!$AB:$AB,"&gt;="&amp;N$8,операции!$O:$O,$F1274)</f>
        <v>52699.590000000004</v>
      </c>
      <c r="O1285" s="170">
        <f>N1285-P1285-Q1285</f>
        <v>0</v>
      </c>
      <c r="P1285" s="169">
        <f>SUMIFS(операции!$V:$V,операции!$T:$T,"&lt;"&amp;N$8,операции!$X:$X,"",операции!$AB:$AB,"",операции!$L:$L,P$9,операции!$O:$O,$F1274)+SUMIFS(операции!$V:$V,операции!$T:$T,"&lt;"&amp;N$8,операции!$X:$X,"&gt;="&amp;N$8,операции!$AB:$AB,"",операции!$L:$L,P$9,операции!$O:$O,$F1274)+SUMIFS(операции!$V:$V,операции!$T:$T,"&lt;"&amp;N$8,операции!$X:$X,"",операции!$AB:$AB,"&gt;="&amp;N$8,операции!$L:$L,P$9,операции!$O:$O,$F1274)+SUMIFS(операции!$V:$V,операции!$T:$T,"&lt;"&amp;N$8,операции!$X:$X,"&gt;="&amp;N$8,операции!$AB:$AB,"&gt;="&amp;N$8,операции!$L:$L,P$9,операции!$O:$O,$F1274)</f>
        <v>52699.590000000004</v>
      </c>
      <c r="Q1285" s="243">
        <f>SUMIFS(операции!$V:$V,операции!$T:$T,"&lt;"&amp;N$8,операции!$X:$X,"",операции!$AB:$AB,"",операции!$L:$L,Q$9,операции!$O:$O,$F1274)+SUMIFS(операции!$V:$V,операции!$T:$T,"&lt;"&amp;N$8,операции!$X:$X,"&gt;="&amp;N$8,операции!$AB:$AB,"",операции!$L:$L,Q$9,операции!$O:$O,$F1274)+SUMIFS(операции!$V:$V,операции!$T:$T,"&lt;"&amp;N$8,операции!$X:$X,"",операции!$AB:$AB,"&gt;="&amp;N$8,операции!$L:$L,Q$9,операции!$O:$O,$F1274)+SUMIFS(операции!$V:$V,операции!$T:$T,"&lt;"&amp;N$8,операции!$X:$X,"&gt;="&amp;N$8,операции!$AB:$AB,"&gt;="&amp;N$8,операции!$L:$L,Q$9,операции!$O:$O,$F1274)</f>
        <v>0</v>
      </c>
      <c r="R1285" s="244"/>
      <c r="S1285" s="169">
        <f>SUMIFS(операции!$V:$V,операции!$T:$T,"&lt;"&amp;S$8,операции!$X:$X,"",операции!$AB:$AB,"",операции!$O:$O,$F1274)+SUMIFS(операции!$V:$V,операции!$T:$T,"&lt;"&amp;S$8,операции!$X:$X,"&gt;="&amp;S$8,операции!$AB:$AB,"",операции!$O:$O,$F1274)+SUMIFS(операции!$V:$V,операции!$T:$T,"&lt;"&amp;S$8,операции!$X:$X,"",операции!$AB:$AB,"&gt;="&amp;S$8,операции!$O:$O,$F1274)+SUMIFS(операции!$V:$V,операции!$T:$T,"&lt;"&amp;S$8,операции!$X:$X,"&gt;="&amp;S$8,операции!$AB:$AB,"&gt;="&amp;S$8,операции!$O:$O,$F1274)</f>
        <v>89186.5</v>
      </c>
      <c r="T1285" s="170">
        <f>S1285-U1285-V1285</f>
        <v>0</v>
      </c>
      <c r="U1285" s="169">
        <f>SUMIFS(операции!$V:$V,операции!$T:$T,"&lt;"&amp;S$8,операции!$X:$X,"",операции!$AB:$AB,"",операции!$L:$L,U$9,операции!$O:$O,$F1274)+SUMIFS(операции!$V:$V,операции!$T:$T,"&lt;"&amp;S$8,операции!$X:$X,"&gt;="&amp;S$8,операции!$AB:$AB,"",операции!$L:$L,U$9,операции!$O:$O,$F1274)+SUMIFS(операции!$V:$V,операции!$T:$T,"&lt;"&amp;S$8,операции!$X:$X,"",операции!$AB:$AB,"&gt;="&amp;S$8,операции!$L:$L,U$9,операции!$O:$O,$F1274)+SUMIFS(операции!$V:$V,операции!$T:$T,"&lt;"&amp;S$8,операции!$X:$X,"&gt;="&amp;S$8,операции!$AB:$AB,"&gt;="&amp;S$8,операции!$L:$L,U$9,операции!$O:$O,$F1274)</f>
        <v>39497.9</v>
      </c>
      <c r="V1285" s="243">
        <f>SUMIFS(операции!$V:$V,операции!$T:$T,"&lt;"&amp;S$8,операции!$X:$X,"",операции!$AB:$AB,"",операции!$L:$L,V$9,операции!$O:$O,$F1274)+SUMIFS(операции!$V:$V,операции!$T:$T,"&lt;"&amp;S$8,операции!$X:$X,"&gt;="&amp;S$8,операции!$AB:$AB,"",операции!$L:$L,V$9,операции!$O:$O,$F1274)+SUMIFS(операции!$V:$V,операции!$T:$T,"&lt;"&amp;S$8,операции!$X:$X,"",операции!$AB:$AB,"&gt;="&amp;S$8,операции!$L:$L,V$9,операции!$O:$O,$F1274)+SUMIFS(операции!$V:$V,операции!$T:$T,"&lt;"&amp;S$8,операции!$X:$X,"&gt;="&amp;S$8,операции!$AB:$AB,"&gt;="&amp;S$8,операции!$L:$L,V$9,операции!$O:$O,$F1274)</f>
        <v>49688.6</v>
      </c>
      <c r="W1285" s="244"/>
      <c r="X1285" s="169">
        <f>SUMIFS(операции!$V:$V,операции!$T:$T,"&lt;"&amp;X$8,операции!$X:$X,"",операции!$AB:$AB,"",операции!$O:$O,$F1274)+SUMIFS(операции!$V:$V,операции!$T:$T,"&lt;"&amp;X$8,операции!$X:$X,"&gt;="&amp;X$8,операции!$AB:$AB,"",операции!$O:$O,$F1274)+SUMIFS(операции!$V:$V,операции!$T:$T,"&lt;"&amp;X$8,операции!$X:$X,"",операции!$AB:$AB,"&gt;="&amp;X$8,операции!$O:$O,$F1274)+SUMIFS(операции!$V:$V,операции!$T:$T,"&lt;"&amp;X$8,операции!$X:$X,"&gt;="&amp;X$8,операции!$AB:$AB,"&gt;="&amp;X$8,операции!$O:$O,$F1274)</f>
        <v>18296.5</v>
      </c>
      <c r="Y1285" s="170">
        <f>X1285-Z1285-AA1285</f>
        <v>0</v>
      </c>
      <c r="Z1285" s="169">
        <f>SUMIFS(операции!$V:$V,операции!$T:$T,"&lt;"&amp;X$8,операции!$X:$X,"",операции!$AB:$AB,"",операции!$L:$L,Z$9,операции!$O:$O,$F1274)+SUMIFS(операции!$V:$V,операции!$T:$T,"&lt;"&amp;X$8,операции!$X:$X,"&gt;="&amp;X$8,операции!$AB:$AB,"",операции!$L:$L,Z$9,операции!$O:$O,$F1274)+SUMIFS(операции!$V:$V,операции!$T:$T,"&lt;"&amp;X$8,операции!$X:$X,"",операции!$AB:$AB,"&gt;="&amp;X$8,операции!$L:$L,Z$9,операции!$O:$O,$F1274)+SUMIFS(операции!$V:$V,операции!$T:$T,"&lt;"&amp;X$8,операции!$X:$X,"&gt;="&amp;X$8,операции!$AB:$AB,"&gt;="&amp;X$8,операции!$L:$L,Z$9,операции!$O:$O,$F1274)</f>
        <v>2371.7600000000002</v>
      </c>
      <c r="AA1285" s="243">
        <f>SUMIFS(операции!$V:$V,операции!$T:$T,"&lt;"&amp;X$8,операции!$X:$X,"",операции!$AB:$AB,"",операции!$L:$L,AA$9,операции!$O:$O,$F1274)+SUMIFS(операции!$V:$V,операции!$T:$T,"&lt;"&amp;X$8,операции!$X:$X,"&gt;="&amp;X$8,операции!$AB:$AB,"",операции!$L:$L,AA$9,операции!$O:$O,$F1274)+SUMIFS(операции!$V:$V,операции!$T:$T,"&lt;"&amp;X$8,операции!$X:$X,"",операции!$AB:$AB,"&gt;="&amp;X$8,операции!$L:$L,AA$9,операции!$O:$O,$F1274)+SUMIFS(операции!$V:$V,операции!$T:$T,"&lt;"&amp;X$8,операции!$X:$X,"&gt;="&amp;X$8,операции!$AB:$AB,"&gt;="&amp;X$8,операции!$L:$L,AA$9,операции!$O:$O,$F1274)</f>
        <v>15924.74</v>
      </c>
      <c r="AB1285" s="266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</row>
    <row r="1286" spans="1:42" s="192" customFormat="1" ht="11.25">
      <c r="A1286" s="37"/>
      <c r="B1286" s="37"/>
      <c r="C1286" s="37"/>
      <c r="D1286" s="191"/>
      <c r="E1286" s="191" t="s">
        <v>255</v>
      </c>
      <c r="F1286" s="191" t="str">
        <f t="shared" si="2254"/>
        <v>Лайтс</v>
      </c>
      <c r="G1286" s="191" t="s">
        <v>262</v>
      </c>
      <c r="H1286" s="315"/>
      <c r="I1286" s="316">
        <f>IF(I1285=0,0,(SUMIFS(операции!$AF:$AF,операции!$T:$T,"&lt;"&amp;I$8,операции!$X:$X,"",операции!$AB:$AB,"",операции!$O:$O,$F1274)+SUMIFS(операции!$AF:$AF,операции!$T:$T,"&lt;"&amp;I$8,операции!$X:$X,"&gt;="&amp;I$8,операции!$AB:$AB,"",операции!$O:$O,$F1274)+SUMIFS(операции!$AF:$AF,операции!$T:$T,"&lt;"&amp;I$8,операции!$X:$X,"",операции!$AB:$AB,"&gt;="&amp;I$8,операции!$O:$O,$F1274)+SUMIFS(операции!$AF:$AF,операции!$T:$T,"&lt;"&amp;I$8,операции!$X:$X,"&gt;="&amp;I$8,операции!$AB:$AB,"&gt;="&amp;I$8,операции!$O:$O,$F1274))/I1285)</f>
        <v>42262.168823324806</v>
      </c>
      <c r="J1286" s="317"/>
      <c r="K1286" s="316">
        <f>IF(K1285=0,0,(SUMIFS(операции!$AF:$AF,операции!$T:$T,"&lt;"&amp;I$8,операции!$X:$X,"",операции!$AB:$AB,"",операции!$L:$L,K$9,операции!$O:$O,$F1274)+SUMIFS(операции!$AF:$AF,операции!$T:$T,"&lt;"&amp;I$8,операции!$X:$X,"&gt;="&amp;I$8,операции!$AB:$AB,"",операции!$L:$L,K$9,операции!$O:$O,$F1274)+SUMIFS(операции!$AF:$AF,операции!$T:$T,"&lt;"&amp;I$8,операции!$X:$X,"",операции!$AB:$AB,"&gt;="&amp;I$8,операции!$L:$L,K$9,операции!$O:$O,$F1274)+SUMIFS(операции!$AF:$AF,операции!$T:$T,"&lt;"&amp;I$8,операции!$X:$X,"&gt;="&amp;I$8,операции!$AB:$AB,"&gt;="&amp;I$8,операции!$L:$L,K$9,операции!$O:$O,$F1274))/K1285)</f>
        <v>42262.168823324806</v>
      </c>
      <c r="L1286" s="318">
        <f>IF(L1285=0,0,(SUMIFS(операции!$AF:$AF,операции!$T:$T,"&lt;"&amp;I$8,операции!$X:$X,"",операции!$AB:$AB,"",операции!$L:$L,L$9,операции!$O:$O,$F1274)+SUMIFS(операции!$AF:$AF,операции!$T:$T,"&lt;"&amp;I$8,операции!$X:$X,"&gt;="&amp;I$8,операции!$AB:$AB,"",операции!$L:$L,L$9,операции!$O:$O,$F1274)+SUMIFS(операции!$AF:$AF,операции!$T:$T,"&lt;"&amp;I$8,операции!$X:$X,"",операции!$AB:$AB,"&gt;="&amp;I$8,операции!$L:$L,L$9,операции!$O:$O,$F1274)+SUMIFS(операции!$AF:$AF,операции!$T:$T,"&lt;"&amp;I$8,операции!$X:$X,"&gt;="&amp;I$8,операции!$AB:$AB,"&gt;="&amp;I$8,операции!$L:$L,L$9,операции!$O:$O,$F1274))/L1285)</f>
        <v>0</v>
      </c>
      <c r="M1286" s="274"/>
      <c r="N1286" s="193">
        <f>IF(N1285=0,0,(SUMIFS(операции!$AF:$AF,операции!$T:$T,"&lt;"&amp;N$8,операции!$X:$X,"",операции!$AB:$AB,"",операции!$O:$O,$F1274)+SUMIFS(операции!$AF:$AF,операции!$T:$T,"&lt;"&amp;N$8,операции!$X:$X,"&gt;="&amp;N$8,операции!$AB:$AB,"",операции!$O:$O,$F1274)+SUMIFS(операции!$AF:$AF,операции!$T:$T,"&lt;"&amp;N$8,операции!$X:$X,"",операции!$AB:$AB,"&gt;="&amp;N$8,операции!$O:$O,$F1274)+SUMIFS(операции!$AF:$AF,операции!$T:$T,"&lt;"&amp;N$8,операции!$X:$X,"&gt;="&amp;N$8,операции!$AB:$AB,"&gt;="&amp;N$8,операции!$O:$O,$F1274))/N1285)</f>
        <v>42262.168823324806</v>
      </c>
      <c r="O1286" s="196"/>
      <c r="P1286" s="193">
        <f>IF(P1285=0,0,(SUMIFS(операции!$AF:$AF,операции!$T:$T,"&lt;"&amp;N$8,операции!$X:$X,"",операции!$AB:$AB,"",операции!$L:$L,P$9,операции!$O:$O,$F1274)+SUMIFS(операции!$AF:$AF,операции!$T:$T,"&lt;"&amp;N$8,операции!$X:$X,"&gt;="&amp;N$8,операции!$AB:$AB,"",операции!$L:$L,P$9,операции!$O:$O,$F1274)+SUMIFS(операции!$AF:$AF,операции!$T:$T,"&lt;"&amp;N$8,операции!$X:$X,"",операции!$AB:$AB,"&gt;="&amp;N$8,операции!$L:$L,P$9,операции!$O:$O,$F1274)+SUMIFS(операции!$AF:$AF,операции!$T:$T,"&lt;"&amp;N$8,операции!$X:$X,"&gt;="&amp;N$8,операции!$AB:$AB,"&gt;="&amp;N$8,операции!$L:$L,P$9,операции!$O:$O,$F1274))/P1285)</f>
        <v>42262.168823324806</v>
      </c>
      <c r="Q1286" s="237">
        <f>IF(Q1285=0,0,(SUMIFS(операции!$AF:$AF,операции!$T:$T,"&lt;"&amp;N$8,операции!$X:$X,"",операции!$AB:$AB,"",операции!$L:$L,Q$9,операции!$O:$O,$F1274)+SUMIFS(операции!$AF:$AF,операции!$T:$T,"&lt;"&amp;N$8,операции!$X:$X,"&gt;="&amp;N$8,операции!$AB:$AB,"",операции!$L:$L,Q$9,операции!$O:$O,$F1274)+SUMIFS(операции!$AF:$AF,операции!$T:$T,"&lt;"&amp;N$8,операции!$X:$X,"",операции!$AB:$AB,"&gt;="&amp;N$8,операции!$L:$L,Q$9,операции!$O:$O,$F1274)+SUMIFS(операции!$AF:$AF,операции!$T:$T,"&lt;"&amp;N$8,операции!$X:$X,"&gt;="&amp;N$8,операции!$AB:$AB,"&gt;="&amp;N$8,операции!$L:$L,Q$9,операции!$O:$O,$F1274))/Q1285)</f>
        <v>0</v>
      </c>
      <c r="R1286" s="238"/>
      <c r="S1286" s="193">
        <f>IF(S1285=0,0,(SUMIFS(операции!$AF:$AF,операции!$T:$T,"&lt;"&amp;S$8,операции!$X:$X,"",операции!$AB:$AB,"",операции!$O:$O,$F1274)+SUMIFS(операции!$AF:$AF,операции!$T:$T,"&lt;"&amp;S$8,операции!$X:$X,"&gt;="&amp;S$8,операции!$AB:$AB,"",операции!$O:$O,$F1274)+SUMIFS(операции!$AF:$AF,операции!$T:$T,"&lt;"&amp;S$8,операции!$X:$X,"",операции!$AB:$AB,"&gt;="&amp;S$8,операции!$O:$O,$F1274)+SUMIFS(операции!$AF:$AF,операции!$T:$T,"&lt;"&amp;S$8,операции!$X:$X,"&gt;="&amp;S$8,операции!$AB:$AB,"&gt;="&amp;S$8,операции!$O:$O,$F1274))/S1285)</f>
        <v>42293.900753140893</v>
      </c>
      <c r="T1286" s="196"/>
      <c r="U1286" s="193">
        <f>IF(U1285=0,0,(SUMIFS(операции!$AF:$AF,операции!$T:$T,"&lt;"&amp;S$8,операции!$X:$X,"",операции!$AB:$AB,"",операции!$L:$L,U$9,операции!$O:$O,$F1274)+SUMIFS(операции!$AF:$AF,операции!$T:$T,"&lt;"&amp;S$8,операции!$X:$X,"&gt;="&amp;S$8,операции!$AB:$AB,"",операции!$L:$L,U$9,операции!$O:$O,$F1274)+SUMIFS(операции!$AF:$AF,операции!$T:$T,"&lt;"&amp;S$8,операции!$X:$X,"",операции!$AB:$AB,"&gt;="&amp;S$8,операции!$L:$L,U$9,операции!$O:$O,$F1274)+SUMIFS(операции!$AF:$AF,операции!$T:$T,"&lt;"&amp;S$8,операции!$X:$X,"&gt;="&amp;S$8,операции!$AB:$AB,"&gt;="&amp;S$8,операции!$L:$L,U$9,операции!$O:$O,$F1274))/U1285)</f>
        <v>42279.476096703867</v>
      </c>
      <c r="V1286" s="237">
        <f>IF(V1285=0,0,(SUMIFS(операции!$AF:$AF,операции!$T:$T,"&lt;"&amp;S$8,операции!$X:$X,"",операции!$AB:$AB,"",операции!$L:$L,V$9,операции!$O:$O,$F1274)+SUMIFS(операции!$AF:$AF,операции!$T:$T,"&lt;"&amp;S$8,операции!$X:$X,"&gt;="&amp;S$8,операции!$AB:$AB,"",операции!$L:$L,V$9,операции!$O:$O,$F1274)+SUMIFS(операции!$AF:$AF,операции!$T:$T,"&lt;"&amp;S$8,операции!$X:$X,"",операции!$AB:$AB,"&gt;="&amp;S$8,операции!$L:$L,V$9,операции!$O:$O,$F1274)+SUMIFS(операции!$AF:$AF,операции!$T:$T,"&lt;"&amp;S$8,операции!$X:$X,"&gt;="&amp;S$8,операции!$AB:$AB,"&gt;="&amp;S$8,операции!$L:$L,V$9,операции!$O:$O,$F1274))/V1285)</f>
        <v>42305.367037912118</v>
      </c>
      <c r="W1286" s="238"/>
      <c r="X1286" s="193">
        <f>IF(X1285=0,0,(SUMIFS(операции!$AF:$AF,операции!$T:$T,"&lt;"&amp;X$8,операции!$X:$X,"",операции!$AB:$AB,"",операции!$O:$O,$F1274)+SUMIFS(операции!$AF:$AF,операции!$T:$T,"&lt;"&amp;X$8,операции!$X:$X,"&gt;="&amp;X$8,операции!$AB:$AB,"",операции!$O:$O,$F1274)+SUMIFS(операции!$AF:$AF,операции!$T:$T,"&lt;"&amp;X$8,операции!$X:$X,"",операции!$AB:$AB,"&gt;="&amp;X$8,операции!$O:$O,$F1274)+SUMIFS(операции!$AF:$AF,операции!$T:$T,"&lt;"&amp;X$8,операции!$X:$X,"&gt;="&amp;X$8,операции!$AB:$AB,"&gt;="&amp;X$8,операции!$O:$O,$F1274))/X1285)</f>
        <v>42314.251039269802</v>
      </c>
      <c r="Y1286" s="196"/>
      <c r="Z1286" s="193">
        <f>IF(Z1285=0,0,(SUMIFS(операции!$AF:$AF,операции!$T:$T,"&lt;"&amp;X$8,операции!$X:$X,"",операции!$AB:$AB,"",операции!$L:$L,Z$9,операции!$O:$O,$F1274)+SUMIFS(операции!$AF:$AF,операции!$T:$T,"&lt;"&amp;X$8,операции!$X:$X,"&gt;="&amp;X$8,операции!$AB:$AB,"",операции!$L:$L,Z$9,операции!$O:$O,$F1274)+SUMIFS(операции!$AF:$AF,операции!$T:$T,"&lt;"&amp;X$8,операции!$X:$X,"",операции!$AB:$AB,"&gt;="&amp;X$8,операции!$L:$L,Z$9,операции!$O:$O,$F1274)+SUMIFS(операции!$AF:$AF,операции!$T:$T,"&lt;"&amp;X$8,операции!$X:$X,"&gt;="&amp;X$8,операции!$AB:$AB,"&gt;="&amp;X$8,операции!$L:$L,Z$9,операции!$O:$O,$F1274))/Z1285)</f>
        <v>42193.258508449413</v>
      </c>
      <c r="AA1286" s="237">
        <f>IF(AA1285=0,0,(SUMIFS(операции!$AF:$AF,операции!$T:$T,"&lt;"&amp;X$8,операции!$X:$X,"",операции!$AB:$AB,"",операции!$L:$L,AA$9,операции!$O:$O,$F1274)+SUMIFS(операции!$AF:$AF,операции!$T:$T,"&lt;"&amp;X$8,операции!$X:$X,"&gt;="&amp;X$8,операции!$AB:$AB,"",операции!$L:$L,AA$9,операции!$O:$O,$F1274)+SUMIFS(операции!$AF:$AF,операции!$T:$T,"&lt;"&amp;X$8,операции!$X:$X,"",операции!$AB:$AB,"&gt;="&amp;X$8,операции!$L:$L,AA$9,операции!$O:$O,$F1274)+SUMIFS(операции!$AF:$AF,операции!$T:$T,"&lt;"&amp;X$8,операции!$X:$X,"&gt;="&amp;X$8,операции!$AB:$AB,"&gt;="&amp;X$8,операции!$L:$L,AA$9,операции!$O:$O,$F1274))/AA1285)</f>
        <v>42332.271129073379</v>
      </c>
      <c r="AB1286" s="265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37"/>
    </row>
    <row r="1287" spans="1:42" s="192" customFormat="1" ht="11.25">
      <c r="A1287" s="37"/>
      <c r="B1287" s="37"/>
      <c r="C1287" s="37"/>
      <c r="D1287" s="191"/>
      <c r="E1287" s="191" t="s">
        <v>263</v>
      </c>
      <c r="F1287" s="191" t="str">
        <f t="shared" si="2254"/>
        <v>Лайтс</v>
      </c>
      <c r="G1287" s="191" t="s">
        <v>219</v>
      </c>
      <c r="H1287" s="315"/>
      <c r="I1287" s="329">
        <f>IF(I1285=0,0,I$8-I1286)</f>
        <v>15.831176675194001</v>
      </c>
      <c r="J1287" s="317"/>
      <c r="K1287" s="329">
        <f>IF(K1285=0,0,I$8-K1286)</f>
        <v>15.831176675194001</v>
      </c>
      <c r="L1287" s="330">
        <f>IF(L1285=0,0,I$8-L1286)</f>
        <v>0</v>
      </c>
      <c r="M1287" s="274"/>
      <c r="N1287" s="156">
        <f>IF(N1285=0,0,N$8-N1286)</f>
        <v>15.831176675194001</v>
      </c>
      <c r="O1287" s="196"/>
      <c r="P1287" s="156">
        <f>IF(P1285=0,0,N$8-P1286)</f>
        <v>15.831176675194001</v>
      </c>
      <c r="Q1287" s="245">
        <f>IF(Q1285=0,0,N$8-Q1286)</f>
        <v>0</v>
      </c>
      <c r="R1287" s="238"/>
      <c r="S1287" s="156">
        <f>IF(S1285=0,0,S$8-S1286)</f>
        <v>15.099246859106643</v>
      </c>
      <c r="T1287" s="196"/>
      <c r="U1287" s="156">
        <f>IF(U1285=0,0,S$8-U1286)</f>
        <v>29.52390329613263</v>
      </c>
      <c r="V1287" s="245">
        <f>IF(V1285=0,0,S$8-V1286)</f>
        <v>3.6329620878823334</v>
      </c>
      <c r="W1287" s="238"/>
      <c r="X1287" s="156">
        <f>IF(X1285=0,0,X$8-X1286)</f>
        <v>24.748960730197723</v>
      </c>
      <c r="Y1287" s="196"/>
      <c r="Z1287" s="156">
        <f>IF(Z1285=0,0,X$8-Z1286)</f>
        <v>145.74149155058694</v>
      </c>
      <c r="AA1287" s="245">
        <f>IF(AA1285=0,0,X$8-AA1286)</f>
        <v>6.7288709266213118</v>
      </c>
      <c r="AB1287" s="265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37"/>
    </row>
    <row r="1288" spans="1:42" s="192" customFormat="1" ht="11.25">
      <c r="A1288" s="37"/>
      <c r="B1288" s="37"/>
      <c r="C1288" s="37"/>
      <c r="D1288" s="191"/>
      <c r="E1288" s="191" t="s">
        <v>311</v>
      </c>
      <c r="F1288" s="191" t="str">
        <f t="shared" si="2254"/>
        <v>Лайтс</v>
      </c>
      <c r="G1288" s="191" t="s">
        <v>262</v>
      </c>
      <c r="H1288" s="315"/>
      <c r="I1288" s="316">
        <f>I$8</f>
        <v>42278</v>
      </c>
      <c r="J1288" s="317"/>
      <c r="K1288" s="316">
        <f>I$8</f>
        <v>42278</v>
      </c>
      <c r="L1288" s="318">
        <f>I$8</f>
        <v>42278</v>
      </c>
      <c r="M1288" s="274"/>
      <c r="N1288" s="193">
        <f>N$8</f>
        <v>42278</v>
      </c>
      <c r="O1288" s="196"/>
      <c r="P1288" s="193">
        <f>N$8</f>
        <v>42278</v>
      </c>
      <c r="Q1288" s="237">
        <f>N$8</f>
        <v>42278</v>
      </c>
      <c r="R1288" s="238"/>
      <c r="S1288" s="193">
        <f>S$8</f>
        <v>42309</v>
      </c>
      <c r="T1288" s="196"/>
      <c r="U1288" s="193">
        <f>S$8</f>
        <v>42309</v>
      </c>
      <c r="V1288" s="237">
        <f>S$8</f>
        <v>42309</v>
      </c>
      <c r="W1288" s="238"/>
      <c r="X1288" s="193">
        <f>X$8</f>
        <v>42339</v>
      </c>
      <c r="Y1288" s="196"/>
      <c r="Z1288" s="193">
        <f>X$8</f>
        <v>42339</v>
      </c>
      <c r="AA1288" s="237">
        <f>X$8</f>
        <v>42339</v>
      </c>
      <c r="AB1288" s="265"/>
      <c r="AC1288" s="37"/>
      <c r="AD1288" s="37"/>
      <c r="AE1288" s="37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</row>
    <row r="1289" spans="1:42" s="192" customFormat="1" ht="11.25">
      <c r="A1289" s="37"/>
      <c r="B1289" s="37"/>
      <c r="C1289" s="37"/>
      <c r="D1289" s="191"/>
      <c r="E1289" s="191" t="s">
        <v>264</v>
      </c>
      <c r="F1289" s="191" t="str">
        <f t="shared" si="2254"/>
        <v>Лайтс</v>
      </c>
      <c r="G1289" s="191" t="s">
        <v>219</v>
      </c>
      <c r="H1289" s="315"/>
      <c r="I1289" s="329">
        <f>IF(I1285=0,0,I1288-I1286)</f>
        <v>15.831176675194001</v>
      </c>
      <c r="J1289" s="317"/>
      <c r="K1289" s="329">
        <f>IF(K1285=0,0,K1288-K1286)</f>
        <v>15.831176675194001</v>
      </c>
      <c r="L1289" s="330">
        <f>IF(L1285=0,0,L1288-L1286)</f>
        <v>0</v>
      </c>
      <c r="M1289" s="274"/>
      <c r="N1289" s="156">
        <f>IF(N1285=0,0,N1288-N1286)</f>
        <v>15.831176675194001</v>
      </c>
      <c r="O1289" s="196"/>
      <c r="P1289" s="156">
        <f>IF(P1285=0,0,P1288-P1286)</f>
        <v>15.831176675194001</v>
      </c>
      <c r="Q1289" s="245">
        <f>IF(Q1285=0,0,Q1288-Q1286)</f>
        <v>0</v>
      </c>
      <c r="R1289" s="238"/>
      <c r="S1289" s="156">
        <f>IF(S1285=0,0,S1288-S1286)</f>
        <v>15.099246859106643</v>
      </c>
      <c r="T1289" s="196"/>
      <c r="U1289" s="156">
        <f>IF(U1285=0,0,U1288-U1286)</f>
        <v>29.52390329613263</v>
      </c>
      <c r="V1289" s="245">
        <f>IF(V1285=0,0,V1288-V1286)</f>
        <v>3.6329620878823334</v>
      </c>
      <c r="W1289" s="238"/>
      <c r="X1289" s="156">
        <f>IF(X1285=0,0,X1288-X1286)</f>
        <v>24.748960730197723</v>
      </c>
      <c r="Y1289" s="196"/>
      <c r="Z1289" s="156">
        <f>IF(Z1285=0,0,Z1288-Z1286)</f>
        <v>145.74149155058694</v>
      </c>
      <c r="AA1289" s="245">
        <f>IF(AA1285=0,0,AA1288-AA1286)</f>
        <v>6.7288709266213118</v>
      </c>
      <c r="AB1289" s="265"/>
      <c r="AC1289" s="37"/>
      <c r="AD1289" s="37"/>
      <c r="AE1289" s="37"/>
      <c r="AF1289" s="37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</row>
    <row r="1290" spans="1:42" s="192" customFormat="1" ht="11.25">
      <c r="A1290" s="37"/>
      <c r="B1290" s="37"/>
      <c r="C1290" s="37"/>
      <c r="D1290" s="207"/>
      <c r="E1290" s="207" t="s">
        <v>269</v>
      </c>
      <c r="F1290" s="207" t="str">
        <f t="shared" si="2254"/>
        <v>Лайтс</v>
      </c>
      <c r="G1290" s="207" t="s">
        <v>219</v>
      </c>
      <c r="H1290" s="331"/>
      <c r="I1290" s="332">
        <f>I1287-I1289</f>
        <v>0</v>
      </c>
      <c r="J1290" s="333"/>
      <c r="K1290" s="332">
        <f t="shared" ref="K1290" si="2279">K1287-K1289</f>
        <v>0</v>
      </c>
      <c r="L1290" s="334">
        <f>L1287-L1289</f>
        <v>0</v>
      </c>
      <c r="M1290" s="278"/>
      <c r="N1290" s="162">
        <f>N1287-N1289</f>
        <v>0</v>
      </c>
      <c r="O1290" s="208"/>
      <c r="P1290" s="162">
        <f t="shared" ref="P1290" si="2280">P1287-P1289</f>
        <v>0</v>
      </c>
      <c r="Q1290" s="246">
        <f>Q1287-Q1289</f>
        <v>0</v>
      </c>
      <c r="R1290" s="247"/>
      <c r="S1290" s="162">
        <f>S1287-S1289</f>
        <v>0</v>
      </c>
      <c r="T1290" s="208"/>
      <c r="U1290" s="162">
        <f t="shared" ref="U1290" si="2281">U1287-U1289</f>
        <v>0</v>
      </c>
      <c r="V1290" s="246">
        <f>V1287-V1289</f>
        <v>0</v>
      </c>
      <c r="W1290" s="247"/>
      <c r="X1290" s="162">
        <f>X1287-X1289</f>
        <v>0</v>
      </c>
      <c r="Y1290" s="208"/>
      <c r="Z1290" s="162">
        <f t="shared" ref="Z1290" si="2282">Z1287-Z1289</f>
        <v>0</v>
      </c>
      <c r="AA1290" s="246">
        <f>AA1287-AA1289</f>
        <v>0</v>
      </c>
      <c r="AB1290" s="265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</row>
    <row r="1291" spans="1:42" s="111" customFormat="1" ht="11.25">
      <c r="A1291" s="108"/>
      <c r="B1291" s="108"/>
      <c r="C1291" s="108" t="s">
        <v>272</v>
      </c>
      <c r="D1291" s="109"/>
      <c r="E1291" s="109"/>
      <c r="F1291" s="109" t="str">
        <f t="shared" si="2254"/>
        <v>Лайтс</v>
      </c>
      <c r="G1291" s="109"/>
      <c r="H1291" s="307"/>
      <c r="I1291" s="308">
        <f>I1292-K1292-L1292</f>
        <v>0</v>
      </c>
      <c r="J1291" s="335"/>
      <c r="K1291" s="308"/>
      <c r="L1291" s="336"/>
      <c r="M1291" s="272"/>
      <c r="N1291" s="110">
        <f>N1292-P1292-Q1292</f>
        <v>0</v>
      </c>
      <c r="O1291" s="105"/>
      <c r="P1291" s="110"/>
      <c r="Q1291" s="248"/>
      <c r="R1291" s="234"/>
      <c r="S1291" s="110">
        <f>S1292-U1292-V1292</f>
        <v>0</v>
      </c>
      <c r="T1291" s="105"/>
      <c r="U1291" s="110"/>
      <c r="V1291" s="248"/>
      <c r="W1291" s="234"/>
      <c r="X1291" s="110">
        <f>X1292-Z1292-AA1292</f>
        <v>0</v>
      </c>
      <c r="Y1291" s="105"/>
      <c r="Z1291" s="110"/>
      <c r="AA1291" s="248"/>
      <c r="AB1291" s="263"/>
      <c r="AC1291" s="108"/>
      <c r="AD1291" s="108"/>
      <c r="AE1291" s="108"/>
      <c r="AF1291" s="108"/>
      <c r="AG1291" s="108"/>
      <c r="AH1291" s="108"/>
      <c r="AI1291" s="108"/>
      <c r="AJ1291" s="108"/>
      <c r="AK1291" s="108"/>
      <c r="AL1291" s="108"/>
      <c r="AM1291" s="108"/>
      <c r="AN1291" s="108"/>
      <c r="AO1291" s="108"/>
      <c r="AP1291" s="108"/>
    </row>
    <row r="1292" spans="1:42" s="5" customFormat="1">
      <c r="A1292" s="1"/>
      <c r="B1292" s="1"/>
      <c r="C1292" s="1"/>
      <c r="D1292" s="168" t="s">
        <v>273</v>
      </c>
      <c r="E1292" s="168"/>
      <c r="F1292" s="168" t="str">
        <f t="shared" si="2254"/>
        <v>Лайтс</v>
      </c>
      <c r="G1292" s="168" t="s">
        <v>261</v>
      </c>
      <c r="H1292" s="326"/>
      <c r="I1292" s="327">
        <f>SUMIFS(операции!$V:$V,операции!$T:$T,"&gt;="&amp;I$8,операции!$T:$T,"&lt;="&amp;I$9,операции!$O:$O,$F1274)</f>
        <v>203007.95999999996</v>
      </c>
      <c r="J1292" s="313"/>
      <c r="K1292" s="327">
        <f>SUMIFS(операции!$V:$V,операции!$T:$T,"&gt;="&amp;I$8,операции!$T:$T,"&lt;="&amp;I$9,операции!$L:$L,K$9,операции!$O:$O,$F1274)</f>
        <v>20632.019999999997</v>
      </c>
      <c r="L1292" s="328">
        <f>SUMIFS(операции!$V:$V,операции!$T:$T,"&gt;="&amp;I$8,операции!$T:$T,"&lt;="&amp;I$9,операции!$L:$L,L$9,операции!$O:$O,$F1274)</f>
        <v>182375.93999999997</v>
      </c>
      <c r="M1292" s="277"/>
      <c r="N1292" s="169">
        <f>SUMIFS(операции!$V:$V,операции!$T:$T,"&gt;="&amp;N$8,операции!$T:$T,"&lt;="&amp;N$9,операции!$O:$O,$F1274)</f>
        <v>88558.22</v>
      </c>
      <c r="O1292" s="170"/>
      <c r="P1292" s="169">
        <f>SUMIFS(операции!$V:$V,операции!$T:$T,"&gt;="&amp;N$8,операции!$T:$T,"&lt;="&amp;N$9,операции!$L:$L,P$9,операции!$O:$O,$F1274)</f>
        <v>20632.019999999997</v>
      </c>
      <c r="Q1292" s="243">
        <f>SUMIFS(операции!$V:$V,операции!$T:$T,"&gt;="&amp;N$8,операции!$T:$T,"&lt;="&amp;N$9,операции!$L:$L,Q$9,операции!$O:$O,$F1274)</f>
        <v>67926.2</v>
      </c>
      <c r="R1292" s="244"/>
      <c r="S1292" s="169">
        <f>SUMIFS(операции!$V:$V,операции!$T:$T,"&gt;="&amp;S$8,операции!$T:$T,"&lt;="&amp;S$9,операции!$O:$O,$F1274)</f>
        <v>79224.14</v>
      </c>
      <c r="T1292" s="170"/>
      <c r="U1292" s="169">
        <f>SUMIFS(операции!$V:$V,операции!$T:$T,"&gt;="&amp;S$8,операции!$T:$T,"&lt;="&amp;S$9,операции!$L:$L,U$9,операции!$O:$O,$F1274)</f>
        <v>0</v>
      </c>
      <c r="V1292" s="243">
        <f>SUMIFS(операции!$V:$V,операции!$T:$T,"&gt;="&amp;S$8,операции!$T:$T,"&lt;="&amp;S$9,операции!$L:$L,V$9,операции!$O:$O,$F1274)</f>
        <v>79224.14</v>
      </c>
      <c r="W1292" s="244"/>
      <c r="X1292" s="169">
        <f>SUMIFS(операции!$V:$V,операции!$T:$T,"&gt;="&amp;X$8,операции!$T:$T,"&lt;="&amp;X$9,операции!$O:$O,$F1274)</f>
        <v>35225.599999999999</v>
      </c>
      <c r="Y1292" s="170"/>
      <c r="Z1292" s="169">
        <f>SUMIFS(операции!$V:$V,операции!$T:$T,"&gt;="&amp;X$8,операции!$T:$T,"&lt;="&amp;X$9,операции!$L:$L,Z$9,операции!$O:$O,$F1274)</f>
        <v>0</v>
      </c>
      <c r="AA1292" s="243">
        <f>SUMIFS(операции!$V:$V,операции!$T:$T,"&gt;="&amp;X$8,операции!$T:$T,"&lt;="&amp;X$9,операции!$L:$L,AA$9,операции!$O:$O,$F1274)</f>
        <v>35225.599999999999</v>
      </c>
      <c r="AB1292" s="266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</row>
    <row r="1293" spans="1:42" s="192" customFormat="1" ht="11.25">
      <c r="A1293" s="37"/>
      <c r="B1293" s="37"/>
      <c r="C1293" s="37"/>
      <c r="D1293" s="207" t="s">
        <v>255</v>
      </c>
      <c r="E1293" s="207"/>
      <c r="F1293" s="207" t="str">
        <f t="shared" si="2254"/>
        <v>Лайтс</v>
      </c>
      <c r="G1293" s="207" t="s">
        <v>262</v>
      </c>
      <c r="H1293" s="331"/>
      <c r="I1293" s="337">
        <f>IF(I1292=0,0,SUMIFS(операции!$AF:$AF,операции!$T:$T,"&gt;="&amp;I$8,операции!$T:$T,"&lt;="&amp;I$9,операции!$O:$O,$F1274)/I1292)</f>
        <v>42318.291033858979</v>
      </c>
      <c r="J1293" s="333"/>
      <c r="K1293" s="337">
        <f>IF(K1292=0,0,SUMIFS(операции!$AF:$AF,операции!$T:$T,"&gt;="&amp;I$8,операции!$T:$T,"&lt;="&amp;I$9,операции!$L:$L,K$9,операции!$O:$O,$F1274)/K1292)</f>
        <v>42296.919888600351</v>
      </c>
      <c r="L1293" s="338">
        <f>IF(L1292=0,0,SUMIFS(операции!$AF:$AF,операции!$T:$T,"&gt;="&amp;I$8,операции!$T:$T,"&lt;="&amp;I$9,операции!$L:$L,L$9,операции!$O:$O,$F1274)/L1292)</f>
        <v>42320.708731590363</v>
      </c>
      <c r="M1293" s="278"/>
      <c r="N1293" s="217">
        <f>IF(N1292=0,0,SUMIFS(операции!$AF:$AF,операции!$T:$T,"&gt;="&amp;N$8,операции!$T:$T,"&lt;="&amp;N$9,операции!$O:$O,$F1274)/N1292)</f>
        <v>42303.323459753366</v>
      </c>
      <c r="O1293" s="208"/>
      <c r="P1293" s="217">
        <f>IF(P1292=0,0,SUMIFS(операции!$AF:$AF,операции!$T:$T,"&gt;="&amp;N$8,операции!$T:$T,"&lt;="&amp;N$9,операции!$L:$L,P$9,операции!$O:$O,$F1274)/P1292)</f>
        <v>42296.919888600351</v>
      </c>
      <c r="Q1293" s="249">
        <f>IF(Q1292=0,0,SUMIFS(операции!$AF:$AF,операции!$T:$T,"&gt;="&amp;N$8,операции!$T:$T,"&lt;="&amp;N$9,операции!$L:$L,Q$9,операции!$O:$O,$F1274)/Q1292)</f>
        <v>42305.268491392126</v>
      </c>
      <c r="R1293" s="247"/>
      <c r="S1293" s="217">
        <f>IF(S1292=0,0,SUMIFS(операции!$AF:$AF,операции!$T:$T,"&gt;="&amp;S$8,операции!$T:$T,"&lt;="&amp;S$9,операции!$O:$O,$F1274)/S1292)</f>
        <v>42315.129189032523</v>
      </c>
      <c r="T1293" s="208"/>
      <c r="U1293" s="217">
        <f>IF(U1292=0,0,SUMIFS(операции!$AF:$AF,операции!$T:$T,"&gt;="&amp;S$8,операции!$T:$T,"&lt;="&amp;S$9,операции!$L:$L,U$9,операции!$O:$O,$F1274)/U1292)</f>
        <v>0</v>
      </c>
      <c r="V1293" s="249">
        <f>IF(V1292=0,0,SUMIFS(операции!$AF:$AF,операции!$T:$T,"&gt;="&amp;S$8,операции!$T:$T,"&lt;="&amp;S$9,операции!$L:$L,V$9,операции!$O:$O,$F1274)/V1292)</f>
        <v>42315.129189032523</v>
      </c>
      <c r="W1293" s="247"/>
      <c r="X1293" s="217">
        <f>IF(X1292=0,0,SUMIFS(операции!$AF:$AF,операции!$T:$T,"&gt;="&amp;X$8,операции!$T:$T,"&lt;="&amp;X$9,операции!$O:$O,$F1274)/X1292)</f>
        <v>42363.031113735466</v>
      </c>
      <c r="Y1293" s="208"/>
      <c r="Z1293" s="217">
        <f>IF(Z1292=0,0,SUMIFS(операции!$AF:$AF,операции!$T:$T,"&gt;="&amp;X$8,операции!$T:$T,"&lt;="&amp;X$9,операции!$L:$L,Z$9,операции!$O:$O,$F1274)/Z1292)</f>
        <v>0</v>
      </c>
      <c r="AA1293" s="249">
        <f>IF(AA1292=0,0,SUMIFS(операции!$AF:$AF,операции!$T:$T,"&gt;="&amp;X$8,операции!$T:$T,"&lt;="&amp;X$9,операции!$L:$L,AA$9,операции!$O:$O,$F1274)/AA1292)</f>
        <v>42363.031113735466</v>
      </c>
      <c r="AB1293" s="265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37"/>
    </row>
    <row r="1294" spans="1:42" s="93" customFormat="1" ht="15">
      <c r="A1294" s="92"/>
      <c r="B1294" s="92"/>
      <c r="C1294" s="92"/>
      <c r="D1294" s="212" t="s">
        <v>274</v>
      </c>
      <c r="E1294" s="212"/>
      <c r="F1294" s="212" t="str">
        <f t="shared" si="2254"/>
        <v>Лайтс</v>
      </c>
      <c r="G1294" s="212" t="s">
        <v>261</v>
      </c>
      <c r="H1294" s="339"/>
      <c r="I1294" s="340">
        <f>SUMIFS(операции!$Z:$Z,операции!$X:$X,"&gt;="&amp;I$8,операции!$X:$X,"&lt;="&amp;I$9,операции!$O:$O,$F1274)</f>
        <v>228572</v>
      </c>
      <c r="J1294" s="341">
        <f>I1294-I1307-I1317</f>
        <v>0</v>
      </c>
      <c r="K1294" s="340">
        <f>SUMIFS(операции!$Z:$Z,операции!$X:$X,"&gt;="&amp;I$8,операции!$X:$X,"&lt;="&amp;I$9,операции!$L:$L,K$9,операции!$O:$O,$F1274)</f>
        <v>58523</v>
      </c>
      <c r="L1294" s="342">
        <f>SUMIFS(операции!$Z:$Z,операции!$X:$X,"&gt;="&amp;I$8,операции!$X:$X,"&lt;="&amp;I$9,операции!$L:$L,L$9,операции!$O:$O,$F1274)</f>
        <v>170049</v>
      </c>
      <c r="M1294" s="279"/>
      <c r="N1294" s="213">
        <f>SUMIFS(операции!$Z:$Z,операции!$X:$X,"&gt;="&amp;N$8,операции!$X:$X,"&lt;="&amp;N$9,операции!$O:$O,$F1274)</f>
        <v>33130</v>
      </c>
      <c r="O1294" s="216">
        <f>N1294-N1307-N1317</f>
        <v>0</v>
      </c>
      <c r="P1294" s="213">
        <f>SUMIFS(операции!$Z:$Z,операции!$X:$X,"&gt;="&amp;N$8,операции!$X:$X,"&lt;="&amp;N$9,операции!$L:$L,P$9,операции!$O:$O,$F1274)</f>
        <v>9190</v>
      </c>
      <c r="Q1294" s="250">
        <f>SUMIFS(операции!$Z:$Z,операции!$X:$X,"&gt;="&amp;N$8,операции!$X:$X,"&lt;="&amp;N$9,операции!$L:$L,Q$9,операции!$O:$O,$F1274)</f>
        <v>23940</v>
      </c>
      <c r="R1294" s="251"/>
      <c r="S1294" s="213">
        <f>SUMIFS(операции!$Z:$Z,операции!$X:$X,"&gt;="&amp;S$8,операции!$X:$X,"&lt;="&amp;S$9,операции!$O:$O,$F1274)</f>
        <v>171682</v>
      </c>
      <c r="T1294" s="216">
        <f>S1294-S1307-S1317</f>
        <v>0</v>
      </c>
      <c r="U1294" s="213">
        <f>SUMIFS(операции!$Z:$Z,операции!$X:$X,"&gt;="&amp;S$8,операции!$X:$X,"&lt;="&amp;S$9,операции!$L:$L,U$9,операции!$O:$O,$F1274)</f>
        <v>48758</v>
      </c>
      <c r="V1294" s="250">
        <f>SUMIFS(операции!$Z:$Z,операции!$X:$X,"&gt;="&amp;S$8,операции!$X:$X,"&lt;="&amp;S$9,операции!$L:$L,V$9,операции!$O:$O,$F1274)</f>
        <v>122924</v>
      </c>
      <c r="W1294" s="251"/>
      <c r="X1294" s="213">
        <f>SUMIFS(операции!$Z:$Z,операции!$X:$X,"&gt;="&amp;X$8,операции!$X:$X,"&lt;="&amp;X$9,операции!$O:$O,$F1274)</f>
        <v>23760</v>
      </c>
      <c r="Y1294" s="216">
        <f>X1294-X1307-X1317</f>
        <v>0</v>
      </c>
      <c r="Z1294" s="213">
        <f>SUMIFS(операции!$Z:$Z,операции!$X:$X,"&gt;="&amp;X$8,операции!$X:$X,"&lt;="&amp;X$9,операции!$L:$L,Z$9,операции!$O:$O,$F1274)</f>
        <v>575</v>
      </c>
      <c r="AA1294" s="250">
        <f>SUMIFS(операции!$Z:$Z,операции!$X:$X,"&gt;="&amp;X$8,операции!$X:$X,"&lt;="&amp;X$9,операции!$L:$L,AA$9,операции!$O:$O,$F1274)</f>
        <v>23185</v>
      </c>
      <c r="AB1294" s="264"/>
      <c r="AC1294" s="92"/>
      <c r="AD1294" s="92"/>
      <c r="AE1294" s="92"/>
      <c r="AF1294" s="92"/>
      <c r="AG1294" s="92"/>
      <c r="AH1294" s="92"/>
      <c r="AI1294" s="92"/>
      <c r="AJ1294" s="92"/>
      <c r="AK1294" s="92"/>
      <c r="AL1294" s="92"/>
      <c r="AM1294" s="92"/>
      <c r="AN1294" s="92"/>
      <c r="AO1294" s="92"/>
      <c r="AP1294" s="92"/>
    </row>
    <row r="1295" spans="1:42" s="407" customFormat="1" ht="11.25">
      <c r="A1295" s="404"/>
      <c r="B1295" s="404"/>
      <c r="C1295" s="404"/>
      <c r="D1295" s="405" t="s">
        <v>332</v>
      </c>
      <c r="E1295" s="405"/>
      <c r="F1295" s="405" t="str">
        <f>F1293</f>
        <v>Лайтс</v>
      </c>
      <c r="G1295" s="405" t="s">
        <v>218</v>
      </c>
      <c r="H1295" s="408"/>
      <c r="I1295" s="408">
        <f>IF(I$31=0,0,I1294/I$31)</f>
        <v>6.161342355980523E-2</v>
      </c>
      <c r="J1295" s="409"/>
      <c r="K1295" s="408">
        <f t="shared" ref="K1295" si="2283">IF(K$31=0,0,K1294/K$31)</f>
        <v>4.49528909863781E-2</v>
      </c>
      <c r="L1295" s="410">
        <f t="shared" ref="L1295" si="2284">IF(L$31=0,0,L1294/L$31)</f>
        <v>7.0621229601536939E-2</v>
      </c>
      <c r="M1295" s="411"/>
      <c r="N1295" s="412">
        <f t="shared" ref="N1295" si="2285">IF(N$31=0,0,N1294/N$31)</f>
        <v>4.274822161978728E-2</v>
      </c>
      <c r="O1295" s="413"/>
      <c r="P1295" s="412">
        <f t="shared" ref="P1295" si="2286">IF(P$31=0,0,P1294/P$31)</f>
        <v>1.8362518882024313E-2</v>
      </c>
      <c r="Q1295" s="414">
        <f t="shared" ref="Q1295" si="2287">IF(Q$31=0,0,Q1294/Q$31)</f>
        <v>8.7204537258630296E-2</v>
      </c>
      <c r="R1295" s="415"/>
      <c r="S1295" s="412">
        <f t="shared" ref="S1295" si="2288">IF(S$31=0,0,S1294/S$31)</f>
        <v>9.6738876257610462E-2</v>
      </c>
      <c r="T1295" s="413"/>
      <c r="U1295" s="412">
        <f t="shared" ref="U1295" si="2289">IF(U$31=0,0,U1294/U$31)</f>
        <v>7.7423760033663885E-2</v>
      </c>
      <c r="V1295" s="414">
        <f t="shared" ref="V1295" si="2290">IF(V$31=0,0,V1294/V$31)</f>
        <v>0.10736283124006499</v>
      </c>
      <c r="W1295" s="415"/>
      <c r="X1295" s="412">
        <f t="shared" ref="X1295" si="2291">IF(X$31=0,0,X1294/X$31)</f>
        <v>2.0481381424352501E-2</v>
      </c>
      <c r="Y1295" s="413"/>
      <c r="Z1295" s="412">
        <f t="shared" ref="Z1295" si="2292">IF(Z$31=0,0,Z1294/Z$31)</f>
        <v>3.3499764045140205E-3</v>
      </c>
      <c r="AA1295" s="414">
        <f t="shared" ref="AA1295" si="2293">IF(AA$31=0,0,AA1294/AA$31)</f>
        <v>2.3456271783172389E-2</v>
      </c>
      <c r="AB1295" s="406"/>
      <c r="AC1295" s="404"/>
      <c r="AD1295" s="404"/>
      <c r="AE1295" s="404"/>
      <c r="AF1295" s="404"/>
      <c r="AG1295" s="404"/>
      <c r="AH1295" s="404"/>
      <c r="AI1295" s="404"/>
      <c r="AJ1295" s="404"/>
      <c r="AK1295" s="404"/>
      <c r="AL1295" s="404"/>
      <c r="AM1295" s="404"/>
      <c r="AN1295" s="404"/>
      <c r="AO1295" s="404"/>
      <c r="AP1295" s="404"/>
    </row>
    <row r="1296" spans="1:42" s="192" customFormat="1" ht="11.25">
      <c r="A1296" s="37"/>
      <c r="B1296" s="37"/>
      <c r="C1296" s="37"/>
      <c r="D1296" s="191" t="s">
        <v>331</v>
      </c>
      <c r="E1296" s="191"/>
      <c r="F1296" s="191" t="str">
        <f>F1294</f>
        <v>Лайтс</v>
      </c>
      <c r="G1296" s="191" t="s">
        <v>334</v>
      </c>
      <c r="H1296" s="315"/>
      <c r="I1296" s="329">
        <f>SUMIFS(операции!$R:$R,операции!$X:$X,"&gt;="&amp;I$8,операции!$X:$X,"&lt;="&amp;I$9,операции!$O:$O,$F1274)</f>
        <v>36</v>
      </c>
      <c r="J1296" s="317">
        <f>I1296-K1296-L1296</f>
        <v>0</v>
      </c>
      <c r="K1296" s="329">
        <f>SUMIFS(операции!$R:$R,операции!$X:$X,"&gt;="&amp;I$8,операции!$X:$X,"&lt;="&amp;I$9,операции!$L:$L,K$9,операции!$O:$O,$F1274)</f>
        <v>17</v>
      </c>
      <c r="L1296" s="330">
        <f>SUMIFS(операции!$R:$R,операции!$X:$X,"&gt;="&amp;I$8,операции!$X:$X,"&lt;="&amp;I$9,операции!$L:$L,L$9,операции!$O:$O,$F1274)</f>
        <v>19</v>
      </c>
      <c r="M1296" s="402"/>
      <c r="N1296" s="156">
        <f>SUMIFS(операции!$R:$R,операции!$X:$X,"&gt;="&amp;N$8,операции!$X:$X,"&lt;="&amp;N$9,операции!$O:$O,$F1274)</f>
        <v>6</v>
      </c>
      <c r="O1296" s="196">
        <f t="shared" ref="O1296" si="2294">N1296-P1296-Q1296</f>
        <v>0</v>
      </c>
      <c r="P1296" s="156">
        <f>SUMIFS(операции!$R:$R,операции!$X:$X,"&gt;="&amp;N$8,операции!$X:$X,"&lt;="&amp;N$9,операции!$L:$L,P$9,операции!$O:$O,$F1274)</f>
        <v>3</v>
      </c>
      <c r="Q1296" s="245">
        <f>SUMIFS(операции!$R:$R,операции!$X:$X,"&gt;="&amp;N$8,операции!$X:$X,"&lt;="&amp;N$9,операции!$L:$L,Q$9,операции!$O:$O,$F1274)</f>
        <v>3</v>
      </c>
      <c r="R1296" s="403"/>
      <c r="S1296" s="156">
        <f>SUMIFS(операции!$R:$R,операции!$X:$X,"&gt;="&amp;S$8,операции!$X:$X,"&lt;="&amp;S$9,операции!$O:$O,$F1274)</f>
        <v>25</v>
      </c>
      <c r="T1296" s="196">
        <f t="shared" ref="T1296" si="2295">S1296-U1296-V1296</f>
        <v>0</v>
      </c>
      <c r="U1296" s="156">
        <f>SUMIFS(операции!$R:$R,операции!$X:$X,"&gt;="&amp;S$8,операции!$X:$X,"&lt;="&amp;S$9,операции!$L:$L,U$9,операции!$O:$O,$F1274)</f>
        <v>13</v>
      </c>
      <c r="V1296" s="245">
        <f>SUMIFS(операции!$R:$R,операции!$X:$X,"&gt;="&amp;S$8,операции!$X:$X,"&lt;="&amp;S$9,операции!$L:$L,V$9,операции!$O:$O,$F1274)</f>
        <v>12</v>
      </c>
      <c r="W1296" s="403"/>
      <c r="X1296" s="156">
        <f>SUMIFS(операции!$R:$R,операции!$X:$X,"&gt;="&amp;X$8,операции!$X:$X,"&lt;="&amp;X$9,операции!$O:$O,$F1274)</f>
        <v>5</v>
      </c>
      <c r="Y1296" s="196">
        <f t="shared" ref="Y1296" si="2296">X1296-Z1296-AA1296</f>
        <v>0</v>
      </c>
      <c r="Z1296" s="156">
        <f>SUMIFS(операции!$R:$R,операции!$X:$X,"&gt;="&amp;X$8,операции!$X:$X,"&lt;="&amp;X$9,операции!$L:$L,Z$9,операции!$O:$O,$F1274)</f>
        <v>1</v>
      </c>
      <c r="AA1296" s="245">
        <f>SUMIFS(операции!$R:$R,операции!$X:$X,"&gt;="&amp;X$8,операции!$X:$X,"&lt;="&amp;X$9,операции!$L:$L,AA$9,операции!$O:$O,$F1274)</f>
        <v>4</v>
      </c>
      <c r="AB1296" s="265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37"/>
    </row>
    <row r="1297" spans="1:42" s="192" customFormat="1" ht="11.25">
      <c r="A1297" s="37"/>
      <c r="B1297" s="37"/>
      <c r="C1297" s="37"/>
      <c r="D1297" s="191" t="s">
        <v>333</v>
      </c>
      <c r="E1297" s="191"/>
      <c r="F1297" s="191" t="str">
        <f t="shared" si="2254"/>
        <v>Лайтс</v>
      </c>
      <c r="G1297" s="191" t="s">
        <v>261</v>
      </c>
      <c r="H1297" s="315"/>
      <c r="I1297" s="329">
        <f>IF(I1296=0,0,I1294/I1296)</f>
        <v>6349.2222222222226</v>
      </c>
      <c r="J1297" s="317"/>
      <c r="K1297" s="329">
        <f t="shared" ref="K1297" si="2297">IF(K1296=0,0,K1294/K1296)</f>
        <v>3442.5294117647059</v>
      </c>
      <c r="L1297" s="330">
        <f t="shared" ref="L1297" si="2298">IF(L1296=0,0,L1294/L1296)</f>
        <v>8949.9473684210534</v>
      </c>
      <c r="M1297" s="402"/>
      <c r="N1297" s="156">
        <f>IF(N1296=0,0,N1294/N1296)</f>
        <v>5521.666666666667</v>
      </c>
      <c r="O1297" s="196"/>
      <c r="P1297" s="156">
        <f>IF(P1296=0,0,P1294/P1296)</f>
        <v>3063.3333333333335</v>
      </c>
      <c r="Q1297" s="245">
        <f>IF(Q1296=0,0,Q1294/Q1296)</f>
        <v>7980</v>
      </c>
      <c r="R1297" s="403"/>
      <c r="S1297" s="156">
        <f>IF(S1296=0,0,S1294/S1296)</f>
        <v>6867.28</v>
      </c>
      <c r="T1297" s="196"/>
      <c r="U1297" s="156">
        <f>IF(U1296=0,0,U1294/U1296)</f>
        <v>3750.6153846153848</v>
      </c>
      <c r="V1297" s="245">
        <f>IF(V1296=0,0,V1294/V1296)</f>
        <v>10243.666666666666</v>
      </c>
      <c r="W1297" s="403"/>
      <c r="X1297" s="156">
        <f>IF(X1296=0,0,X1294/X1296)</f>
        <v>4752</v>
      </c>
      <c r="Y1297" s="196"/>
      <c r="Z1297" s="156">
        <f>IF(Z1296=0,0,Z1294/Z1296)</f>
        <v>575</v>
      </c>
      <c r="AA1297" s="245">
        <f>IF(AA1296=0,0,AA1294/AA1296)</f>
        <v>5796.25</v>
      </c>
      <c r="AB1297" s="265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37"/>
    </row>
    <row r="1298" spans="1:42" s="192" customFormat="1" ht="11.25">
      <c r="A1298" s="37"/>
      <c r="B1298" s="37"/>
      <c r="C1298" s="37"/>
      <c r="D1298" s="191" t="s">
        <v>290</v>
      </c>
      <c r="E1298" s="191"/>
      <c r="F1298" s="191" t="str">
        <f>F1294</f>
        <v>Лайтс</v>
      </c>
      <c r="G1298" s="191" t="s">
        <v>262</v>
      </c>
      <c r="H1298" s="315"/>
      <c r="I1298" s="316">
        <f>IF(I1294=0,0,SUMIFS(операции!$AG:$AG,операции!$X:$X,"&gt;="&amp;I$8,операции!$X:$X,"&lt;="&amp;I$9,операции!$O:$O,$F1274)/I1294)</f>
        <v>42319.55853735366</v>
      </c>
      <c r="J1298" s="317"/>
      <c r="K1298" s="316">
        <f>IF(K1294=0,0,SUMIFS(операции!$AG:$AG,операции!$X:$X,"&gt;="&amp;I$8,операции!$X:$X,"&lt;="&amp;I$9,операции!$L:$L,K$9,операции!$O:$O,$F1274)/K1294)</f>
        <v>42321.428395673494</v>
      </c>
      <c r="L1298" s="318">
        <f>IF(L1294=0,0,SUMIFS(операции!$AG:$AG,операции!$X:$X,"&gt;="&amp;I$8,операции!$X:$X,"&lt;="&amp;I$9,операции!$L:$L,L$9,операции!$O:$O,$F1274)/L1294)</f>
        <v>42318.915018612279</v>
      </c>
      <c r="M1298" s="274"/>
      <c r="N1298" s="193">
        <f>IF(N1294=0,0,SUMIFS(операции!$AG:$AG,операции!$X:$X,"&gt;="&amp;N$8,операции!$X:$X,"&lt;="&amp;N$9,операции!$O:$O,$F1274)/N1294)</f>
        <v>42306.187443404771</v>
      </c>
      <c r="O1298" s="196"/>
      <c r="P1298" s="193">
        <f>IF(P1294=0,0,SUMIFS(операции!$AG:$AG,операции!$X:$X,"&gt;="&amp;N$8,операции!$X:$X,"&lt;="&amp;N$9,операции!$L:$L,P$9,операции!$O:$O,$F1274)/P1294)</f>
        <v>42301.465723612622</v>
      </c>
      <c r="Q1298" s="237">
        <f>IF(Q1294=0,0,SUMIFS(операции!$AG:$AG,операции!$X:$X,"&gt;="&amp;N$8,операции!$X:$X,"&lt;="&amp;N$9,операции!$L:$L,Q$9,операции!$O:$O,$F1274)/Q1294)</f>
        <v>42308</v>
      </c>
      <c r="R1298" s="238"/>
      <c r="S1298" s="193">
        <f>IF(S1294=0,0,SUMIFS(операции!$AG:$AG,операции!$X:$X,"&gt;="&amp;S$8,операции!$X:$X,"&lt;="&amp;S$9,операции!$O:$O,$F1274)/S1294)</f>
        <v>42319.186513437635</v>
      </c>
      <c r="T1298" s="196"/>
      <c r="U1298" s="193">
        <f>IF(U1294=0,0,SUMIFS(операции!$AG:$AG,операции!$X:$X,"&gt;="&amp;S$8,операции!$X:$X,"&lt;="&amp;S$9,операции!$L:$L,U$9,операции!$O:$O,$F1274)/U1294)</f>
        <v>42324.948398211578</v>
      </c>
      <c r="V1298" s="237">
        <f>IF(V1294=0,0,SUMIFS(операции!$AG:$AG,операции!$X:$X,"&gt;="&amp;S$8,операции!$X:$X,"&lt;="&amp;S$9,операции!$L:$L,V$9,операции!$O:$O,$F1274)/V1294)</f>
        <v>42316.901052682959</v>
      </c>
      <c r="W1298" s="238"/>
      <c r="X1298" s="193">
        <f>IF(X1294=0,0,SUMIFS(операции!$AG:$AG,операции!$X:$X,"&gt;="&amp;X$8,операции!$X:$X,"&lt;="&amp;X$9,операции!$O:$O,$F1274)/X1294)</f>
        <v>42340.890782828283</v>
      </c>
      <c r="Y1298" s="196"/>
      <c r="Z1298" s="193">
        <f>IF(Z1294=0,0,SUMIFS(операции!$AG:$AG,операции!$X:$X,"&gt;="&amp;X$8,операции!$X:$X,"&lt;="&amp;X$9,операции!$L:$L,Z$9,операции!$O:$O,$F1274)/Z1294)</f>
        <v>42342</v>
      </c>
      <c r="AA1298" s="237">
        <f>IF(AA1294=0,0,SUMIFS(операции!$AG:$AG,операции!$X:$X,"&gt;="&amp;X$8,операции!$X:$X,"&lt;="&amp;X$9,операции!$L:$L,AA$9,операции!$O:$O,$F1274)/AA1294)</f>
        <v>42340.863273668321</v>
      </c>
      <c r="AB1298" s="265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37"/>
    </row>
    <row r="1299" spans="1:42" s="93" customFormat="1" ht="15">
      <c r="A1299" s="92"/>
      <c r="B1299" s="92"/>
      <c r="C1299" s="92"/>
      <c r="D1299" s="151" t="s">
        <v>275</v>
      </c>
      <c r="E1299" s="151"/>
      <c r="F1299" s="151" t="str">
        <f t="shared" si="2254"/>
        <v>Лайтс</v>
      </c>
      <c r="G1299" s="151" t="s">
        <v>261</v>
      </c>
      <c r="H1299" s="311"/>
      <c r="I1299" s="312">
        <f>SUMIFS(операции!$V:$V,операции!$X:$X,"&gt;="&amp;I$8,операции!$X:$X,"&lt;="&amp;I$9,операции!$O:$O,$F1274)</f>
        <v>199449.3</v>
      </c>
      <c r="J1299" s="313">
        <f>I1299-I1309-I1319</f>
        <v>0</v>
      </c>
      <c r="K1299" s="312">
        <f>SUMIFS(операции!$V:$V,операции!$X:$X,"&gt;="&amp;I$8,операции!$X:$X,"&lt;="&amp;I$9,операции!$L:$L,K$9,операции!$O:$O,$F1274)</f>
        <v>52298.959999999992</v>
      </c>
      <c r="L1299" s="314">
        <f>SUMIFS(операции!$V:$V,операции!$X:$X,"&gt;="&amp;I$8,операции!$X:$X,"&lt;="&amp;I$9,операции!$L:$L,L$9,операции!$O:$O,$F1274)</f>
        <v>147150.34</v>
      </c>
      <c r="M1299" s="273"/>
      <c r="N1299" s="152">
        <f>SUMIFS(операции!$V:$V,операции!$X:$X,"&gt;="&amp;N$8,операции!$X:$X,"&lt;="&amp;N$9,операции!$O:$O,$F1274)</f>
        <v>26741.599999999999</v>
      </c>
      <c r="O1299" s="170">
        <f>N1299-N1309-N1319</f>
        <v>0</v>
      </c>
      <c r="P1299" s="152">
        <f>SUMIFS(операции!$V:$V,операции!$X:$X,"&gt;="&amp;N$8,операции!$X:$X,"&lt;="&amp;N$9,операции!$L:$L,P$9,операции!$O:$O,$F1274)</f>
        <v>8504</v>
      </c>
      <c r="Q1299" s="235">
        <f>SUMIFS(операции!$V:$V,операции!$X:$X,"&gt;="&amp;N$8,операции!$X:$X,"&lt;="&amp;N$9,операции!$L:$L,Q$9,операции!$O:$O,$F1274)</f>
        <v>18237.599999999999</v>
      </c>
      <c r="R1299" s="236"/>
      <c r="S1299" s="152">
        <f>SUMIFS(операции!$V:$V,операции!$X:$X,"&gt;="&amp;S$8,операции!$X:$X,"&lt;="&amp;S$9,операции!$O:$O,$F1274)</f>
        <v>156309.07999999999</v>
      </c>
      <c r="T1299" s="170">
        <f>S1299-S1309-S1319</f>
        <v>0</v>
      </c>
      <c r="U1299" s="152">
        <f>SUMIFS(операции!$V:$V,операции!$X:$X,"&gt;="&amp;S$8,операции!$X:$X,"&lt;="&amp;S$9,операции!$L:$L,U$9,операции!$O:$O,$F1274)</f>
        <v>43321.08</v>
      </c>
      <c r="V1299" s="235">
        <f>SUMIFS(операции!$V:$V,операции!$X:$X,"&gt;="&amp;S$8,операции!$X:$X,"&lt;="&amp;S$9,операции!$L:$L,V$9,операции!$O:$O,$F1274)</f>
        <v>112987.99999999999</v>
      </c>
      <c r="W1299" s="236"/>
      <c r="X1299" s="152">
        <f>SUMIFS(операции!$V:$V,операции!$X:$X,"&gt;="&amp;X$8,операции!$X:$X,"&lt;="&amp;X$9,операции!$O:$O,$F1274)</f>
        <v>16398.62</v>
      </c>
      <c r="Y1299" s="170">
        <f>X1299-X1309-X1319</f>
        <v>0</v>
      </c>
      <c r="Z1299" s="152">
        <f>SUMIFS(операции!$V:$V,операции!$X:$X,"&gt;="&amp;X$8,операции!$X:$X,"&lt;="&amp;X$9,операции!$L:$L,Z$9,операции!$O:$O,$F1274)</f>
        <v>473.88</v>
      </c>
      <c r="AA1299" s="235">
        <f>SUMIFS(операции!$V:$V,операции!$X:$X,"&gt;="&amp;X$8,операции!$X:$X,"&lt;="&amp;X$9,операции!$L:$L,AA$9,операции!$O:$O,$F1274)</f>
        <v>15924.74</v>
      </c>
      <c r="AB1299" s="264"/>
      <c r="AC1299" s="92"/>
      <c r="AD1299" s="92"/>
      <c r="AE1299" s="92"/>
      <c r="AF1299" s="92"/>
      <c r="AG1299" s="92"/>
      <c r="AH1299" s="92"/>
      <c r="AI1299" s="92"/>
      <c r="AJ1299" s="92"/>
      <c r="AK1299" s="92"/>
      <c r="AL1299" s="92"/>
      <c r="AM1299" s="92"/>
      <c r="AN1299" s="92"/>
      <c r="AO1299" s="92"/>
      <c r="AP1299" s="92"/>
    </row>
    <row r="1300" spans="1:42" s="192" customFormat="1" ht="11.25">
      <c r="A1300" s="37"/>
      <c r="B1300" s="37"/>
      <c r="C1300" s="37"/>
      <c r="D1300" s="191" t="s">
        <v>291</v>
      </c>
      <c r="E1300" s="191"/>
      <c r="F1300" s="191" t="str">
        <f t="shared" si="2254"/>
        <v>Лайтс</v>
      </c>
      <c r="G1300" s="191" t="s">
        <v>262</v>
      </c>
      <c r="H1300" s="315"/>
      <c r="I1300" s="316">
        <f>IF(I1299=0,0,SUMIFS(операции!$AF:$AF,операции!$X:$X,"&gt;="&amp;I$8,операции!$X:$X,"&lt;="&amp;I$9,операции!$O:$O,$F1274)/I1299)</f>
        <v>42297.613525392175</v>
      </c>
      <c r="J1300" s="317"/>
      <c r="K1300" s="316">
        <f>IF(K1299=0,0,SUMIFS(операции!$AF:$AF,операции!$X:$X,"&gt;="&amp;I$8,операции!$X:$X,"&lt;="&amp;I$9,операции!$L:$L,K$9,операции!$O:$O,$F1274)/K1299)</f>
        <v>42261.137921671878</v>
      </c>
      <c r="L1300" s="318">
        <f>IF(L1299=0,0,SUMIFS(операции!$AF:$AF,операции!$X:$X,"&gt;="&amp;I$8,операции!$X:$X,"&lt;="&amp;I$9,операции!$L:$L,L$9,операции!$O:$O,$F1274)/L1299)</f>
        <v>42310.577383579264</v>
      </c>
      <c r="M1300" s="274"/>
      <c r="N1300" s="193">
        <f>IF(N1299=0,0,SUMIFS(операции!$AF:$AF,операции!$X:$X,"&gt;="&amp;N$8,операции!$X:$X,"&lt;="&amp;N$9,операции!$O:$O,$F1274)/N1299)</f>
        <v>42289.257935202084</v>
      </c>
      <c r="O1300" s="196"/>
      <c r="P1300" s="193">
        <f>IF(P1299=0,0,SUMIFS(операции!$AF:$AF,операции!$X:$X,"&gt;="&amp;N$8,операции!$X:$X,"&lt;="&amp;N$9,операции!$L:$L,P$9,операции!$O:$O,$F1274)/P1299)</f>
        <v>42255.497648165569</v>
      </c>
      <c r="Q1300" s="237">
        <f>IF(Q1299=0,0,SUMIFS(операции!$AF:$AF,операции!$X:$X,"&gt;="&amp;N$8,операции!$X:$X,"&lt;="&amp;N$9,операции!$L:$L,Q$9,операции!$O:$O,$F1274)/Q1299)</f>
        <v>42305</v>
      </c>
      <c r="R1300" s="238"/>
      <c r="S1300" s="193">
        <f>IF(S1299=0,0,SUMIFS(операции!$AF:$AF,операции!$X:$X,"&gt;="&amp;S$8,операции!$X:$X,"&lt;="&amp;S$9,операции!$O:$O,$F1274)/S1299)</f>
        <v>42295.529120957013</v>
      </c>
      <c r="T1300" s="196"/>
      <c r="U1300" s="193">
        <f>IF(U1299=0,0,SUMIFS(операции!$AF:$AF,операции!$X:$X,"&gt;="&amp;S$8,операции!$X:$X,"&lt;="&amp;S$9,операции!$L:$L,U$9,операции!$O:$O,$F1274)/U1299)</f>
        <v>42261.907523081143</v>
      </c>
      <c r="V1300" s="237">
        <f>IF(V1299=0,0,SUMIFS(операции!$AF:$AF,операции!$X:$X,"&gt;="&amp;S$8,операции!$X:$X,"&lt;="&amp;S$9,операции!$L:$L,V$9,операции!$O:$O,$F1274)/V1299)</f>
        <v>42308.420082221128</v>
      </c>
      <c r="W1300" s="238"/>
      <c r="X1300" s="193">
        <f>IF(X1299=0,0,SUMIFS(операции!$AF:$AF,операции!$X:$X,"&gt;="&amp;X$8,операции!$X:$X,"&lt;="&amp;X$9,операции!$O:$O,$F1274)/X1299)</f>
        <v>42331.107391963473</v>
      </c>
      <c r="Y1300" s="196"/>
      <c r="Z1300" s="193">
        <f>IF(Z1299=0,0,SUMIFS(операции!$AF:$AF,операции!$X:$X,"&gt;="&amp;X$8,операции!$X:$X,"&lt;="&amp;X$9,операции!$L:$L,Z$9,операции!$O:$O,$F1274)/Z1299)</f>
        <v>42292</v>
      </c>
      <c r="AA1300" s="237">
        <f>IF(AA1299=0,0,SUMIFS(операции!$AF:$AF,операции!$X:$X,"&gt;="&amp;X$8,операции!$X:$X,"&lt;="&amp;X$9,операции!$L:$L,AA$9,операции!$O:$O,$F1274)/AA1299)</f>
        <v>42332.271129073379</v>
      </c>
      <c r="AB1300" s="265"/>
      <c r="AC1300" s="37"/>
      <c r="AD1300" s="37"/>
      <c r="AE1300" s="37"/>
      <c r="AF1300" s="37"/>
      <c r="AG1300" s="37"/>
      <c r="AH1300" s="37"/>
      <c r="AI1300" s="37"/>
      <c r="AJ1300" s="37"/>
      <c r="AK1300" s="37"/>
      <c r="AL1300" s="37"/>
      <c r="AM1300" s="37"/>
      <c r="AN1300" s="37"/>
      <c r="AO1300" s="37"/>
      <c r="AP1300" s="37"/>
    </row>
    <row r="1301" spans="1:42" s="192" customFormat="1" ht="11.25">
      <c r="A1301" s="37"/>
      <c r="B1301" s="37"/>
      <c r="C1301" s="37"/>
      <c r="D1301" s="191" t="s">
        <v>308</v>
      </c>
      <c r="E1301" s="191"/>
      <c r="F1301" s="191" t="str">
        <f t="shared" si="2254"/>
        <v>Лайтс</v>
      </c>
      <c r="G1301" s="191" t="s">
        <v>262</v>
      </c>
      <c r="H1301" s="315"/>
      <c r="I1301" s="316">
        <f>IF(I1299=0,0,(I1309*I1311+I1319*I1321)/I1299)</f>
        <v>42336.292608698051</v>
      </c>
      <c r="J1301" s="317"/>
      <c r="K1301" s="316">
        <f t="shared" ref="K1301:L1301" si="2299">IF(K1299=0,0,(K1309*K1311+K1319*K1321)/K1299)</f>
        <v>42304.595785652338</v>
      </c>
      <c r="L1301" s="318">
        <f t="shared" si="2299"/>
        <v>42347.558032077941</v>
      </c>
      <c r="M1301" s="274"/>
      <c r="N1301" s="193">
        <f>IF(N1299=0,0,(N1309*N1311+N1319*N1321)/N1299)</f>
        <v>42298.470278517365</v>
      </c>
      <c r="O1301" s="196"/>
      <c r="P1301" s="193">
        <f t="shared" ref="P1301:Q1301" si="2300">IF(P1299=0,0,(P1309*P1311+P1319*P1321)/P1299)</f>
        <v>42278.032925682033</v>
      </c>
      <c r="Q1301" s="237">
        <f t="shared" si="2300"/>
        <v>42308</v>
      </c>
      <c r="R1301" s="238"/>
      <c r="S1301" s="193">
        <f>IF(S1299=0,0,(S1309*S1311+S1319*S1321)/S1299)</f>
        <v>42329.049636271935</v>
      </c>
      <c r="T1301" s="196"/>
      <c r="U1301" s="193">
        <f t="shared" ref="U1301:V1301" si="2301">IF(U1299=0,0,(U1309*U1311+U1319*U1321)/U1299)</f>
        <v>42300.0583508075</v>
      </c>
      <c r="V1301" s="237">
        <f t="shared" si="2301"/>
        <v>42340.165275073465</v>
      </c>
      <c r="W1301" s="238"/>
      <c r="X1301" s="193">
        <f>IF(X1299=0,0,(X1309*X1311+X1319*X1321)/X1299)</f>
        <v>42354.162612463726</v>
      </c>
      <c r="Y1301" s="196"/>
      <c r="Z1301" s="193">
        <f t="shared" ref="Z1301:AA1301" si="2302">IF(Z1299=0,0,(Z1309*Z1311+Z1319*Z1321)/Z1299)</f>
        <v>42302.000000000007</v>
      </c>
      <c r="AA1301" s="237">
        <f t="shared" si="2302"/>
        <v>42355.714839928311</v>
      </c>
      <c r="AB1301" s="265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37"/>
    </row>
    <row r="1302" spans="1:42" s="93" customFormat="1" ht="15">
      <c r="A1302" s="92"/>
      <c r="B1302" s="92"/>
      <c r="C1302" s="92"/>
      <c r="D1302" s="151" t="s">
        <v>278</v>
      </c>
      <c r="E1302" s="151"/>
      <c r="F1302" s="151" t="str">
        <f t="shared" si="2254"/>
        <v>Лайтс</v>
      </c>
      <c r="G1302" s="151" t="s">
        <v>261</v>
      </c>
      <c r="H1302" s="311"/>
      <c r="I1302" s="312">
        <f>I1294-I1299</f>
        <v>29122.700000000012</v>
      </c>
      <c r="J1302" s="313">
        <f>I1302-K1302-L1302</f>
        <v>0</v>
      </c>
      <c r="K1302" s="312">
        <f t="shared" ref="K1302:L1302" si="2303">K1294-K1299</f>
        <v>6224.0400000000081</v>
      </c>
      <c r="L1302" s="314">
        <f t="shared" si="2303"/>
        <v>22898.660000000003</v>
      </c>
      <c r="M1302" s="273"/>
      <c r="N1302" s="152">
        <f>N1294-N1299</f>
        <v>6388.4000000000015</v>
      </c>
      <c r="O1302" s="170">
        <f>N1302-P1302-Q1302</f>
        <v>0</v>
      </c>
      <c r="P1302" s="152">
        <f t="shared" ref="P1302:Q1302" si="2304">P1294-P1299</f>
        <v>686</v>
      </c>
      <c r="Q1302" s="235">
        <f t="shared" si="2304"/>
        <v>5702.4000000000015</v>
      </c>
      <c r="R1302" s="236"/>
      <c r="S1302" s="152">
        <f>S1294-S1299</f>
        <v>15372.920000000013</v>
      </c>
      <c r="T1302" s="170">
        <f>S1302-U1302-V1302</f>
        <v>0</v>
      </c>
      <c r="U1302" s="152">
        <f t="shared" ref="U1302:V1302" si="2305">U1294-U1299</f>
        <v>5436.9199999999983</v>
      </c>
      <c r="V1302" s="235">
        <f t="shared" si="2305"/>
        <v>9936.0000000000146</v>
      </c>
      <c r="W1302" s="236"/>
      <c r="X1302" s="152">
        <f>X1294-X1299</f>
        <v>7361.380000000001</v>
      </c>
      <c r="Y1302" s="170">
        <f>X1302-Z1302-AA1302</f>
        <v>0</v>
      </c>
      <c r="Z1302" s="152">
        <f t="shared" ref="Z1302:AA1302" si="2306">Z1294-Z1299</f>
        <v>101.12</v>
      </c>
      <c r="AA1302" s="235">
        <f t="shared" si="2306"/>
        <v>7260.26</v>
      </c>
      <c r="AB1302" s="264"/>
      <c r="AC1302" s="92"/>
      <c r="AD1302" s="92"/>
      <c r="AE1302" s="92"/>
      <c r="AF1302" s="92"/>
      <c r="AG1302" s="92"/>
      <c r="AH1302" s="92"/>
      <c r="AI1302" s="92"/>
      <c r="AJ1302" s="92"/>
      <c r="AK1302" s="92"/>
      <c r="AL1302" s="92"/>
      <c r="AM1302" s="92"/>
      <c r="AN1302" s="92"/>
      <c r="AO1302" s="92"/>
      <c r="AP1302" s="92"/>
    </row>
    <row r="1303" spans="1:42" s="211" customFormat="1">
      <c r="A1303" s="210"/>
      <c r="B1303" s="210"/>
      <c r="C1303" s="210"/>
      <c r="D1303" s="218" t="s">
        <v>277</v>
      </c>
      <c r="E1303" s="218"/>
      <c r="F1303" s="218" t="str">
        <f t="shared" si="2254"/>
        <v>Лайтс</v>
      </c>
      <c r="G1303" s="218" t="s">
        <v>218</v>
      </c>
      <c r="H1303" s="343"/>
      <c r="I1303" s="344">
        <f>IF(I1294=0,0,(I1302/I1294))</f>
        <v>0.12741149397126511</v>
      </c>
      <c r="J1303" s="345"/>
      <c r="K1303" s="344">
        <f t="shared" ref="K1303" si="2307">IF(K1294=0,0,(K1302/K1294))</f>
        <v>0.10635203253421746</v>
      </c>
      <c r="L1303" s="346">
        <f t="shared" ref="L1303" si="2308">IF(L1294=0,0,(L1302/L1294))</f>
        <v>0.13465918646978225</v>
      </c>
      <c r="M1303" s="280"/>
      <c r="N1303" s="219">
        <f>IF(N1294=0,0,(N1302/N1294))</f>
        <v>0.19282825233926959</v>
      </c>
      <c r="O1303" s="220"/>
      <c r="P1303" s="219">
        <f t="shared" ref="P1303" si="2309">IF(P1294=0,0,(P1302/P1294))</f>
        <v>7.4646354733405876E-2</v>
      </c>
      <c r="Q1303" s="252">
        <f t="shared" ref="Q1303" si="2310">IF(Q1294=0,0,(Q1302/Q1294))</f>
        <v>0.23819548872180457</v>
      </c>
      <c r="R1303" s="253"/>
      <c r="S1303" s="219">
        <f>IF(S1294=0,0,(S1302/S1294))</f>
        <v>8.9542992276418099E-2</v>
      </c>
      <c r="T1303" s="220"/>
      <c r="U1303" s="219">
        <f t="shared" ref="U1303" si="2311">IF(U1294=0,0,(U1302/U1294))</f>
        <v>0.11150826531030801</v>
      </c>
      <c r="V1303" s="252">
        <f t="shared" ref="V1303" si="2312">IF(V1294=0,0,(V1302/V1294))</f>
        <v>8.0830431811525938E-2</v>
      </c>
      <c r="W1303" s="253"/>
      <c r="X1303" s="219">
        <f>IF(X1294=0,0,(X1302/X1294))</f>
        <v>0.30982239057239064</v>
      </c>
      <c r="Y1303" s="220"/>
      <c r="Z1303" s="219">
        <f t="shared" ref="Z1303" si="2313">IF(Z1294=0,0,(Z1302/Z1294))</f>
        <v>0.1758608695652174</v>
      </c>
      <c r="AA1303" s="252">
        <f t="shared" ref="AA1303" si="2314">IF(AA1294=0,0,(AA1302/AA1294))</f>
        <v>0.31314470562863922</v>
      </c>
      <c r="AB1303" s="267"/>
      <c r="AC1303" s="210"/>
      <c r="AD1303" s="210"/>
      <c r="AE1303" s="210"/>
      <c r="AF1303" s="210"/>
      <c r="AG1303" s="210"/>
      <c r="AH1303" s="210"/>
      <c r="AI1303" s="210"/>
      <c r="AJ1303" s="210"/>
      <c r="AK1303" s="210"/>
      <c r="AL1303" s="210"/>
      <c r="AM1303" s="210"/>
      <c r="AN1303" s="210"/>
      <c r="AO1303" s="210"/>
      <c r="AP1303" s="210"/>
    </row>
    <row r="1304" spans="1:42" s="93" customFormat="1" ht="15">
      <c r="A1304" s="92"/>
      <c r="B1304" s="92"/>
      <c r="C1304" s="92"/>
      <c r="D1304" s="198" t="s">
        <v>220</v>
      </c>
      <c r="E1304" s="198"/>
      <c r="F1304" s="198" t="str">
        <f t="shared" si="2254"/>
        <v>Лайтс</v>
      </c>
      <c r="G1304" s="198" t="s">
        <v>219</v>
      </c>
      <c r="H1304" s="323"/>
      <c r="I1304" s="324">
        <f>I1298-I1300</f>
        <v>21.945011961484852</v>
      </c>
      <c r="J1304" s="321">
        <f>I1304-SUMIFS(ПОбТЗ!$I:$I,ПОбТЗ!$E:$E,$D1304,ПОбТЗ!$F:$F,$F1304)</f>
        <v>0</v>
      </c>
      <c r="K1304" s="324">
        <f t="shared" ref="K1304:L1304" si="2315">K1298-K1300</f>
        <v>60.290474001616531</v>
      </c>
      <c r="L1304" s="325">
        <f t="shared" si="2315"/>
        <v>8.3376350330145215</v>
      </c>
      <c r="M1304" s="276"/>
      <c r="N1304" s="199">
        <f>N1298-N1300</f>
        <v>16.92950820268743</v>
      </c>
      <c r="O1304" s="173">
        <f>N1304-SUMIFS(ПОбТЗ_3!$J:$J,ПОбТЗ_3!$D:$D,$D1304,ПОбТЗ_3!$E:$E,$F1304)</f>
        <v>0</v>
      </c>
      <c r="P1304" s="199">
        <f t="shared" ref="P1304:Q1304" si="2316">P1298-P1300</f>
        <v>45.968075447053707</v>
      </c>
      <c r="Q1304" s="241">
        <f t="shared" si="2316"/>
        <v>3</v>
      </c>
      <c r="R1304" s="242"/>
      <c r="S1304" s="199">
        <f>S1298-S1300</f>
        <v>23.657392480621638</v>
      </c>
      <c r="T1304" s="173">
        <f>S1304-SUMIFS(ПОбТЗ_3!$K:$K,ПОбТЗ_3!$D:$D,$D1304,ПОбТЗ_3!$E:$E,$F1304)</f>
        <v>0</v>
      </c>
      <c r="U1304" s="199">
        <f t="shared" ref="U1304:V1304" si="2317">U1298-U1300</f>
        <v>63.04087513043487</v>
      </c>
      <c r="V1304" s="241">
        <f t="shared" si="2317"/>
        <v>8.4809704618310207</v>
      </c>
      <c r="W1304" s="242"/>
      <c r="X1304" s="199">
        <f>X1298-X1300</f>
        <v>9.7833908648099168</v>
      </c>
      <c r="Y1304" s="173">
        <f>X1304-SUMIFS(ПОбТЗ_3!$L:$L,ПОбТЗ_3!$D:$D,$D1304,ПОбТЗ_3!$E:$E,$F1304)</f>
        <v>0</v>
      </c>
      <c r="Z1304" s="199">
        <f t="shared" ref="Z1304:AA1304" si="2318">Z1298-Z1300</f>
        <v>50</v>
      </c>
      <c r="AA1304" s="241">
        <f t="shared" si="2318"/>
        <v>8.5921445949425106</v>
      </c>
      <c r="AB1304" s="264"/>
      <c r="AC1304" s="92"/>
      <c r="AD1304" s="92"/>
      <c r="AE1304" s="92"/>
      <c r="AF1304" s="92"/>
      <c r="AG1304" s="92"/>
      <c r="AH1304" s="92"/>
      <c r="AI1304" s="92"/>
      <c r="AJ1304" s="92"/>
      <c r="AK1304" s="92"/>
      <c r="AL1304" s="92"/>
      <c r="AM1304" s="92"/>
      <c r="AN1304" s="92"/>
      <c r="AO1304" s="92"/>
      <c r="AP1304" s="92"/>
    </row>
    <row r="1305" spans="1:42" s="5" customFormat="1">
      <c r="A1305" s="1"/>
      <c r="B1305" s="1"/>
      <c r="C1305" s="1"/>
      <c r="D1305" s="227" t="s">
        <v>309</v>
      </c>
      <c r="E1305" s="227"/>
      <c r="F1305" s="227" t="str">
        <f t="shared" si="2254"/>
        <v>Лайтс</v>
      </c>
      <c r="G1305" s="227" t="s">
        <v>219</v>
      </c>
      <c r="H1305" s="347"/>
      <c r="I1305" s="348">
        <f>I1301-I1300</f>
        <v>38.679083305876702</v>
      </c>
      <c r="J1305" s="321"/>
      <c r="K1305" s="348">
        <f t="shared" ref="K1305:L1305" si="2319">K1301-K1300</f>
        <v>43.457863980460388</v>
      </c>
      <c r="L1305" s="349">
        <f t="shared" si="2319"/>
        <v>36.980648498676601</v>
      </c>
      <c r="M1305" s="281"/>
      <c r="N1305" s="228">
        <f>N1301-N1300</f>
        <v>9.2123433152810321</v>
      </c>
      <c r="O1305" s="173"/>
      <c r="P1305" s="228">
        <f t="shared" ref="P1305:Q1305" si="2320">P1301-P1300</f>
        <v>22.535277516464703</v>
      </c>
      <c r="Q1305" s="254">
        <f t="shared" si="2320"/>
        <v>3</v>
      </c>
      <c r="R1305" s="255"/>
      <c r="S1305" s="228">
        <f>S1301-S1300</f>
        <v>33.520515314921795</v>
      </c>
      <c r="T1305" s="173"/>
      <c r="U1305" s="228">
        <f t="shared" ref="U1305:V1305" si="2321">U1301-U1300</f>
        <v>38.150827726356511</v>
      </c>
      <c r="V1305" s="254">
        <f t="shared" si="2321"/>
        <v>31.745192852336913</v>
      </c>
      <c r="W1305" s="255"/>
      <c r="X1305" s="228">
        <f>X1301-X1300</f>
        <v>23.055220500253199</v>
      </c>
      <c r="Y1305" s="173"/>
      <c r="Z1305" s="228">
        <f t="shared" ref="Z1305:AA1305" si="2322">Z1301-Z1300</f>
        <v>10.000000000007276</v>
      </c>
      <c r="AA1305" s="254">
        <f t="shared" si="2322"/>
        <v>23.443710854931851</v>
      </c>
      <c r="AB1305" s="266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</row>
    <row r="1306" spans="1:42" s="5" customFormat="1">
      <c r="A1306" s="1"/>
      <c r="B1306" s="1"/>
      <c r="C1306" s="1"/>
      <c r="D1306" s="225" t="s">
        <v>310</v>
      </c>
      <c r="E1306" s="225"/>
      <c r="F1306" s="225" t="str">
        <f t="shared" si="2254"/>
        <v>Лайтс</v>
      </c>
      <c r="G1306" s="225" t="s">
        <v>219</v>
      </c>
      <c r="H1306" s="350"/>
      <c r="I1306" s="351">
        <f>I1304-I1305</f>
        <v>-16.73407134439185</v>
      </c>
      <c r="J1306" s="352"/>
      <c r="K1306" s="351">
        <f t="shared" ref="K1306" si="2323">K1304-K1305</f>
        <v>16.832610021156142</v>
      </c>
      <c r="L1306" s="353">
        <f t="shared" ref="L1306" si="2324">L1304-L1305</f>
        <v>-28.643013465662079</v>
      </c>
      <c r="M1306" s="282"/>
      <c r="N1306" s="226">
        <f>N1304-N1305</f>
        <v>7.7171648874063976</v>
      </c>
      <c r="O1306" s="181"/>
      <c r="P1306" s="226">
        <f t="shared" ref="P1306" si="2325">P1304-P1305</f>
        <v>23.432797930589004</v>
      </c>
      <c r="Q1306" s="256">
        <f t="shared" ref="Q1306" si="2326">Q1304-Q1305</f>
        <v>0</v>
      </c>
      <c r="R1306" s="257"/>
      <c r="S1306" s="226">
        <f>S1304-S1305</f>
        <v>-9.8631228343001567</v>
      </c>
      <c r="T1306" s="181"/>
      <c r="U1306" s="226">
        <f t="shared" ref="U1306" si="2327">U1304-U1305</f>
        <v>24.890047404078359</v>
      </c>
      <c r="V1306" s="256">
        <f t="shared" ref="V1306" si="2328">V1304-V1305</f>
        <v>-23.264222390505893</v>
      </c>
      <c r="W1306" s="257"/>
      <c r="X1306" s="226">
        <f>X1304-X1305</f>
        <v>-13.271829635443282</v>
      </c>
      <c r="Y1306" s="181"/>
      <c r="Z1306" s="226">
        <f t="shared" ref="Z1306" si="2329">Z1304-Z1305</f>
        <v>39.999999999992724</v>
      </c>
      <c r="AA1306" s="256">
        <f t="shared" ref="AA1306" si="2330">AA1304-AA1305</f>
        <v>-14.85156625998934</v>
      </c>
      <c r="AB1306" s="266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</row>
    <row r="1307" spans="1:42" s="5" customFormat="1">
      <c r="A1307" s="1"/>
      <c r="B1307" s="1"/>
      <c r="C1307" s="1"/>
      <c r="D1307" s="223"/>
      <c r="E1307" s="223" t="s">
        <v>293</v>
      </c>
      <c r="F1307" s="223" t="str">
        <f t="shared" si="2254"/>
        <v>Лайтс</v>
      </c>
      <c r="G1307" s="223" t="s">
        <v>261</v>
      </c>
      <c r="H1307" s="354"/>
      <c r="I1307" s="355">
        <f>SUMIFS(операции!$Z:$Z,операции!$X:$X,"&gt;="&amp;I$8,операции!$X:$X,"&lt;="&amp;I$9,операции!$AB:$AB,"&lt;&gt;"&amp;"",операции!$O:$O,$F1274)</f>
        <v>182108</v>
      </c>
      <c r="J1307" s="341">
        <f>I1307-K1307-L1307</f>
        <v>0</v>
      </c>
      <c r="K1307" s="355">
        <f>SUMIFS(операции!$Z:$Z,операции!$X:$X,"&gt;="&amp;I$8,операции!$X:$X,"&lt;="&amp;I$9,операции!$AB:$AB,"&lt;&gt;"&amp;"",операции!$L:$L,K$9,операции!$O:$O,$F1274)</f>
        <v>43889</v>
      </c>
      <c r="L1307" s="356">
        <f>SUMIFS(операции!$Z:$Z,операции!$X:$X,"&gt;="&amp;I$8,операции!$X:$X,"&lt;="&amp;I$9,операции!$AB:$AB,"&lt;&gt;"&amp;"",операции!$L:$L,L$9,операции!$O:$O,$F1274)</f>
        <v>138219</v>
      </c>
      <c r="M1307" s="283"/>
      <c r="N1307" s="224">
        <f>SUMIFS(операции!$Z:$Z,операции!$X:$X,"&gt;="&amp;N$8,операции!$X:$X,"&lt;="&amp;N$9,операции!$AB:$AB,"&lt;&gt;"&amp;"",операции!$O:$O,$F1274)</f>
        <v>9190</v>
      </c>
      <c r="O1307" s="216">
        <f>N1307-P1307-Q1307</f>
        <v>0</v>
      </c>
      <c r="P1307" s="224">
        <f>SUMIFS(операции!$Z:$Z,операции!$X:$X,"&gt;="&amp;N$8,операции!$X:$X,"&lt;="&amp;N$9,операции!$AB:$AB,"&lt;&gt;"&amp;"",операции!$L:$L,P$9,операции!$O:$O,$F1274)</f>
        <v>9190</v>
      </c>
      <c r="Q1307" s="258">
        <f>SUMIFS(операции!$Z:$Z,операции!$X:$X,"&gt;="&amp;N$8,операции!$X:$X,"&lt;="&amp;N$9,операции!$AB:$AB,"&lt;&gt;"&amp;"",операции!$L:$L,Q$9,операции!$O:$O,$F1274)</f>
        <v>0</v>
      </c>
      <c r="R1307" s="259"/>
      <c r="S1307" s="224">
        <f>SUMIFS(операции!$Z:$Z,операции!$X:$X,"&gt;="&amp;S$8,операции!$X:$X,"&lt;="&amp;S$9,операции!$AB:$AB,"&lt;&gt;"&amp;"",операции!$O:$O,$F1274)</f>
        <v>149158</v>
      </c>
      <c r="T1307" s="216">
        <f>S1307-U1307-V1307</f>
        <v>0</v>
      </c>
      <c r="U1307" s="224">
        <f>SUMIFS(операции!$Z:$Z,операции!$X:$X,"&gt;="&amp;S$8,операции!$X:$X,"&lt;="&amp;S$9,операции!$AB:$AB,"&lt;&gt;"&amp;"",операции!$L:$L,U$9,операции!$O:$O,$F1274)</f>
        <v>34124</v>
      </c>
      <c r="V1307" s="258">
        <f>SUMIFS(операции!$Z:$Z,операции!$X:$X,"&gt;="&amp;S$8,операции!$X:$X,"&lt;="&amp;S$9,операции!$AB:$AB,"&lt;&gt;"&amp;"",операции!$L:$L,V$9,операции!$O:$O,$F1274)</f>
        <v>115034</v>
      </c>
      <c r="W1307" s="259"/>
      <c r="X1307" s="224">
        <f>SUMIFS(операции!$Z:$Z,операции!$X:$X,"&gt;="&amp;X$8,операции!$X:$X,"&lt;="&amp;X$9,операции!$AB:$AB,"&lt;&gt;"&amp;"",операции!$O:$O,$F1274)</f>
        <v>23760</v>
      </c>
      <c r="Y1307" s="216">
        <f>X1307-Z1307-AA1307</f>
        <v>0</v>
      </c>
      <c r="Z1307" s="224">
        <f>SUMIFS(операции!$Z:$Z,операции!$X:$X,"&gt;="&amp;X$8,операции!$X:$X,"&lt;="&amp;X$9,операции!$AB:$AB,"&lt;&gt;"&amp;"",операции!$L:$L,Z$9,операции!$O:$O,$F1274)</f>
        <v>575</v>
      </c>
      <c r="AA1307" s="258">
        <f>SUMIFS(операции!$Z:$Z,операции!$X:$X,"&gt;="&amp;X$8,операции!$X:$X,"&lt;="&amp;X$9,операции!$AB:$AB,"&lt;&gt;"&amp;"",операции!$L:$L,AA$9,операции!$O:$O,$F1274)</f>
        <v>23185</v>
      </c>
      <c r="AB1307" s="266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</row>
    <row r="1308" spans="1:42" s="192" customFormat="1" ht="11.25">
      <c r="A1308" s="37"/>
      <c r="B1308" s="37"/>
      <c r="C1308" s="37"/>
      <c r="D1308" s="191"/>
      <c r="E1308" s="191" t="s">
        <v>295</v>
      </c>
      <c r="F1308" s="191" t="str">
        <f t="shared" si="2254"/>
        <v>Лайтс</v>
      </c>
      <c r="G1308" s="191" t="s">
        <v>262</v>
      </c>
      <c r="H1308" s="315"/>
      <c r="I1308" s="316">
        <f>IF(I1307=0,0,SUMIFS(операции!$AG:$AG,операции!$X:$X,"&gt;="&amp;I$8,операции!$X:$X,"&lt;="&amp;I$9,операции!$AB:$AB,"&lt;&gt;"&amp;"",операции!$O:$O,$F1274)/I1307)</f>
        <v>42320.546510861685</v>
      </c>
      <c r="J1308" s="317"/>
      <c r="K1308" s="316">
        <f>IF(K1307=0,0,SUMIFS(операции!$AG:$AG,операции!$X:$X,"&gt;="&amp;I$8,операции!$X:$X,"&lt;="&amp;I$9,операции!$AB:$AB,"&lt;&gt;"&amp;"",операции!$L:$L,K$9,операции!$O:$O,$F1274)/K1307)</f>
        <v>42320.433229282964</v>
      </c>
      <c r="L1308" s="318">
        <f>IF(L1307=0,0,SUMIFS(операции!$AG:$AG,операции!$X:$X,"&gt;="&amp;I$8,операции!$X:$X,"&lt;="&amp;I$9,операции!$AB:$AB,"&lt;&gt;"&amp;"",операции!$L:$L,L$9,операции!$O:$O,$F1274)/L1307)</f>
        <v>42320.582481424404</v>
      </c>
      <c r="M1308" s="274"/>
      <c r="N1308" s="193">
        <f>IF(N1307=0,0,SUMIFS(операции!$AG:$AG,операции!$X:$X,"&gt;="&amp;N$8,операции!$X:$X,"&lt;="&amp;N$9,операции!$AB:$AB,"&lt;&gt;"&amp;"",операции!$O:$O,$F1274)/N1307)</f>
        <v>42301.465723612622</v>
      </c>
      <c r="O1308" s="196"/>
      <c r="P1308" s="193">
        <f>IF(P1307=0,0,SUMIFS(операции!$AG:$AG,операции!$X:$X,"&gt;="&amp;N$8,операции!$X:$X,"&lt;="&amp;N$9,операции!$AB:$AB,"&lt;&gt;"&amp;"",операции!$L:$L,P$9,операции!$O:$O,$F1274)/P1307)</f>
        <v>42301.465723612622</v>
      </c>
      <c r="Q1308" s="237">
        <f>IF(Q1307=0,0,SUMIFS(операции!$AG:$AG,операции!$X:$X,"&gt;="&amp;N$8,операции!$X:$X,"&lt;="&amp;N$9,операции!$AB:$AB,"&lt;&gt;"&amp;"",операции!$L:$L,Q$9,операции!$O:$O,$F1274)/Q1307)</f>
        <v>0</v>
      </c>
      <c r="R1308" s="238"/>
      <c r="S1308" s="193">
        <f>IF(S1307=0,0,SUMIFS(операции!$AG:$AG,операции!$X:$X,"&gt;="&amp;S$8,операции!$X:$X,"&lt;="&amp;S$9,операции!$AB:$AB,"&lt;&gt;"&amp;"",операции!$O:$O,$F1274)/S1307)</f>
        <v>42318.48140227142</v>
      </c>
      <c r="T1308" s="196"/>
      <c r="U1308" s="193">
        <f>IF(U1307=0,0,SUMIFS(операции!$AG:$AG,операции!$X:$X,"&gt;="&amp;S$8,операции!$X:$X,"&lt;="&amp;S$9,операции!$AB:$AB,"&lt;&gt;"&amp;"",операции!$L:$L,U$9,операции!$O:$O,$F1274)/U1307)</f>
        <v>42325.177997890045</v>
      </c>
      <c r="V1308" s="237">
        <f>IF(V1307=0,0,SUMIFS(операции!$AG:$AG,операции!$X:$X,"&gt;="&amp;S$8,операции!$X:$X,"&lt;="&amp;S$9,операции!$AB:$AB,"&lt;&gt;"&amp;"",операции!$L:$L,V$9,операции!$O:$O,$F1274)/V1307)</f>
        <v>42316.49490585392</v>
      </c>
      <c r="W1308" s="238"/>
      <c r="X1308" s="193">
        <f>IF(X1307=0,0,SUMIFS(операции!$AG:$AG,операции!$X:$X,"&gt;="&amp;X$8,операции!$X:$X,"&lt;="&amp;X$9,операции!$AB:$AB,"&lt;&gt;"&amp;"",операции!$O:$O,$F1274)/X1307)</f>
        <v>42340.890782828283</v>
      </c>
      <c r="Y1308" s="196"/>
      <c r="Z1308" s="193">
        <f>IF(Z1307=0,0,SUMIFS(операции!$AG:$AG,операции!$X:$X,"&gt;="&amp;X$8,операции!$X:$X,"&lt;="&amp;X$9,операции!$AB:$AB,"&lt;&gt;"&amp;"",операции!$L:$L,Z$9,операции!$O:$O,$F1274)/Z1307)</f>
        <v>42342</v>
      </c>
      <c r="AA1308" s="237">
        <f>IF(AA1307=0,0,SUMIFS(операции!$AG:$AG,операции!$X:$X,"&gt;="&amp;X$8,операции!$X:$X,"&lt;="&amp;X$9,операции!$AB:$AB,"&lt;&gt;"&amp;"",операции!$L:$L,AA$9,операции!$O:$O,$F1274)/AA1307)</f>
        <v>42340.863273668321</v>
      </c>
      <c r="AB1308" s="265"/>
      <c r="AC1308" s="37"/>
      <c r="AD1308" s="37"/>
      <c r="AE1308" s="37"/>
      <c r="AF1308" s="37"/>
      <c r="AG1308" s="37"/>
      <c r="AH1308" s="37"/>
      <c r="AI1308" s="37"/>
      <c r="AJ1308" s="37"/>
      <c r="AK1308" s="37"/>
      <c r="AL1308" s="37"/>
      <c r="AM1308" s="37"/>
      <c r="AN1308" s="37"/>
      <c r="AO1308" s="37"/>
      <c r="AP1308" s="37"/>
    </row>
    <row r="1309" spans="1:42" s="93" customFormat="1" ht="15">
      <c r="A1309" s="92"/>
      <c r="B1309" s="92"/>
      <c r="C1309" s="92"/>
      <c r="D1309" s="151"/>
      <c r="E1309" s="151" t="s">
        <v>292</v>
      </c>
      <c r="F1309" s="151" t="str">
        <f t="shared" si="2254"/>
        <v>Лайтс</v>
      </c>
      <c r="G1309" s="151" t="s">
        <v>261</v>
      </c>
      <c r="H1309" s="311"/>
      <c r="I1309" s="312">
        <f>SUMIFS(операции!$V:$V,операции!$X:$X,"&gt;="&amp;I$8,операции!$X:$X,"&lt;="&amp;I$9,операции!$AB:$AB,"&lt;&gt;"&amp;"",операции!$O:$O,$F1274)</f>
        <v>157404.12</v>
      </c>
      <c r="J1309" s="313">
        <f>I1309-K1309-L1309</f>
        <v>0</v>
      </c>
      <c r="K1309" s="312">
        <f>SUMIFS(операции!$V:$V,операции!$X:$X,"&gt;="&amp;I$8,операции!$X:$X,"&lt;="&amp;I$9,операции!$AB:$AB,"&lt;&gt;"&amp;"",операции!$L:$L,K$9,операции!$O:$O,$F1274)</f>
        <v>38631.629999999997</v>
      </c>
      <c r="L1309" s="314">
        <f>SUMIFS(операции!$V:$V,операции!$X:$X,"&gt;="&amp;I$8,операции!$X:$X,"&lt;="&amp;I$9,операции!$AB:$AB,"&lt;&gt;"&amp;"",операции!$L:$L,L$9,операции!$O:$O,$F1274)</f>
        <v>118772.48999999999</v>
      </c>
      <c r="M1309" s="273"/>
      <c r="N1309" s="152">
        <f>SUMIFS(операции!$V:$V,операции!$X:$X,"&gt;="&amp;N$8,операции!$X:$X,"&lt;="&amp;N$9,операции!$AB:$AB,"&lt;&gt;"&amp;"",операции!$O:$O,$F1274)</f>
        <v>8504</v>
      </c>
      <c r="O1309" s="170">
        <f>N1309-P1309-Q1309</f>
        <v>0</v>
      </c>
      <c r="P1309" s="152">
        <f>SUMIFS(операции!$V:$V,операции!$X:$X,"&gt;="&amp;N$8,операции!$X:$X,"&lt;="&amp;N$9,операции!$AB:$AB,"&lt;&gt;"&amp;"",операции!$L:$L,P$9,операции!$O:$O,$F1274)</f>
        <v>8504</v>
      </c>
      <c r="Q1309" s="235">
        <f>SUMIFS(операции!$V:$V,операции!$X:$X,"&gt;="&amp;N$8,операции!$X:$X,"&lt;="&amp;N$9,операции!$AB:$AB,"&lt;&gt;"&amp;"",операции!$L:$L,Q$9,операции!$O:$O,$F1274)</f>
        <v>0</v>
      </c>
      <c r="R1309" s="236"/>
      <c r="S1309" s="152">
        <f>SUMIFS(операции!$V:$V,операции!$X:$X,"&gt;="&amp;S$8,операции!$X:$X,"&lt;="&amp;S$9,операции!$AB:$AB,"&lt;&gt;"&amp;"",операции!$O:$O,$F1274)</f>
        <v>132501.5</v>
      </c>
      <c r="T1309" s="170">
        <f>S1309-U1309-V1309</f>
        <v>0</v>
      </c>
      <c r="U1309" s="152">
        <f>SUMIFS(операции!$V:$V,операции!$X:$X,"&gt;="&amp;S$8,операции!$X:$X,"&lt;="&amp;S$9,операции!$AB:$AB,"&lt;&gt;"&amp;"",операции!$L:$L,U$9,операции!$O:$O,$F1274)</f>
        <v>29653.749999999996</v>
      </c>
      <c r="V1309" s="235">
        <f>SUMIFS(операции!$V:$V,операции!$X:$X,"&gt;="&amp;S$8,операции!$X:$X,"&lt;="&amp;S$9,операции!$AB:$AB,"&lt;&gt;"&amp;"",операции!$L:$L,V$9,операции!$O:$O,$F1274)</f>
        <v>102847.75</v>
      </c>
      <c r="W1309" s="236"/>
      <c r="X1309" s="152">
        <f>SUMIFS(операции!$V:$V,операции!$X:$X,"&gt;="&amp;X$8,операции!$X:$X,"&lt;="&amp;X$9,операции!$AB:$AB,"&lt;&gt;"&amp;"",операции!$O:$O,$F1274)</f>
        <v>16398.62</v>
      </c>
      <c r="Y1309" s="170">
        <f>X1309-Z1309-AA1309</f>
        <v>0</v>
      </c>
      <c r="Z1309" s="152">
        <f>SUMIFS(операции!$V:$V,операции!$X:$X,"&gt;="&amp;X$8,операции!$X:$X,"&lt;="&amp;X$9,операции!$AB:$AB,"&lt;&gt;"&amp;"",операции!$L:$L,Z$9,операции!$O:$O,$F1274)</f>
        <v>473.88</v>
      </c>
      <c r="AA1309" s="235">
        <f>SUMIFS(операции!$V:$V,операции!$X:$X,"&gt;="&amp;X$8,операции!$X:$X,"&lt;="&amp;X$9,операции!$AB:$AB,"&lt;&gt;"&amp;"",операции!$L:$L,AA$9,операции!$O:$O,$F1274)</f>
        <v>15924.74</v>
      </c>
      <c r="AB1309" s="264"/>
      <c r="AC1309" s="92"/>
      <c r="AD1309" s="92"/>
      <c r="AE1309" s="92"/>
      <c r="AF1309" s="92"/>
      <c r="AG1309" s="92"/>
      <c r="AH1309" s="92"/>
      <c r="AI1309" s="92"/>
      <c r="AJ1309" s="92"/>
      <c r="AK1309" s="92"/>
      <c r="AL1309" s="92"/>
      <c r="AM1309" s="92"/>
      <c r="AN1309" s="92"/>
      <c r="AO1309" s="92"/>
      <c r="AP1309" s="92"/>
    </row>
    <row r="1310" spans="1:42" s="192" customFormat="1" ht="11.25">
      <c r="A1310" s="37"/>
      <c r="B1310" s="37"/>
      <c r="C1310" s="37"/>
      <c r="D1310" s="191"/>
      <c r="E1310" s="191" t="s">
        <v>294</v>
      </c>
      <c r="F1310" s="191" t="str">
        <f t="shared" si="2254"/>
        <v>Лайтс</v>
      </c>
      <c r="G1310" s="191" t="s">
        <v>262</v>
      </c>
      <c r="H1310" s="315"/>
      <c r="I1310" s="316">
        <f>IF(I1309=0,0,SUMIFS(операции!$AF:$AF,операции!$X:$X,"&gt;="&amp;I$8,операции!$X:$X,"&lt;="&amp;I$9,операции!$AB:$AB,"&lt;&gt;"&amp;"",операции!$O:$O,$F1274)/I1309)</f>
        <v>42297.638594085074</v>
      </c>
      <c r="J1310" s="317"/>
      <c r="K1310" s="316">
        <f>IF(K1309=0,0,SUMIFS(операции!$AF:$AF,операции!$X:$X,"&gt;="&amp;I$8,операции!$X:$X,"&lt;="&amp;I$9,операции!$AB:$AB,"&lt;&gt;"&amp;"",операции!$L:$L,K$9,операции!$O:$O,$F1274)/K1309)</f>
        <v>42256.441505056871</v>
      </c>
      <c r="L1310" s="318">
        <f>IF(L1309=0,0,SUMIFS(операции!$AF:$AF,операции!$X:$X,"&gt;="&amp;I$8,операции!$X:$X,"&lt;="&amp;I$9,операции!$AB:$AB,"&lt;&gt;"&amp;"",операции!$L:$L,L$9,операции!$O:$O,$F1274)/L1309)</f>
        <v>42311.038251702907</v>
      </c>
      <c r="M1310" s="274"/>
      <c r="N1310" s="193">
        <f>IF(N1309=0,0,SUMIFS(операции!$AF:$AF,операции!$X:$X,"&gt;="&amp;N$8,операции!$X:$X,"&lt;="&amp;N$9,операции!$AB:$AB,"&lt;&gt;"&amp;"",операции!$O:$O,$F1274)/N1309)</f>
        <v>42255.497648165569</v>
      </c>
      <c r="O1310" s="196"/>
      <c r="P1310" s="193">
        <f>IF(P1309=0,0,SUMIFS(операции!$AF:$AF,операции!$X:$X,"&gt;="&amp;N$8,операции!$X:$X,"&lt;="&amp;N$9,операции!$AB:$AB,"&lt;&gt;"&amp;"",операции!$L:$L,P$9,операции!$O:$O,$F1274)/P1309)</f>
        <v>42255.497648165569</v>
      </c>
      <c r="Q1310" s="237">
        <f>IF(Q1309=0,0,SUMIFS(операции!$AF:$AF,операции!$X:$X,"&gt;="&amp;N$8,операции!$X:$X,"&lt;="&amp;N$9,операции!$AB:$AB,"&lt;&gt;"&amp;"",операции!$L:$L,Q$9,операции!$O:$O,$F1274)/Q1309)</f>
        <v>0</v>
      </c>
      <c r="R1310" s="238"/>
      <c r="S1310" s="193">
        <f>IF(S1309=0,0,SUMIFS(операции!$AF:$AF,операции!$X:$X,"&gt;="&amp;S$8,операции!$X:$X,"&lt;="&amp;S$9,операции!$AB:$AB,"&lt;&gt;"&amp;"",операции!$O:$O,$F1274)/S1309)</f>
        <v>42296.201059459701</v>
      </c>
      <c r="T1310" s="196"/>
      <c r="U1310" s="193">
        <f>IF(U1309=0,0,SUMIFS(операции!$AF:$AF,операции!$X:$X,"&gt;="&amp;S$8,операции!$X:$X,"&lt;="&amp;S$9,операции!$AB:$AB,"&lt;&gt;"&amp;"",операции!$L:$L,U$9,операции!$O:$O,$F1274)/U1309)</f>
        <v>42256.143940648326</v>
      </c>
      <c r="V1310" s="237">
        <f>IF(V1309=0,0,SUMIFS(операции!$AF:$AF,операции!$X:$X,"&gt;="&amp;S$8,операции!$X:$X,"&lt;="&amp;S$9,операции!$AB:$AB,"&lt;&gt;"&amp;"",операции!$L:$L,V$9,операции!$O:$O,$F1274)/V1309)</f>
        <v>42307.750595418962</v>
      </c>
      <c r="W1310" s="238"/>
      <c r="X1310" s="193">
        <f>IF(X1309=0,0,SUMIFS(операции!$AF:$AF,операции!$X:$X,"&gt;="&amp;X$8,операции!$X:$X,"&lt;="&amp;X$9,операции!$AB:$AB,"&lt;&gt;"&amp;"",операции!$O:$O,$F1274)/X1309)</f>
        <v>42331.107391963473</v>
      </c>
      <c r="Y1310" s="196"/>
      <c r="Z1310" s="193">
        <f>IF(Z1309=0,0,SUMIFS(операции!$AF:$AF,операции!$X:$X,"&gt;="&amp;X$8,операции!$X:$X,"&lt;="&amp;X$9,операции!$AB:$AB,"&lt;&gt;"&amp;"",операции!$L:$L,Z$9,операции!$O:$O,$F1274)/Z1309)</f>
        <v>42292</v>
      </c>
      <c r="AA1310" s="237">
        <f>IF(AA1309=0,0,SUMIFS(операции!$AF:$AF,операции!$X:$X,"&gt;="&amp;X$8,операции!$X:$X,"&lt;="&amp;X$9,операции!$AB:$AB,"&lt;&gt;"&amp;"",операции!$L:$L,AA$9,операции!$O:$O,$F1274)/AA1309)</f>
        <v>42332.271129073379</v>
      </c>
      <c r="AB1310" s="265"/>
      <c r="AC1310" s="37"/>
      <c r="AD1310" s="37"/>
      <c r="AE1310" s="37"/>
      <c r="AF1310" s="37"/>
      <c r="AG1310" s="37"/>
      <c r="AH1310" s="37"/>
      <c r="AI1310" s="37"/>
      <c r="AJ1310" s="37"/>
      <c r="AK1310" s="37"/>
      <c r="AL1310" s="37"/>
      <c r="AM1310" s="37"/>
      <c r="AN1310" s="37"/>
      <c r="AO1310" s="37"/>
      <c r="AP1310" s="37"/>
    </row>
    <row r="1311" spans="1:42" s="192" customFormat="1" ht="11.25">
      <c r="A1311" s="37"/>
      <c r="B1311" s="37"/>
      <c r="C1311" s="37"/>
      <c r="D1311" s="191"/>
      <c r="E1311" s="191" t="s">
        <v>299</v>
      </c>
      <c r="F1311" s="191" t="str">
        <f t="shared" si="2254"/>
        <v>Лайтс</v>
      </c>
      <c r="G1311" s="191" t="s">
        <v>262</v>
      </c>
      <c r="H1311" s="315"/>
      <c r="I1311" s="316">
        <f>IF(I1309=0,0,SUMIFS(операции!$AH:$AH,операции!$X:$X,"&gt;="&amp;I$8,операции!$X:$X,"&lt;="&amp;I$9,операции!$AB:$AB,"&lt;&gt;"&amp;"",операции!$O:$O,$F1274)/I1309)</f>
        <v>42327.555936782344</v>
      </c>
      <c r="J1311" s="317"/>
      <c r="K1311" s="316">
        <f>IF(K1309=0,0,SUMIFS(операции!$AH:$AH,операции!$X:$X,"&gt;="&amp;I$8,операции!$X:$X,"&lt;="&amp;I$9,операции!$AB:$AB,"&lt;&gt;"&amp;"",операции!$L:$L,K$9,операции!$O:$O,$F1274)/K1309)</f>
        <v>42281.810476027029</v>
      </c>
      <c r="L1311" s="318">
        <f>IF(L1309=0,0,SUMIFS(операции!$AH:$AH,операции!$X:$X,"&gt;="&amp;I$8,операции!$X:$X,"&lt;="&amp;I$9,операции!$AB:$AB,"&lt;&gt;"&amp;"",операции!$L:$L,L$9,операции!$O:$O,$F1274)/L1309)</f>
        <v>42342.434985912994</v>
      </c>
      <c r="M1311" s="274"/>
      <c r="N1311" s="193">
        <f>IF(N1309=0,0,SUMIFS(операции!$AH:$AH,операции!$X:$X,"&gt;="&amp;N$8,операции!$X:$X,"&lt;="&amp;N$9,операции!$AB:$AB,"&lt;&gt;"&amp;"",операции!$O:$O,$F1274)/N1309)</f>
        <v>42278.032925682033</v>
      </c>
      <c r="O1311" s="196"/>
      <c r="P1311" s="193">
        <f>IF(P1309=0,0,SUMIFS(операции!$AH:$AH,операции!$X:$X,"&gt;="&amp;N$8,операции!$X:$X,"&lt;="&amp;N$9,операции!$AB:$AB,"&lt;&gt;"&amp;"",операции!$L:$L,P$9,операции!$O:$O,$F1274)/P1309)</f>
        <v>42278.032925682033</v>
      </c>
      <c r="Q1311" s="237">
        <f>IF(Q1309=0,0,SUMIFS(операции!$AH:$AH,операции!$X:$X,"&gt;="&amp;N$8,операции!$X:$X,"&lt;="&amp;N$9,операции!$AB:$AB,"&lt;&gt;"&amp;"",операции!$L:$L,Q$9,операции!$O:$O,$F1274)/Q1309)</f>
        <v>0</v>
      </c>
      <c r="R1311" s="238"/>
      <c r="S1311" s="193">
        <f>IF(S1309=0,0,SUMIFS(операции!$AH:$AH,операции!$X:$X,"&gt;="&amp;S$8,операции!$X:$X,"&lt;="&amp;S$9,операции!$AB:$AB,"&lt;&gt;"&amp;"",операции!$O:$O,$F1274)/S1309)</f>
        <v>42327.441454474101</v>
      </c>
      <c r="T1311" s="196"/>
      <c r="U1311" s="193">
        <f>IF(U1309=0,0,SUMIFS(операции!$AH:$AH,операции!$X:$X,"&gt;="&amp;S$8,операции!$X:$X,"&lt;="&amp;S$9,операции!$AB:$AB,"&lt;&gt;"&amp;"",операции!$L:$L,U$9,операции!$O:$O,$F1274)/U1309)</f>
        <v>42282.571151372089</v>
      </c>
      <c r="V1311" s="237">
        <f>IF(V1309=0,0,SUMIFS(операции!$AH:$AH,операции!$X:$X,"&gt;="&amp;S$8,операции!$X:$X,"&lt;="&amp;S$9,операции!$AB:$AB,"&lt;&gt;"&amp;"",операции!$L:$L,V$9,операции!$O:$O,$F1274)/V1309)</f>
        <v>42340.378759865926</v>
      </c>
      <c r="W1311" s="238"/>
      <c r="X1311" s="193">
        <f>IF(X1309=0,0,SUMIFS(операции!$AH:$AH,операции!$X:$X,"&gt;="&amp;X$8,операции!$X:$X,"&lt;="&amp;X$9,операции!$AB:$AB,"&lt;&gt;"&amp;"",операции!$O:$O,$F1274)/X1309)</f>
        <v>42354.162612463726</v>
      </c>
      <c r="Y1311" s="196"/>
      <c r="Z1311" s="193">
        <f>IF(Z1309=0,0,SUMIFS(операции!$AH:$AH,операции!$X:$X,"&gt;="&amp;X$8,операции!$X:$X,"&lt;="&amp;X$9,операции!$AB:$AB,"&lt;&gt;"&amp;"",операции!$L:$L,Z$9,операции!$O:$O,$F1274)/Z1309)</f>
        <v>42302.000000000007</v>
      </c>
      <c r="AA1311" s="237">
        <f>IF(AA1309=0,0,SUMIFS(операции!$AH:$AH,операции!$X:$X,"&gt;="&amp;X$8,операции!$X:$X,"&lt;="&amp;X$9,операции!$AB:$AB,"&lt;&gt;"&amp;"",операции!$L:$L,AA$9,операции!$O:$O,$F1274)/AA1309)</f>
        <v>42355.714839928311</v>
      </c>
      <c r="AB1311" s="265"/>
      <c r="AC1311" s="37"/>
      <c r="AD1311" s="37"/>
      <c r="AE1311" s="37"/>
      <c r="AF1311" s="37"/>
      <c r="AG1311" s="37"/>
      <c r="AH1311" s="37"/>
      <c r="AI1311" s="37"/>
      <c r="AJ1311" s="37"/>
      <c r="AK1311" s="37"/>
      <c r="AL1311" s="37"/>
      <c r="AM1311" s="37"/>
      <c r="AN1311" s="37"/>
      <c r="AO1311" s="37"/>
      <c r="AP1311" s="37"/>
    </row>
    <row r="1312" spans="1:42" s="5" customFormat="1">
      <c r="A1312" s="1"/>
      <c r="B1312" s="1"/>
      <c r="C1312" s="1"/>
      <c r="D1312" s="168"/>
      <c r="E1312" s="168" t="s">
        <v>296</v>
      </c>
      <c r="F1312" s="168" t="str">
        <f t="shared" si="2254"/>
        <v>Лайтс</v>
      </c>
      <c r="G1312" s="168" t="s">
        <v>261</v>
      </c>
      <c r="H1312" s="326"/>
      <c r="I1312" s="327">
        <f>I1307-I1309</f>
        <v>24703.880000000005</v>
      </c>
      <c r="J1312" s="313">
        <f>I1312-K1312-L1312</f>
        <v>0</v>
      </c>
      <c r="K1312" s="327">
        <f t="shared" ref="K1312:L1312" si="2331">K1307-K1309</f>
        <v>5257.3700000000026</v>
      </c>
      <c r="L1312" s="328">
        <f t="shared" si="2331"/>
        <v>19446.510000000009</v>
      </c>
      <c r="M1312" s="277"/>
      <c r="N1312" s="169">
        <f>N1307-N1309</f>
        <v>686</v>
      </c>
      <c r="O1312" s="170">
        <f>N1312-P1312-Q1312</f>
        <v>0</v>
      </c>
      <c r="P1312" s="169">
        <f t="shared" ref="P1312:Q1312" si="2332">P1307-P1309</f>
        <v>686</v>
      </c>
      <c r="Q1312" s="243">
        <f t="shared" si="2332"/>
        <v>0</v>
      </c>
      <c r="R1312" s="244"/>
      <c r="S1312" s="169">
        <f>S1307-S1309</f>
        <v>16656.5</v>
      </c>
      <c r="T1312" s="170">
        <f>S1312-U1312-V1312</f>
        <v>0</v>
      </c>
      <c r="U1312" s="169">
        <f t="shared" ref="U1312:V1312" si="2333">U1307-U1309</f>
        <v>4470.2500000000036</v>
      </c>
      <c r="V1312" s="243">
        <f t="shared" si="2333"/>
        <v>12186.25</v>
      </c>
      <c r="W1312" s="244"/>
      <c r="X1312" s="169">
        <f>X1307-X1309</f>
        <v>7361.380000000001</v>
      </c>
      <c r="Y1312" s="170">
        <f>X1312-Z1312-AA1312</f>
        <v>0</v>
      </c>
      <c r="Z1312" s="169">
        <f t="shared" ref="Z1312:AA1312" si="2334">Z1307-Z1309</f>
        <v>101.12</v>
      </c>
      <c r="AA1312" s="243">
        <f t="shared" si="2334"/>
        <v>7260.26</v>
      </c>
      <c r="AB1312" s="266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</row>
    <row r="1313" spans="1:42" s="211" customFormat="1">
      <c r="A1313" s="210"/>
      <c r="B1313" s="210"/>
      <c r="C1313" s="210"/>
      <c r="D1313" s="218"/>
      <c r="E1313" s="218" t="s">
        <v>297</v>
      </c>
      <c r="F1313" s="218" t="str">
        <f t="shared" si="2254"/>
        <v>Лайтс</v>
      </c>
      <c r="G1313" s="218" t="s">
        <v>218</v>
      </c>
      <c r="H1313" s="343"/>
      <c r="I1313" s="344">
        <f>IF(I1307=0,0,(I1312/I1307))</f>
        <v>0.13565510576141632</v>
      </c>
      <c r="J1313" s="345"/>
      <c r="K1313" s="344">
        <f t="shared" ref="K1313" si="2335">IF(K1307=0,0,(K1312/K1307))</f>
        <v>0.11978787395474955</v>
      </c>
      <c r="L1313" s="346">
        <f t="shared" ref="L1313" si="2336">IF(L1307=0,0,(L1312/L1307))</f>
        <v>0.14069346471903291</v>
      </c>
      <c r="M1313" s="280"/>
      <c r="N1313" s="219">
        <f>IF(N1307=0,0,(N1312/N1307))</f>
        <v>7.4646354733405876E-2</v>
      </c>
      <c r="O1313" s="220"/>
      <c r="P1313" s="219">
        <f t="shared" ref="P1313" si="2337">IF(P1307=0,0,(P1312/P1307))</f>
        <v>7.4646354733405876E-2</v>
      </c>
      <c r="Q1313" s="252">
        <f t="shared" ref="Q1313" si="2338">IF(Q1307=0,0,(Q1312/Q1307))</f>
        <v>0</v>
      </c>
      <c r="R1313" s="253"/>
      <c r="S1313" s="219">
        <f>IF(S1307=0,0,(S1312/S1307))</f>
        <v>0.11167017525040561</v>
      </c>
      <c r="T1313" s="220"/>
      <c r="U1313" s="219">
        <f t="shared" ref="U1313" si="2339">IF(U1307=0,0,(U1312/U1307))</f>
        <v>0.13100017582932844</v>
      </c>
      <c r="V1313" s="252">
        <f t="shared" ref="V1313" si="2340">IF(V1307=0,0,(V1312/V1307))</f>
        <v>0.1059360710746388</v>
      </c>
      <c r="W1313" s="253"/>
      <c r="X1313" s="219">
        <f>IF(X1307=0,0,(X1312/X1307))</f>
        <v>0.30982239057239064</v>
      </c>
      <c r="Y1313" s="220"/>
      <c r="Z1313" s="219">
        <f t="shared" ref="Z1313" si="2341">IF(Z1307=0,0,(Z1312/Z1307))</f>
        <v>0.1758608695652174</v>
      </c>
      <c r="AA1313" s="252">
        <f t="shared" ref="AA1313" si="2342">IF(AA1307=0,0,(AA1312/AA1307))</f>
        <v>0.31314470562863922</v>
      </c>
      <c r="AB1313" s="267"/>
      <c r="AC1313" s="210"/>
      <c r="AD1313" s="210"/>
      <c r="AE1313" s="210"/>
      <c r="AF1313" s="210"/>
      <c r="AG1313" s="210"/>
      <c r="AH1313" s="210"/>
      <c r="AI1313" s="210"/>
      <c r="AJ1313" s="210"/>
      <c r="AK1313" s="210"/>
      <c r="AL1313" s="210"/>
      <c r="AM1313" s="210"/>
      <c r="AN1313" s="210"/>
      <c r="AO1313" s="210"/>
      <c r="AP1313" s="210"/>
    </row>
    <row r="1314" spans="1:42" s="5" customFormat="1">
      <c r="A1314" s="1"/>
      <c r="B1314" s="1"/>
      <c r="C1314" s="1"/>
      <c r="D1314" s="227"/>
      <c r="E1314" s="227" t="s">
        <v>298</v>
      </c>
      <c r="F1314" s="227" t="str">
        <f t="shared" si="2254"/>
        <v>Лайтс</v>
      </c>
      <c r="G1314" s="227" t="s">
        <v>219</v>
      </c>
      <c r="H1314" s="347"/>
      <c r="I1314" s="348">
        <f>I1308-I1310</f>
        <v>22.907916776610364</v>
      </c>
      <c r="J1314" s="321"/>
      <c r="K1314" s="348">
        <f t="shared" ref="K1314:L1314" si="2343">K1308-K1310</f>
        <v>63.991724226092629</v>
      </c>
      <c r="L1314" s="349">
        <f t="shared" si="2343"/>
        <v>9.5442297214976861</v>
      </c>
      <c r="M1314" s="281"/>
      <c r="N1314" s="228">
        <f>N1308-N1310</f>
        <v>45.968075447053707</v>
      </c>
      <c r="O1314" s="173"/>
      <c r="P1314" s="228">
        <f t="shared" ref="P1314:Q1314" si="2344">P1308-P1310</f>
        <v>45.968075447053707</v>
      </c>
      <c r="Q1314" s="254">
        <f t="shared" si="2344"/>
        <v>0</v>
      </c>
      <c r="R1314" s="255"/>
      <c r="S1314" s="228">
        <f>S1308-S1310</f>
        <v>22.280342811718583</v>
      </c>
      <c r="T1314" s="173"/>
      <c r="U1314" s="228">
        <f t="shared" ref="U1314:V1314" si="2345">U1308-U1310</f>
        <v>69.034057241718983</v>
      </c>
      <c r="V1314" s="254">
        <f t="shared" si="2345"/>
        <v>8.7443104349586065</v>
      </c>
      <c r="W1314" s="255"/>
      <c r="X1314" s="228">
        <f>X1308-X1310</f>
        <v>9.7833908648099168</v>
      </c>
      <c r="Y1314" s="173"/>
      <c r="Z1314" s="228">
        <f t="shared" ref="Z1314:AA1314" si="2346">Z1308-Z1310</f>
        <v>50</v>
      </c>
      <c r="AA1314" s="254">
        <f t="shared" si="2346"/>
        <v>8.5921445949425106</v>
      </c>
      <c r="AB1314" s="266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</row>
    <row r="1315" spans="1:42" s="5" customFormat="1">
      <c r="A1315" s="1"/>
      <c r="B1315" s="1"/>
      <c r="C1315" s="1"/>
      <c r="D1315" s="227"/>
      <c r="E1315" s="227" t="s">
        <v>300</v>
      </c>
      <c r="F1315" s="227" t="str">
        <f t="shared" si="2254"/>
        <v>Лайтс</v>
      </c>
      <c r="G1315" s="227" t="s">
        <v>219</v>
      </c>
      <c r="H1315" s="347"/>
      <c r="I1315" s="348">
        <f>I1311-I1310</f>
        <v>29.917342697270215</v>
      </c>
      <c r="J1315" s="321"/>
      <c r="K1315" s="348">
        <f t="shared" ref="K1315:L1315" si="2347">K1311-K1310</f>
        <v>25.368970970157534</v>
      </c>
      <c r="L1315" s="349">
        <f t="shared" si="2347"/>
        <v>31.396734210087743</v>
      </c>
      <c r="M1315" s="281"/>
      <c r="N1315" s="228">
        <f>N1311-N1310</f>
        <v>22.535277516464703</v>
      </c>
      <c r="O1315" s="173"/>
      <c r="P1315" s="228">
        <f t="shared" ref="P1315:Q1315" si="2348">P1311-P1310</f>
        <v>22.535277516464703</v>
      </c>
      <c r="Q1315" s="254">
        <f t="shared" si="2348"/>
        <v>0</v>
      </c>
      <c r="R1315" s="255"/>
      <c r="S1315" s="228">
        <f>S1311-S1310</f>
        <v>31.240395014399837</v>
      </c>
      <c r="T1315" s="173"/>
      <c r="U1315" s="228">
        <f t="shared" ref="U1315:V1315" si="2349">U1311-U1310</f>
        <v>26.427210723762983</v>
      </c>
      <c r="V1315" s="254">
        <f t="shared" si="2349"/>
        <v>32.628164446963638</v>
      </c>
      <c r="W1315" s="255"/>
      <c r="X1315" s="228">
        <f>X1311-X1310</f>
        <v>23.055220500253199</v>
      </c>
      <c r="Y1315" s="173"/>
      <c r="Z1315" s="228">
        <f t="shared" ref="Z1315:AA1315" si="2350">Z1311-Z1310</f>
        <v>10.000000000007276</v>
      </c>
      <c r="AA1315" s="254">
        <f t="shared" si="2350"/>
        <v>23.443710854931851</v>
      </c>
      <c r="AB1315" s="266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</row>
    <row r="1316" spans="1:42" s="93" customFormat="1" ht="15">
      <c r="A1316" s="92"/>
      <c r="B1316" s="92"/>
      <c r="C1316" s="92"/>
      <c r="D1316" s="221"/>
      <c r="E1316" s="221" t="s">
        <v>301</v>
      </c>
      <c r="F1316" s="221" t="str">
        <f t="shared" si="2254"/>
        <v>Лайтс</v>
      </c>
      <c r="G1316" s="221" t="s">
        <v>219</v>
      </c>
      <c r="H1316" s="357"/>
      <c r="I1316" s="358">
        <f>I1314-I1315</f>
        <v>-7.0094259206598508</v>
      </c>
      <c r="J1316" s="352"/>
      <c r="K1316" s="358">
        <f t="shared" ref="K1316" si="2351">K1314-K1315</f>
        <v>38.622753255935095</v>
      </c>
      <c r="L1316" s="359">
        <f t="shared" ref="L1316" si="2352">L1314-L1315</f>
        <v>-21.852504488590057</v>
      </c>
      <c r="M1316" s="284"/>
      <c r="N1316" s="222">
        <f>N1314-N1315</f>
        <v>23.432797930589004</v>
      </c>
      <c r="O1316" s="181"/>
      <c r="P1316" s="222">
        <f t="shared" ref="P1316" si="2353">P1314-P1315</f>
        <v>23.432797930589004</v>
      </c>
      <c r="Q1316" s="260">
        <f t="shared" ref="Q1316" si="2354">Q1314-Q1315</f>
        <v>0</v>
      </c>
      <c r="R1316" s="261"/>
      <c r="S1316" s="222">
        <f>S1314-S1315</f>
        <v>-8.9600522026812541</v>
      </c>
      <c r="T1316" s="181"/>
      <c r="U1316" s="222">
        <f t="shared" ref="U1316" si="2355">U1314-U1315</f>
        <v>42.606846517956001</v>
      </c>
      <c r="V1316" s="260">
        <f t="shared" ref="V1316" si="2356">V1314-V1315</f>
        <v>-23.883854012005031</v>
      </c>
      <c r="W1316" s="261"/>
      <c r="X1316" s="222">
        <f>X1314-X1315</f>
        <v>-13.271829635443282</v>
      </c>
      <c r="Y1316" s="181"/>
      <c r="Z1316" s="222">
        <f t="shared" ref="Z1316" si="2357">Z1314-Z1315</f>
        <v>39.999999999992724</v>
      </c>
      <c r="AA1316" s="260">
        <f t="shared" ref="AA1316" si="2358">AA1314-AA1315</f>
        <v>-14.85156625998934</v>
      </c>
      <c r="AB1316" s="264"/>
      <c r="AC1316" s="92"/>
      <c r="AD1316" s="92"/>
      <c r="AE1316" s="92"/>
      <c r="AF1316" s="92"/>
      <c r="AG1316" s="92"/>
      <c r="AH1316" s="92"/>
      <c r="AI1316" s="92"/>
      <c r="AJ1316" s="92"/>
      <c r="AK1316" s="92"/>
      <c r="AL1316" s="92"/>
      <c r="AM1316" s="92"/>
      <c r="AN1316" s="92"/>
      <c r="AO1316" s="92"/>
      <c r="AP1316" s="92"/>
    </row>
    <row r="1317" spans="1:42" s="5" customFormat="1">
      <c r="A1317" s="1"/>
      <c r="B1317" s="1"/>
      <c r="C1317" s="1"/>
      <c r="D1317" s="223"/>
      <c r="E1317" s="223" t="s">
        <v>302</v>
      </c>
      <c r="F1317" s="223" t="str">
        <f t="shared" si="2254"/>
        <v>Лайтс</v>
      </c>
      <c r="G1317" s="223" t="s">
        <v>261</v>
      </c>
      <c r="H1317" s="354"/>
      <c r="I1317" s="355">
        <f>SUMIFS(операции!$Z:$Z,операции!$X:$X,"&gt;="&amp;I$8,операции!$X:$X,"&lt;="&amp;I$9,операции!$AB:$AB,"",операции!$O:$O,$F1274)</f>
        <v>46464</v>
      </c>
      <c r="J1317" s="341">
        <f>I1317-K1317-L1317</f>
        <v>0</v>
      </c>
      <c r="K1317" s="355">
        <f>SUMIFS(операции!$Z:$Z,операции!$X:$X,"&gt;="&amp;I$8,операции!$X:$X,"&lt;="&amp;I$9,операции!$AB:$AB,"",операции!$L:$L,K$9,операции!$O:$O,$F1274)</f>
        <v>14634</v>
      </c>
      <c r="L1317" s="356">
        <f>SUMIFS(операции!$Z:$Z,операции!$X:$X,"&gt;="&amp;I$8,операции!$X:$X,"&lt;="&amp;I$9,операции!$AB:$AB,"",операции!$L:$L,L$9,операции!$O:$O,$F1274)</f>
        <v>31830</v>
      </c>
      <c r="M1317" s="283"/>
      <c r="N1317" s="224">
        <f>SUMIFS(операции!$Z:$Z,операции!$X:$X,"&gt;="&amp;N$8,операции!$X:$X,"&lt;="&amp;N$9,операции!$AB:$AB,"",операции!$O:$O,$F1274)</f>
        <v>23940</v>
      </c>
      <c r="O1317" s="216">
        <f>N1317-P1317-Q1317</f>
        <v>0</v>
      </c>
      <c r="P1317" s="224">
        <f>SUMIFS(операции!$Z:$Z,операции!$X:$X,"&gt;="&amp;N$8,операции!$X:$X,"&lt;="&amp;N$9,операции!$AB:$AB,"",операции!$L:$L,P$9,операции!$O:$O,$F1274)</f>
        <v>0</v>
      </c>
      <c r="Q1317" s="258">
        <f>SUMIFS(операции!$Z:$Z,операции!$X:$X,"&gt;="&amp;N$8,операции!$X:$X,"&lt;="&amp;N$9,операции!$AB:$AB,"",операции!$L:$L,Q$9,операции!$O:$O,$F1274)</f>
        <v>23940</v>
      </c>
      <c r="R1317" s="259"/>
      <c r="S1317" s="224">
        <f>SUMIFS(операции!$Z:$Z,операции!$X:$X,"&gt;="&amp;S$8,операции!$X:$X,"&lt;="&amp;S$9,операции!$AB:$AB,"",операции!$O:$O,$F1274)</f>
        <v>22524</v>
      </c>
      <c r="T1317" s="216">
        <f>S1317-U1317-V1317</f>
        <v>0</v>
      </c>
      <c r="U1317" s="224">
        <f>SUMIFS(операции!$Z:$Z,операции!$X:$X,"&gt;="&amp;S$8,операции!$X:$X,"&lt;="&amp;S$9,операции!$AB:$AB,"",операции!$L:$L,U$9,операции!$O:$O,$F1274)</f>
        <v>14634</v>
      </c>
      <c r="V1317" s="258">
        <f>SUMIFS(операции!$Z:$Z,операции!$X:$X,"&gt;="&amp;S$8,операции!$X:$X,"&lt;="&amp;S$9,операции!$AB:$AB,"",операции!$L:$L,V$9,операции!$O:$O,$F1274)</f>
        <v>7890</v>
      </c>
      <c r="W1317" s="259"/>
      <c r="X1317" s="224">
        <f>SUMIFS(операции!$Z:$Z,операции!$X:$X,"&gt;="&amp;X$8,операции!$X:$X,"&lt;="&amp;X$9,операции!$AB:$AB,"",операции!$O:$O,$F1274)</f>
        <v>0</v>
      </c>
      <c r="Y1317" s="216">
        <f>X1317-Z1317-AA1317</f>
        <v>0</v>
      </c>
      <c r="Z1317" s="224">
        <f>SUMIFS(операции!$Z:$Z,операции!$X:$X,"&gt;="&amp;X$8,операции!$X:$X,"&lt;="&amp;X$9,операции!$AB:$AB,"",операции!$L:$L,Z$9,операции!$O:$O,$F1274)</f>
        <v>0</v>
      </c>
      <c r="AA1317" s="258">
        <f>SUMIFS(операции!$Z:$Z,операции!$X:$X,"&gt;="&amp;X$8,операции!$X:$X,"&lt;="&amp;X$9,операции!$AB:$AB,"",операции!$L:$L,AA$9,операции!$O:$O,$F1274)</f>
        <v>0</v>
      </c>
      <c r="AB1317" s="266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</row>
    <row r="1318" spans="1:42" s="192" customFormat="1" ht="11.25">
      <c r="A1318" s="37"/>
      <c r="B1318" s="37"/>
      <c r="C1318" s="37"/>
      <c r="D1318" s="191"/>
      <c r="E1318" s="191" t="s">
        <v>303</v>
      </c>
      <c r="F1318" s="191" t="str">
        <f t="shared" si="2254"/>
        <v>Лайтс</v>
      </c>
      <c r="G1318" s="191" t="s">
        <v>262</v>
      </c>
      <c r="H1318" s="315"/>
      <c r="I1318" s="316">
        <f>IF(I1317=0,0,SUMIFS(операции!$AG:$AG,операции!$X:$X,"&gt;="&amp;I$8,операции!$X:$X,"&lt;="&amp;I$9,операции!$AB:$AB,"",операции!$O:$O,$F1274)/I1317)</f>
        <v>42315.686337809915</v>
      </c>
      <c r="J1318" s="317"/>
      <c r="K1318" s="316">
        <f>IF(K1317=0,0,SUMIFS(операции!$AG:$AG,операции!$X:$X,"&gt;="&amp;I$8,операции!$X:$X,"&lt;="&amp;I$9,операции!$AB:$AB,"",операции!$L:$L,K$9,операции!$O:$O,$F1274)/K1317)</f>
        <v>42324.413010796772</v>
      </c>
      <c r="L1318" s="318">
        <f>IF(L1317=0,0,SUMIFS(операции!$AG:$AG,операции!$X:$X,"&gt;="&amp;I$8,операции!$X:$X,"&lt;="&amp;I$9,операции!$AB:$AB,"",операции!$L:$L,L$9,операции!$O:$O,$F1274)/L1317)</f>
        <v>42311.674206723219</v>
      </c>
      <c r="M1318" s="274"/>
      <c r="N1318" s="193">
        <f>IF(N1317=0,0,SUMIFS(операции!$AG:$AG,операции!$X:$X,"&gt;="&amp;N$8,операции!$X:$X,"&lt;="&amp;N$9,операции!$AB:$AB,"",операции!$O:$O,$F1274)/N1317)</f>
        <v>42308</v>
      </c>
      <c r="O1318" s="196"/>
      <c r="P1318" s="193">
        <f>IF(P1317=0,0,SUMIFS(операции!$AG:$AG,операции!$X:$X,"&gt;="&amp;N$8,операции!$X:$X,"&lt;="&amp;N$9,операции!$AB:$AB,"",операции!$L:$L,P$9,операции!$O:$O,$F1274)/P1317)</f>
        <v>0</v>
      </c>
      <c r="Q1318" s="237">
        <f>IF(Q1317=0,0,SUMIFS(операции!$AG:$AG,операции!$X:$X,"&gt;="&amp;N$8,операции!$X:$X,"&lt;="&amp;N$9,операции!$AB:$AB,"",операции!$L:$L,Q$9,операции!$O:$O,$F1274)/Q1317)</f>
        <v>42308</v>
      </c>
      <c r="R1318" s="238"/>
      <c r="S1318" s="193">
        <f>IF(S1317=0,0,SUMIFS(операции!$AG:$AG,операции!$X:$X,"&gt;="&amp;S$8,операции!$X:$X,"&lt;="&amp;S$9,операции!$AB:$AB,"",операции!$O:$O,$F1274)/S1317)</f>
        <v>42323.855887053811</v>
      </c>
      <c r="T1318" s="196"/>
      <c r="U1318" s="193">
        <f>IF(U1317=0,0,SUMIFS(операции!$AG:$AG,операции!$X:$X,"&gt;="&amp;S$8,операции!$X:$X,"&lt;="&amp;S$9,операции!$AB:$AB,"",операции!$L:$L,U$9,операции!$O:$O,$F1274)/U1317)</f>
        <v>42324.413010796772</v>
      </c>
      <c r="V1318" s="237">
        <f>IF(V1317=0,0,SUMIFS(операции!$AG:$AG,операции!$X:$X,"&gt;="&amp;S$8,операции!$X:$X,"&lt;="&amp;S$9,операции!$AB:$AB,"",операции!$L:$L,V$9,операции!$O:$O,$F1274)/V1317)</f>
        <v>42322.822560202789</v>
      </c>
      <c r="W1318" s="238"/>
      <c r="X1318" s="193">
        <f>IF(X1317=0,0,SUMIFS(операции!$AG:$AG,операции!$X:$X,"&gt;="&amp;X$8,операции!$X:$X,"&lt;="&amp;X$9,операции!$AB:$AB,"",операции!$O:$O,$F1274)/X1317)</f>
        <v>0</v>
      </c>
      <c r="Y1318" s="196"/>
      <c r="Z1318" s="193">
        <f>IF(Z1317=0,0,SUMIFS(операции!$AG:$AG,операции!$X:$X,"&gt;="&amp;X$8,операции!$X:$X,"&lt;="&amp;X$9,операции!$AB:$AB,"",операции!$L:$L,Z$9,операции!$O:$O,$F1274)/Z1317)</f>
        <v>0</v>
      </c>
      <c r="AA1318" s="237">
        <f>IF(AA1317=0,0,SUMIFS(операции!$AG:$AG,операции!$X:$X,"&gt;="&amp;X$8,операции!$X:$X,"&lt;="&amp;X$9,операции!$AB:$AB,"",операции!$L:$L,AA$9,операции!$O:$O,$F1274)/AA1317)</f>
        <v>0</v>
      </c>
      <c r="AB1318" s="265"/>
      <c r="AC1318" s="37"/>
      <c r="AD1318" s="37"/>
      <c r="AE1318" s="37"/>
      <c r="AF1318" s="37"/>
      <c r="AG1318" s="37"/>
      <c r="AH1318" s="37"/>
      <c r="AI1318" s="37"/>
      <c r="AJ1318" s="37"/>
      <c r="AK1318" s="37"/>
      <c r="AL1318" s="37"/>
      <c r="AM1318" s="37"/>
      <c r="AN1318" s="37"/>
      <c r="AO1318" s="37"/>
      <c r="AP1318" s="37"/>
    </row>
    <row r="1319" spans="1:42" s="5" customFormat="1">
      <c r="A1319" s="1"/>
      <c r="B1319" s="1"/>
      <c r="C1319" s="1"/>
      <c r="D1319" s="168"/>
      <c r="E1319" s="168" t="s">
        <v>304</v>
      </c>
      <c r="F1319" s="168" t="str">
        <f t="shared" si="2254"/>
        <v>Лайтс</v>
      </c>
      <c r="G1319" s="168" t="s">
        <v>261</v>
      </c>
      <c r="H1319" s="326"/>
      <c r="I1319" s="327">
        <f>SUMIFS(операции!$V:$V,операции!$X:$X,"&gt;="&amp;I$8,операции!$X:$X,"&lt;="&amp;I$9,операции!$AB:$AB,"",операции!$O:$O,$F1274)</f>
        <v>42045.179999999993</v>
      </c>
      <c r="J1319" s="313">
        <f>I1319-K1319-L1319</f>
        <v>0</v>
      </c>
      <c r="K1319" s="327">
        <f>SUMIFS(операции!$V:$V,операции!$X:$X,"&gt;="&amp;I$8,операции!$X:$X,"&lt;="&amp;I$9,операции!$AB:$AB,"",операции!$L:$L,K$9,операции!$O:$O,$F1274)</f>
        <v>13667.33</v>
      </c>
      <c r="L1319" s="328">
        <f>SUMIFS(операции!$V:$V,операции!$X:$X,"&gt;="&amp;I$8,операции!$X:$X,"&lt;="&amp;I$9,операции!$AB:$AB,"",операции!$L:$L,L$9,операции!$O:$O,$F1274)</f>
        <v>28377.85</v>
      </c>
      <c r="M1319" s="277"/>
      <c r="N1319" s="169">
        <f>SUMIFS(операции!$V:$V,операции!$X:$X,"&gt;="&amp;N$8,операции!$X:$X,"&lt;="&amp;N$9,операции!$AB:$AB,"",операции!$O:$O,$F1274)</f>
        <v>18237.599999999999</v>
      </c>
      <c r="O1319" s="170">
        <f>N1319-P1319-Q1319</f>
        <v>0</v>
      </c>
      <c r="P1319" s="169">
        <f>SUMIFS(операции!$V:$V,операции!$X:$X,"&gt;="&amp;N$8,операции!$X:$X,"&lt;="&amp;N$9,операции!$AB:$AB,"",операции!$L:$L,P$9,операции!$O:$O,$F1274)</f>
        <v>0</v>
      </c>
      <c r="Q1319" s="243">
        <f>SUMIFS(операции!$V:$V,операции!$X:$X,"&gt;="&amp;N$8,операции!$X:$X,"&lt;="&amp;N$9,операции!$AB:$AB,"",операции!$L:$L,Q$9,операции!$O:$O,$F1274)</f>
        <v>18237.599999999999</v>
      </c>
      <c r="R1319" s="244"/>
      <c r="S1319" s="169">
        <f>SUMIFS(операции!$V:$V,операции!$X:$X,"&gt;="&amp;S$8,операции!$X:$X,"&lt;="&amp;S$9,операции!$AB:$AB,"",операции!$O:$O,$F1274)</f>
        <v>23807.58</v>
      </c>
      <c r="T1319" s="170">
        <f>S1319-U1319-V1319</f>
        <v>0</v>
      </c>
      <c r="U1319" s="169">
        <f>SUMIFS(операции!$V:$V,операции!$X:$X,"&gt;="&amp;S$8,операции!$X:$X,"&lt;="&amp;S$9,операции!$AB:$AB,"",операции!$L:$L,U$9,операции!$O:$O,$F1274)</f>
        <v>13667.33</v>
      </c>
      <c r="V1319" s="243">
        <f>SUMIFS(операции!$V:$V,операции!$X:$X,"&gt;="&amp;S$8,операции!$X:$X,"&lt;="&amp;S$9,операции!$AB:$AB,"",операции!$L:$L,V$9,операции!$O:$O,$F1274)</f>
        <v>10140.25</v>
      </c>
      <c r="W1319" s="244"/>
      <c r="X1319" s="169">
        <f>SUMIFS(операции!$V:$V,операции!$X:$X,"&gt;="&amp;X$8,операции!$X:$X,"&lt;="&amp;X$9,операции!$AB:$AB,"",операции!$O:$O,$F1274)</f>
        <v>0</v>
      </c>
      <c r="Y1319" s="170">
        <f>X1319-Z1319-AA1319</f>
        <v>0</v>
      </c>
      <c r="Z1319" s="169">
        <f>SUMIFS(операции!$V:$V,операции!$X:$X,"&gt;="&amp;X$8,операции!$X:$X,"&lt;="&amp;X$9,операции!$AB:$AB,"",операции!$L:$L,Z$9,операции!$O:$O,$F1274)</f>
        <v>0</v>
      </c>
      <c r="AA1319" s="243">
        <f>SUMIFS(операции!$V:$V,операции!$X:$X,"&gt;="&amp;X$8,операции!$X:$X,"&lt;="&amp;X$9,операции!$AB:$AB,"",операции!$L:$L,AA$9,операции!$O:$O,$F1274)</f>
        <v>0</v>
      </c>
      <c r="AB1319" s="266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</row>
    <row r="1320" spans="1:42" s="192" customFormat="1" ht="11.25">
      <c r="A1320" s="37"/>
      <c r="B1320" s="37"/>
      <c r="C1320" s="37"/>
      <c r="D1320" s="191"/>
      <c r="E1320" s="191" t="s">
        <v>305</v>
      </c>
      <c r="F1320" s="191" t="str">
        <f t="shared" si="2254"/>
        <v>Лайтс</v>
      </c>
      <c r="G1320" s="191" t="s">
        <v>262</v>
      </c>
      <c r="H1320" s="315"/>
      <c r="I1320" s="316">
        <f>IF(I1319=0,0,SUMIFS(операции!$AF:$AF,операции!$X:$X,"&gt;="&amp;I$8,операции!$X:$X,"&lt;="&amp;I$9,операции!$AB:$AB,"",операции!$O:$O,$F1274)/I1319)</f>
        <v>42297.519675977135</v>
      </c>
      <c r="J1320" s="317"/>
      <c r="K1320" s="316">
        <f>IF(K1319=0,0,SUMIFS(операции!$AF:$AF,операции!$X:$X,"&gt;="&amp;I$8,операции!$X:$X,"&lt;="&amp;I$9,операции!$AB:$AB,"",операции!$L:$L,K$9,операции!$O:$O,$F1274)/K1319)</f>
        <v>42274.412659970891</v>
      </c>
      <c r="L1320" s="318">
        <f>IF(L1319=0,0,SUMIFS(операции!$AF:$AF,операции!$X:$X,"&gt;="&amp;I$8,операции!$X:$X,"&lt;="&amp;I$9,операции!$AB:$AB,"",операции!$L:$L,L$9,операции!$O:$O,$F1274)/L1319)</f>
        <v>42308.648468788153</v>
      </c>
      <c r="M1320" s="274"/>
      <c r="N1320" s="193">
        <f>IF(N1319=0,0,SUMIFS(операции!$AF:$AF,операции!$X:$X,"&gt;="&amp;N$8,операции!$X:$X,"&lt;="&amp;N$9,операции!$AB:$AB,"",операции!$O:$O,$F1274)/N1319)</f>
        <v>42305</v>
      </c>
      <c r="O1320" s="196"/>
      <c r="P1320" s="193">
        <f>IF(P1319=0,0,SUMIFS(операции!$AF:$AF,операции!$X:$X,"&gt;="&amp;N$8,операции!$X:$X,"&lt;="&amp;N$9,операции!$AB:$AB,"",операции!$L:$L,P$9,операции!$O:$O,$F1274)/P1319)</f>
        <v>0</v>
      </c>
      <c r="Q1320" s="237">
        <f>IF(Q1319=0,0,SUMIFS(операции!$AF:$AF,операции!$X:$X,"&gt;="&amp;N$8,операции!$X:$X,"&lt;="&amp;N$9,операции!$AB:$AB,"",операции!$L:$L,Q$9,операции!$O:$O,$F1274)/Q1319)</f>
        <v>42305</v>
      </c>
      <c r="R1320" s="238"/>
      <c r="S1320" s="193">
        <f>IF(S1319=0,0,SUMIFS(операции!$AF:$AF,операции!$X:$X,"&gt;="&amp;S$8,операции!$X:$X,"&lt;="&amp;S$9,операции!$AB:$AB,"",операции!$O:$O,$F1274)/S1319)</f>
        <v>42291.789435549515</v>
      </c>
      <c r="T1320" s="196"/>
      <c r="U1320" s="193">
        <f>IF(U1319=0,0,SUMIFS(операции!$AF:$AF,операции!$X:$X,"&gt;="&amp;S$8,операции!$X:$X,"&lt;="&amp;S$9,операции!$AB:$AB,"",операции!$L:$L,U$9,операции!$O:$O,$F1274)/U1319)</f>
        <v>42274.412659970891</v>
      </c>
      <c r="V1320" s="237">
        <f>IF(V1319=0,0,SUMIFS(операции!$AF:$AF,операции!$X:$X,"&gt;="&amp;S$8,операции!$X:$X,"&lt;="&amp;S$9,операции!$AB:$AB,"",операции!$L:$L,V$9,операции!$O:$O,$F1274)/V1319)</f>
        <v>42315.210369566827</v>
      </c>
      <c r="W1320" s="238"/>
      <c r="X1320" s="193">
        <f>IF(X1319=0,0,SUMIFS(операции!$AF:$AF,операции!$X:$X,"&gt;="&amp;X$8,операции!$X:$X,"&lt;="&amp;X$9,операции!$AB:$AB,"",операции!$O:$O,$F1274)/X1319)</f>
        <v>0</v>
      </c>
      <c r="Y1320" s="196"/>
      <c r="Z1320" s="193">
        <f>IF(Z1319=0,0,SUMIFS(операции!$AF:$AF,операции!$X:$X,"&gt;="&amp;X$8,операции!$X:$X,"&lt;="&amp;X$9,операции!$AB:$AB,"",операции!$L:$L,Z$9,операции!$O:$O,$F1274)/Z1319)</f>
        <v>0</v>
      </c>
      <c r="AA1320" s="237">
        <f>IF(AA1319=0,0,SUMIFS(операции!$AF:$AF,операции!$X:$X,"&gt;="&amp;X$8,операции!$X:$X,"&lt;="&amp;X$9,операции!$AB:$AB,"",операции!$L:$L,AA$9,операции!$O:$O,$F1274)/AA1319)</f>
        <v>0</v>
      </c>
      <c r="AB1320" s="265"/>
      <c r="AC1320" s="37"/>
      <c r="AD1320" s="37"/>
      <c r="AE1320" s="37"/>
      <c r="AF1320" s="37"/>
      <c r="AG1320" s="37"/>
      <c r="AH1320" s="37"/>
      <c r="AI1320" s="37"/>
      <c r="AJ1320" s="37"/>
      <c r="AK1320" s="37"/>
      <c r="AL1320" s="37"/>
      <c r="AM1320" s="37"/>
      <c r="AN1320" s="37"/>
      <c r="AO1320" s="37"/>
      <c r="AP1320" s="37"/>
    </row>
    <row r="1321" spans="1:42" s="192" customFormat="1" ht="11.25">
      <c r="A1321" s="37"/>
      <c r="B1321" s="37"/>
      <c r="C1321" s="37"/>
      <c r="D1321" s="191"/>
      <c r="E1321" s="191" t="s">
        <v>307</v>
      </c>
      <c r="F1321" s="191" t="str">
        <f t="shared" si="2254"/>
        <v>Лайтс</v>
      </c>
      <c r="G1321" s="191" t="s">
        <v>262</v>
      </c>
      <c r="H1321" s="315"/>
      <c r="I1321" s="316">
        <f>I$9</f>
        <v>42369</v>
      </c>
      <c r="J1321" s="317"/>
      <c r="K1321" s="316">
        <f>I$9</f>
        <v>42369</v>
      </c>
      <c r="L1321" s="318">
        <f>I$9</f>
        <v>42369</v>
      </c>
      <c r="M1321" s="274"/>
      <c r="N1321" s="193">
        <f>N$9</f>
        <v>42308</v>
      </c>
      <c r="O1321" s="196"/>
      <c r="P1321" s="193">
        <f>N$9</f>
        <v>42308</v>
      </c>
      <c r="Q1321" s="237">
        <f>N$9</f>
        <v>42308</v>
      </c>
      <c r="R1321" s="238"/>
      <c r="S1321" s="193">
        <f>S$9</f>
        <v>42338</v>
      </c>
      <c r="T1321" s="196"/>
      <c r="U1321" s="193">
        <f>S$9</f>
        <v>42338</v>
      </c>
      <c r="V1321" s="237">
        <f>S$9</f>
        <v>42338</v>
      </c>
      <c r="W1321" s="238"/>
      <c r="X1321" s="193">
        <f>X$9</f>
        <v>42369</v>
      </c>
      <c r="Y1321" s="196"/>
      <c r="Z1321" s="193">
        <f>X$9</f>
        <v>42369</v>
      </c>
      <c r="AA1321" s="237">
        <f>X$9</f>
        <v>42369</v>
      </c>
      <c r="AB1321" s="265"/>
      <c r="AC1321" s="37"/>
      <c r="AD1321" s="37"/>
      <c r="AE1321" s="37"/>
      <c r="AF1321" s="37"/>
      <c r="AG1321" s="37"/>
      <c r="AH1321" s="37"/>
      <c r="AI1321" s="37"/>
      <c r="AJ1321" s="37"/>
      <c r="AK1321" s="37"/>
      <c r="AL1321" s="37"/>
      <c r="AM1321" s="37"/>
      <c r="AN1321" s="37"/>
      <c r="AO1321" s="37"/>
      <c r="AP1321" s="37"/>
    </row>
    <row r="1322" spans="1:42" s="5" customFormat="1">
      <c r="A1322" s="1"/>
      <c r="B1322" s="1"/>
      <c r="C1322" s="1"/>
      <c r="D1322" s="168"/>
      <c r="E1322" s="168" t="s">
        <v>380</v>
      </c>
      <c r="F1322" s="168" t="str">
        <f t="shared" si="2254"/>
        <v>Лайтс</v>
      </c>
      <c r="G1322" s="168" t="s">
        <v>261</v>
      </c>
      <c r="H1322" s="326"/>
      <c r="I1322" s="327">
        <f>I1317-I1319</f>
        <v>4418.820000000007</v>
      </c>
      <c r="J1322" s="313">
        <f>I1322-K1322-L1322</f>
        <v>5.4569682106375694E-12</v>
      </c>
      <c r="K1322" s="327">
        <f t="shared" ref="K1322:L1322" si="2359">K1317-K1319</f>
        <v>966.67000000000007</v>
      </c>
      <c r="L1322" s="328">
        <f t="shared" si="2359"/>
        <v>3452.1500000000015</v>
      </c>
      <c r="M1322" s="277"/>
      <c r="N1322" s="169">
        <f>N1317-N1319</f>
        <v>5702.4000000000015</v>
      </c>
      <c r="O1322" s="170">
        <f>N1322-P1322-Q1322</f>
        <v>0</v>
      </c>
      <c r="P1322" s="169">
        <f t="shared" ref="P1322:Q1322" si="2360">P1317-P1319</f>
        <v>0</v>
      </c>
      <c r="Q1322" s="243">
        <f t="shared" si="2360"/>
        <v>5702.4000000000015</v>
      </c>
      <c r="R1322" s="244"/>
      <c r="S1322" s="169">
        <f>S1317-S1319</f>
        <v>-1283.5800000000017</v>
      </c>
      <c r="T1322" s="170">
        <f>S1322-U1322-V1322</f>
        <v>0</v>
      </c>
      <c r="U1322" s="169">
        <f t="shared" ref="U1322:V1322" si="2361">U1317-U1319</f>
        <v>966.67000000000007</v>
      </c>
      <c r="V1322" s="243">
        <f t="shared" si="2361"/>
        <v>-2250.25</v>
      </c>
      <c r="W1322" s="244"/>
      <c r="X1322" s="169">
        <f>X1317-X1319</f>
        <v>0</v>
      </c>
      <c r="Y1322" s="170">
        <f>X1322-Z1322-AA1322</f>
        <v>0</v>
      </c>
      <c r="Z1322" s="169">
        <f t="shared" ref="Z1322:AA1322" si="2362">Z1317-Z1319</f>
        <v>0</v>
      </c>
      <c r="AA1322" s="243">
        <f t="shared" si="2362"/>
        <v>0</v>
      </c>
      <c r="AB1322" s="266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</row>
    <row r="1323" spans="1:42" s="211" customFormat="1">
      <c r="A1323" s="210"/>
      <c r="B1323" s="210"/>
      <c r="C1323" s="210"/>
      <c r="D1323" s="218"/>
      <c r="E1323" s="218" t="s">
        <v>381</v>
      </c>
      <c r="F1323" s="218" t="str">
        <f t="shared" si="2254"/>
        <v>Лайтс</v>
      </c>
      <c r="G1323" s="218" t="s">
        <v>218</v>
      </c>
      <c r="H1323" s="343"/>
      <c r="I1323" s="344">
        <f>IF(I1317=0,0,(I1322/I1317))</f>
        <v>9.5102014462810067E-2</v>
      </c>
      <c r="J1323" s="345"/>
      <c r="K1323" s="344">
        <f t="shared" ref="K1323" si="2363">IF(K1317=0,0,(K1322/K1317))</f>
        <v>6.6056443897772321E-2</v>
      </c>
      <c r="L1323" s="346">
        <f t="shared" ref="L1323" si="2364">IF(L1317=0,0,(L1322/L1317))</f>
        <v>0.10845585925227777</v>
      </c>
      <c r="M1323" s="280"/>
      <c r="N1323" s="219">
        <f>IF(N1317=0,0,(N1322/N1317))</f>
        <v>0.23819548872180457</v>
      </c>
      <c r="O1323" s="220"/>
      <c r="P1323" s="219">
        <f t="shared" ref="P1323" si="2365">IF(P1317=0,0,(P1322/P1317))</f>
        <v>0</v>
      </c>
      <c r="Q1323" s="252">
        <f t="shared" ref="Q1323" si="2366">IF(Q1317=0,0,(Q1322/Q1317))</f>
        <v>0.23819548872180457</v>
      </c>
      <c r="R1323" s="253"/>
      <c r="S1323" s="219">
        <f>IF(S1317=0,0,(S1322/S1317))</f>
        <v>-5.6987213638785374E-2</v>
      </c>
      <c r="T1323" s="220"/>
      <c r="U1323" s="219">
        <f t="shared" ref="U1323" si="2367">IF(U1317=0,0,(U1322/U1317))</f>
        <v>6.6056443897772321E-2</v>
      </c>
      <c r="V1323" s="252">
        <f t="shared" ref="V1323" si="2368">IF(V1317=0,0,(V1322/V1317))</f>
        <v>-0.28520278833967044</v>
      </c>
      <c r="W1323" s="253"/>
      <c r="X1323" s="219">
        <f>IF(X1317=0,0,(X1322/X1317))</f>
        <v>0</v>
      </c>
      <c r="Y1323" s="220"/>
      <c r="Z1323" s="219">
        <f t="shared" ref="Z1323" si="2369">IF(Z1317=0,0,(Z1322/Z1317))</f>
        <v>0</v>
      </c>
      <c r="AA1323" s="252">
        <f t="shared" ref="AA1323" si="2370">IF(AA1317=0,0,(AA1322/AA1317))</f>
        <v>0</v>
      </c>
      <c r="AB1323" s="267"/>
      <c r="AC1323" s="210"/>
      <c r="AD1323" s="210"/>
      <c r="AE1323" s="210"/>
      <c r="AF1323" s="210"/>
      <c r="AG1323" s="210"/>
      <c r="AH1323" s="210"/>
      <c r="AI1323" s="210"/>
      <c r="AJ1323" s="210"/>
      <c r="AK1323" s="210"/>
      <c r="AL1323" s="210"/>
      <c r="AM1323" s="210"/>
      <c r="AN1323" s="210"/>
      <c r="AO1323" s="210"/>
      <c r="AP1323" s="210"/>
    </row>
    <row r="1324" spans="1:42" s="5" customFormat="1">
      <c r="A1324" s="1"/>
      <c r="B1324" s="1"/>
      <c r="C1324" s="1"/>
      <c r="D1324" s="227"/>
      <c r="E1324" s="227" t="s">
        <v>306</v>
      </c>
      <c r="F1324" s="227" t="str">
        <f t="shared" si="2254"/>
        <v>Лайтс</v>
      </c>
      <c r="G1324" s="227" t="s">
        <v>219</v>
      </c>
      <c r="H1324" s="347"/>
      <c r="I1324" s="348">
        <f>I1318-I1320</f>
        <v>18.166661832779937</v>
      </c>
      <c r="J1324" s="321"/>
      <c r="K1324" s="348">
        <f t="shared" ref="K1324:L1324" si="2371">K1318-K1320</f>
        <v>50.000350825881469</v>
      </c>
      <c r="L1324" s="349">
        <f t="shared" si="2371"/>
        <v>3.0257379350659903</v>
      </c>
      <c r="M1324" s="281"/>
      <c r="N1324" s="228">
        <f>N1318-N1320</f>
        <v>3</v>
      </c>
      <c r="O1324" s="173"/>
      <c r="P1324" s="228">
        <f t="shared" ref="P1324:Q1324" si="2372">P1318-P1320</f>
        <v>0</v>
      </c>
      <c r="Q1324" s="254">
        <f t="shared" si="2372"/>
        <v>3</v>
      </c>
      <c r="R1324" s="255"/>
      <c r="S1324" s="228">
        <f>S1318-S1320</f>
        <v>32.066451504295401</v>
      </c>
      <c r="T1324" s="173"/>
      <c r="U1324" s="228">
        <f t="shared" ref="U1324:V1324" si="2373">U1318-U1320</f>
        <v>50.000350825881469</v>
      </c>
      <c r="V1324" s="254">
        <f t="shared" si="2373"/>
        <v>7.6121906359621789</v>
      </c>
      <c r="W1324" s="255"/>
      <c r="X1324" s="228">
        <f>X1318-X1320</f>
        <v>0</v>
      </c>
      <c r="Y1324" s="173"/>
      <c r="Z1324" s="228">
        <f t="shared" ref="Z1324:AA1324" si="2374">Z1318-Z1320</f>
        <v>0</v>
      </c>
      <c r="AA1324" s="254">
        <f t="shared" si="2374"/>
        <v>0</v>
      </c>
      <c r="AB1324" s="266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</row>
    <row r="1325" spans="1:42" s="5" customFormat="1">
      <c r="A1325" s="1"/>
      <c r="B1325" s="1"/>
      <c r="C1325" s="1"/>
      <c r="D1325" s="227"/>
      <c r="E1325" s="227" t="s">
        <v>382</v>
      </c>
      <c r="F1325" s="227" t="str">
        <f t="shared" si="2254"/>
        <v>Лайтс</v>
      </c>
      <c r="G1325" s="227" t="s">
        <v>219</v>
      </c>
      <c r="H1325" s="347"/>
      <c r="I1325" s="348">
        <f>I1321-I1320</f>
        <v>71.480324022864806</v>
      </c>
      <c r="J1325" s="321"/>
      <c r="K1325" s="348">
        <f t="shared" ref="K1325:L1325" si="2375">K1321-K1320</f>
        <v>94.587340029109328</v>
      </c>
      <c r="L1325" s="349">
        <f t="shared" si="2375"/>
        <v>60.351531211847032</v>
      </c>
      <c r="M1325" s="281"/>
      <c r="N1325" s="228">
        <f>N1321-N1320</f>
        <v>3</v>
      </c>
      <c r="O1325" s="173"/>
      <c r="P1325" s="228">
        <f t="shared" ref="P1325:Q1325" si="2376">P1321-P1320</f>
        <v>42308</v>
      </c>
      <c r="Q1325" s="254">
        <f t="shared" si="2376"/>
        <v>3</v>
      </c>
      <c r="R1325" s="255"/>
      <c r="S1325" s="228">
        <f>S1321-S1320</f>
        <v>46.210564450484526</v>
      </c>
      <c r="T1325" s="173"/>
      <c r="U1325" s="228">
        <f t="shared" ref="U1325:V1325" si="2377">U1321-U1320</f>
        <v>63.587340029109328</v>
      </c>
      <c r="V1325" s="254">
        <f t="shared" si="2377"/>
        <v>22.789630433173443</v>
      </c>
      <c r="W1325" s="255"/>
      <c r="X1325" s="228">
        <f>X1321-X1320</f>
        <v>42369</v>
      </c>
      <c r="Y1325" s="173"/>
      <c r="Z1325" s="228">
        <f t="shared" ref="Z1325:AA1325" si="2378">Z1321-Z1320</f>
        <v>42369</v>
      </c>
      <c r="AA1325" s="254">
        <f t="shared" si="2378"/>
        <v>42369</v>
      </c>
      <c r="AB1325" s="266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</row>
    <row r="1326" spans="1:42" s="5" customFormat="1">
      <c r="A1326" s="1"/>
      <c r="B1326" s="1"/>
      <c r="C1326" s="1"/>
      <c r="D1326" s="225"/>
      <c r="E1326" s="225" t="s">
        <v>383</v>
      </c>
      <c r="F1326" s="225" t="str">
        <f t="shared" si="2254"/>
        <v>Лайтс</v>
      </c>
      <c r="G1326" s="225" t="s">
        <v>219</v>
      </c>
      <c r="H1326" s="350"/>
      <c r="I1326" s="351">
        <f>I1324-I1325</f>
        <v>-53.31366219008487</v>
      </c>
      <c r="J1326" s="352"/>
      <c r="K1326" s="351">
        <f t="shared" ref="K1326" si="2379">K1324-K1325</f>
        <v>-44.586989203227859</v>
      </c>
      <c r="L1326" s="353">
        <f t="shared" ref="L1326" si="2380">L1324-L1325</f>
        <v>-57.325793276781042</v>
      </c>
      <c r="M1326" s="282"/>
      <c r="N1326" s="226">
        <f>N1324-N1325</f>
        <v>0</v>
      </c>
      <c r="O1326" s="181"/>
      <c r="P1326" s="226">
        <f t="shared" ref="P1326" si="2381">P1324-P1325</f>
        <v>-42308</v>
      </c>
      <c r="Q1326" s="256">
        <f t="shared" ref="Q1326" si="2382">Q1324-Q1325</f>
        <v>0</v>
      </c>
      <c r="R1326" s="257"/>
      <c r="S1326" s="226">
        <f>S1324-S1325</f>
        <v>-14.144112946189125</v>
      </c>
      <c r="T1326" s="181"/>
      <c r="U1326" s="226">
        <f t="shared" ref="U1326" si="2383">U1324-U1325</f>
        <v>-13.586989203227859</v>
      </c>
      <c r="V1326" s="256">
        <f t="shared" ref="V1326" si="2384">V1324-V1325</f>
        <v>-15.177439797211264</v>
      </c>
      <c r="W1326" s="257"/>
      <c r="X1326" s="226">
        <f>X1324-X1325</f>
        <v>-42369</v>
      </c>
      <c r="Y1326" s="181"/>
      <c r="Z1326" s="226">
        <f t="shared" ref="Z1326" si="2385">Z1324-Z1325</f>
        <v>-42369</v>
      </c>
      <c r="AA1326" s="256">
        <f t="shared" ref="AA1326" si="2386">AA1324-AA1325</f>
        <v>-42369</v>
      </c>
      <c r="AB1326" s="266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</row>
    <row r="1327" spans="1:42" s="5" customFormat="1">
      <c r="A1327" s="1"/>
      <c r="B1327" s="1"/>
      <c r="C1327" s="1"/>
      <c r="D1327" s="168" t="s">
        <v>312</v>
      </c>
      <c r="E1327" s="168"/>
      <c r="F1327" s="168" t="str">
        <f t="shared" si="2254"/>
        <v>Лайтс</v>
      </c>
      <c r="G1327" s="168" t="s">
        <v>261</v>
      </c>
      <c r="H1327" s="326"/>
      <c r="I1327" s="327">
        <f>SUMIFS(операции!$AC:$AC,операции!$AB:$AB,"&gt;="&amp;I$8,операции!$AB:$AB,"&lt;="&amp;I$9,операции!$O:$O,$F1274)</f>
        <v>183245.80999999997</v>
      </c>
      <c r="J1327" s="313">
        <f>I1327-K1327-L1327</f>
        <v>0</v>
      </c>
      <c r="K1327" s="327">
        <f>SUMIFS(операции!$AC:$AC,операции!$AB:$AB,"&gt;="&amp;I$8,операции!$AB:$AB,"&lt;="&amp;I$9,операции!$L:$L,K$9,операции!$O:$O,$F1274)</f>
        <v>57292.52</v>
      </c>
      <c r="L1327" s="328">
        <f>SUMIFS(операции!$AC:$AC,операции!$AB:$AB,"&gt;="&amp;I$8,операции!$AB:$AB,"&lt;="&amp;I$9,операции!$L:$L,L$9,операции!$O:$O,$F1274)</f>
        <v>125953.29</v>
      </c>
      <c r="M1327" s="277"/>
      <c r="N1327" s="169">
        <f>SUMIFS(операции!$AC:$AC,операции!$AB:$AB,"&gt;="&amp;N$8,операции!$AB:$AB,"&lt;="&amp;N$9,операции!$O:$O,$F1274)</f>
        <v>33833.71</v>
      </c>
      <c r="O1327" s="170">
        <f>N1327-P1327-Q1327</f>
        <v>0</v>
      </c>
      <c r="P1327" s="169">
        <f>SUMIFS(операции!$AC:$AC,операции!$AB:$AB,"&gt;="&amp;N$8,операции!$AB:$AB,"&lt;="&amp;N$9,операции!$L:$L,P$9,операции!$O:$O,$F1274)</f>
        <v>33833.71</v>
      </c>
      <c r="Q1327" s="243">
        <f>SUMIFS(операции!$AC:$AC,операции!$AB:$AB,"&gt;="&amp;N$8,операции!$AB:$AB,"&lt;="&amp;N$9,операции!$L:$L,Q$9,операции!$O:$O,$F1274)</f>
        <v>0</v>
      </c>
      <c r="R1327" s="244"/>
      <c r="S1327" s="169">
        <f>SUMIFS(операции!$AC:$AC,операции!$AB:$AB,"&gt;="&amp;S$8,операции!$AB:$AB,"&lt;="&amp;S$9,операции!$O:$O,$F1274)</f>
        <v>100266.15999999999</v>
      </c>
      <c r="T1327" s="170">
        <f>S1327-U1327-V1327</f>
        <v>0</v>
      </c>
      <c r="U1327" s="169">
        <f>SUMIFS(операции!$AC:$AC,операции!$AB:$AB,"&gt;="&amp;S$8,операции!$AB:$AB,"&lt;="&amp;S$9,операции!$L:$L,U$9,операции!$O:$O,$F1274)</f>
        <v>23458.809999999998</v>
      </c>
      <c r="V1327" s="243">
        <f>SUMIFS(операции!$AC:$AC,операции!$AB:$AB,"&gt;="&amp;S$8,операции!$AB:$AB,"&lt;="&amp;S$9,операции!$L:$L,V$9,операции!$O:$O,$F1274)</f>
        <v>76807.349999999991</v>
      </c>
      <c r="W1327" s="244"/>
      <c r="X1327" s="169">
        <f>SUMIFS(операции!$AC:$AC,операции!$AB:$AB,"&gt;="&amp;X$8,операции!$AB:$AB,"&lt;="&amp;X$9,операции!$O:$O,$F1274)</f>
        <v>49145.94</v>
      </c>
      <c r="Y1327" s="170">
        <f>X1327-Z1327-AA1327</f>
        <v>0</v>
      </c>
      <c r="Z1327" s="169">
        <f>SUMIFS(операции!$AC:$AC,операции!$AB:$AB,"&gt;="&amp;X$8,операции!$AB:$AB,"&lt;="&amp;X$9,операции!$L:$L,Z$9,операции!$O:$O,$F1274)</f>
        <v>0</v>
      </c>
      <c r="AA1327" s="243">
        <f>SUMIFS(операции!$AC:$AC,операции!$AB:$AB,"&gt;="&amp;X$8,операции!$AB:$AB,"&lt;="&amp;X$9,операции!$L:$L,AA$9,операции!$O:$O,$F1274)</f>
        <v>49145.94</v>
      </c>
      <c r="AB1327" s="266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</row>
    <row r="1328" spans="1:42" s="192" customFormat="1" ht="11.25">
      <c r="A1328" s="37"/>
      <c r="B1328" s="37"/>
      <c r="C1328" s="37"/>
      <c r="D1328" s="207" t="s">
        <v>255</v>
      </c>
      <c r="E1328" s="207"/>
      <c r="F1328" s="207" t="str">
        <f t="shared" si="2254"/>
        <v>Лайтс</v>
      </c>
      <c r="G1328" s="207" t="s">
        <v>262</v>
      </c>
      <c r="H1328" s="331"/>
      <c r="I1328" s="337">
        <f>IF(I1327=0,0,SUMIFS(операции!$AH:$AH,операции!$AB:$AB,"&gt;="&amp;I$8,операции!$AB:$AB,"&lt;="&amp;I$9,операции!$O:$O,$F1274)/I1327)</f>
        <v>42330.999156488229</v>
      </c>
      <c r="J1328" s="333"/>
      <c r="K1328" s="337">
        <f>IF(K1327=0,0,SUMIFS(операции!$AH:$AH,операции!$AB:$AB,"&gt;="&amp;I$8,операции!$AB:$AB,"&lt;="&amp;I$9,операции!$L:$L,K$9,операции!$O:$O,$F1274)/K1327)</f>
        <v>42303.40615144874</v>
      </c>
      <c r="L1328" s="338">
        <f>IF(L1327=0,0,SUMIFS(операции!$AH:$AH,операции!$AB:$AB,"&gt;="&amp;I$8,операции!$AB:$AB,"&lt;="&amp;I$9,операции!$L:$L,L$9,операции!$O:$O,$F1274)/L1327)</f>
        <v>42343.550418889427</v>
      </c>
      <c r="M1328" s="278"/>
      <c r="N1328" s="217">
        <f>IF(N1327=0,0,SUMIFS(операции!$AH:$AH,операции!$AB:$AB,"&gt;="&amp;N$8,операции!$AB:$AB,"&lt;="&amp;N$9,операции!$O:$O,$F1274)/N1327)</f>
        <v>42291.046260076117</v>
      </c>
      <c r="O1328" s="208"/>
      <c r="P1328" s="217">
        <f>IF(P1327=0,0,SUMIFS(операции!$AH:$AH,операции!$AB:$AB,"&gt;="&amp;N$8,операции!$AB:$AB,"&lt;="&amp;N$9,операции!$L:$L,P$9,операции!$O:$O,$F1274)/P1327)</f>
        <v>42291.046260076117</v>
      </c>
      <c r="Q1328" s="249">
        <f>IF(Q1327=0,0,SUMIFS(операции!$AH:$AH,операции!$AB:$AB,"&gt;="&amp;N$8,операции!$AB:$AB,"&lt;="&amp;N$9,операции!$L:$L,Q$9,операции!$O:$O,$F1274)/Q1327)</f>
        <v>0</v>
      </c>
      <c r="R1328" s="247"/>
      <c r="S1328" s="217">
        <f>IF(S1327=0,0,SUMIFS(операции!$AH:$AH,операции!$AB:$AB,"&gt;="&amp;S$8,операции!$AB:$AB,"&lt;="&amp;S$9,операции!$O:$O,$F1274)/S1327)</f>
        <v>42329.404112414399</v>
      </c>
      <c r="T1328" s="208"/>
      <c r="U1328" s="217">
        <f>IF(U1327=0,0,SUMIFS(операции!$AH:$AH,операции!$AB:$AB,"&gt;="&amp;S$8,операции!$AB:$AB,"&lt;="&amp;S$9,операции!$L:$L,U$9,операции!$O:$O,$F1274)/U1327)</f>
        <v>42321.232331904306</v>
      </c>
      <c r="V1328" s="249">
        <f>IF(V1327=0,0,SUMIFS(операции!$AH:$AH,операции!$AB:$AB,"&gt;="&amp;S$8,операции!$AB:$AB,"&lt;="&amp;S$9,операции!$L:$L,V$9,операции!$O:$O,$F1274)/V1327)</f>
        <v>42331.89997051064</v>
      </c>
      <c r="W1328" s="247"/>
      <c r="X1328" s="217">
        <f>IF(X1327=0,0,SUMIFS(операции!$AH:$AH,операции!$AB:$AB,"&gt;="&amp;X$8,операции!$AB:$AB,"&lt;="&amp;X$9,операции!$O:$O,$F1274)/X1327)</f>
        <v>42361.758231503954</v>
      </c>
      <c r="Y1328" s="208"/>
      <c r="Z1328" s="217">
        <f>IF(Z1327=0,0,SUMIFS(операции!$AH:$AH,операции!$AB:$AB,"&gt;="&amp;X$8,операции!$AB:$AB,"&lt;="&amp;X$9,операции!$L:$L,Z$9,операции!$O:$O,$F1274)/Z1327)</f>
        <v>0</v>
      </c>
      <c r="AA1328" s="249">
        <f>IF(AA1327=0,0,SUMIFS(операции!$AH:$AH,операции!$AB:$AB,"&gt;="&amp;X$8,операции!$AB:$AB,"&lt;="&amp;X$9,операции!$L:$L,AA$9,операции!$O:$O,$F1274)/AA1327)</f>
        <v>42361.758231503954</v>
      </c>
      <c r="AB1328" s="265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</row>
    <row r="1329" spans="1:42" s="111" customFormat="1" ht="11.25">
      <c r="A1329" s="108"/>
      <c r="B1329" s="108"/>
      <c r="C1329" s="209" t="s">
        <v>279</v>
      </c>
      <c r="D1329" s="109"/>
      <c r="E1329" s="109"/>
      <c r="F1329" s="109" t="str">
        <f t="shared" si="2254"/>
        <v>Лайтс</v>
      </c>
      <c r="G1329" s="109"/>
      <c r="H1329" s="307"/>
      <c r="I1329" s="308">
        <f>I1330-K1330-L1330+K1329+L1329</f>
        <v>7.2759576141834259E-12</v>
      </c>
      <c r="J1329" s="309">
        <f>I1274+I1292-I1299-I1330</f>
        <v>0</v>
      </c>
      <c r="K1329" s="308">
        <f>K1274+K1292-K1299-K1330</f>
        <v>0</v>
      </c>
      <c r="L1329" s="336">
        <f>L1274+L1292-L1299-L1330</f>
        <v>0</v>
      </c>
      <c r="M1329" s="272"/>
      <c r="N1329" s="110">
        <f>N1330-P1330-Q1330</f>
        <v>0</v>
      </c>
      <c r="O1329" s="215">
        <f>N1274+N1292-N1299-N1330</f>
        <v>0</v>
      </c>
      <c r="P1329" s="110">
        <f>P1274+P1292-P1299-P1330</f>
        <v>0</v>
      </c>
      <c r="Q1329" s="248">
        <f>Q1274+Q1292-Q1299-Q1330</f>
        <v>0</v>
      </c>
      <c r="R1329" s="234"/>
      <c r="S1329" s="110">
        <f>S1330-U1330-V1330</f>
        <v>0</v>
      </c>
      <c r="T1329" s="215">
        <f>S1274+S1292-S1299-S1330</f>
        <v>0</v>
      </c>
      <c r="U1329" s="110">
        <f>U1274+U1292-U1299-U1330</f>
        <v>0</v>
      </c>
      <c r="V1329" s="248">
        <f>V1274+V1292-V1299-V1330</f>
        <v>0</v>
      </c>
      <c r="W1329" s="234"/>
      <c r="X1329" s="110">
        <f>X1330-Z1330-AA1330</f>
        <v>0</v>
      </c>
      <c r="Y1329" s="215">
        <f>X1274+X1292-X1299-X1330</f>
        <v>0</v>
      </c>
      <c r="Z1329" s="110">
        <f>Z1274+Z1292-Z1299-Z1330</f>
        <v>0</v>
      </c>
      <c r="AA1329" s="248">
        <f>AA1274+AA1292-AA1299-AA1330</f>
        <v>0</v>
      </c>
      <c r="AB1329" s="263"/>
      <c r="AC1329" s="108"/>
      <c r="AD1329" s="108"/>
      <c r="AE1329" s="108"/>
      <c r="AF1329" s="108"/>
      <c r="AG1329" s="108"/>
      <c r="AH1329" s="108"/>
      <c r="AI1329" s="108"/>
      <c r="AJ1329" s="108"/>
      <c r="AK1329" s="108"/>
      <c r="AL1329" s="108"/>
      <c r="AM1329" s="108"/>
      <c r="AN1329" s="108"/>
      <c r="AO1329" s="108"/>
      <c r="AP1329" s="108"/>
    </row>
    <row r="1330" spans="1:42" s="93" customFormat="1" ht="15">
      <c r="A1330" s="92"/>
      <c r="B1330" s="92"/>
      <c r="C1330" s="214"/>
      <c r="D1330" s="151" t="s">
        <v>238</v>
      </c>
      <c r="E1330" s="151"/>
      <c r="F1330" s="151" t="str">
        <f t="shared" si="2254"/>
        <v>Лайтс</v>
      </c>
      <c r="G1330" s="151" t="s">
        <v>261</v>
      </c>
      <c r="H1330" s="311"/>
      <c r="I1330" s="312">
        <f>SUMIFS(операции!$V:$V,операции!$T:$T,"&lt;="&amp;I$9,операции!$X:$X,"",операции!$O:$O,$F1274)+SUMIFS(операции!$V:$V,операции!$T:$T,"&lt;="&amp;I$9,операции!$X:$X,"&gt;"&amp;I$9,операции!$O:$O,$F1274)</f>
        <v>64283.65</v>
      </c>
      <c r="J1330" s="313">
        <f>I1330-I1335-I1341</f>
        <v>0</v>
      </c>
      <c r="K1330" s="312">
        <f>SUMIFS(операции!$V:$V,операции!$T:$T,"&lt;="&amp;I$9,операции!$X:$X,"",операции!$L:$L,K$9,операции!$O:$O,$F1274)+SUMIFS(операции!$V:$V,операции!$T:$T,"&lt;="&amp;I$9,операции!$X:$X,"&gt;"&amp;I$9,операции!$L:$L,K$9,операции!$O:$O,$F1274)</f>
        <v>29058.05</v>
      </c>
      <c r="L1330" s="314">
        <f>SUMIFS(операции!$V:$V,операции!$T:$T,"&lt;="&amp;I$9,операции!$X:$X,"",операции!$L:$L,L$9,операции!$O:$O,$F1274)+SUMIFS(операции!$V:$V,операции!$T:$T,"&lt;="&amp;I$9,операции!$X:$X,"&gt;"&amp;I$9,операции!$L:$L,L$9,операции!$O:$O,$F1274)</f>
        <v>35225.599999999999</v>
      </c>
      <c r="M1330" s="273"/>
      <c r="N1330" s="152">
        <f>SUMIFS(операции!$V:$V,операции!$T:$T,"&lt;="&amp;N$9,операции!$X:$X,"",операции!$O:$O,$F1274)+SUMIFS(операции!$V:$V,операции!$T:$T,"&lt;="&amp;N$9,операции!$X:$X,"&gt;"&amp;N$9,операции!$O:$O,$F1274)</f>
        <v>122541.60999999999</v>
      </c>
      <c r="O1330" s="170">
        <f>N1330-N1335-N1341</f>
        <v>0</v>
      </c>
      <c r="P1330" s="152">
        <f>SUMIFS(операции!$V:$V,операции!$T:$T,"&lt;="&amp;N$9,операции!$X:$X,"",операции!$L:$L,P$9,операции!$O:$O,$F1274)+SUMIFS(операции!$V:$V,операции!$T:$T,"&lt;="&amp;N$9,операции!$X:$X,"&gt;"&amp;N$9,операции!$L:$L,P$9,операции!$O:$O,$F1274)</f>
        <v>72853.009999999995</v>
      </c>
      <c r="Q1330" s="235">
        <f>SUMIFS(операции!$V:$V,операции!$T:$T,"&lt;="&amp;N$9,операции!$X:$X,"",операции!$L:$L,Q$9,операции!$O:$O,$F1274)+SUMIFS(операции!$V:$V,операции!$T:$T,"&lt;="&amp;N$9,операции!$X:$X,"&gt;"&amp;N$9,операции!$L:$L,Q$9,операции!$O:$O,$F1274)</f>
        <v>49688.6</v>
      </c>
      <c r="R1330" s="236"/>
      <c r="S1330" s="152">
        <f>SUMIFS(операции!$V:$V,операции!$T:$T,"&lt;="&amp;S$9,операции!$X:$X,"",операции!$O:$O,$F1274)+SUMIFS(операции!$V:$V,операции!$T:$T,"&lt;="&amp;S$9,операции!$X:$X,"&gt;"&amp;S$9,операции!$O:$O,$F1274)</f>
        <v>45456.67</v>
      </c>
      <c r="T1330" s="170">
        <f>S1330-S1335-S1341</f>
        <v>0</v>
      </c>
      <c r="U1330" s="152">
        <f>SUMIFS(операции!$V:$V,операции!$T:$T,"&lt;="&amp;S$9,операции!$X:$X,"",операции!$L:$L,U$9,операции!$O:$O,$F1274)+SUMIFS(операции!$V:$V,операции!$T:$T,"&lt;="&amp;S$9,операции!$X:$X,"&gt;"&amp;S$9,операции!$L:$L,U$9,операции!$O:$O,$F1274)</f>
        <v>29531.93</v>
      </c>
      <c r="V1330" s="235">
        <f>SUMIFS(операции!$V:$V,операции!$T:$T,"&lt;="&amp;S$9,операции!$X:$X,"",операции!$L:$L,V$9,операции!$O:$O,$F1274)+SUMIFS(операции!$V:$V,операции!$T:$T,"&lt;="&amp;S$9,операции!$X:$X,"&gt;"&amp;S$9,операции!$L:$L,V$9,операции!$O:$O,$F1274)</f>
        <v>15924.74</v>
      </c>
      <c r="W1330" s="236"/>
      <c r="X1330" s="152">
        <f>SUMIFS(операции!$V:$V,операции!$T:$T,"&lt;="&amp;X$9,операции!$X:$X,"",операции!$O:$O,$F1274)+SUMIFS(операции!$V:$V,операции!$T:$T,"&lt;="&amp;X$9,операции!$X:$X,"&gt;"&amp;X$9,операции!$O:$O,$F1274)</f>
        <v>64283.65</v>
      </c>
      <c r="Y1330" s="170">
        <f>X1330-X1335-X1341</f>
        <v>0</v>
      </c>
      <c r="Z1330" s="152">
        <f>SUMIFS(операции!$V:$V,операции!$T:$T,"&lt;="&amp;X$9,операции!$X:$X,"",операции!$L:$L,Z$9,операции!$O:$O,$F1274)+SUMIFS(операции!$V:$V,операции!$T:$T,"&lt;="&amp;X$9,операции!$X:$X,"&gt;"&amp;X$9,операции!$L:$L,Z$9,операции!$O:$O,$F1274)</f>
        <v>29058.05</v>
      </c>
      <c r="AA1330" s="235">
        <f>SUMIFS(операции!$V:$V,операции!$T:$T,"&lt;="&amp;X$9,операции!$X:$X,"",операции!$L:$L,AA$9,операции!$O:$O,$F1274)+SUMIFS(операции!$V:$V,операции!$T:$T,"&lt;="&amp;X$9,операции!$X:$X,"&gt;"&amp;X$9,операции!$L:$L,AA$9,операции!$O:$O,$F1274)</f>
        <v>35225.599999999999</v>
      </c>
      <c r="AB1330" s="264"/>
      <c r="AC1330" s="92"/>
      <c r="AD1330" s="92"/>
      <c r="AE1330" s="92"/>
      <c r="AF1330" s="92"/>
      <c r="AG1330" s="92"/>
      <c r="AH1330" s="92"/>
      <c r="AI1330" s="92"/>
      <c r="AJ1330" s="92"/>
      <c r="AK1330" s="92"/>
      <c r="AL1330" s="92"/>
      <c r="AM1330" s="92"/>
      <c r="AN1330" s="92"/>
      <c r="AO1330" s="92"/>
      <c r="AP1330" s="92"/>
    </row>
    <row r="1331" spans="1:42" s="192" customFormat="1" ht="11.25">
      <c r="A1331" s="37"/>
      <c r="B1331" s="37"/>
      <c r="C1331" s="37"/>
      <c r="D1331" s="191" t="s">
        <v>255</v>
      </c>
      <c r="E1331" s="191"/>
      <c r="F1331" s="191" t="str">
        <f t="shared" si="2254"/>
        <v>Лайтс</v>
      </c>
      <c r="G1331" s="191" t="s">
        <v>262</v>
      </c>
      <c r="H1331" s="315"/>
      <c r="I1331" s="316">
        <f>IF(I1330=0,0,(SUMIFS(операции!$AF:$AF,операции!$T:$T,"&lt;="&amp;I$9,операции!$X:$X,"",операции!$O:$O,$F1274)+SUMIFS(операции!$AF:$AF,операции!$T:$T,"&lt;="&amp;I$9,операции!$X:$X,"&gt;"&amp;I$9,операции!$O:$O,$F1274))/I1330)</f>
        <v>42316.909997176568</v>
      </c>
      <c r="J1331" s="317"/>
      <c r="K1331" s="316">
        <f>IF(K1330=0,0,(SUMIFS(операции!$AF:$AF,операции!$T:$T,"&lt;="&amp;I$9,операции!$X:$X,"",операции!$L:$L,K$9,операции!$O:$O,$F1274)+SUMIFS(операции!$AF:$AF,операции!$T:$T,"&lt;="&amp;I$9,операции!$X:$X,"&gt;"&amp;I$9,операции!$L:$L,K$9,операции!$O:$O,$F1274))/K1330)</f>
        <v>42260.999707137955</v>
      </c>
      <c r="L1331" s="318">
        <f>IF(L1330=0,0,(SUMIFS(операции!$AF:$AF,операции!$T:$T,"&lt;="&amp;I$9,операции!$X:$X,"",операции!$L:$L,L$9,операции!$O:$O,$F1274)+SUMIFS(операции!$AF:$AF,операции!$T:$T,"&lt;="&amp;I$9,операции!$X:$X,"&gt;"&amp;I$9,операции!$L:$L,L$9,операции!$O:$O,$F1274))/L1330)</f>
        <v>42363.031113735466</v>
      </c>
      <c r="M1331" s="274"/>
      <c r="N1331" s="193">
        <f>IF(N1330=0,0,(SUMIFS(операции!$AF:$AF,операции!$T:$T,"&lt;="&amp;N$9,операции!$X:$X,"",операции!$O:$O,$F1274)+SUMIFS(операции!$AF:$AF,операции!$T:$T,"&lt;="&amp;N$9,операции!$X:$X,"&gt;"&amp;N$9,операции!$O:$O,$F1274))/N1330)</f>
        <v>42279.430740790835</v>
      </c>
      <c r="O1331" s="196"/>
      <c r="P1331" s="193">
        <f>IF(P1330=0,0,(SUMIFS(операции!$AF:$AF,операции!$T:$T,"&lt;="&amp;N$9,операции!$X:$X,"",операции!$L:$L,P$9,операции!$O:$O,$F1274)+SUMIFS(операции!$AF:$AF,операции!$T:$T,"&lt;="&amp;N$9,операции!$X:$X,"&gt;"&amp;N$9,операции!$L:$L,P$9,операции!$O:$O,$F1274))/P1330)</f>
        <v>42261.741172533577</v>
      </c>
      <c r="Q1331" s="237">
        <f>IF(Q1330=0,0,(SUMIFS(операции!$AF:$AF,операции!$T:$T,"&lt;="&amp;N$9,операции!$X:$X,"",операции!$L:$L,Q$9,операции!$O:$O,$F1274)+SUMIFS(операции!$AF:$AF,операции!$T:$T,"&lt;="&amp;N$9,операции!$X:$X,"&gt;"&amp;N$9,операции!$L:$L,Q$9,операции!$O:$O,$F1274))/Q1330)</f>
        <v>42305.367037912118</v>
      </c>
      <c r="R1331" s="238"/>
      <c r="S1331" s="193">
        <f>IF(S1330=0,0,(SUMIFS(операции!$AF:$AF,операции!$T:$T,"&lt;="&amp;S$9,операции!$X:$X,"",операции!$O:$O,$F1274)+SUMIFS(операции!$AF:$AF,операции!$T:$T,"&lt;="&amp;S$9,операции!$X:$X,"&gt;"&amp;S$9,операции!$O:$O,$F1274))/S1330)</f>
        <v>42286.291249227012</v>
      </c>
      <c r="T1331" s="196"/>
      <c r="U1331" s="193">
        <f>IF(U1330=0,0,(SUMIFS(операции!$AF:$AF,операции!$T:$T,"&lt;="&amp;S$9,операции!$X:$X,"",операции!$L:$L,U$9,операции!$O:$O,$F1274)+SUMIFS(операции!$AF:$AF,операции!$T:$T,"&lt;="&amp;S$9,операции!$X:$X,"&gt;"&amp;S$9,операции!$L:$L,U$9,операции!$O:$O,$F1274))/U1330)</f>
        <v>42261.497149018025</v>
      </c>
      <c r="V1331" s="237">
        <f>IF(V1330=0,0,(SUMIFS(операции!$AF:$AF,операции!$T:$T,"&lt;="&amp;S$9,операции!$X:$X,"",операции!$L:$L,V$9,операции!$O:$O,$F1274)+SUMIFS(операции!$AF:$AF,операции!$T:$T,"&lt;="&amp;S$9,операции!$X:$X,"&gt;"&amp;S$9,операции!$L:$L,V$9,операции!$O:$O,$F1274))/V1330)</f>
        <v>42332.271129073379</v>
      </c>
      <c r="W1331" s="238"/>
      <c r="X1331" s="193">
        <f>IF(X1330=0,0,(SUMIFS(операции!$AF:$AF,операции!$T:$T,"&lt;="&amp;X$9,операции!$X:$X,"",операции!$O:$O,$F1274)+SUMIFS(операции!$AF:$AF,операции!$T:$T,"&lt;="&amp;X$9,операции!$X:$X,"&gt;"&amp;X$9,операции!$O:$O,$F1274))/X1330)</f>
        <v>42316.909997176568</v>
      </c>
      <c r="Y1331" s="196"/>
      <c r="Z1331" s="193">
        <f>IF(Z1330=0,0,(SUMIFS(операции!$AF:$AF,операции!$T:$T,"&lt;="&amp;X$9,операции!$X:$X,"",операции!$L:$L,Z$9,операции!$O:$O,$F1274)+SUMIFS(операции!$AF:$AF,операции!$T:$T,"&lt;="&amp;X$9,операции!$X:$X,"&gt;"&amp;X$9,операции!$L:$L,Z$9,операции!$O:$O,$F1274))/Z1330)</f>
        <v>42260.999707137955</v>
      </c>
      <c r="AA1331" s="237">
        <f>IF(AA1330=0,0,(SUMIFS(операции!$AF:$AF,операции!$T:$T,"&lt;="&amp;X$9,операции!$X:$X,"",операции!$L:$L,AA$9,операции!$O:$O,$F1274)+SUMIFS(операции!$AF:$AF,операции!$T:$T,"&lt;="&amp;X$9,операции!$X:$X,"&gt;"&amp;X$9,операции!$L:$L,AA$9,операции!$O:$O,$F1274))/AA1330)</f>
        <v>42363.031113735466</v>
      </c>
      <c r="AB1331" s="265"/>
      <c r="AC1331" s="37"/>
      <c r="AD1331" s="37"/>
      <c r="AE1331" s="37"/>
      <c r="AF1331" s="37"/>
      <c r="AG1331" s="37"/>
      <c r="AH1331" s="37"/>
      <c r="AI1331" s="37"/>
      <c r="AJ1331" s="37"/>
      <c r="AK1331" s="37"/>
      <c r="AL1331" s="37"/>
      <c r="AM1331" s="37"/>
      <c r="AN1331" s="37"/>
      <c r="AO1331" s="37"/>
      <c r="AP1331" s="37"/>
    </row>
    <row r="1332" spans="1:42" s="50" customFormat="1" ht="11.25">
      <c r="A1332" s="48"/>
      <c r="B1332" s="48"/>
      <c r="C1332" s="48"/>
      <c r="D1332" s="154" t="s">
        <v>239</v>
      </c>
      <c r="E1332" s="154"/>
      <c r="F1332" s="154" t="str">
        <f t="shared" si="2254"/>
        <v>Лайтс</v>
      </c>
      <c r="G1332" s="154" t="s">
        <v>219</v>
      </c>
      <c r="H1332" s="319"/>
      <c r="I1332" s="320">
        <f>IF(I1330=0,0,I$9-I1331)</f>
        <v>52.09000282343186</v>
      </c>
      <c r="J1332" s="321">
        <f>I1332-SUMIFS(ПОбТЗ!$I:$I,ПОбТЗ!$E:$E,$D1332,ПОбТЗ!$F:$F,$F1332)</f>
        <v>0</v>
      </c>
      <c r="K1332" s="320">
        <f>IF(K1330=0,0,I$9-K1331)</f>
        <v>108.00029286204517</v>
      </c>
      <c r="L1332" s="322">
        <f>IF(L1330=0,0,I$9-L1331)</f>
        <v>5.9688862645343761</v>
      </c>
      <c r="M1332" s="275"/>
      <c r="N1332" s="155">
        <f>IF(N1330=0,0,N$9-N1331)</f>
        <v>28.569259209165466</v>
      </c>
      <c r="O1332" s="173">
        <f>N1332-SUMIFS(ПОбТЗ_3!$J:$J,ПОбТЗ_3!$D:$D,$D1332,ПОбТЗ_3!$E:$E,$F1332)</f>
        <v>0</v>
      </c>
      <c r="P1332" s="155">
        <f>IF(P1330=0,0,N$9-P1331)</f>
        <v>46.258827466423099</v>
      </c>
      <c r="Q1332" s="239">
        <f>IF(Q1330=0,0,N$9-Q1331)</f>
        <v>2.6329620878823334</v>
      </c>
      <c r="R1332" s="240"/>
      <c r="S1332" s="155">
        <f>IF(S1330=0,0,S$9-S1331)</f>
        <v>51.708750772988424</v>
      </c>
      <c r="T1332" s="173">
        <f>S1332-SUMIFS(ПОбТЗ_3!$K:$K,ПОбТЗ_3!$D:$D,$D1332,ПОбТЗ_3!$E:$E,$F1332)</f>
        <v>0</v>
      </c>
      <c r="U1332" s="155">
        <f>IF(U1330=0,0,S$9-U1331)</f>
        <v>76.502850981974916</v>
      </c>
      <c r="V1332" s="239">
        <f>IF(V1330=0,0,S$9-V1331)</f>
        <v>5.7288709266213118</v>
      </c>
      <c r="W1332" s="240"/>
      <c r="X1332" s="155">
        <f>IF(X1330=0,0,X$9-X1331)</f>
        <v>52.09000282343186</v>
      </c>
      <c r="Y1332" s="173">
        <f>X1332-SUMIFS(ПОбТЗ_3!$L:$L,ПОбТЗ_3!$D:$D,$D1332,ПОбТЗ_3!$E:$E,$F1332)</f>
        <v>0</v>
      </c>
      <c r="Z1332" s="155">
        <f>IF(Z1330=0,0,X$9-Z1331)</f>
        <v>108.00029286204517</v>
      </c>
      <c r="AA1332" s="239">
        <f>IF(AA1330=0,0,X$9-AA1331)</f>
        <v>5.9688862645343761</v>
      </c>
      <c r="AB1332" s="230"/>
      <c r="AC1332" s="48"/>
      <c r="AD1332" s="48"/>
      <c r="AE1332" s="48"/>
      <c r="AF1332" s="48"/>
      <c r="AG1332" s="48"/>
      <c r="AH1332" s="48"/>
      <c r="AI1332" s="48"/>
      <c r="AJ1332" s="48"/>
      <c r="AK1332" s="48"/>
      <c r="AL1332" s="48"/>
      <c r="AM1332" s="48"/>
      <c r="AN1332" s="48"/>
      <c r="AO1332" s="48"/>
      <c r="AP1332" s="48"/>
    </row>
    <row r="1333" spans="1:42" s="93" customFormat="1" ht="15">
      <c r="A1333" s="92"/>
      <c r="B1333" s="92"/>
      <c r="C1333" s="92"/>
      <c r="D1333" s="198" t="s">
        <v>280</v>
      </c>
      <c r="E1333" s="198"/>
      <c r="F1333" s="198" t="str">
        <f t="shared" si="2254"/>
        <v>Лайтс</v>
      </c>
      <c r="G1333" s="198" t="s">
        <v>219</v>
      </c>
      <c r="H1333" s="323"/>
      <c r="I1333" s="324">
        <f>IF(I1330=0,0,(I1335*I1339+I1341*I1345)/I1330)</f>
        <v>21.775741421029011</v>
      </c>
      <c r="J1333" s="321"/>
      <c r="K1333" s="324">
        <f>IF(K1330=0,0,(K1335*K1339+K1341*K1345)/K1330)</f>
        <v>42.667424001271968</v>
      </c>
      <c r="L1333" s="325">
        <f>IF(L1330=0,0,(L1335*L1339+L1341*L1345)/L1330)</f>
        <v>4.5419240552298907</v>
      </c>
      <c r="M1333" s="276"/>
      <c r="N1333" s="199">
        <f>IF(N1330=0,0,(N1335*N1339+N1341*N1345)/N1330)</f>
        <v>17.651328230464774</v>
      </c>
      <c r="O1333" s="173"/>
      <c r="P1333" s="199">
        <f>IF(P1330=0,0,(P1335*P1339+P1341*P1345)/P1330)</f>
        <v>27.894440874854826</v>
      </c>
      <c r="Q1333" s="241">
        <f>IF(Q1330=0,0,(Q1335*Q1339+Q1341*Q1345)/Q1330)</f>
        <v>2.6329620878823334</v>
      </c>
      <c r="R1333" s="242"/>
      <c r="S1333" s="199">
        <f>IF(S1330=0,0,(S1335*S1339+S1341*S1345)/S1330)</f>
        <v>27.768799606309528</v>
      </c>
      <c r="T1333" s="173"/>
      <c r="U1333" s="199">
        <f>IF(U1330=0,0,(U1335*U1339+U1341*U1345)/U1330)</f>
        <v>39.653567511507021</v>
      </c>
      <c r="V1333" s="241">
        <f>IF(V1330=0,0,(V1335*V1339+V1341*V1345)/V1330)</f>
        <v>5.7288709266213118</v>
      </c>
      <c r="W1333" s="242"/>
      <c r="X1333" s="199">
        <f>IF(X1330=0,0,(X1335*X1339+X1341*X1345)/X1330)</f>
        <v>21.775741421029011</v>
      </c>
      <c r="Y1333" s="173"/>
      <c r="Z1333" s="199">
        <f>IF(Z1330=0,0,(Z1335*Z1339+Z1341*Z1345)/Z1330)</f>
        <v>42.667424001271968</v>
      </c>
      <c r="AA1333" s="241">
        <f>IF(AA1330=0,0,(AA1335*AA1339+AA1341*AA1345)/AA1330)</f>
        <v>4.5419240552298907</v>
      </c>
      <c r="AB1333" s="264"/>
      <c r="AC1333" s="92"/>
      <c r="AD1333" s="92"/>
      <c r="AE1333" s="92"/>
      <c r="AF1333" s="92"/>
      <c r="AG1333" s="92"/>
      <c r="AH1333" s="92"/>
      <c r="AI1333" s="92"/>
      <c r="AJ1333" s="92"/>
      <c r="AK1333" s="92"/>
      <c r="AL1333" s="92"/>
      <c r="AM1333" s="92"/>
      <c r="AN1333" s="92"/>
      <c r="AO1333" s="92"/>
      <c r="AP1333" s="92"/>
    </row>
    <row r="1334" spans="1:42" s="50" customFormat="1" ht="11.25">
      <c r="A1334" s="48"/>
      <c r="B1334" s="48"/>
      <c r="C1334" s="48"/>
      <c r="D1334" s="154" t="s">
        <v>281</v>
      </c>
      <c r="E1334" s="154"/>
      <c r="F1334" s="154" t="str">
        <f t="shared" si="2254"/>
        <v>Лайтс</v>
      </c>
      <c r="G1334" s="154" t="s">
        <v>219</v>
      </c>
      <c r="H1334" s="319"/>
      <c r="I1334" s="320">
        <f>I1332-I1333</f>
        <v>30.314261402402849</v>
      </c>
      <c r="J1334" s="321"/>
      <c r="K1334" s="320">
        <f>K1332-K1333</f>
        <v>65.332868860773203</v>
      </c>
      <c r="L1334" s="322">
        <f>L1332-L1333</f>
        <v>1.4269622093044854</v>
      </c>
      <c r="M1334" s="275"/>
      <c r="N1334" s="155">
        <f>N1332-N1333</f>
        <v>10.917930978700692</v>
      </c>
      <c r="O1334" s="173"/>
      <c r="P1334" s="155">
        <f>P1332-P1333</f>
        <v>18.364386591568273</v>
      </c>
      <c r="Q1334" s="239">
        <f>Q1332-Q1333</f>
        <v>0</v>
      </c>
      <c r="R1334" s="240"/>
      <c r="S1334" s="155">
        <f>S1332-S1333</f>
        <v>23.939951166678895</v>
      </c>
      <c r="T1334" s="173"/>
      <c r="U1334" s="155">
        <f>U1332-U1333</f>
        <v>36.849283470467896</v>
      </c>
      <c r="V1334" s="239">
        <f>V1332-V1333</f>
        <v>0</v>
      </c>
      <c r="W1334" s="240"/>
      <c r="X1334" s="155">
        <f>X1332-X1333</f>
        <v>30.314261402402849</v>
      </c>
      <c r="Y1334" s="173"/>
      <c r="Z1334" s="155">
        <f>Z1332-Z1333</f>
        <v>65.332868860773203</v>
      </c>
      <c r="AA1334" s="239">
        <f>AA1332-AA1333</f>
        <v>1.4269622093044854</v>
      </c>
      <c r="AB1334" s="230"/>
      <c r="AC1334" s="48"/>
      <c r="AD1334" s="48"/>
      <c r="AE1334" s="48"/>
      <c r="AF1334" s="48"/>
      <c r="AG1334" s="48"/>
      <c r="AH1334" s="48"/>
      <c r="AI1334" s="48"/>
      <c r="AJ1334" s="48"/>
      <c r="AK1334" s="48"/>
      <c r="AL1334" s="48"/>
      <c r="AM1334" s="48"/>
      <c r="AN1334" s="48"/>
      <c r="AO1334" s="48"/>
      <c r="AP1334" s="48"/>
    </row>
    <row r="1335" spans="1:42" s="5" customFormat="1">
      <c r="A1335" s="1"/>
      <c r="B1335" s="1"/>
      <c r="C1335" s="1"/>
      <c r="D1335" s="168"/>
      <c r="E1335" s="168" t="s">
        <v>282</v>
      </c>
      <c r="F1335" s="168" t="str">
        <f t="shared" si="2254"/>
        <v>Лайтс</v>
      </c>
      <c r="G1335" s="168" t="s">
        <v>261</v>
      </c>
      <c r="H1335" s="326"/>
      <c r="I1335" s="327">
        <f>SUMIFS(операции!$V:$V,операции!$T:$T,"&lt;="&amp;I$9,операции!$X:$X,"",операции!$AB:$AB,"&lt;&gt;"&amp;"",операции!$AB:$AB,"&lt;="&amp;I$9,операции!$O:$O,$F1274)+SUMIFS(операции!$V:$V,операции!$T:$T,"&lt;="&amp;I$9,операции!$X:$X,"&gt;"&amp;I$9,операции!$AB:$AB,"&lt;&gt;"&amp;"",операции!$AB:$AB,"&lt;="&amp;I$9,операции!$O:$O,$F1274)</f>
        <v>33867.090000000004</v>
      </c>
      <c r="J1335" s="313">
        <f>I1335-K1335-L1335</f>
        <v>0</v>
      </c>
      <c r="K1335" s="327">
        <f>SUMIFS(операции!$V:$V,операции!$T:$T,"&lt;="&amp;I$9,операции!$X:$X,"",операции!$AB:$AB,"&lt;&gt;"&amp;"",операции!$AB:$AB,"&lt;="&amp;I$9,операции!$L:$L,K$9,операции!$O:$O,$F1274)+SUMIFS(операции!$V:$V,операции!$T:$T,"&lt;="&amp;I$9,операции!$X:$X,"&gt;"&amp;I$9,операции!$AB:$AB,"&lt;&gt;"&amp;"",операции!$AB:$AB,"&lt;="&amp;I$9,операции!$L:$L,K$9,операции!$O:$O,$F1274)</f>
        <v>26686.29</v>
      </c>
      <c r="L1335" s="328">
        <f>SUMIFS(операции!$V:$V,операции!$T:$T,"&lt;="&amp;I$9,операции!$X:$X,"",операции!$AB:$AB,"&lt;&gt;"&amp;"",операции!$AB:$AB,"&lt;="&amp;I$9,операции!$L:$L,L$9,операции!$O:$O,$F1274)+SUMIFS(операции!$V:$V,операции!$T:$T,"&lt;="&amp;I$9,операции!$X:$X,"&gt;"&amp;I$9,операции!$AB:$AB,"&lt;&gt;"&amp;"",операции!$AB:$AB,"&lt;="&amp;I$9,операции!$L:$L,L$9,операции!$O:$O,$F1274)</f>
        <v>7180.8</v>
      </c>
      <c r="M1335" s="277"/>
      <c r="N1335" s="169">
        <f>SUMIFS(операции!$V:$V,операции!$T:$T,"&lt;="&amp;N$9,операции!$X:$X,"",операции!$AB:$AB,"&lt;&gt;"&amp;"",операции!$AB:$AB,"&lt;="&amp;N$9,операции!$O:$O,$F1274)+SUMIFS(операции!$V:$V,операции!$T:$T,"&lt;="&amp;N$9,операции!$X:$X,"&gt;"&amp;N$9,операции!$AB:$AB,"&lt;&gt;"&amp;"",операции!$AB:$AB,"&lt;="&amp;N$9,операции!$O:$O,$F1274)</f>
        <v>33355.11</v>
      </c>
      <c r="O1335" s="170">
        <f>N1335-P1335-Q1335</f>
        <v>0</v>
      </c>
      <c r="P1335" s="169">
        <f>SUMIFS(операции!$V:$V,операции!$T:$T,"&lt;="&amp;N$9,операции!$X:$X,"",операции!$AB:$AB,"&lt;&gt;"&amp;"",операции!$AB:$AB,"&lt;="&amp;N$9,операции!$L:$L,P$9,операции!$O:$O,$F1274)+SUMIFS(операции!$V:$V,операции!$T:$T,"&lt;="&amp;N$9,операции!$X:$X,"&gt;"&amp;N$9,операции!$AB:$AB,"&lt;&gt;"&amp;"",операции!$AB:$AB,"&lt;="&amp;N$9,операции!$L:$L,P$9,операции!$O:$O,$F1274)</f>
        <v>33355.11</v>
      </c>
      <c r="Q1335" s="243">
        <f>SUMIFS(операции!$V:$V,операции!$T:$T,"&lt;="&amp;N$9,операции!$X:$X,"",операции!$AB:$AB,"&lt;&gt;"&amp;"",операции!$AB:$AB,"&lt;="&amp;N$9,операции!$L:$L,Q$9,операции!$O:$O,$F1274)+SUMIFS(операции!$V:$V,операции!$T:$T,"&lt;="&amp;N$9,операции!$X:$X,"&gt;"&amp;N$9,операции!$AB:$AB,"&lt;&gt;"&amp;"",операции!$AB:$AB,"&lt;="&amp;N$9,операции!$L:$L,Q$9,операции!$O:$O,$F1274)</f>
        <v>0</v>
      </c>
      <c r="R1335" s="244"/>
      <c r="S1335" s="169">
        <f>SUMIFS(операции!$V:$V,операции!$T:$T,"&lt;="&amp;S$9,операции!$X:$X,"",операции!$AB:$AB,"&lt;&gt;"&amp;"",операции!$AB:$AB,"&lt;="&amp;S$9,операции!$O:$O,$F1274)+SUMIFS(операции!$V:$V,операции!$T:$T,"&lt;="&amp;S$9,операции!$X:$X,"&gt;"&amp;S$9,операции!$AB:$AB,"&lt;&gt;"&amp;"",операции!$AB:$AB,"&lt;="&amp;S$9,операции!$O:$O,$F1274)</f>
        <v>27160.170000000002</v>
      </c>
      <c r="T1335" s="170">
        <f>S1335-U1335-V1335</f>
        <v>0</v>
      </c>
      <c r="U1335" s="169">
        <f>SUMIFS(операции!$V:$V,операции!$T:$T,"&lt;="&amp;S$9,операции!$X:$X,"",операции!$AB:$AB,"&lt;&gt;"&amp;"",операции!$AB:$AB,"&lt;="&amp;S$9,операции!$L:$L,U$9,операции!$O:$O,$F1274)+SUMIFS(операции!$V:$V,операции!$T:$T,"&lt;="&amp;S$9,операции!$X:$X,"&gt;"&amp;S$9,операции!$AB:$AB,"&lt;&gt;"&amp;"",операции!$AB:$AB,"&lt;="&amp;S$9,операции!$L:$L,U$9,операции!$O:$O,$F1274)</f>
        <v>27160.170000000002</v>
      </c>
      <c r="V1335" s="243">
        <f>SUMIFS(операции!$V:$V,операции!$T:$T,"&lt;="&amp;S$9,операции!$X:$X,"",операции!$AB:$AB,"&lt;&gt;"&amp;"",операции!$AB:$AB,"&lt;="&amp;S$9,операции!$L:$L,V$9,операции!$O:$O,$F1274)+SUMIFS(операции!$V:$V,операции!$T:$T,"&lt;="&amp;S$9,операции!$X:$X,"&gt;"&amp;S$9,операции!$AB:$AB,"&lt;&gt;"&amp;"",операции!$AB:$AB,"&lt;="&amp;S$9,операции!$L:$L,V$9,операции!$O:$O,$F1274)</f>
        <v>0</v>
      </c>
      <c r="W1335" s="244"/>
      <c r="X1335" s="169">
        <f>SUMIFS(операции!$V:$V,операции!$T:$T,"&lt;="&amp;X$9,операции!$X:$X,"",операции!$AB:$AB,"&lt;&gt;"&amp;"",операции!$AB:$AB,"&lt;="&amp;X$9,операции!$O:$O,$F1274)+SUMIFS(операции!$V:$V,операции!$T:$T,"&lt;="&amp;X$9,операции!$X:$X,"&gt;"&amp;X$9,операции!$AB:$AB,"&lt;&gt;"&amp;"",операции!$AB:$AB,"&lt;="&amp;X$9,операции!$O:$O,$F1274)</f>
        <v>33867.090000000004</v>
      </c>
      <c r="Y1335" s="170">
        <f>X1335-Z1335-AA1335</f>
        <v>0</v>
      </c>
      <c r="Z1335" s="169">
        <f>SUMIFS(операции!$V:$V,операции!$T:$T,"&lt;="&amp;X$9,операции!$X:$X,"",операции!$AB:$AB,"&lt;&gt;"&amp;"",операции!$AB:$AB,"&lt;="&amp;X$9,операции!$L:$L,Z$9,операции!$O:$O,$F1274)+SUMIFS(операции!$V:$V,операции!$T:$T,"&lt;="&amp;X$9,операции!$X:$X,"&gt;"&amp;X$9,операции!$AB:$AB,"&lt;&gt;"&amp;"",операции!$AB:$AB,"&lt;="&amp;X$9,операции!$L:$L,Z$9,операции!$O:$O,$F1274)</f>
        <v>26686.29</v>
      </c>
      <c r="AA1335" s="243">
        <f>SUMIFS(операции!$V:$V,операции!$T:$T,"&lt;="&amp;X$9,операции!$X:$X,"",операции!$AB:$AB,"&lt;&gt;"&amp;"",операции!$AB:$AB,"&lt;="&amp;X$9,операции!$L:$L,AA$9,операции!$O:$O,$F1274)+SUMIFS(операции!$V:$V,операции!$T:$T,"&lt;="&amp;X$9,операции!$X:$X,"&gt;"&amp;X$9,операции!$AB:$AB,"&lt;&gt;"&amp;"",операции!$AB:$AB,"&lt;="&amp;X$9,операции!$L:$L,AA$9,операции!$O:$O,$F1274)</f>
        <v>7180.8</v>
      </c>
      <c r="AB1335" s="266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</row>
    <row r="1336" spans="1:42" s="192" customFormat="1" ht="11.25">
      <c r="A1336" s="37"/>
      <c r="B1336" s="37"/>
      <c r="C1336" s="37"/>
      <c r="D1336" s="191"/>
      <c r="E1336" s="191" t="s">
        <v>255</v>
      </c>
      <c r="F1336" s="191" t="str">
        <f t="shared" si="2254"/>
        <v>Лайтс</v>
      </c>
      <c r="G1336" s="191" t="s">
        <v>262</v>
      </c>
      <c r="H1336" s="315"/>
      <c r="I1336" s="316">
        <f>IF(I1335=0,0,(SUMIFS(операции!$AF:$AF,операции!$T:$T,"&lt;="&amp;I$9,операции!$X:$X,"",операции!$AB:$AB,"&lt;&gt;"&amp;"",операции!$AB:$AB,"&lt;="&amp;I$9,операции!$O:$O,$F1274)+SUMIFS(операции!$AF:$AF,операции!$T:$T,"&lt;="&amp;I$9,операции!$X:$X,"&gt;"&amp;I$9,операции!$AB:$AB,"&lt;&gt;"&amp;"",операции!$AB:$AB,"&lt;="&amp;I$9,операции!$O:$O,$F1274))/I1335)</f>
        <v>42285.038405720719</v>
      </c>
      <c r="J1336" s="317"/>
      <c r="K1336" s="316">
        <f>IF(K1335=0,0,(SUMIFS(операции!$AF:$AF,операции!$T:$T,"&lt;="&amp;I$9,операции!$X:$X,"",операции!$AB:$AB,"&lt;&gt;"&amp;"",операции!$AB:$AB,"&lt;="&amp;I$9,операции!$L:$L,K$9,операции!$O:$O,$F1274)+SUMIFS(операции!$AF:$AF,операции!$T:$T,"&lt;="&amp;I$9,операции!$X:$X,"&gt;"&amp;I$9,операции!$AB:$AB,"&lt;&gt;"&amp;"",операции!$AB:$AB,"&lt;="&amp;I$9,операции!$L:$L,K$9,операции!$O:$O,$F1274))/K1335)</f>
        <v>42267.020246725937</v>
      </c>
      <c r="L1336" s="318">
        <f>IF(L1335=0,0,(SUMIFS(операции!$AF:$AF,операции!$T:$T,"&lt;="&amp;I$9,операции!$X:$X,"",операции!$AB:$AB,"&lt;&gt;"&amp;"",операции!$AB:$AB,"&lt;="&amp;I$9,операции!$L:$L,L$9,операции!$O:$O,$F1274)+SUMIFS(операции!$AF:$AF,операции!$T:$T,"&lt;="&amp;I$9,операции!$X:$X,"&gt;"&amp;I$9,операции!$AB:$AB,"&lt;&gt;"&amp;"",операции!$AB:$AB,"&lt;="&amp;I$9,операции!$L:$L,L$9,операции!$O:$O,$F1274))/L1335)</f>
        <v>42352</v>
      </c>
      <c r="M1336" s="274"/>
      <c r="N1336" s="193">
        <f>IF(N1335=0,0,(SUMIFS(операции!$AF:$AF,операции!$T:$T,"&lt;="&amp;N$9,операции!$X:$X,"",операции!$AB:$AB,"&lt;&gt;"&amp;"",операции!$AB:$AB,"&lt;="&amp;N$9,операции!$O:$O,$F1274)+SUMIFS(операции!$AF:$AF,операции!$T:$T,"&lt;="&amp;N$9,операции!$X:$X,"&gt;"&amp;N$9,операции!$AB:$AB,"&lt;&gt;"&amp;"",операции!$AB:$AB,"&lt;="&amp;N$9,операции!$O:$O,$F1274))/N1335)</f>
        <v>42240.740124676551</v>
      </c>
      <c r="O1336" s="196"/>
      <c r="P1336" s="193">
        <f>IF(P1335=0,0,(SUMIFS(операции!$AF:$AF,операции!$T:$T,"&lt;="&amp;N$9,операции!$X:$X,"",операции!$AB:$AB,"&lt;&gt;"&amp;"",операции!$AB:$AB,"&lt;="&amp;N$9,операции!$L:$L,P$9,операции!$O:$O,$F1274)+SUMIFS(операции!$AF:$AF,операции!$T:$T,"&lt;="&amp;N$9,операции!$X:$X,"&gt;"&amp;N$9,операции!$AB:$AB,"&lt;&gt;"&amp;"",операции!$AB:$AB,"&lt;="&amp;N$9,операции!$L:$L,P$9,операции!$O:$O,$F1274))/P1335)</f>
        <v>42240.740124676551</v>
      </c>
      <c r="Q1336" s="237">
        <f>IF(Q1335=0,0,(SUMIFS(операции!$AF:$AF,операции!$T:$T,"&lt;="&amp;N$9,операции!$X:$X,"",операции!$AB:$AB,"&lt;&gt;"&amp;"",операции!$AB:$AB,"&lt;="&amp;N$9,операции!$L:$L,Q$9,операции!$O:$O,$F1274)+SUMIFS(операции!$AF:$AF,операции!$T:$T,"&lt;="&amp;N$9,операции!$X:$X,"&gt;"&amp;N$9,операции!$AB:$AB,"&lt;&gt;"&amp;"",операции!$AB:$AB,"&lt;="&amp;N$9,операции!$L:$L,Q$9,операции!$O:$O,$F1274))/Q1335)</f>
        <v>0</v>
      </c>
      <c r="R1336" s="238"/>
      <c r="S1336" s="193">
        <f>IF(S1335=0,0,(SUMIFS(операции!$AF:$AF,операции!$T:$T,"&lt;="&amp;S$9,операции!$X:$X,"",операции!$AB:$AB,"&lt;&gt;"&amp;"",операции!$AB:$AB,"&lt;="&amp;S$9,операции!$O:$O,$F1274)+SUMIFS(операции!$AF:$AF,операции!$T:$T,"&lt;="&amp;S$9,операции!$X:$X,"&gt;"&amp;S$9,операции!$AB:$AB,"&lt;&gt;"&amp;"",операции!$AB:$AB,"&lt;="&amp;S$9,операции!$O:$O,$F1274))/S1335)</f>
        <v>42267.456083669575</v>
      </c>
      <c r="T1336" s="196"/>
      <c r="U1336" s="193">
        <f>IF(U1335=0,0,(SUMIFS(операции!$AF:$AF,операции!$T:$T,"&lt;="&amp;S$9,операции!$X:$X,"",операции!$AB:$AB,"&lt;&gt;"&amp;"",операции!$AB:$AB,"&lt;="&amp;S$9,операции!$L:$L,U$9,операции!$O:$O,$F1274)+SUMIFS(операции!$AF:$AF,операции!$T:$T,"&lt;="&amp;S$9,операции!$X:$X,"&gt;"&amp;S$9,операции!$AB:$AB,"&lt;&gt;"&amp;"",операции!$AB:$AB,"&lt;="&amp;S$9,операции!$L:$L,U$9,операции!$O:$O,$F1274))/U1335)</f>
        <v>42267.456083669575</v>
      </c>
      <c r="V1336" s="237">
        <f>IF(V1335=0,0,(SUMIFS(операции!$AF:$AF,операции!$T:$T,"&lt;="&amp;S$9,операции!$X:$X,"",операции!$AB:$AB,"&lt;&gt;"&amp;"",операции!$AB:$AB,"&lt;="&amp;S$9,операции!$L:$L,V$9,операции!$O:$O,$F1274)+SUMIFS(операции!$AF:$AF,операции!$T:$T,"&lt;="&amp;S$9,операции!$X:$X,"&gt;"&amp;S$9,операции!$AB:$AB,"&lt;&gt;"&amp;"",операции!$AB:$AB,"&lt;="&amp;S$9,операции!$L:$L,V$9,операции!$O:$O,$F1274))/V1335)</f>
        <v>0</v>
      </c>
      <c r="W1336" s="238"/>
      <c r="X1336" s="193">
        <f>IF(X1335=0,0,(SUMIFS(операции!$AF:$AF,операции!$T:$T,"&lt;="&amp;X$9,операции!$X:$X,"",операции!$AB:$AB,"&lt;&gt;"&amp;"",операции!$AB:$AB,"&lt;="&amp;X$9,операции!$O:$O,$F1274)+SUMIFS(операции!$AF:$AF,операции!$T:$T,"&lt;="&amp;X$9,операции!$X:$X,"&gt;"&amp;X$9,операции!$AB:$AB,"&lt;&gt;"&amp;"",операции!$AB:$AB,"&lt;="&amp;X$9,операции!$O:$O,$F1274))/X1335)</f>
        <v>42285.038405720719</v>
      </c>
      <c r="Y1336" s="196"/>
      <c r="Z1336" s="193">
        <f>IF(Z1335=0,0,(SUMIFS(операции!$AF:$AF,операции!$T:$T,"&lt;="&amp;X$9,операции!$X:$X,"",операции!$AB:$AB,"&lt;&gt;"&amp;"",операции!$AB:$AB,"&lt;="&amp;X$9,операции!$L:$L,Z$9,операции!$O:$O,$F1274)+SUMIFS(операции!$AF:$AF,операции!$T:$T,"&lt;="&amp;X$9,операции!$X:$X,"&gt;"&amp;X$9,операции!$AB:$AB,"&lt;&gt;"&amp;"",операции!$AB:$AB,"&lt;="&amp;X$9,операции!$L:$L,Z$9,операции!$O:$O,$F1274))/Z1335)</f>
        <v>42267.020246725937</v>
      </c>
      <c r="AA1336" s="237">
        <f>IF(AA1335=0,0,(SUMIFS(операции!$AF:$AF,операции!$T:$T,"&lt;="&amp;X$9,операции!$X:$X,"",операции!$AB:$AB,"&lt;&gt;"&amp;"",операции!$AB:$AB,"&lt;="&amp;X$9,операции!$L:$L,AA$9,операции!$O:$O,$F1274)+SUMIFS(операции!$AF:$AF,операции!$T:$T,"&lt;="&amp;X$9,операции!$X:$X,"&gt;"&amp;X$9,операции!$AB:$AB,"&lt;&gt;"&amp;"",операции!$AB:$AB,"&lt;="&amp;X$9,операции!$L:$L,AA$9,операции!$O:$O,$F1274))/AA1335)</f>
        <v>42352</v>
      </c>
      <c r="AB1336" s="265"/>
      <c r="AC1336" s="37"/>
      <c r="AD1336" s="37"/>
      <c r="AE1336" s="37"/>
      <c r="AF1336" s="37"/>
      <c r="AG1336" s="37"/>
      <c r="AH1336" s="37"/>
      <c r="AI1336" s="37"/>
      <c r="AJ1336" s="37"/>
      <c r="AK1336" s="37"/>
      <c r="AL1336" s="37"/>
      <c r="AM1336" s="37"/>
      <c r="AN1336" s="37"/>
      <c r="AO1336" s="37"/>
      <c r="AP1336" s="37"/>
    </row>
    <row r="1337" spans="1:42" s="192" customFormat="1" ht="11.25">
      <c r="A1337" s="37"/>
      <c r="B1337" s="37"/>
      <c r="C1337" s="37"/>
      <c r="D1337" s="191"/>
      <c r="E1337" s="191" t="s">
        <v>283</v>
      </c>
      <c r="F1337" s="191" t="str">
        <f t="shared" si="2254"/>
        <v>Лайтс</v>
      </c>
      <c r="G1337" s="191" t="s">
        <v>219</v>
      </c>
      <c r="H1337" s="315"/>
      <c r="I1337" s="329">
        <f>IF(I1335=0,0,I$9-I1336)</f>
        <v>83.961594279280689</v>
      </c>
      <c r="J1337" s="317"/>
      <c r="K1337" s="329">
        <f>IF(K1335=0,0,I$9-K1336)</f>
        <v>101.97975327406311</v>
      </c>
      <c r="L1337" s="330">
        <f>IF(L1335=0,0,I$9-L1336)</f>
        <v>17</v>
      </c>
      <c r="M1337" s="274"/>
      <c r="N1337" s="156">
        <f>IF(N1335=0,0,N$9-N1336)</f>
        <v>67.259875323448796</v>
      </c>
      <c r="O1337" s="196"/>
      <c r="P1337" s="156">
        <f>IF(P1335=0,0,N$9-P1336)</f>
        <v>67.259875323448796</v>
      </c>
      <c r="Q1337" s="245">
        <f>IF(Q1335=0,0,N$9-Q1336)</f>
        <v>0</v>
      </c>
      <c r="R1337" s="238"/>
      <c r="S1337" s="156">
        <f>IF(S1335=0,0,S$9-S1336)</f>
        <v>70.543916330425418</v>
      </c>
      <c r="T1337" s="196"/>
      <c r="U1337" s="156">
        <f>IF(U1335=0,0,S$9-U1336)</f>
        <v>70.543916330425418</v>
      </c>
      <c r="V1337" s="245">
        <f>IF(V1335=0,0,S$9-V1336)</f>
        <v>0</v>
      </c>
      <c r="W1337" s="238"/>
      <c r="X1337" s="156">
        <f>IF(X1335=0,0,X$9-X1336)</f>
        <v>83.961594279280689</v>
      </c>
      <c r="Y1337" s="196"/>
      <c r="Z1337" s="156">
        <f>IF(Z1335=0,0,X$9-Z1336)</f>
        <v>101.97975327406311</v>
      </c>
      <c r="AA1337" s="245">
        <f>IF(AA1335=0,0,X$9-AA1336)</f>
        <v>17</v>
      </c>
      <c r="AB1337" s="265"/>
      <c r="AC1337" s="37"/>
      <c r="AD1337" s="37"/>
      <c r="AE1337" s="37"/>
      <c r="AF1337" s="37"/>
      <c r="AG1337" s="37"/>
      <c r="AH1337" s="37"/>
      <c r="AI1337" s="37"/>
      <c r="AJ1337" s="37"/>
      <c r="AK1337" s="37"/>
      <c r="AL1337" s="37"/>
      <c r="AM1337" s="37"/>
      <c r="AN1337" s="37"/>
      <c r="AO1337" s="37"/>
      <c r="AP1337" s="37"/>
    </row>
    <row r="1338" spans="1:42" s="192" customFormat="1" ht="11.25">
      <c r="A1338" s="37"/>
      <c r="B1338" s="37"/>
      <c r="C1338" s="37"/>
      <c r="D1338" s="191"/>
      <c r="E1338" s="191" t="s">
        <v>259</v>
      </c>
      <c r="F1338" s="191" t="str">
        <f t="shared" si="2254"/>
        <v>Лайтс</v>
      </c>
      <c r="G1338" s="191" t="s">
        <v>262</v>
      </c>
      <c r="H1338" s="315"/>
      <c r="I1338" s="316">
        <f>IF(I1335=0,0,(SUMIFS(операции!$AH:$AH,операции!$T:$T,"&lt;="&amp;I$9,операции!$X:$X,"",операции!$AB:$AB,"&lt;&gt;"&amp;"",операции!$AB:$AB,"&lt;="&amp;I$9,операции!$O:$O,$F1274)+SUMIFS(операции!$AH:$AH,операции!$T:$T,"&lt;="&amp;I$9,операции!$X:$X,"&gt;"&amp;I$9,операции!$AB:$AB,"&lt;&gt;"&amp;"",операции!$AB:$AB,"&lt;="&amp;I$9,операции!$O:$O,$F1274))/I1335)</f>
        <v>42311.460029190581</v>
      </c>
      <c r="J1338" s="317"/>
      <c r="K1338" s="316">
        <f>IF(K1335=0,0,(SUMIFS(операции!$AH:$AH,операции!$T:$T,"&lt;="&amp;I$9,операции!$X:$X,"",операции!$AB:$AB,"&lt;&gt;"&amp;"",операции!$AB:$AB,"&lt;="&amp;I$9,операции!$L:$L,K$9,операции!$O:$O,$F1274)+SUMIFS(операции!$AH:$AH,операции!$T:$T,"&lt;="&amp;I$9,операции!$X:$X,"&gt;"&amp;I$9,операции!$AB:$AB,"&lt;&gt;"&amp;"",операции!$AB:$AB,"&lt;="&amp;I$9,операции!$L:$L,K$9,операции!$O:$O,$F1274))/K1335)</f>
        <v>42297.860633306467</v>
      </c>
      <c r="L1338" s="318">
        <f>IF(L1335=0,0,(SUMIFS(операции!$AH:$AH,операции!$T:$T,"&lt;="&amp;I$9,операции!$X:$X,"",операции!$AB:$AB,"&lt;&gt;"&amp;"",операции!$AB:$AB,"&lt;="&amp;I$9,операции!$L:$L,L$9,операции!$O:$O,$F1274)+SUMIFS(операции!$AH:$AH,операции!$T:$T,"&lt;="&amp;I$9,операции!$X:$X,"&gt;"&amp;I$9,операции!$AB:$AB,"&lt;&gt;"&amp;"",операции!$AB:$AB,"&lt;="&amp;I$9,операции!$L:$L,L$9,операции!$O:$O,$F1274))/L1335)</f>
        <v>42362</v>
      </c>
      <c r="M1338" s="274"/>
      <c r="N1338" s="193">
        <f>IF(N1335=0,0,(SUMIFS(операции!$AH:$AH,операции!$T:$T,"&lt;="&amp;N$9,операции!$X:$X,"",операции!$AB:$AB,"&lt;&gt;"&amp;"",операции!$AB:$AB,"&lt;="&amp;N$9,операции!$O:$O,$F1274)+SUMIFS(операции!$AH:$AH,операции!$T:$T,"&lt;="&amp;N$9,операции!$X:$X,"&gt;"&amp;N$9,операции!$AB:$AB,"&lt;&gt;"&amp;"",операции!$AB:$AB,"&lt;="&amp;N$9,операции!$O:$O,$F1274))/N1335)</f>
        <v>42267.889179199228</v>
      </c>
      <c r="O1338" s="196"/>
      <c r="P1338" s="193">
        <f>IF(P1335=0,0,(SUMIFS(операции!$AH:$AH,операции!$T:$T,"&lt;="&amp;N$9,операции!$X:$X,"",операции!$AB:$AB,"&lt;&gt;"&amp;"",операции!$AB:$AB,"&lt;="&amp;N$9,операции!$L:$L,P$9,операции!$O:$O,$F1274)+SUMIFS(операции!$AH:$AH,операции!$T:$T,"&lt;="&amp;N$9,операции!$X:$X,"&gt;"&amp;N$9,операции!$AB:$AB,"&lt;&gt;"&amp;"",операции!$AB:$AB,"&lt;="&amp;N$9,операции!$L:$L,P$9,операции!$O:$O,$F1274))/P1335)</f>
        <v>42267.889179199228</v>
      </c>
      <c r="Q1338" s="237">
        <f>IF(Q1335=0,0,(SUMIFS(операции!$AH:$AH,операции!$T:$T,"&lt;="&amp;N$9,операции!$X:$X,"",операции!$AB:$AB,"&lt;&gt;"&amp;"",операции!$AB:$AB,"&lt;="&amp;N$9,операции!$L:$L,Q$9,операции!$O:$O,$F1274)+SUMIFS(операции!$AH:$AH,операции!$T:$T,"&lt;="&amp;N$9,операции!$X:$X,"&gt;"&amp;N$9,операции!$AB:$AB,"&lt;&gt;"&amp;"",операции!$AB:$AB,"&lt;="&amp;N$9,операции!$L:$L,Q$9,операции!$O:$O,$F1274))/Q1335)</f>
        <v>0</v>
      </c>
      <c r="R1338" s="238"/>
      <c r="S1338" s="193">
        <f>IF(S1335=0,0,(SUMIFS(операции!$AH:$AH,операции!$T:$T,"&lt;="&amp;S$9,операции!$X:$X,"",операции!$AB:$AB,"&lt;&gt;"&amp;"",операции!$AB:$AB,"&lt;="&amp;S$9,операции!$O:$O,$F1274)+SUMIFS(операции!$AH:$AH,операции!$T:$T,"&lt;="&amp;S$9,операции!$X:$X,"&gt;"&amp;S$9,операции!$AB:$AB,"&lt;&gt;"&amp;"",операции!$AB:$AB,"&lt;="&amp;S$9,операции!$O:$O,$F1274))/S1335)</f>
        <v>42297.932855353996</v>
      </c>
      <c r="T1338" s="196"/>
      <c r="U1338" s="193">
        <f>IF(U1335=0,0,(SUMIFS(операции!$AH:$AH,операции!$T:$T,"&lt;="&amp;S$9,операции!$X:$X,"",операции!$AB:$AB,"&lt;&gt;"&amp;"",операции!$AB:$AB,"&lt;="&amp;S$9,операции!$L:$L,U$9,операции!$O:$O,$F1274)+SUMIFS(операции!$AH:$AH,операции!$T:$T,"&lt;="&amp;S$9,операции!$X:$X,"&gt;"&amp;S$9,операции!$AB:$AB,"&lt;&gt;"&amp;"",операции!$AB:$AB,"&lt;="&amp;S$9,операции!$L:$L,U$9,операции!$O:$O,$F1274))/U1335)</f>
        <v>42297.932855353996</v>
      </c>
      <c r="V1338" s="237">
        <f>IF(V1335=0,0,(SUMIFS(операции!$AH:$AH,операции!$T:$T,"&lt;="&amp;S$9,операции!$X:$X,"",операции!$AB:$AB,"&lt;&gt;"&amp;"",операции!$AB:$AB,"&lt;="&amp;S$9,операции!$L:$L,V$9,операции!$O:$O,$F1274)+SUMIFS(операции!$AH:$AH,операции!$T:$T,"&lt;="&amp;S$9,операции!$X:$X,"&gt;"&amp;S$9,операции!$AB:$AB,"&lt;&gt;"&amp;"",операции!$AB:$AB,"&lt;="&amp;S$9,операции!$L:$L,V$9,операции!$O:$O,$F1274))/V1335)</f>
        <v>0</v>
      </c>
      <c r="W1338" s="238"/>
      <c r="X1338" s="193">
        <f>IF(X1335=0,0,(SUMIFS(операции!$AH:$AH,операции!$T:$T,"&lt;="&amp;X$9,операции!$X:$X,"",операции!$AB:$AB,"&lt;&gt;"&amp;"",операции!$AB:$AB,"&lt;="&amp;X$9,операции!$O:$O,$F1274)+SUMIFS(операции!$AH:$AH,операции!$T:$T,"&lt;="&amp;X$9,операции!$X:$X,"&gt;"&amp;X$9,операции!$AB:$AB,"&lt;&gt;"&amp;"",операции!$AB:$AB,"&lt;="&amp;X$9,операции!$O:$O,$F1274))/X1335)</f>
        <v>42311.460029190581</v>
      </c>
      <c r="Y1338" s="196"/>
      <c r="Z1338" s="193">
        <f>IF(Z1335=0,0,(SUMIFS(операции!$AH:$AH,операции!$T:$T,"&lt;="&amp;X$9,операции!$X:$X,"",операции!$AB:$AB,"&lt;&gt;"&amp;"",операции!$AB:$AB,"&lt;="&amp;X$9,операции!$L:$L,Z$9,операции!$O:$O,$F1274)+SUMIFS(операции!$AH:$AH,операции!$T:$T,"&lt;="&amp;X$9,операции!$X:$X,"&gt;"&amp;X$9,операции!$AB:$AB,"&lt;&gt;"&amp;"",операции!$AB:$AB,"&lt;="&amp;X$9,операции!$L:$L,Z$9,операции!$O:$O,$F1274))/Z1335)</f>
        <v>42297.860633306467</v>
      </c>
      <c r="AA1338" s="237">
        <f>IF(AA1335=0,0,(SUMIFS(операции!$AH:$AH,операции!$T:$T,"&lt;="&amp;X$9,операции!$X:$X,"",операции!$AB:$AB,"&lt;&gt;"&amp;"",операции!$AB:$AB,"&lt;="&amp;X$9,операции!$L:$L,AA$9,операции!$O:$O,$F1274)+SUMIFS(операции!$AH:$AH,операции!$T:$T,"&lt;="&amp;X$9,операции!$X:$X,"&gt;"&amp;X$9,операции!$AB:$AB,"&lt;&gt;"&amp;"",операции!$AB:$AB,"&lt;="&amp;X$9,операции!$L:$L,AA$9,операции!$O:$O,$F1274))/AA1335)</f>
        <v>42362</v>
      </c>
      <c r="AB1338" s="265"/>
      <c r="AC1338" s="37"/>
      <c r="AD1338" s="37"/>
      <c r="AE1338" s="37"/>
      <c r="AF1338" s="37"/>
      <c r="AG1338" s="37"/>
      <c r="AH1338" s="37"/>
      <c r="AI1338" s="37"/>
      <c r="AJ1338" s="37"/>
      <c r="AK1338" s="37"/>
      <c r="AL1338" s="37"/>
      <c r="AM1338" s="37"/>
      <c r="AN1338" s="37"/>
      <c r="AO1338" s="37"/>
      <c r="AP1338" s="37"/>
    </row>
    <row r="1339" spans="1:42" s="192" customFormat="1" ht="11.25">
      <c r="A1339" s="37"/>
      <c r="B1339" s="37"/>
      <c r="C1339" s="37"/>
      <c r="D1339" s="191"/>
      <c r="E1339" s="191" t="s">
        <v>284</v>
      </c>
      <c r="F1339" s="191" t="str">
        <f t="shared" si="2254"/>
        <v>Лайтс</v>
      </c>
      <c r="G1339" s="191" t="s">
        <v>219</v>
      </c>
      <c r="H1339" s="315"/>
      <c r="I1339" s="329">
        <f>I1338-I1336</f>
        <v>26.421623469861515</v>
      </c>
      <c r="J1339" s="317"/>
      <c r="K1339" s="329">
        <f>K1338-K1336</f>
        <v>30.840386580530321</v>
      </c>
      <c r="L1339" s="330">
        <f>L1338-L1336</f>
        <v>10</v>
      </c>
      <c r="M1339" s="274"/>
      <c r="N1339" s="156">
        <f>N1338-N1336</f>
        <v>27.149054522677034</v>
      </c>
      <c r="O1339" s="196"/>
      <c r="P1339" s="156">
        <f>P1338-P1336</f>
        <v>27.149054522677034</v>
      </c>
      <c r="Q1339" s="245">
        <f>Q1338-Q1336</f>
        <v>0</v>
      </c>
      <c r="R1339" s="238"/>
      <c r="S1339" s="156">
        <f>S1338-S1336</f>
        <v>30.476771684421692</v>
      </c>
      <c r="T1339" s="196"/>
      <c r="U1339" s="156">
        <f>U1338-U1336</f>
        <v>30.476771684421692</v>
      </c>
      <c r="V1339" s="245">
        <f>V1338-V1336</f>
        <v>0</v>
      </c>
      <c r="W1339" s="238"/>
      <c r="X1339" s="156">
        <f>X1338-X1336</f>
        <v>26.421623469861515</v>
      </c>
      <c r="Y1339" s="196"/>
      <c r="Z1339" s="156">
        <f>Z1338-Z1336</f>
        <v>30.840386580530321</v>
      </c>
      <c r="AA1339" s="245">
        <f>AA1338-AA1336</f>
        <v>10</v>
      </c>
      <c r="AB1339" s="265"/>
      <c r="AC1339" s="37"/>
      <c r="AD1339" s="37"/>
      <c r="AE1339" s="37"/>
      <c r="AF1339" s="37"/>
      <c r="AG1339" s="37"/>
      <c r="AH1339" s="37"/>
      <c r="AI1339" s="37"/>
      <c r="AJ1339" s="37"/>
      <c r="AK1339" s="37"/>
      <c r="AL1339" s="37"/>
      <c r="AM1339" s="37"/>
      <c r="AN1339" s="37"/>
      <c r="AO1339" s="37"/>
      <c r="AP1339" s="37"/>
    </row>
    <row r="1340" spans="1:42" s="192" customFormat="1" ht="11.25">
      <c r="A1340" s="37"/>
      <c r="B1340" s="37"/>
      <c r="C1340" s="37"/>
      <c r="D1340" s="191"/>
      <c r="E1340" s="191" t="s">
        <v>285</v>
      </c>
      <c r="F1340" s="191" t="str">
        <f t="shared" si="2254"/>
        <v>Лайтс</v>
      </c>
      <c r="G1340" s="191" t="s">
        <v>219</v>
      </c>
      <c r="H1340" s="315"/>
      <c r="I1340" s="329">
        <f>I1337-I1339</f>
        <v>57.539970809419174</v>
      </c>
      <c r="J1340" s="317"/>
      <c r="K1340" s="329">
        <f>K1337-K1339</f>
        <v>71.139366693532793</v>
      </c>
      <c r="L1340" s="330">
        <f>L1337-L1339</f>
        <v>7</v>
      </c>
      <c r="M1340" s="274"/>
      <c r="N1340" s="156">
        <f>N1337-N1339</f>
        <v>40.110820800771762</v>
      </c>
      <c r="O1340" s="196"/>
      <c r="P1340" s="156">
        <f>P1337-P1339</f>
        <v>40.110820800771762</v>
      </c>
      <c r="Q1340" s="245">
        <f>Q1337-Q1339</f>
        <v>0</v>
      </c>
      <c r="R1340" s="238"/>
      <c r="S1340" s="156">
        <f>S1337-S1339</f>
        <v>40.067144646003726</v>
      </c>
      <c r="T1340" s="196"/>
      <c r="U1340" s="156">
        <f>U1337-U1339</f>
        <v>40.067144646003726</v>
      </c>
      <c r="V1340" s="245">
        <f>V1337-V1339</f>
        <v>0</v>
      </c>
      <c r="W1340" s="238"/>
      <c r="X1340" s="156">
        <f>X1337-X1339</f>
        <v>57.539970809419174</v>
      </c>
      <c r="Y1340" s="196"/>
      <c r="Z1340" s="156">
        <f>Z1337-Z1339</f>
        <v>71.139366693532793</v>
      </c>
      <c r="AA1340" s="245">
        <f>AA1337-AA1339</f>
        <v>7</v>
      </c>
      <c r="AB1340" s="265"/>
      <c r="AC1340" s="37"/>
      <c r="AD1340" s="37"/>
      <c r="AE1340" s="37"/>
      <c r="AF1340" s="37"/>
      <c r="AG1340" s="37"/>
      <c r="AH1340" s="37"/>
      <c r="AI1340" s="37"/>
      <c r="AJ1340" s="37"/>
      <c r="AK1340" s="37"/>
      <c r="AL1340" s="37"/>
      <c r="AM1340" s="37"/>
      <c r="AN1340" s="37"/>
      <c r="AO1340" s="37"/>
      <c r="AP1340" s="37"/>
    </row>
    <row r="1341" spans="1:42" s="5" customFormat="1">
      <c r="A1341" s="1"/>
      <c r="B1341" s="1"/>
      <c r="C1341" s="1"/>
      <c r="D1341" s="168"/>
      <c r="E1341" s="168" t="s">
        <v>286</v>
      </c>
      <c r="F1341" s="168" t="str">
        <f t="shared" si="2254"/>
        <v>Лайтс</v>
      </c>
      <c r="G1341" s="168" t="s">
        <v>261</v>
      </c>
      <c r="H1341" s="326"/>
      <c r="I1341" s="327">
        <f>SUMIFS(операции!$V:$V,операции!$T:$T,"&lt;="&amp;I$9,операции!$X:$X,"",операции!$AB:$AB,"",операции!$O:$O,$F1274)+SUMIFS(операции!$V:$V,операции!$T:$T,"&lt;="&amp;I$9,операции!$X:$X,"&gt;"&amp;I$9,операции!$AB:$AB,"",операции!$O:$O,$F1274)+SUMIFS(операции!$V:$V,операции!$T:$T,"&lt;="&amp;I$9,операции!$X:$X,"",операции!$AB:$AB,"&gt;"&amp;I$9,операции!$O:$O,$F1274)+SUMIFS(операции!$V:$V,операции!$T:$T,"&lt;="&amp;I$9,операции!$X:$X,"&gt;"&amp;I$9,операции!$AB:$AB,"&gt;"&amp;I$9,операции!$O:$O,$F1274)</f>
        <v>30416.560000000001</v>
      </c>
      <c r="J1341" s="313">
        <f>I1341-K1341-L1341</f>
        <v>0</v>
      </c>
      <c r="K1341" s="327">
        <f>SUMIFS(операции!$V:$V,операции!$T:$T,"&lt;="&amp;I$9,операции!$X:$X,"",операции!$AB:$AB,"",операции!$L:$L,K$9,операции!$O:$O,$F1274)+SUMIFS(операции!$V:$V,операции!$T:$T,"&lt;="&amp;I$9,операции!$X:$X,"&gt;"&amp;I$9,операции!$AB:$AB,"",операции!$L:$L,K$9,операции!$O:$O,$F1274)+SUMIFS(операции!$V:$V,операции!$T:$T,"&lt;="&amp;I$9,операции!$X:$X,"",операции!$AB:$AB,"&gt;"&amp;I$9,операции!$L:$L,K$9,операции!$O:$O,$F1274)+SUMIFS(операции!$V:$V,операции!$T:$T,"&lt;="&amp;I$9,операции!$X:$X,"&gt;"&amp;I$9,операции!$AB:$AB,"&gt;"&amp;I$9,операции!$L:$L,K$9,операции!$O:$O,$F1274)</f>
        <v>2371.7600000000002</v>
      </c>
      <c r="L1341" s="328">
        <f>SUMIFS(операции!$V:$V,операции!$T:$T,"&lt;="&amp;I$9,операции!$X:$X,"",операции!$AB:$AB,"",операции!$L:$L,L$9,операции!$O:$O,$F1274)+SUMIFS(операции!$V:$V,операции!$T:$T,"&lt;="&amp;I$9,операции!$X:$X,"&gt;"&amp;I$9,операции!$AB:$AB,"",операции!$L:$L,L$9,операции!$O:$O,$F1274)+SUMIFS(операции!$V:$V,операции!$T:$T,"&lt;="&amp;I$9,операции!$X:$X,"",операции!$AB:$AB,"&gt;"&amp;I$9,операции!$L:$L,L$9,операции!$O:$O,$F1274)+SUMIFS(операции!$V:$V,операции!$T:$T,"&lt;="&amp;I$9,операции!$X:$X,"&gt;"&amp;I$9,операции!$AB:$AB,"&gt;"&amp;I$9,операции!$L:$L,L$9,операции!$O:$O,$F1274)</f>
        <v>28044.799999999999</v>
      </c>
      <c r="M1341" s="277"/>
      <c r="N1341" s="169">
        <f>SUMIFS(операции!$V:$V,операции!$T:$T,"&lt;="&amp;N$9,операции!$X:$X,"",операции!$AB:$AB,"",операции!$O:$O,$F1274)+SUMIFS(операции!$V:$V,операции!$T:$T,"&lt;="&amp;N$9,операции!$X:$X,"&gt;"&amp;N$9,операции!$AB:$AB,"",операции!$O:$O,$F1274)+SUMIFS(операции!$V:$V,операции!$T:$T,"&lt;="&amp;N$9,операции!$X:$X,"",операции!$AB:$AB,"&gt;"&amp;N$9,операции!$O:$O,$F1274)+SUMIFS(операции!$V:$V,операции!$T:$T,"&lt;="&amp;N$9,операции!$X:$X,"&gt;"&amp;N$9,операции!$AB:$AB,"&gt;"&amp;N$9,операции!$O:$O,$F1274)</f>
        <v>89186.5</v>
      </c>
      <c r="O1341" s="170">
        <f>N1341-P1341-Q1341</f>
        <v>0</v>
      </c>
      <c r="P1341" s="169">
        <f>SUMIFS(операции!$V:$V,операции!$T:$T,"&lt;="&amp;N$9,операции!$X:$X,"",операции!$AB:$AB,"",операции!$L:$L,P$9,операции!$O:$O,$F1274)+SUMIFS(операции!$V:$V,операции!$T:$T,"&lt;="&amp;N$9,операции!$X:$X,"&gt;"&amp;N$9,операции!$AB:$AB,"",операции!$L:$L,P$9,операции!$O:$O,$F1274)+SUMIFS(операции!$V:$V,операции!$T:$T,"&lt;="&amp;N$9,операции!$X:$X,"",операции!$AB:$AB,"&gt;"&amp;N$9,операции!$L:$L,P$9,операции!$O:$O,$F1274)+SUMIFS(операции!$V:$V,операции!$T:$T,"&lt;="&amp;N$9,операции!$X:$X,"&gt;"&amp;N$9,операции!$AB:$AB,"&gt;"&amp;N$9,операции!$L:$L,P$9,операции!$O:$O,$F1274)</f>
        <v>39497.9</v>
      </c>
      <c r="Q1341" s="243">
        <f>SUMIFS(операции!$V:$V,операции!$T:$T,"&lt;="&amp;N$9,операции!$X:$X,"",операции!$AB:$AB,"",операции!$L:$L,Q$9,операции!$O:$O,$F1274)+SUMIFS(операции!$V:$V,операции!$T:$T,"&lt;="&amp;N$9,операции!$X:$X,"&gt;"&amp;N$9,операции!$AB:$AB,"",операции!$L:$L,Q$9,операции!$O:$O,$F1274)+SUMIFS(операции!$V:$V,операции!$T:$T,"&lt;="&amp;N$9,операции!$X:$X,"",операции!$AB:$AB,"&gt;"&amp;N$9,операции!$L:$L,Q$9,операции!$O:$O,$F1274)+SUMIFS(операции!$V:$V,операции!$T:$T,"&lt;="&amp;N$9,операции!$X:$X,"&gt;"&amp;N$9,операции!$AB:$AB,"&gt;"&amp;N$9,операции!$L:$L,Q$9,операции!$O:$O,$F1274)</f>
        <v>49688.6</v>
      </c>
      <c r="R1341" s="244"/>
      <c r="S1341" s="169">
        <f>SUMIFS(операции!$V:$V,операции!$T:$T,"&lt;="&amp;S$9,операции!$X:$X,"",операции!$AB:$AB,"",операции!$O:$O,$F1274)+SUMIFS(операции!$V:$V,операции!$T:$T,"&lt;="&amp;S$9,операции!$X:$X,"&gt;"&amp;S$9,операции!$AB:$AB,"",операции!$O:$O,$F1274)+SUMIFS(операции!$V:$V,операции!$T:$T,"&lt;="&amp;S$9,операции!$X:$X,"",операции!$AB:$AB,"&gt;"&amp;S$9,операции!$O:$O,$F1274)+SUMIFS(операции!$V:$V,операции!$T:$T,"&lt;="&amp;S$9,операции!$X:$X,"&gt;"&amp;S$9,операции!$AB:$AB,"&gt;"&amp;S$9,операции!$O:$O,$F1274)</f>
        <v>18296.5</v>
      </c>
      <c r="T1341" s="170">
        <f>S1341-U1341-V1341</f>
        <v>0</v>
      </c>
      <c r="U1341" s="169">
        <f>SUMIFS(операции!$V:$V,операции!$T:$T,"&lt;="&amp;S$9,операции!$X:$X,"",операции!$AB:$AB,"",операции!$L:$L,U$9,операции!$O:$O,$F1274)+SUMIFS(операции!$V:$V,операции!$T:$T,"&lt;="&amp;S$9,операции!$X:$X,"&gt;"&amp;S$9,операции!$AB:$AB,"",операции!$L:$L,U$9,операции!$O:$O,$F1274)+SUMIFS(операции!$V:$V,операции!$T:$T,"&lt;="&amp;S$9,операции!$X:$X,"",операции!$AB:$AB,"&gt;"&amp;S$9,операции!$L:$L,U$9,операции!$O:$O,$F1274)+SUMIFS(операции!$V:$V,операции!$T:$T,"&lt;="&amp;S$9,операции!$X:$X,"&gt;"&amp;S$9,операции!$AB:$AB,"&gt;"&amp;S$9,операции!$L:$L,U$9,операции!$O:$O,$F1274)</f>
        <v>2371.7600000000002</v>
      </c>
      <c r="V1341" s="243">
        <f>SUMIFS(операции!$V:$V,операции!$T:$T,"&lt;="&amp;S$9,операции!$X:$X,"",операции!$AB:$AB,"",операции!$L:$L,V$9,операции!$O:$O,$F1274)+SUMIFS(операции!$V:$V,операции!$T:$T,"&lt;="&amp;S$9,операции!$X:$X,"&gt;"&amp;S$9,операции!$AB:$AB,"",операции!$L:$L,V$9,операции!$O:$O,$F1274)+SUMIFS(операции!$V:$V,операции!$T:$T,"&lt;="&amp;S$9,операции!$X:$X,"",операции!$AB:$AB,"&gt;"&amp;S$9,операции!$L:$L,V$9,операции!$O:$O,$F1274)+SUMIFS(операции!$V:$V,операции!$T:$T,"&lt;="&amp;S$9,операции!$X:$X,"&gt;"&amp;S$9,операции!$AB:$AB,"&gt;"&amp;S$9,операции!$L:$L,V$9,операции!$O:$O,$F1274)</f>
        <v>15924.74</v>
      </c>
      <c r="W1341" s="244"/>
      <c r="X1341" s="169">
        <f>SUMIFS(операции!$V:$V,операции!$T:$T,"&lt;="&amp;X$9,операции!$X:$X,"",операции!$AB:$AB,"",операции!$O:$O,$F1274)+SUMIFS(операции!$V:$V,операции!$T:$T,"&lt;="&amp;X$9,операции!$X:$X,"&gt;"&amp;X$9,операции!$AB:$AB,"",операции!$O:$O,$F1274)+SUMIFS(операции!$V:$V,операции!$T:$T,"&lt;="&amp;X$9,операции!$X:$X,"",операции!$AB:$AB,"&gt;"&amp;X$9,операции!$O:$O,$F1274)+SUMIFS(операции!$V:$V,операции!$T:$T,"&lt;="&amp;X$9,операции!$X:$X,"&gt;"&amp;X$9,операции!$AB:$AB,"&gt;"&amp;X$9,операции!$O:$O,$F1274)</f>
        <v>30416.560000000001</v>
      </c>
      <c r="Y1341" s="170">
        <f>X1341-Z1341-AA1341</f>
        <v>0</v>
      </c>
      <c r="Z1341" s="169">
        <f>SUMIFS(операции!$V:$V,операции!$T:$T,"&lt;="&amp;X$9,операции!$X:$X,"",операции!$AB:$AB,"",операции!$L:$L,Z$9,операции!$O:$O,$F1274)+SUMIFS(операции!$V:$V,операции!$T:$T,"&lt;="&amp;X$9,операции!$X:$X,"&gt;"&amp;X$9,операции!$AB:$AB,"",операции!$L:$L,Z$9,операции!$O:$O,$F1274)+SUMIFS(операции!$V:$V,операции!$T:$T,"&lt;="&amp;X$9,операции!$X:$X,"",операции!$AB:$AB,"&gt;"&amp;X$9,операции!$L:$L,Z$9,операции!$O:$O,$F1274)+SUMIFS(операции!$V:$V,операции!$T:$T,"&lt;="&amp;X$9,операции!$X:$X,"&gt;"&amp;X$9,операции!$AB:$AB,"&gt;"&amp;X$9,операции!$L:$L,Z$9,операции!$O:$O,$F1274)</f>
        <v>2371.7600000000002</v>
      </c>
      <c r="AA1341" s="243">
        <f>SUMIFS(операции!$V:$V,операции!$T:$T,"&lt;="&amp;X$9,операции!$X:$X,"",операции!$AB:$AB,"",операции!$L:$L,AA$9,операции!$O:$O,$F1274)+SUMIFS(операции!$V:$V,операции!$T:$T,"&lt;="&amp;X$9,операции!$X:$X,"&gt;"&amp;X$9,операции!$AB:$AB,"",операции!$L:$L,AA$9,операции!$O:$O,$F1274)+SUMIFS(операции!$V:$V,операции!$T:$T,"&lt;="&amp;X$9,операции!$X:$X,"",операции!$AB:$AB,"&gt;"&amp;X$9,операции!$L:$L,AA$9,операции!$O:$O,$F1274)+SUMIFS(операции!$V:$V,операции!$T:$T,"&lt;="&amp;X$9,операции!$X:$X,"&gt;"&amp;X$9,операции!$AB:$AB,"&gt;"&amp;X$9,операции!$L:$L,AA$9,операции!$O:$O,$F1274)</f>
        <v>28044.799999999999</v>
      </c>
      <c r="AB1341" s="266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</row>
    <row r="1342" spans="1:42" s="192" customFormat="1" ht="11.25">
      <c r="A1342" s="37"/>
      <c r="B1342" s="37"/>
      <c r="C1342" s="37"/>
      <c r="D1342" s="191"/>
      <c r="E1342" s="191" t="s">
        <v>255</v>
      </c>
      <c r="F1342" s="191" t="str">
        <f t="shared" si="2254"/>
        <v>Лайтс</v>
      </c>
      <c r="G1342" s="191" t="s">
        <v>262</v>
      </c>
      <c r="H1342" s="315"/>
      <c r="I1342" s="316">
        <f>IF(I1341=0,0,(SUMIFS(операции!$AF:$AF,операции!$T:$T,"&lt;="&amp;I$9,операции!$X:$X,"",операции!$AB:$AB,"",операции!$O:$O,$F1274)+SUMIFS(операции!$AF:$AF,операции!$T:$T,"&lt;="&amp;I$9,операции!$X:$X,"&gt;"&amp;I$9,операции!$AB:$AB,"",операции!$O:$O,$F1274)+SUMIFS(операции!$AF:$AF,операции!$T:$T,"&lt;="&amp;I$9,операции!$X:$X,"",операции!$AB:$AB,"&gt;"&amp;I$9,операции!$O:$O,$F1274)+SUMIFS(операции!$AF:$AF,операции!$T:$T,"&lt;="&amp;I$9,операции!$X:$X,"&gt;"&amp;I$9,операции!$AB:$AB,"&gt;"&amp;I$9,операции!$O:$O,$F1274))/I1341)</f>
        <v>42352.397181009292</v>
      </c>
      <c r="J1342" s="317"/>
      <c r="K1342" s="316">
        <f>IF(K1341=0,0,(SUMIFS(операции!$AF:$AF,операции!$T:$T,"&lt;="&amp;I$9,операции!$X:$X,"",операции!$AB:$AB,"",операции!$L:$L,K$9,операции!$O:$O,$F1274)+SUMIFS(операции!$AF:$AF,операции!$T:$T,"&lt;="&amp;I$9,операции!$X:$X,"&gt;"&amp;I$9,операции!$AB:$AB,"",операции!$L:$L,K$9,операции!$O:$O,$F1274)+SUMIFS(операции!$AF:$AF,операции!$T:$T,"&lt;="&amp;I$9,операции!$X:$X,"",операции!$AB:$AB,"&gt;"&amp;I$9,операции!$L:$L,K$9,операции!$O:$O,$F1274)+SUMIFS(операции!$AF:$AF,операции!$T:$T,"&lt;="&amp;I$9,операции!$X:$X,"&gt;"&amp;I$9,операции!$AB:$AB,"&gt;"&amp;I$9,операции!$L:$L,K$9,операции!$O:$O,$F1274))/K1341)</f>
        <v>42193.258508449413</v>
      </c>
      <c r="L1342" s="318">
        <f>IF(L1341=0,0,(SUMIFS(операции!$AF:$AF,операции!$T:$T,"&lt;="&amp;I$9,операции!$X:$X,"",операции!$AB:$AB,"",операции!$L:$L,L$9,операции!$O:$O,$F1274)+SUMIFS(операции!$AF:$AF,операции!$T:$T,"&lt;="&amp;I$9,операции!$X:$X,"&gt;"&amp;I$9,операции!$AB:$AB,"",операции!$L:$L,L$9,операции!$O:$O,$F1274)+SUMIFS(операции!$AF:$AF,операции!$T:$T,"&lt;="&amp;I$9,операции!$X:$X,"",операции!$AB:$AB,"&gt;"&amp;I$9,операции!$L:$L,L$9,операции!$O:$O,$F1274)+SUMIFS(операции!$AF:$AF,операции!$T:$T,"&lt;="&amp;I$9,операции!$X:$X,"&gt;"&amp;I$9,операции!$AB:$AB,"&gt;"&amp;I$9,операции!$L:$L,L$9,операции!$O:$O,$F1274))/L1341)</f>
        <v>42365.855602464631</v>
      </c>
      <c r="M1342" s="274"/>
      <c r="N1342" s="193">
        <f>IF(N1341=0,0,(SUMIFS(операции!$AF:$AF,операции!$T:$T,"&lt;="&amp;N$9,операции!$X:$X,"",операции!$AB:$AB,"",операции!$O:$O,$F1274)+SUMIFS(операции!$AF:$AF,операции!$T:$T,"&lt;="&amp;N$9,операции!$X:$X,"&gt;"&amp;N$9,операции!$AB:$AB,"",операции!$O:$O,$F1274)+SUMIFS(операции!$AF:$AF,операции!$T:$T,"&lt;="&amp;N$9,операции!$X:$X,"",операции!$AB:$AB,"&gt;"&amp;N$9,операции!$O:$O,$F1274)+SUMIFS(операции!$AF:$AF,операции!$T:$T,"&lt;="&amp;N$9,операции!$X:$X,"&gt;"&amp;N$9,операции!$AB:$AB,"&gt;"&amp;N$9,операции!$O:$O,$F1274))/N1341)</f>
        <v>42293.900753140893</v>
      </c>
      <c r="O1342" s="196"/>
      <c r="P1342" s="193">
        <f>IF(P1341=0,0,(SUMIFS(операции!$AF:$AF,операции!$T:$T,"&lt;="&amp;N$9,операции!$X:$X,"",операции!$AB:$AB,"",операции!$L:$L,P$9,операции!$O:$O,$F1274)+SUMIFS(операции!$AF:$AF,операции!$T:$T,"&lt;="&amp;N$9,операции!$X:$X,"&gt;"&amp;N$9,операции!$AB:$AB,"",операции!$L:$L,P$9,операции!$O:$O,$F1274)+SUMIFS(операции!$AF:$AF,операции!$T:$T,"&lt;="&amp;N$9,операции!$X:$X,"",операции!$AB:$AB,"&gt;"&amp;N$9,операции!$L:$L,P$9,операции!$O:$O,$F1274)+SUMIFS(операции!$AF:$AF,операции!$T:$T,"&lt;="&amp;N$9,операции!$X:$X,"&gt;"&amp;N$9,операции!$AB:$AB,"&gt;"&amp;N$9,операции!$L:$L,P$9,операции!$O:$O,$F1274))/P1341)</f>
        <v>42279.476096703867</v>
      </c>
      <c r="Q1342" s="237">
        <f>IF(Q1341=0,0,(SUMIFS(операции!$AF:$AF,операции!$T:$T,"&lt;="&amp;N$9,операции!$X:$X,"",операции!$AB:$AB,"",операции!$L:$L,Q$9,операции!$O:$O,$F1274)+SUMIFS(операции!$AF:$AF,операции!$T:$T,"&lt;="&amp;N$9,операции!$X:$X,"&gt;"&amp;N$9,операции!$AB:$AB,"",операции!$L:$L,Q$9,операции!$O:$O,$F1274)+SUMIFS(операции!$AF:$AF,операции!$T:$T,"&lt;="&amp;N$9,операции!$X:$X,"",операции!$AB:$AB,"&gt;"&amp;N$9,операции!$L:$L,Q$9,операции!$O:$O,$F1274)+SUMIFS(операции!$AF:$AF,операции!$T:$T,"&lt;="&amp;N$9,операции!$X:$X,"&gt;"&amp;N$9,операции!$AB:$AB,"&gt;"&amp;N$9,операции!$L:$L,Q$9,операции!$O:$O,$F1274))/Q1341)</f>
        <v>42305.367037912118</v>
      </c>
      <c r="R1342" s="238"/>
      <c r="S1342" s="193">
        <f>IF(S1341=0,0,(SUMIFS(операции!$AF:$AF,операции!$T:$T,"&lt;="&amp;S$9,операции!$X:$X,"",операции!$AB:$AB,"",операции!$O:$O,$F1274)+SUMIFS(операции!$AF:$AF,операции!$T:$T,"&lt;="&amp;S$9,операции!$X:$X,"&gt;"&amp;S$9,операции!$AB:$AB,"",операции!$O:$O,$F1274)+SUMIFS(операции!$AF:$AF,операции!$T:$T,"&lt;="&amp;S$9,операции!$X:$X,"",операции!$AB:$AB,"&gt;"&amp;S$9,операции!$O:$O,$F1274)+SUMIFS(операции!$AF:$AF,операции!$T:$T,"&lt;="&amp;S$9,операции!$X:$X,"&gt;"&amp;S$9,операции!$AB:$AB,"&gt;"&amp;S$9,операции!$O:$O,$F1274))/S1341)</f>
        <v>42314.251039269802</v>
      </c>
      <c r="T1342" s="196"/>
      <c r="U1342" s="193">
        <f>IF(U1341=0,0,(SUMIFS(операции!$AF:$AF,операции!$T:$T,"&lt;="&amp;S$9,операции!$X:$X,"",операции!$AB:$AB,"",операции!$L:$L,U$9,операции!$O:$O,$F1274)+SUMIFS(операции!$AF:$AF,операции!$T:$T,"&lt;="&amp;S$9,операции!$X:$X,"&gt;"&amp;S$9,операции!$AB:$AB,"",операции!$L:$L,U$9,операции!$O:$O,$F1274)+SUMIFS(операции!$AF:$AF,операции!$T:$T,"&lt;="&amp;S$9,операции!$X:$X,"",операции!$AB:$AB,"&gt;"&amp;S$9,операции!$L:$L,U$9,операции!$O:$O,$F1274)+SUMIFS(операции!$AF:$AF,операции!$T:$T,"&lt;="&amp;S$9,операции!$X:$X,"&gt;"&amp;S$9,операции!$AB:$AB,"&gt;"&amp;S$9,операции!$L:$L,U$9,операции!$O:$O,$F1274))/U1341)</f>
        <v>42193.258508449413</v>
      </c>
      <c r="V1342" s="237">
        <f>IF(V1341=0,0,(SUMIFS(операции!$AF:$AF,операции!$T:$T,"&lt;="&amp;S$9,операции!$X:$X,"",операции!$AB:$AB,"",операции!$L:$L,V$9,операции!$O:$O,$F1274)+SUMIFS(операции!$AF:$AF,операции!$T:$T,"&lt;="&amp;S$9,операции!$X:$X,"&gt;"&amp;S$9,операции!$AB:$AB,"",операции!$L:$L,V$9,операции!$O:$O,$F1274)+SUMIFS(операции!$AF:$AF,операции!$T:$T,"&lt;="&amp;S$9,операции!$X:$X,"",операции!$AB:$AB,"&gt;"&amp;S$9,операции!$L:$L,V$9,операции!$O:$O,$F1274)+SUMIFS(операции!$AF:$AF,операции!$T:$T,"&lt;="&amp;S$9,операции!$X:$X,"&gt;"&amp;S$9,операции!$AB:$AB,"&gt;"&amp;S$9,операции!$L:$L,V$9,операции!$O:$O,$F1274))/V1341)</f>
        <v>42332.271129073379</v>
      </c>
      <c r="W1342" s="238"/>
      <c r="X1342" s="193">
        <f>IF(X1341=0,0,(SUMIFS(операции!$AF:$AF,операции!$T:$T,"&lt;="&amp;X$9,операции!$X:$X,"",операции!$AB:$AB,"",операции!$O:$O,$F1274)+SUMIFS(операции!$AF:$AF,операции!$T:$T,"&lt;="&amp;X$9,операции!$X:$X,"&gt;"&amp;X$9,операции!$AB:$AB,"",операции!$O:$O,$F1274)+SUMIFS(операции!$AF:$AF,операции!$T:$T,"&lt;="&amp;X$9,операции!$X:$X,"",операции!$AB:$AB,"&gt;"&amp;X$9,операции!$O:$O,$F1274)+SUMIFS(операции!$AF:$AF,операции!$T:$T,"&lt;="&amp;X$9,операции!$X:$X,"&gt;"&amp;X$9,операции!$AB:$AB,"&gt;"&amp;X$9,операции!$O:$O,$F1274))/X1341)</f>
        <v>42352.397181009292</v>
      </c>
      <c r="Y1342" s="196"/>
      <c r="Z1342" s="193">
        <f>IF(Z1341=0,0,(SUMIFS(операции!$AF:$AF,операции!$T:$T,"&lt;="&amp;X$9,операции!$X:$X,"",операции!$AB:$AB,"",операции!$L:$L,Z$9,операции!$O:$O,$F1274)+SUMIFS(операции!$AF:$AF,операции!$T:$T,"&lt;="&amp;X$9,операции!$X:$X,"&gt;"&amp;X$9,операции!$AB:$AB,"",операции!$L:$L,Z$9,операции!$O:$O,$F1274)+SUMIFS(операции!$AF:$AF,операции!$T:$T,"&lt;="&amp;X$9,операции!$X:$X,"",операции!$AB:$AB,"&gt;"&amp;X$9,операции!$L:$L,Z$9,операции!$O:$O,$F1274)+SUMIFS(операции!$AF:$AF,операции!$T:$T,"&lt;="&amp;X$9,операции!$X:$X,"&gt;"&amp;X$9,операции!$AB:$AB,"&gt;"&amp;X$9,операции!$L:$L,Z$9,операции!$O:$O,$F1274))/Z1341)</f>
        <v>42193.258508449413</v>
      </c>
      <c r="AA1342" s="237">
        <f>IF(AA1341=0,0,(SUMIFS(операции!$AF:$AF,операции!$T:$T,"&lt;="&amp;X$9,операции!$X:$X,"",операции!$AB:$AB,"",операции!$L:$L,AA$9,операции!$O:$O,$F1274)+SUMIFS(операции!$AF:$AF,операции!$T:$T,"&lt;="&amp;X$9,операции!$X:$X,"&gt;"&amp;X$9,операции!$AB:$AB,"",операции!$L:$L,AA$9,операции!$O:$O,$F1274)+SUMIFS(операции!$AF:$AF,операции!$T:$T,"&lt;="&amp;X$9,операции!$X:$X,"",операции!$AB:$AB,"&gt;"&amp;X$9,операции!$L:$L,AA$9,операции!$O:$O,$F1274)+SUMIFS(операции!$AF:$AF,операции!$T:$T,"&lt;="&amp;X$9,операции!$X:$X,"&gt;"&amp;X$9,операции!$AB:$AB,"&gt;"&amp;X$9,операции!$L:$L,AA$9,операции!$O:$O,$F1274))/AA1341)</f>
        <v>42365.855602464631</v>
      </c>
      <c r="AB1342" s="265"/>
      <c r="AC1342" s="37"/>
      <c r="AD1342" s="37"/>
      <c r="AE1342" s="37"/>
      <c r="AF1342" s="37"/>
      <c r="AG1342" s="37"/>
      <c r="AH1342" s="37"/>
      <c r="AI1342" s="37"/>
      <c r="AJ1342" s="37"/>
      <c r="AK1342" s="37"/>
      <c r="AL1342" s="37"/>
      <c r="AM1342" s="37"/>
      <c r="AN1342" s="37"/>
      <c r="AO1342" s="37"/>
      <c r="AP1342" s="37"/>
    </row>
    <row r="1343" spans="1:42" s="192" customFormat="1" ht="11.25">
      <c r="A1343" s="37"/>
      <c r="B1343" s="37"/>
      <c r="C1343" s="37"/>
      <c r="D1343" s="191"/>
      <c r="E1343" s="191" t="s">
        <v>287</v>
      </c>
      <c r="F1343" s="191" t="str">
        <f t="shared" ref="F1343:F1346" si="2387">F1342</f>
        <v>Лайтс</v>
      </c>
      <c r="G1343" s="191" t="s">
        <v>219</v>
      </c>
      <c r="H1343" s="315"/>
      <c r="I1343" s="329">
        <f>IF(I1341=0,0,I$9-I1342)</f>
        <v>16.602818990708329</v>
      </c>
      <c r="J1343" s="317"/>
      <c r="K1343" s="329">
        <f>IF(K1341=0,0,I$9-K1342)</f>
        <v>175.74149155058694</v>
      </c>
      <c r="L1343" s="330">
        <f>IF(L1341=0,0,I$9-L1342)</f>
        <v>3.1443975353686255</v>
      </c>
      <c r="M1343" s="274"/>
      <c r="N1343" s="156">
        <f>IF(N1341=0,0,N$9-N1342)</f>
        <v>14.099246859106643</v>
      </c>
      <c r="O1343" s="196"/>
      <c r="P1343" s="156">
        <f>IF(P1341=0,0,N$9-P1342)</f>
        <v>28.52390329613263</v>
      </c>
      <c r="Q1343" s="245">
        <f>IF(Q1341=0,0,N$9-Q1342)</f>
        <v>2.6329620878823334</v>
      </c>
      <c r="R1343" s="238"/>
      <c r="S1343" s="156">
        <f>IF(S1341=0,0,S$9-S1342)</f>
        <v>23.748960730197723</v>
      </c>
      <c r="T1343" s="196"/>
      <c r="U1343" s="156">
        <f>IF(U1341=0,0,S$9-U1342)</f>
        <v>144.74149155058694</v>
      </c>
      <c r="V1343" s="245">
        <f>IF(V1341=0,0,S$9-V1342)</f>
        <v>5.7288709266213118</v>
      </c>
      <c r="W1343" s="238"/>
      <c r="X1343" s="156">
        <f>IF(X1341=0,0,X$9-X1342)</f>
        <v>16.602818990708329</v>
      </c>
      <c r="Y1343" s="196"/>
      <c r="Z1343" s="156">
        <f>IF(Z1341=0,0,X$9-Z1342)</f>
        <v>175.74149155058694</v>
      </c>
      <c r="AA1343" s="245">
        <f>IF(AA1341=0,0,X$9-AA1342)</f>
        <v>3.1443975353686255</v>
      </c>
      <c r="AB1343" s="265"/>
      <c r="AC1343" s="37"/>
      <c r="AD1343" s="37"/>
      <c r="AE1343" s="37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</row>
    <row r="1344" spans="1:42" s="192" customFormat="1" ht="11.25">
      <c r="A1344" s="37"/>
      <c r="B1344" s="37"/>
      <c r="C1344" s="37"/>
      <c r="D1344" s="191"/>
      <c r="E1344" s="191" t="s">
        <v>311</v>
      </c>
      <c r="F1344" s="191" t="str">
        <f t="shared" si="2387"/>
        <v>Лайтс</v>
      </c>
      <c r="G1344" s="191" t="s">
        <v>262</v>
      </c>
      <c r="H1344" s="315"/>
      <c r="I1344" s="316">
        <f>I$9</f>
        <v>42369</v>
      </c>
      <c r="J1344" s="317"/>
      <c r="K1344" s="316">
        <f>I$9</f>
        <v>42369</v>
      </c>
      <c r="L1344" s="318">
        <f>I$9</f>
        <v>42369</v>
      </c>
      <c r="M1344" s="274"/>
      <c r="N1344" s="193">
        <f>N$9</f>
        <v>42308</v>
      </c>
      <c r="O1344" s="196"/>
      <c r="P1344" s="193">
        <f>N$9</f>
        <v>42308</v>
      </c>
      <c r="Q1344" s="237">
        <f>N$9</f>
        <v>42308</v>
      </c>
      <c r="R1344" s="238"/>
      <c r="S1344" s="193">
        <f>S$9</f>
        <v>42338</v>
      </c>
      <c r="T1344" s="196"/>
      <c r="U1344" s="193">
        <f>S$9</f>
        <v>42338</v>
      </c>
      <c r="V1344" s="237">
        <f>S$9</f>
        <v>42338</v>
      </c>
      <c r="W1344" s="238"/>
      <c r="X1344" s="193">
        <f>X$9</f>
        <v>42369</v>
      </c>
      <c r="Y1344" s="196"/>
      <c r="Z1344" s="193">
        <f>X$9</f>
        <v>42369</v>
      </c>
      <c r="AA1344" s="237">
        <f>X$9</f>
        <v>42369</v>
      </c>
      <c r="AB1344" s="265"/>
      <c r="AC1344" s="37"/>
      <c r="AD1344" s="37"/>
      <c r="AE1344" s="37"/>
      <c r="AF1344" s="37"/>
      <c r="AG1344" s="37"/>
      <c r="AH1344" s="37"/>
      <c r="AI1344" s="37"/>
      <c r="AJ1344" s="37"/>
      <c r="AK1344" s="37"/>
      <c r="AL1344" s="37"/>
      <c r="AM1344" s="37"/>
      <c r="AN1344" s="37"/>
      <c r="AO1344" s="37"/>
      <c r="AP1344" s="37"/>
    </row>
    <row r="1345" spans="1:42" s="192" customFormat="1" ht="11.25">
      <c r="A1345" s="37"/>
      <c r="B1345" s="37"/>
      <c r="C1345" s="37"/>
      <c r="D1345" s="191"/>
      <c r="E1345" s="191" t="s">
        <v>288</v>
      </c>
      <c r="F1345" s="191" t="str">
        <f t="shared" si="2387"/>
        <v>Лайтс</v>
      </c>
      <c r="G1345" s="191" t="s">
        <v>219</v>
      </c>
      <c r="H1345" s="315"/>
      <c r="I1345" s="329">
        <f>IF(I1341=0,0,I1344-I1342)</f>
        <v>16.602818990708329</v>
      </c>
      <c r="J1345" s="317"/>
      <c r="K1345" s="329">
        <f>IF(K1341=0,0,K1344-K1342)</f>
        <v>175.74149155058694</v>
      </c>
      <c r="L1345" s="330">
        <f>IF(L1341=0,0,L1344-L1342)</f>
        <v>3.1443975353686255</v>
      </c>
      <c r="M1345" s="274"/>
      <c r="N1345" s="156">
        <f>IF(N1341=0,0,N1344-N1342)</f>
        <v>14.099246859106643</v>
      </c>
      <c r="O1345" s="196"/>
      <c r="P1345" s="156">
        <f>IF(P1341=0,0,P1344-P1342)</f>
        <v>28.52390329613263</v>
      </c>
      <c r="Q1345" s="245">
        <f>IF(Q1341=0,0,Q1344-Q1342)</f>
        <v>2.6329620878823334</v>
      </c>
      <c r="R1345" s="238"/>
      <c r="S1345" s="156">
        <f>IF(S1341=0,0,S1344-S1342)</f>
        <v>23.748960730197723</v>
      </c>
      <c r="T1345" s="196"/>
      <c r="U1345" s="156">
        <f>IF(U1341=0,0,U1344-U1342)</f>
        <v>144.74149155058694</v>
      </c>
      <c r="V1345" s="245">
        <f>IF(V1341=0,0,V1344-V1342)</f>
        <v>5.7288709266213118</v>
      </c>
      <c r="W1345" s="238"/>
      <c r="X1345" s="156">
        <f>IF(X1341=0,0,X1344-X1342)</f>
        <v>16.602818990708329</v>
      </c>
      <c r="Y1345" s="196"/>
      <c r="Z1345" s="156">
        <f>IF(Z1341=0,0,Z1344-Z1342)</f>
        <v>175.74149155058694</v>
      </c>
      <c r="AA1345" s="245">
        <f>IF(AA1341=0,0,AA1344-AA1342)</f>
        <v>3.1443975353686255</v>
      </c>
      <c r="AB1345" s="265"/>
      <c r="AC1345" s="37"/>
      <c r="AD1345" s="37"/>
      <c r="AE1345" s="37"/>
      <c r="AF1345" s="37"/>
      <c r="AG1345" s="37"/>
      <c r="AH1345" s="37"/>
      <c r="AI1345" s="37"/>
      <c r="AJ1345" s="37"/>
      <c r="AK1345" s="37"/>
      <c r="AL1345" s="37"/>
      <c r="AM1345" s="37"/>
      <c r="AN1345" s="37"/>
      <c r="AO1345" s="37"/>
      <c r="AP1345" s="37"/>
    </row>
    <row r="1346" spans="1:42" s="192" customFormat="1" ht="12" thickBot="1">
      <c r="A1346" s="37"/>
      <c r="B1346" s="37"/>
      <c r="C1346" s="37"/>
      <c r="D1346" s="297"/>
      <c r="E1346" s="297" t="s">
        <v>289</v>
      </c>
      <c r="F1346" s="297" t="str">
        <f t="shared" si="2387"/>
        <v>Лайтс</v>
      </c>
      <c r="G1346" s="297" t="s">
        <v>219</v>
      </c>
      <c r="H1346" s="377"/>
      <c r="I1346" s="378">
        <f>I1343-I1345</f>
        <v>0</v>
      </c>
      <c r="J1346" s="379"/>
      <c r="K1346" s="378">
        <f>K1343-K1345</f>
        <v>0</v>
      </c>
      <c r="L1346" s="380">
        <f>L1343-L1345</f>
        <v>0</v>
      </c>
      <c r="M1346" s="300"/>
      <c r="N1346" s="298">
        <f>N1343-N1345</f>
        <v>0</v>
      </c>
      <c r="O1346" s="299"/>
      <c r="P1346" s="298">
        <f>P1343-P1345</f>
        <v>0</v>
      </c>
      <c r="Q1346" s="301">
        <f>Q1343-Q1345</f>
        <v>0</v>
      </c>
      <c r="R1346" s="302"/>
      <c r="S1346" s="298">
        <f>S1343-S1345</f>
        <v>0</v>
      </c>
      <c r="T1346" s="299"/>
      <c r="U1346" s="298">
        <f>U1343-U1345</f>
        <v>0</v>
      </c>
      <c r="V1346" s="301">
        <f>V1343-V1345</f>
        <v>0</v>
      </c>
      <c r="W1346" s="302"/>
      <c r="X1346" s="298">
        <f>X1343-X1345</f>
        <v>0</v>
      </c>
      <c r="Y1346" s="299"/>
      <c r="Z1346" s="298">
        <f>Z1343-Z1345</f>
        <v>0</v>
      </c>
      <c r="AA1346" s="301">
        <f>AA1343-AA1345</f>
        <v>0</v>
      </c>
      <c r="AB1346" s="265"/>
      <c r="AC1346" s="37"/>
      <c r="AD1346" s="37"/>
      <c r="AE1346" s="37"/>
      <c r="AF1346" s="37"/>
      <c r="AG1346" s="37"/>
      <c r="AH1346" s="37"/>
      <c r="AI1346" s="37"/>
      <c r="AJ1346" s="37"/>
      <c r="AK1346" s="37"/>
      <c r="AL1346" s="37"/>
      <c r="AM1346" s="37"/>
      <c r="AN1346" s="37"/>
      <c r="AO1346" s="37"/>
      <c r="AP1346" s="37"/>
    </row>
    <row r="1347" spans="1:42" s="111" customFormat="1" ht="11.25">
      <c r="A1347" s="108"/>
      <c r="B1347" s="108"/>
      <c r="C1347" s="108" t="s">
        <v>271</v>
      </c>
      <c r="D1347" s="291"/>
      <c r="E1347" s="291"/>
      <c r="F1347" s="291" t="str">
        <f>F1348</f>
        <v>Лекс</v>
      </c>
      <c r="G1347" s="291"/>
      <c r="H1347" s="373"/>
      <c r="I1347" s="374">
        <f>I1348-K1348-L1348</f>
        <v>0</v>
      </c>
      <c r="J1347" s="375">
        <f>N1347+N1365+N1403+SUM(O:O)+S1347+S1365+S1403+SUM(T:T)+X1347+X1365+X1403+SUM(Y:Y)</f>
        <v>3.7104683769939584E-9</v>
      </c>
      <c r="K1347" s="373"/>
      <c r="L1347" s="376"/>
      <c r="M1347" s="293"/>
      <c r="N1347" s="292">
        <f>N1348-P1348-Q1348</f>
        <v>0</v>
      </c>
      <c r="O1347" s="294"/>
      <c r="P1347" s="291"/>
      <c r="Q1347" s="295"/>
      <c r="R1347" s="296"/>
      <c r="S1347" s="292">
        <f>S1348-U1348-V1348</f>
        <v>0</v>
      </c>
      <c r="T1347" s="294"/>
      <c r="U1347" s="291"/>
      <c r="V1347" s="295"/>
      <c r="W1347" s="296"/>
      <c r="X1347" s="292">
        <f>X1348-Z1348-AA1348</f>
        <v>0</v>
      </c>
      <c r="Y1347" s="294"/>
      <c r="Z1347" s="291"/>
      <c r="AA1347" s="295"/>
      <c r="AB1347" s="263"/>
      <c r="AC1347" s="108"/>
      <c r="AD1347" s="108"/>
      <c r="AE1347" s="108"/>
      <c r="AF1347" s="108"/>
      <c r="AG1347" s="108"/>
      <c r="AH1347" s="108"/>
      <c r="AI1347" s="108"/>
      <c r="AJ1347" s="108"/>
      <c r="AK1347" s="108"/>
      <c r="AL1347" s="108"/>
      <c r="AM1347" s="108"/>
      <c r="AN1347" s="108"/>
      <c r="AO1347" s="108"/>
      <c r="AP1347" s="108"/>
    </row>
    <row r="1348" spans="1:42" s="93" customFormat="1" ht="15">
      <c r="A1348" s="92"/>
      <c r="B1348" s="92"/>
      <c r="C1348" s="92"/>
      <c r="D1348" s="151" t="s">
        <v>256</v>
      </c>
      <c r="E1348" s="151"/>
      <c r="F1348" s="286" t="str">
        <f>микс!$H$35</f>
        <v>Лекс</v>
      </c>
      <c r="G1348" s="151" t="s">
        <v>261</v>
      </c>
      <c r="H1348" s="311"/>
      <c r="I1348" s="312">
        <f>SUMIFS(операции!$V:$V,операции!$T:$T,"&lt;"&amp;I$8,операции!$X:$X,"",операции!$O:$O,$F1348)+SUMIFS(операции!$V:$V,операции!$T:$T,"&lt;"&amp;I$8,операции!$X:$X,"&gt;="&amp;I$8,операции!$O:$O,$F1348)</f>
        <v>48140.69</v>
      </c>
      <c r="J1348" s="313">
        <f>I1348-I1353-I1359</f>
        <v>0</v>
      </c>
      <c r="K1348" s="312">
        <f>SUMIFS(операции!$V:$V,операции!$T:$T,"&lt;"&amp;I$8,операции!$X:$X,"",операции!$L:$L,K$9,операции!$O:$O,$F1348)+SUMIFS(операции!$V:$V,операции!$T:$T,"&lt;"&amp;I$8,операции!$X:$X,"&gt;="&amp;I$8,операции!$L:$L,K$9,операции!$O:$O,$F1348)</f>
        <v>48140.69</v>
      </c>
      <c r="L1348" s="314">
        <f>SUMIFS(операции!$V:$V,операции!$T:$T,"&lt;"&amp;I$8,операции!$X:$X,"",операции!$L:$L,L$9,операции!$O:$O,$F1348)+SUMIFS(операции!$V:$V,операции!$T:$T,"&lt;"&amp;I$8,операции!$X:$X,"&gt;="&amp;I$8,операции!$L:$L,L$9,операции!$O:$O,$F1348)</f>
        <v>0</v>
      </c>
      <c r="M1348" s="273"/>
      <c r="N1348" s="152">
        <f>SUMIFS(операции!$V:$V,операции!$T:$T,"&lt;"&amp;N$8,операции!$X:$X,"",операции!$O:$O,$F1348)+SUMIFS(операции!$V:$V,операции!$T:$T,"&lt;"&amp;N$8,операции!$X:$X,"&gt;="&amp;N$8,операции!$O:$O,$F1348)</f>
        <v>48140.69</v>
      </c>
      <c r="O1348" s="170">
        <f>N1348-N1353-N1359</f>
        <v>0</v>
      </c>
      <c r="P1348" s="152">
        <f>SUMIFS(операции!$V:$V,операции!$T:$T,"&lt;"&amp;N$8,операции!$X:$X,"",операции!$L:$L,P$9,операции!$O:$O,$F1348)+SUMIFS(операции!$V:$V,операции!$T:$T,"&lt;"&amp;N$8,операции!$X:$X,"&gt;="&amp;N$8,операции!$L:$L,P$9,операции!$O:$O,$F1348)</f>
        <v>48140.69</v>
      </c>
      <c r="Q1348" s="235">
        <f>SUMIFS(операции!$V:$V,операции!$T:$T,"&lt;"&amp;N$8,операции!$X:$X,"",операции!$L:$L,Q$9,операции!$O:$O,$F1348)+SUMIFS(операции!$V:$V,операции!$T:$T,"&lt;"&amp;N$8,операции!$X:$X,"&gt;="&amp;N$8,операции!$L:$L,Q$9,операции!$O:$O,$F1348)</f>
        <v>0</v>
      </c>
      <c r="R1348" s="236"/>
      <c r="S1348" s="152">
        <f>SUMIFS(операции!$V:$V,операции!$T:$T,"&lt;"&amp;S$8,операции!$X:$X,"",операции!$O:$O,$F1348)+SUMIFS(операции!$V:$V,операции!$T:$T,"&lt;"&amp;S$8,операции!$X:$X,"&gt;="&amp;S$8,операции!$O:$O,$F1348)</f>
        <v>39305.629999999997</v>
      </c>
      <c r="T1348" s="170">
        <f>S1348-S1353-S1359</f>
        <v>0</v>
      </c>
      <c r="U1348" s="152">
        <f>SUMIFS(операции!$V:$V,операции!$T:$T,"&lt;"&amp;S$8,операции!$X:$X,"",операции!$L:$L,U$9,операции!$O:$O,$F1348)+SUMIFS(операции!$V:$V,операции!$T:$T,"&lt;"&amp;S$8,операции!$X:$X,"&gt;="&amp;S$8,операции!$L:$L,U$9,операции!$O:$O,$F1348)</f>
        <v>33494.629999999997</v>
      </c>
      <c r="V1348" s="235">
        <f>SUMIFS(операции!$V:$V,операции!$T:$T,"&lt;"&amp;S$8,операции!$X:$X,"",операции!$L:$L,V$9,операции!$O:$O,$F1348)+SUMIFS(операции!$V:$V,операции!$T:$T,"&lt;"&amp;S$8,операции!$X:$X,"&gt;="&amp;S$8,операции!$L:$L,V$9,операции!$O:$O,$F1348)</f>
        <v>5811</v>
      </c>
      <c r="W1348" s="236"/>
      <c r="X1348" s="152">
        <f>SUMIFS(операции!$V:$V,операции!$T:$T,"&lt;"&amp;X$8,операции!$X:$X,"",операции!$O:$O,$F1348)+SUMIFS(операции!$V:$V,операции!$T:$T,"&lt;"&amp;X$8,операции!$X:$X,"&gt;="&amp;X$8,операции!$O:$O,$F1348)</f>
        <v>22915.81</v>
      </c>
      <c r="Y1348" s="170">
        <f>X1348-X1353-X1359</f>
        <v>0</v>
      </c>
      <c r="Z1348" s="152">
        <f>SUMIFS(операции!$V:$V,операции!$T:$T,"&lt;"&amp;X$8,операции!$X:$X,"",операции!$L:$L,Z$9,операции!$O:$O,$F1348)+SUMIFS(операции!$V:$V,операции!$T:$T,"&lt;"&amp;X$8,операции!$X:$X,"&gt;="&amp;X$8,операции!$L:$L,Z$9,операции!$O:$O,$F1348)</f>
        <v>20187.810000000001</v>
      </c>
      <c r="AA1348" s="235">
        <f>SUMIFS(операции!$V:$V,операции!$T:$T,"&lt;"&amp;X$8,операции!$X:$X,"",операции!$L:$L,AA$9,операции!$O:$O,$F1348)+SUMIFS(операции!$V:$V,операции!$T:$T,"&lt;"&amp;X$8,операции!$X:$X,"&gt;="&amp;X$8,операции!$L:$L,AA$9,операции!$O:$O,$F1348)</f>
        <v>2728</v>
      </c>
      <c r="AB1348" s="264"/>
      <c r="AC1348" s="92"/>
      <c r="AD1348" s="92"/>
      <c r="AE1348" s="92"/>
      <c r="AF1348" s="92"/>
      <c r="AG1348" s="92"/>
      <c r="AH1348" s="92"/>
      <c r="AI1348" s="92"/>
      <c r="AJ1348" s="92"/>
      <c r="AK1348" s="92"/>
      <c r="AL1348" s="92"/>
      <c r="AM1348" s="92"/>
      <c r="AN1348" s="92"/>
      <c r="AO1348" s="92"/>
      <c r="AP1348" s="92"/>
    </row>
    <row r="1349" spans="1:42" s="192" customFormat="1" ht="11.25">
      <c r="A1349" s="37"/>
      <c r="B1349" s="37"/>
      <c r="C1349" s="37"/>
      <c r="D1349" s="191" t="s">
        <v>255</v>
      </c>
      <c r="E1349" s="191"/>
      <c r="F1349" s="191" t="str">
        <f>F1348</f>
        <v>Лекс</v>
      </c>
      <c r="G1349" s="191" t="s">
        <v>262</v>
      </c>
      <c r="H1349" s="315"/>
      <c r="I1349" s="316">
        <f>IF(I1348=0,0,(SUMIFS(операции!$AF:$AF,операции!$T:$T,"&lt;"&amp;I$8,операции!$X:$X,"",операции!$O:$O,$F1348)+SUMIFS(операции!$AF:$AF,операции!$T:$T,"&lt;"&amp;I$8,операции!$X:$X,"&gt;="&amp;I$8,операции!$O:$O,$F1348))/I1348)</f>
        <v>42217.661700528188</v>
      </c>
      <c r="J1349" s="317"/>
      <c r="K1349" s="316">
        <f>IF(K1348=0,0,(SUMIFS(операции!$AF:$AF,операции!$T:$T,"&lt;"&amp;I$8,операции!$X:$X,"",операции!$L:$L,K$9,операции!$O:$O,$F1348)+SUMIFS(операции!$AF:$AF,операции!$T:$T,"&lt;"&amp;I$8,операции!$X:$X,"&gt;="&amp;I$8,операции!$L:$L,K$9,операции!$O:$O,$F1348))/K1348)</f>
        <v>42217.661700528188</v>
      </c>
      <c r="L1349" s="318">
        <f>IF(L1348=0,0,(SUMIFS(операции!$AF:$AF,операции!$T:$T,"&lt;"&amp;I$8,операции!$X:$X,"",операции!$L:$L,L$9,операции!$O:$O,$F1348)+SUMIFS(операции!$AF:$AF,операции!$T:$T,"&lt;"&amp;I$8,операции!$X:$X,"&gt;="&amp;I$8,операции!$L:$L,L$9,операции!$O:$O,$F1348))/L1348)</f>
        <v>0</v>
      </c>
      <c r="M1349" s="274"/>
      <c r="N1349" s="193">
        <f>IF(N1348=0,0,(SUMIFS(операции!$AF:$AF,операции!$T:$T,"&lt;"&amp;N$8,операции!$X:$X,"",операции!$O:$O,$F1348)+SUMIFS(операции!$AF:$AF,операции!$T:$T,"&lt;"&amp;N$8,операции!$X:$X,"&gt;="&amp;N$8,операции!$O:$O,$F1348))/N1348)</f>
        <v>42217.661700528188</v>
      </c>
      <c r="O1349" s="196"/>
      <c r="P1349" s="193">
        <f>IF(P1348=0,0,(SUMIFS(операции!$AF:$AF,операции!$T:$T,"&lt;"&amp;N$8,операции!$X:$X,"",операции!$L:$L,P$9,операции!$O:$O,$F1348)+SUMIFS(операции!$AF:$AF,операции!$T:$T,"&lt;"&amp;N$8,операции!$X:$X,"&gt;="&amp;N$8,операции!$L:$L,P$9,операции!$O:$O,$F1348))/P1348)</f>
        <v>42217.661700528188</v>
      </c>
      <c r="Q1349" s="237">
        <f>IF(Q1348=0,0,(SUMIFS(операции!$AF:$AF,операции!$T:$T,"&lt;"&amp;N$8,операции!$X:$X,"",операции!$L:$L,Q$9,операции!$O:$O,$F1348)+SUMIFS(операции!$AF:$AF,операции!$T:$T,"&lt;"&amp;N$8,операции!$X:$X,"&gt;="&amp;N$8,операции!$L:$L,Q$9,операции!$O:$O,$F1348))/Q1348)</f>
        <v>0</v>
      </c>
      <c r="R1349" s="238"/>
      <c r="S1349" s="193">
        <f>IF(S1348=0,0,(SUMIFS(операции!$AF:$AF,операции!$T:$T,"&lt;"&amp;S$8,операции!$X:$X,"",операции!$O:$O,$F1348)+SUMIFS(операции!$AF:$AF,операции!$T:$T,"&lt;"&amp;S$8,операции!$X:$X,"&gt;="&amp;S$8,операции!$O:$O,$F1348))/S1348)</f>
        <v>42247.528405218283</v>
      </c>
      <c r="T1349" s="196"/>
      <c r="U1349" s="193">
        <f>IF(U1348=0,0,(SUMIFS(операции!$AF:$AF,операции!$T:$T,"&lt;"&amp;S$8,операции!$X:$X,"",операции!$L:$L,U$9,операции!$O:$O,$F1348)+SUMIFS(операции!$AF:$AF,операции!$T:$T,"&lt;"&amp;S$8,операции!$X:$X,"&gt;="&amp;S$8,операции!$L:$L,U$9,операции!$O:$O,$F1348))/U1348)</f>
        <v>42237.301319942926</v>
      </c>
      <c r="V1349" s="237">
        <f>IF(V1348=0,0,(SUMIFS(операции!$AF:$AF,операции!$T:$T,"&lt;"&amp;S$8,операции!$X:$X,"",операции!$L:$L,V$9,операции!$O:$O,$F1348)+SUMIFS(операции!$AF:$AF,операции!$T:$T,"&lt;"&amp;S$8,операции!$X:$X,"&gt;="&amp;S$8,операции!$L:$L,V$9,операции!$O:$O,$F1348))/V1348)</f>
        <v>42306.477370504217</v>
      </c>
      <c r="W1349" s="238"/>
      <c r="X1349" s="193">
        <f>IF(X1348=0,0,(SUMIFS(операции!$AF:$AF,операции!$T:$T,"&lt;"&amp;X$8,операции!$X:$X,"",операции!$O:$O,$F1348)+SUMIFS(операции!$AF:$AF,операции!$T:$T,"&lt;"&amp;X$8,операции!$X:$X,"&gt;="&amp;X$8,операции!$O:$O,$F1348))/X1348)</f>
        <v>42245.139570453757</v>
      </c>
      <c r="Y1349" s="196"/>
      <c r="Z1349" s="193">
        <f>IF(Z1348=0,0,(SUMIFS(операции!$AF:$AF,операции!$T:$T,"&lt;"&amp;X$8,операции!$X:$X,"",операции!$L:$L,Z$9,операции!$O:$O,$F1348)+SUMIFS(операции!$AF:$AF,операции!$T:$T,"&lt;"&amp;X$8,операции!$X:$X,"&gt;="&amp;X$8,операции!$L:$L,Z$9,операции!$O:$O,$F1348))/Z1348)</f>
        <v>42232.72637398509</v>
      </c>
      <c r="AA1349" s="237">
        <f>IF(AA1348=0,0,(SUMIFS(операции!$AF:$AF,операции!$T:$T,"&lt;"&amp;X$8,операции!$X:$X,"",операции!$L:$L,AA$9,операции!$O:$O,$F1348)+SUMIFS(операции!$AF:$AF,операции!$T:$T,"&lt;"&amp;X$8,операции!$X:$X,"&gt;="&amp;X$8,операции!$L:$L,AA$9,операции!$O:$O,$F1348))/AA1348)</f>
        <v>42337</v>
      </c>
      <c r="AB1349" s="265"/>
      <c r="AC1349" s="37"/>
      <c r="AD1349" s="37"/>
      <c r="AE1349" s="37"/>
      <c r="AF1349" s="37"/>
      <c r="AG1349" s="37"/>
      <c r="AH1349" s="37"/>
      <c r="AI1349" s="37"/>
      <c r="AJ1349" s="37"/>
      <c r="AK1349" s="37"/>
      <c r="AL1349" s="37"/>
      <c r="AM1349" s="37"/>
      <c r="AN1349" s="37"/>
      <c r="AO1349" s="37"/>
      <c r="AP1349" s="37"/>
    </row>
    <row r="1350" spans="1:42" s="50" customFormat="1" ht="11.25">
      <c r="A1350" s="48"/>
      <c r="B1350" s="48"/>
      <c r="C1350" s="48"/>
      <c r="D1350" s="154" t="s">
        <v>257</v>
      </c>
      <c r="E1350" s="154"/>
      <c r="F1350" s="154" t="str">
        <f t="shared" ref="F1350:F1416" si="2388">F1349</f>
        <v>Лекс</v>
      </c>
      <c r="G1350" s="154" t="s">
        <v>219</v>
      </c>
      <c r="H1350" s="319"/>
      <c r="I1350" s="320">
        <f>IF(I1348=0,0,I$8-I1349)</f>
        <v>60.338299471812206</v>
      </c>
      <c r="J1350" s="321">
        <f>I1350-IF(I1348=0,0,(I1353*I1355+I1359*I1361)/I1348)</f>
        <v>-3.5527136788005009E-12</v>
      </c>
      <c r="K1350" s="320">
        <f>IF(K1348=0,0,I$8-K1349)</f>
        <v>60.338299471812206</v>
      </c>
      <c r="L1350" s="322">
        <f>IF(L1348=0,0,I$8-L1349)</f>
        <v>0</v>
      </c>
      <c r="M1350" s="275"/>
      <c r="N1350" s="155">
        <f>IF(N1348=0,0,N$8-N1349)</f>
        <v>60.338299471812206</v>
      </c>
      <c r="O1350" s="173">
        <f>N1350-IF(N1348=0,0,(N1353*N1355+N1359*N1361)/N1348)</f>
        <v>-3.5527136788005009E-12</v>
      </c>
      <c r="P1350" s="155">
        <f>IF(P1348=0,0,N$8-P1349)</f>
        <v>60.338299471812206</v>
      </c>
      <c r="Q1350" s="239">
        <f>IF(Q1348=0,0,N$8-Q1349)</f>
        <v>0</v>
      </c>
      <c r="R1350" s="240"/>
      <c r="S1350" s="155">
        <f>IF(S1348=0,0,S$8-S1349)</f>
        <v>61.471594781716703</v>
      </c>
      <c r="T1350" s="173">
        <f>S1350-IF(S1348=0,0,(S1353*S1355+S1359*S1361)/S1348)</f>
        <v>6.5867311604961287E-12</v>
      </c>
      <c r="U1350" s="155">
        <f>IF(U1348=0,0,S$8-U1349)</f>
        <v>71.698680057073943</v>
      </c>
      <c r="V1350" s="239">
        <f>IF(V1348=0,0,S$8-V1349)</f>
        <v>2.5226294957828941</v>
      </c>
      <c r="W1350" s="240"/>
      <c r="X1350" s="155">
        <f>IF(X1348=0,0,X$8-X1349)</f>
        <v>93.860429546242813</v>
      </c>
      <c r="Y1350" s="173">
        <f>X1350-IF(X1348=0,0,(X1353*X1355+X1359*X1361)/X1348)</f>
        <v>2.5437429940211587E-12</v>
      </c>
      <c r="Z1350" s="155">
        <f>IF(Z1348=0,0,X$8-Z1349)</f>
        <v>106.27362601491041</v>
      </c>
      <c r="AA1350" s="239">
        <f>IF(AA1348=0,0,X$8-AA1349)</f>
        <v>2</v>
      </c>
      <c r="AB1350" s="230"/>
      <c r="AC1350" s="48"/>
      <c r="AD1350" s="48"/>
      <c r="AE1350" s="48"/>
      <c r="AF1350" s="48"/>
      <c r="AG1350" s="48"/>
      <c r="AH1350" s="48"/>
      <c r="AI1350" s="48"/>
      <c r="AJ1350" s="48"/>
      <c r="AK1350" s="48"/>
      <c r="AL1350" s="48"/>
      <c r="AM1350" s="48"/>
      <c r="AN1350" s="48"/>
      <c r="AO1350" s="48"/>
      <c r="AP1350" s="48"/>
    </row>
    <row r="1351" spans="1:42" s="93" customFormat="1" ht="15">
      <c r="A1351" s="92"/>
      <c r="B1351" s="92"/>
      <c r="C1351" s="92"/>
      <c r="D1351" s="198" t="s">
        <v>267</v>
      </c>
      <c r="E1351" s="198"/>
      <c r="F1351" s="198" t="str">
        <f t="shared" si="2388"/>
        <v>Лекс</v>
      </c>
      <c r="G1351" s="198" t="s">
        <v>219</v>
      </c>
      <c r="H1351" s="323"/>
      <c r="I1351" s="324">
        <f>IF(I1348=0,0,(I1353*I1357+I1359*I1363)/I1348)</f>
        <v>35.061993087340703</v>
      </c>
      <c r="J1351" s="321"/>
      <c r="K1351" s="324">
        <f t="shared" ref="K1351" si="2389">IF(K1348=0,0,(K1353*K1357+K1359*K1363)/K1348)</f>
        <v>35.061993087340703</v>
      </c>
      <c r="L1351" s="325">
        <f>IF(L1348=0,0,(L1353*L1357+L1359*L1363)/L1348)</f>
        <v>0</v>
      </c>
      <c r="M1351" s="276"/>
      <c r="N1351" s="199">
        <f>IF(N1348=0,0,(N1353*N1357+N1359*N1363)/N1348)</f>
        <v>35.061993087340703</v>
      </c>
      <c r="O1351" s="173"/>
      <c r="P1351" s="199">
        <f t="shared" ref="P1351" si="2390">IF(P1348=0,0,(P1353*P1357+P1359*P1363)/P1348)</f>
        <v>35.061993087340703</v>
      </c>
      <c r="Q1351" s="241">
        <f>IF(Q1348=0,0,(Q1353*Q1357+Q1359*Q1363)/Q1348)</f>
        <v>0</v>
      </c>
      <c r="R1351" s="242"/>
      <c r="S1351" s="199">
        <f>IF(S1348=0,0,(S1353*S1357+S1359*S1363)/S1348)</f>
        <v>20.240927317536038</v>
      </c>
      <c r="T1351" s="173"/>
      <c r="U1351" s="199">
        <f t="shared" ref="U1351" si="2391">IF(U1348=0,0,(U1353*U1357+U1359*U1363)/U1348)</f>
        <v>23.314883609701972</v>
      </c>
      <c r="V1351" s="241">
        <f>IF(V1348=0,0,(V1353*V1357+V1359*V1363)/V1348)</f>
        <v>2.5226294957828941</v>
      </c>
      <c r="W1351" s="242"/>
      <c r="X1351" s="199">
        <f>IF(X1348=0,0,(X1353*X1357+X1359*X1363)/X1348)</f>
        <v>27.464248918108318</v>
      </c>
      <c r="Y1351" s="173"/>
      <c r="Z1351" s="199">
        <f t="shared" ref="Z1351" si="2392">IF(Z1348=0,0,(Z1353*Z1357+Z1359*Z1363)/Z1348)</f>
        <v>30.905259659173915</v>
      </c>
      <c r="AA1351" s="241">
        <f>IF(AA1348=0,0,(AA1353*AA1357+AA1359*AA1363)/AA1348)</f>
        <v>2</v>
      </c>
      <c r="AB1351" s="264"/>
      <c r="AC1351" s="92"/>
      <c r="AD1351" s="92"/>
      <c r="AE1351" s="92"/>
      <c r="AF1351" s="92"/>
      <c r="AG1351" s="92"/>
      <c r="AH1351" s="92"/>
      <c r="AI1351" s="92"/>
      <c r="AJ1351" s="92"/>
      <c r="AK1351" s="92"/>
      <c r="AL1351" s="92"/>
      <c r="AM1351" s="92"/>
      <c r="AN1351" s="92"/>
      <c r="AO1351" s="92"/>
      <c r="AP1351" s="92"/>
    </row>
    <row r="1352" spans="1:42" s="50" customFormat="1" ht="11.25">
      <c r="A1352" s="48"/>
      <c r="B1352" s="48"/>
      <c r="C1352" s="48"/>
      <c r="D1352" s="154" t="s">
        <v>270</v>
      </c>
      <c r="E1352" s="154"/>
      <c r="F1352" s="154" t="str">
        <f t="shared" si="2388"/>
        <v>Лекс</v>
      </c>
      <c r="G1352" s="154" t="s">
        <v>219</v>
      </c>
      <c r="H1352" s="319"/>
      <c r="I1352" s="320">
        <f>I1350-I1351</f>
        <v>25.276306384471503</v>
      </c>
      <c r="J1352" s="321"/>
      <c r="K1352" s="320">
        <f t="shared" ref="K1352" si="2393">K1350-K1351</f>
        <v>25.276306384471503</v>
      </c>
      <c r="L1352" s="322">
        <f t="shared" ref="L1352" si="2394">L1350-L1351</f>
        <v>0</v>
      </c>
      <c r="M1352" s="275"/>
      <c r="N1352" s="155">
        <f>N1350-N1351</f>
        <v>25.276306384471503</v>
      </c>
      <c r="O1352" s="173"/>
      <c r="P1352" s="155">
        <f t="shared" ref="P1352" si="2395">P1350-P1351</f>
        <v>25.276306384471503</v>
      </c>
      <c r="Q1352" s="239">
        <f t="shared" ref="Q1352" si="2396">Q1350-Q1351</f>
        <v>0</v>
      </c>
      <c r="R1352" s="240"/>
      <c r="S1352" s="155">
        <f>S1350-S1351</f>
        <v>41.230667464180669</v>
      </c>
      <c r="T1352" s="173"/>
      <c r="U1352" s="155">
        <f t="shared" ref="U1352" si="2397">U1350-U1351</f>
        <v>48.383796447371971</v>
      </c>
      <c r="V1352" s="239">
        <f t="shared" ref="V1352" si="2398">V1350-V1351</f>
        <v>0</v>
      </c>
      <c r="W1352" s="240"/>
      <c r="X1352" s="155">
        <f>X1350-X1351</f>
        <v>66.396180628134488</v>
      </c>
      <c r="Y1352" s="173"/>
      <c r="Z1352" s="155">
        <f t="shared" ref="Z1352" si="2399">Z1350-Z1351</f>
        <v>75.368366355736498</v>
      </c>
      <c r="AA1352" s="239">
        <f t="shared" ref="AA1352" si="2400">AA1350-AA1351</f>
        <v>0</v>
      </c>
      <c r="AB1352" s="230"/>
      <c r="AC1352" s="48"/>
      <c r="AD1352" s="48"/>
      <c r="AE1352" s="48"/>
      <c r="AF1352" s="48"/>
      <c r="AG1352" s="48"/>
      <c r="AH1352" s="48"/>
      <c r="AI1352" s="48"/>
      <c r="AJ1352" s="48"/>
      <c r="AK1352" s="48"/>
      <c r="AL1352" s="48"/>
      <c r="AM1352" s="48"/>
      <c r="AN1352" s="48"/>
      <c r="AO1352" s="48"/>
      <c r="AP1352" s="48"/>
    </row>
    <row r="1353" spans="1:42" s="5" customFormat="1">
      <c r="A1353" s="1"/>
      <c r="B1353" s="1"/>
      <c r="C1353" s="1"/>
      <c r="D1353" s="168"/>
      <c r="E1353" s="168" t="s">
        <v>258</v>
      </c>
      <c r="F1353" s="168" t="str">
        <f t="shared" si="2388"/>
        <v>Лекс</v>
      </c>
      <c r="G1353" s="168" t="s">
        <v>261</v>
      </c>
      <c r="H1353" s="326"/>
      <c r="I1353" s="327">
        <f>SUMIFS(операции!$V:$V,операции!$T:$T,"&lt;"&amp;I$8,операции!$X:$X,"",операции!$AB:$AB,"&lt;&gt;"&amp;"",операции!$AB:$AB,"&lt;"&amp;I$8,операции!$O:$O,$F1348)+SUMIFS(операции!$V:$V,операции!$T:$T,"&lt;"&amp;I$8,операции!$X:$X,"&gt;="&amp;I$8,операции!$AB:$AB,"&lt;&gt;"&amp;"",операции!$AB:$AB,"&lt;"&amp;I$8,операции!$O:$O,$F1348)</f>
        <v>36210.69</v>
      </c>
      <c r="J1353" s="313">
        <f>I1353-K1353-L1353</f>
        <v>0</v>
      </c>
      <c r="K1353" s="327">
        <f>SUMIFS(операции!$V:$V,операции!$T:$T,"&lt;"&amp;I$8,операции!$X:$X,"",операции!$AB:$AB,"&lt;&gt;"&amp;"",операции!$AB:$AB,"&lt;"&amp;I$8,операции!$L:$L,K$9,операции!$O:$O,$F1348)+SUMIFS(операции!$V:$V,операции!$T:$T,"&lt;"&amp;I$8,операции!$X:$X,"&gt;="&amp;I$8,операции!$AB:$AB,"&lt;&gt;"&amp;"",операции!$AB:$AB,"&lt;"&amp;I$8,операции!$L:$L,K$9,операции!$O:$O,$F1348)</f>
        <v>36210.69</v>
      </c>
      <c r="L1353" s="328">
        <f>SUMIFS(операции!$V:$V,операции!$T:$T,"&lt;"&amp;I$8,операции!$X:$X,"",операции!$AB:$AB,"&lt;&gt;"&amp;"",операции!$AB:$AB,"&lt;"&amp;I$8,операции!$L:$L,L$9,операции!$O:$O,$F1348)+SUMIFS(операции!$V:$V,операции!$T:$T,"&lt;"&amp;I$8,операции!$X:$X,"&gt;="&amp;I$8,операции!$AB:$AB,"&lt;&gt;"&amp;"",операции!$AB:$AB,"&lt;"&amp;I$8,операции!$L:$L,L$9,операции!$O:$O,$F1348)</f>
        <v>0</v>
      </c>
      <c r="M1353" s="277"/>
      <c r="N1353" s="169">
        <f>SUMIFS(операции!$V:$V,операции!$T:$T,"&lt;"&amp;N$8,операции!$X:$X,"",операции!$AB:$AB,"&lt;&gt;"&amp;"",операции!$AB:$AB,"&lt;"&amp;N$8,операции!$O:$O,$F1348)+SUMIFS(операции!$V:$V,операции!$T:$T,"&lt;"&amp;N$8,операции!$X:$X,"&gt;="&amp;N$8,операции!$AB:$AB,"&lt;&gt;"&amp;"",операции!$AB:$AB,"&lt;"&amp;N$8,операции!$O:$O,$F1348)</f>
        <v>36210.69</v>
      </c>
      <c r="O1353" s="170">
        <f>N1353-P1353-Q1353</f>
        <v>0</v>
      </c>
      <c r="P1353" s="169">
        <f>SUMIFS(операции!$V:$V,операции!$T:$T,"&lt;"&amp;N$8,операции!$X:$X,"",операции!$AB:$AB,"&lt;&gt;"&amp;"",операции!$AB:$AB,"&lt;"&amp;N$8,операции!$L:$L,P$9,операции!$O:$O,$F1348)+SUMIFS(операции!$V:$V,операции!$T:$T,"&lt;"&amp;N$8,операции!$X:$X,"&gt;="&amp;N$8,операции!$AB:$AB,"&lt;&gt;"&amp;"",операции!$AB:$AB,"&lt;"&amp;N$8,операции!$L:$L,P$9,операции!$O:$O,$F1348)</f>
        <v>36210.69</v>
      </c>
      <c r="Q1353" s="243">
        <f>SUMIFS(операции!$V:$V,операции!$T:$T,"&lt;"&amp;N$8,операции!$X:$X,"",операции!$AB:$AB,"&lt;&gt;"&amp;"",операции!$AB:$AB,"&lt;"&amp;N$8,операции!$L:$L,Q$9,операции!$O:$O,$F1348)+SUMIFS(операции!$V:$V,операции!$T:$T,"&lt;"&amp;N$8,операции!$X:$X,"&gt;="&amp;N$8,операции!$AB:$AB,"&lt;&gt;"&amp;"",операции!$AB:$AB,"&lt;"&amp;N$8,операции!$L:$L,Q$9,операции!$O:$O,$F1348)</f>
        <v>0</v>
      </c>
      <c r="R1353" s="244"/>
      <c r="S1353" s="169">
        <f>SUMIFS(операции!$V:$V,операции!$T:$T,"&lt;"&amp;S$8,операции!$X:$X,"",операции!$AB:$AB,"&lt;&gt;"&amp;"",операции!$AB:$AB,"&lt;"&amp;S$8,операции!$O:$O,$F1348)+SUMIFS(операции!$V:$V,операции!$T:$T,"&lt;"&amp;S$8,операции!$X:$X,"&gt;="&amp;S$8,операции!$AB:$AB,"&lt;&gt;"&amp;"",операции!$AB:$AB,"&lt;"&amp;S$8,операции!$O:$O,$F1348)</f>
        <v>27458.149999999998</v>
      </c>
      <c r="T1353" s="170">
        <f>S1353-U1353-V1353</f>
        <v>0</v>
      </c>
      <c r="U1353" s="169">
        <f>SUMIFS(операции!$V:$V,операции!$T:$T,"&lt;"&amp;S$8,операции!$X:$X,"",операции!$AB:$AB,"&lt;&gt;"&amp;"",операции!$AB:$AB,"&lt;"&amp;S$8,операции!$L:$L,U$9,операции!$O:$O,$F1348)+SUMIFS(операции!$V:$V,операции!$T:$T,"&lt;"&amp;S$8,операции!$X:$X,"&gt;="&amp;S$8,операции!$AB:$AB,"&lt;&gt;"&amp;"",операции!$AB:$AB,"&lt;"&amp;S$8,операции!$L:$L,U$9,операции!$O:$O,$F1348)</f>
        <v>27458.149999999998</v>
      </c>
      <c r="V1353" s="243">
        <f>SUMIFS(операции!$V:$V,операции!$T:$T,"&lt;"&amp;S$8,операции!$X:$X,"",операции!$AB:$AB,"&lt;&gt;"&amp;"",операции!$AB:$AB,"&lt;"&amp;S$8,операции!$L:$L,V$9,операции!$O:$O,$F1348)+SUMIFS(операции!$V:$V,операции!$T:$T,"&lt;"&amp;S$8,операции!$X:$X,"&gt;="&amp;S$8,операции!$AB:$AB,"&lt;&gt;"&amp;"",операции!$AB:$AB,"&lt;"&amp;S$8,операции!$L:$L,V$9,операции!$O:$O,$F1348)</f>
        <v>0</v>
      </c>
      <c r="W1353" s="244"/>
      <c r="X1353" s="169">
        <f>SUMIFS(операции!$V:$V,операции!$T:$T,"&lt;"&amp;X$8,операции!$X:$X,"",операции!$AB:$AB,"&lt;&gt;"&amp;"",операции!$AB:$AB,"&lt;"&amp;X$8,операции!$O:$O,$F1348)+SUMIFS(операции!$V:$V,операции!$T:$T,"&lt;"&amp;X$8,операции!$X:$X,"&gt;="&amp;X$8,операции!$AB:$AB,"&lt;&gt;"&amp;"",операции!$AB:$AB,"&lt;"&amp;X$8,операции!$O:$O,$F1348)</f>
        <v>18124.809999999998</v>
      </c>
      <c r="Y1353" s="170">
        <f>X1353-Z1353-AA1353</f>
        <v>0</v>
      </c>
      <c r="Z1353" s="169">
        <f>SUMIFS(операции!$V:$V,операции!$T:$T,"&lt;"&amp;X$8,операции!$X:$X,"",операции!$AB:$AB,"&lt;&gt;"&amp;"",операции!$AB:$AB,"&lt;"&amp;X$8,операции!$L:$L,Z$9,операции!$O:$O,$F1348)+SUMIFS(операции!$V:$V,операции!$T:$T,"&lt;"&amp;X$8,операции!$X:$X,"&gt;="&amp;X$8,операции!$AB:$AB,"&lt;&gt;"&amp;"",операции!$AB:$AB,"&lt;"&amp;X$8,операции!$L:$L,Z$9,операции!$O:$O,$F1348)</f>
        <v>18124.809999999998</v>
      </c>
      <c r="AA1353" s="243">
        <f>SUMIFS(операции!$V:$V,операции!$T:$T,"&lt;"&amp;X$8,операции!$X:$X,"",операции!$AB:$AB,"&lt;&gt;"&amp;"",операции!$AB:$AB,"&lt;"&amp;X$8,операции!$L:$L,AA$9,операции!$O:$O,$F1348)+SUMIFS(операции!$V:$V,операции!$T:$T,"&lt;"&amp;X$8,операции!$X:$X,"&gt;="&amp;X$8,операции!$AB:$AB,"&lt;&gt;"&amp;"",операции!$AB:$AB,"&lt;"&amp;X$8,операции!$L:$L,AA$9,операции!$O:$O,$F1348)</f>
        <v>0</v>
      </c>
      <c r="AB1353" s="266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</row>
    <row r="1354" spans="1:42" s="192" customFormat="1" ht="11.25">
      <c r="A1354" s="37"/>
      <c r="B1354" s="37"/>
      <c r="C1354" s="37"/>
      <c r="D1354" s="191"/>
      <c r="E1354" s="191" t="s">
        <v>255</v>
      </c>
      <c r="F1354" s="191" t="str">
        <f t="shared" si="2388"/>
        <v>Лекс</v>
      </c>
      <c r="G1354" s="191" t="s">
        <v>262</v>
      </c>
      <c r="H1354" s="315"/>
      <c r="I1354" s="316">
        <f>IF(I1353=0,0,(SUMIFS(операции!$AF:$AF,операции!$T:$T,"&lt;"&amp;I$8,операции!$X:$X,"",операции!$AB:$AB,"&lt;&gt;"&amp;"",операции!$AB:$AB,"&lt;"&amp;I$8,операции!$O:$O,$F1348)+SUMIFS(операции!$AF:$AF,операции!$T:$T,"&lt;"&amp;I$8,операции!$X:$X,"&gt;="&amp;I$8,операции!$AB:$AB,"&lt;&gt;"&amp;"",операции!$AB:$AB,"&lt;"&amp;I$8,операции!$O:$O,$F1348))/I1353)</f>
        <v>42222.035963689181</v>
      </c>
      <c r="J1354" s="317"/>
      <c r="K1354" s="316">
        <f>IF(K1353=0,0,(SUMIFS(операции!$AF:$AF,операции!$T:$T,"&lt;"&amp;I$8,операции!$X:$X,"",операции!$AB:$AB,"&lt;&gt;"&amp;"",операции!$AB:$AB,"&lt;"&amp;I$8,операции!$L:$L,K$9,операции!$O:$O,$F1348)+SUMIFS(операции!$AF:$AF,операции!$T:$T,"&lt;"&amp;I$8,операции!$X:$X,"&gt;="&amp;I$8,операции!$AB:$AB,"&lt;&gt;"&amp;"",операции!$AB:$AB,"&lt;"&amp;I$8,операции!$L:$L,K$9,операции!$O:$O,$F1348))/K1353)</f>
        <v>42222.035963689181</v>
      </c>
      <c r="L1354" s="318">
        <f>IF(L1353=0,0,(SUMIFS(операции!$AF:$AF,операции!$T:$T,"&lt;"&amp;I$8,операции!$X:$X,"",операции!$AB:$AB,"&lt;&gt;"&amp;"",операции!$AB:$AB,"&lt;"&amp;I$8,операции!$L:$L,L$9,операции!$O:$O,$F1348)+SUMIFS(операции!$AF:$AF,операции!$T:$T,"&lt;"&amp;I$8,операции!$X:$X,"&gt;="&amp;I$8,операции!$AB:$AB,"&lt;&gt;"&amp;"",операции!$AB:$AB,"&lt;"&amp;I$8,операции!$L:$L,L$9,операции!$O:$O,$F1348))/L1353)</f>
        <v>0</v>
      </c>
      <c r="M1354" s="274"/>
      <c r="N1354" s="193">
        <f>IF(N1353=0,0,(SUMIFS(операции!$AF:$AF,операции!$T:$T,"&lt;"&amp;N$8,операции!$X:$X,"",операции!$AB:$AB,"&lt;&gt;"&amp;"",операции!$AB:$AB,"&lt;"&amp;N$8,операции!$O:$O,$F1348)+SUMIFS(операции!$AF:$AF,операции!$T:$T,"&lt;"&amp;N$8,операции!$X:$X,"&gt;="&amp;N$8,операции!$AB:$AB,"&lt;&gt;"&amp;"",операции!$AB:$AB,"&lt;"&amp;N$8,операции!$O:$O,$F1348))/N1353)</f>
        <v>42222.035963689181</v>
      </c>
      <c r="O1354" s="196"/>
      <c r="P1354" s="193">
        <f>IF(P1353=0,0,(SUMIFS(операции!$AF:$AF,операции!$T:$T,"&lt;"&amp;N$8,операции!$X:$X,"",операции!$AB:$AB,"&lt;&gt;"&amp;"",операции!$AB:$AB,"&lt;"&amp;N$8,операции!$L:$L,P$9,операции!$O:$O,$F1348)+SUMIFS(операции!$AF:$AF,операции!$T:$T,"&lt;"&amp;N$8,операции!$X:$X,"&gt;="&amp;N$8,операции!$AB:$AB,"&lt;&gt;"&amp;"",операции!$AB:$AB,"&lt;"&amp;N$8,операции!$L:$L,P$9,операции!$O:$O,$F1348))/P1353)</f>
        <v>42222.035963689181</v>
      </c>
      <c r="Q1354" s="237">
        <f>IF(Q1353=0,0,(SUMIFS(операции!$AF:$AF,операции!$T:$T,"&lt;"&amp;N$8,операции!$X:$X,"",операции!$AB:$AB,"&lt;&gt;"&amp;"",операции!$AB:$AB,"&lt;"&amp;N$8,операции!$L:$L,Q$9,операции!$O:$O,$F1348)+SUMIFS(операции!$AF:$AF,операции!$T:$T,"&lt;"&amp;N$8,операции!$X:$X,"&gt;="&amp;N$8,операции!$AB:$AB,"&lt;&gt;"&amp;"",операции!$AB:$AB,"&lt;"&amp;N$8,операции!$L:$L,Q$9,операции!$O:$O,$F1348))/Q1353)</f>
        <v>0</v>
      </c>
      <c r="R1354" s="238"/>
      <c r="S1354" s="193">
        <f>IF(S1353=0,0,(SUMIFS(операции!$AF:$AF,операции!$T:$T,"&lt;"&amp;S$8,операции!$X:$X,"",операции!$AB:$AB,"&lt;&gt;"&amp;"",операции!$AB:$AB,"&lt;"&amp;S$8,операции!$O:$O,$F1348)+SUMIFS(операции!$AF:$AF,операции!$T:$T,"&lt;"&amp;S$8,операции!$X:$X,"&gt;="&amp;S$8,операции!$AB:$AB,"&lt;&gt;"&amp;"",операции!$AB:$AB,"&lt;"&amp;S$8,операции!$O:$O,$F1348))/S1353)</f>
        <v>42228.783048020356</v>
      </c>
      <c r="T1354" s="196"/>
      <c r="U1354" s="193">
        <f>IF(U1353=0,0,(SUMIFS(операции!$AF:$AF,операции!$T:$T,"&lt;"&amp;S$8,операции!$X:$X,"",операции!$AB:$AB,"&lt;&gt;"&amp;"",операции!$AB:$AB,"&lt;"&amp;S$8,операции!$L:$L,U$9,операции!$O:$O,$F1348)+SUMIFS(операции!$AF:$AF,операции!$T:$T,"&lt;"&amp;S$8,операции!$X:$X,"&gt;="&amp;S$8,операции!$AB:$AB,"&lt;&gt;"&amp;"",операции!$AB:$AB,"&lt;"&amp;S$8,операции!$L:$L,U$9,операции!$O:$O,$F1348))/U1353)</f>
        <v>42228.783048020356</v>
      </c>
      <c r="V1354" s="237">
        <f>IF(V1353=0,0,(SUMIFS(операции!$AF:$AF,операции!$T:$T,"&lt;"&amp;S$8,операции!$X:$X,"",операции!$AB:$AB,"&lt;&gt;"&amp;"",операции!$AB:$AB,"&lt;"&amp;S$8,операции!$L:$L,V$9,операции!$O:$O,$F1348)+SUMIFS(операции!$AF:$AF,операции!$T:$T,"&lt;"&amp;S$8,операции!$X:$X,"&gt;="&amp;S$8,операции!$AB:$AB,"&lt;&gt;"&amp;"",операции!$AB:$AB,"&lt;"&amp;S$8,операции!$L:$L,V$9,операции!$O:$O,$F1348))/V1353)</f>
        <v>0</v>
      </c>
      <c r="W1354" s="238"/>
      <c r="X1354" s="193">
        <f>IF(X1353=0,0,(SUMIFS(операции!$AF:$AF,операции!$T:$T,"&lt;"&amp;X$8,операции!$X:$X,"",операции!$AB:$AB,"&lt;&gt;"&amp;"",операции!$AB:$AB,"&lt;"&amp;X$8,операции!$O:$O,$F1348)+SUMIFS(операции!$AF:$AF,операции!$T:$T,"&lt;"&amp;X$8,операции!$X:$X,"&gt;="&amp;X$8,операции!$AB:$AB,"&lt;&gt;"&amp;"",операции!$AB:$AB,"&lt;"&amp;X$8,операции!$O:$O,$F1348))/X1353)</f>
        <v>42229.849682286324</v>
      </c>
      <c r="Y1354" s="196"/>
      <c r="Z1354" s="193">
        <f>IF(Z1353=0,0,(SUMIFS(операции!$AF:$AF,операции!$T:$T,"&lt;"&amp;X$8,операции!$X:$X,"",операции!$AB:$AB,"&lt;&gt;"&amp;"",операции!$AB:$AB,"&lt;"&amp;X$8,операции!$L:$L,Z$9,операции!$O:$O,$F1348)+SUMIFS(операции!$AF:$AF,операции!$T:$T,"&lt;"&amp;X$8,операции!$X:$X,"&gt;="&amp;X$8,операции!$AB:$AB,"&lt;&gt;"&amp;"",операции!$AB:$AB,"&lt;"&amp;X$8,операции!$L:$L,Z$9,операции!$O:$O,$F1348))/Z1353)</f>
        <v>42229.849682286324</v>
      </c>
      <c r="AA1354" s="237">
        <f>IF(AA1353=0,0,(SUMIFS(операции!$AF:$AF,операции!$T:$T,"&lt;"&amp;X$8,операции!$X:$X,"",операции!$AB:$AB,"&lt;&gt;"&amp;"",операции!$AB:$AB,"&lt;"&amp;X$8,операции!$L:$L,AA$9,операции!$O:$O,$F1348)+SUMIFS(операции!$AF:$AF,операции!$T:$T,"&lt;"&amp;X$8,операции!$X:$X,"&gt;="&amp;X$8,операции!$AB:$AB,"&lt;&gt;"&amp;"",операции!$AB:$AB,"&lt;"&amp;X$8,операции!$L:$L,AA$9,операции!$O:$O,$F1348))/AA1353)</f>
        <v>0</v>
      </c>
      <c r="AB1354" s="265"/>
      <c r="AC1354" s="37"/>
      <c r="AD1354" s="37"/>
      <c r="AE1354" s="37"/>
      <c r="AF1354" s="37"/>
      <c r="AG1354" s="37"/>
      <c r="AH1354" s="37"/>
      <c r="AI1354" s="37"/>
      <c r="AJ1354" s="37"/>
      <c r="AK1354" s="37"/>
      <c r="AL1354" s="37"/>
      <c r="AM1354" s="37"/>
      <c r="AN1354" s="37"/>
      <c r="AO1354" s="37"/>
      <c r="AP1354" s="37"/>
    </row>
    <row r="1355" spans="1:42" s="192" customFormat="1" ht="11.25">
      <c r="A1355" s="37"/>
      <c r="B1355" s="37"/>
      <c r="C1355" s="37"/>
      <c r="D1355" s="191"/>
      <c r="E1355" s="191" t="s">
        <v>260</v>
      </c>
      <c r="F1355" s="191" t="str">
        <f t="shared" si="2388"/>
        <v>Лекс</v>
      </c>
      <c r="G1355" s="191" t="s">
        <v>219</v>
      </c>
      <c r="H1355" s="315"/>
      <c r="I1355" s="329">
        <f>IF(I1353=0,0,I$8-I1354)</f>
        <v>55.96403631081921</v>
      </c>
      <c r="J1355" s="317"/>
      <c r="K1355" s="329">
        <f>IF(K1353=0,0,I$8-K1354)</f>
        <v>55.96403631081921</v>
      </c>
      <c r="L1355" s="330">
        <f>IF(L1353=0,0,I$8-L1354)</f>
        <v>0</v>
      </c>
      <c r="M1355" s="274"/>
      <c r="N1355" s="156">
        <f>IF(N1353=0,0,N$8-N1354)</f>
        <v>55.96403631081921</v>
      </c>
      <c r="O1355" s="196"/>
      <c r="P1355" s="156">
        <f>IF(P1353=0,0,N$8-P1354)</f>
        <v>55.96403631081921</v>
      </c>
      <c r="Q1355" s="245">
        <f>IF(Q1353=0,0,N$8-Q1354)</f>
        <v>0</v>
      </c>
      <c r="R1355" s="238"/>
      <c r="S1355" s="156">
        <f>IF(S1353=0,0,S$8-S1354)</f>
        <v>80.216951979644364</v>
      </c>
      <c r="T1355" s="196"/>
      <c r="U1355" s="156">
        <f>IF(U1353=0,0,S$8-U1354)</f>
        <v>80.216951979644364</v>
      </c>
      <c r="V1355" s="245">
        <f>IF(V1353=0,0,S$8-V1354)</f>
        <v>0</v>
      </c>
      <c r="W1355" s="238"/>
      <c r="X1355" s="156">
        <f>IF(X1353=0,0,X$8-X1354)</f>
        <v>109.15031771367649</v>
      </c>
      <c r="Y1355" s="196"/>
      <c r="Z1355" s="156">
        <f>IF(Z1353=0,0,X$8-Z1354)</f>
        <v>109.15031771367649</v>
      </c>
      <c r="AA1355" s="245">
        <f>IF(AA1353=0,0,X$8-AA1354)</f>
        <v>0</v>
      </c>
      <c r="AB1355" s="265"/>
      <c r="AC1355" s="37"/>
      <c r="AD1355" s="37"/>
      <c r="AE1355" s="37"/>
      <c r="AF1355" s="37"/>
      <c r="AG1355" s="37"/>
      <c r="AH1355" s="37"/>
      <c r="AI1355" s="37"/>
      <c r="AJ1355" s="37"/>
      <c r="AK1355" s="37"/>
      <c r="AL1355" s="37"/>
      <c r="AM1355" s="37"/>
      <c r="AN1355" s="37"/>
      <c r="AO1355" s="37"/>
      <c r="AP1355" s="37"/>
    </row>
    <row r="1356" spans="1:42" s="192" customFormat="1" ht="11.25">
      <c r="A1356" s="37"/>
      <c r="B1356" s="37"/>
      <c r="C1356" s="37"/>
      <c r="D1356" s="191"/>
      <c r="E1356" s="191" t="s">
        <v>259</v>
      </c>
      <c r="F1356" s="191" t="str">
        <f t="shared" si="2388"/>
        <v>Лекс</v>
      </c>
      <c r="G1356" s="191" t="s">
        <v>262</v>
      </c>
      <c r="H1356" s="315"/>
      <c r="I1356" s="316">
        <f>IF(I1353=0,0,(SUMIFS(операции!$AH:$AH,операции!$T:$T,"&lt;"&amp;I$8,операции!$X:$X,"",операции!$AB:$AB,"&lt;&gt;"&amp;"",операции!$AB:$AB,"&lt;"&amp;I$8,операции!$O:$O,$F1348)+SUMIFS(операции!$AH:$AH,операции!$T:$T,"&lt;"&amp;I$8,операции!$X:$X,"&gt;="&amp;I$8,операции!$AB:$AB,"&lt;&gt;"&amp;"",операции!$AB:$AB,"&lt;"&amp;I$8,операции!$O:$O,$F1348))/I1353)</f>
        <v>42244.396143514525</v>
      </c>
      <c r="J1356" s="317"/>
      <c r="K1356" s="316">
        <f>IF(K1353=0,0,(SUMIFS(операции!$AH:$AH,операции!$T:$T,"&lt;"&amp;I$8,операции!$X:$X,"",операции!$AB:$AB,"&lt;&gt;"&amp;"",операции!$AB:$AB,"&lt;"&amp;I$8,операции!$L:$L,K$9,операции!$O:$O,$F1348)+SUMIFS(операции!$AH:$AH,операции!$T:$T,"&lt;"&amp;I$8,операции!$X:$X,"&gt;="&amp;I$8,операции!$AB:$AB,"&lt;&gt;"&amp;"",операции!$AB:$AB,"&lt;"&amp;I$8,операции!$L:$L,K$9,операции!$O:$O,$F1348))/K1353)</f>
        <v>42244.396143514525</v>
      </c>
      <c r="L1356" s="318">
        <f>IF(L1353=0,0,(SUMIFS(операции!$AH:$AH,операции!$T:$T,"&lt;"&amp;I$8,операции!$X:$X,"",операции!$AB:$AB,"&lt;&gt;"&amp;"",операции!$AB:$AB,"&lt;"&amp;I$8,операции!$L:$L,L$9,операции!$O:$O,$F1348)+SUMIFS(операции!$AH:$AH,операции!$T:$T,"&lt;"&amp;I$8,операции!$X:$X,"&gt;="&amp;I$8,операции!$AB:$AB,"&lt;&gt;"&amp;"",операции!$AB:$AB,"&lt;"&amp;I$8,операции!$L:$L,L$9,операции!$O:$O,$F1348))/L1353)</f>
        <v>0</v>
      </c>
      <c r="M1356" s="274"/>
      <c r="N1356" s="193">
        <f>IF(N1353=0,0,(SUMIFS(операции!$AH:$AH,операции!$T:$T,"&lt;"&amp;N$8,операции!$X:$X,"",операции!$AB:$AB,"&lt;&gt;"&amp;"",операции!$AB:$AB,"&lt;"&amp;N$8,операции!$O:$O,$F1348)+SUMIFS(операции!$AH:$AH,операции!$T:$T,"&lt;"&amp;N$8,операции!$X:$X,"&gt;="&amp;N$8,операции!$AB:$AB,"&lt;&gt;"&amp;"",операции!$AB:$AB,"&lt;"&amp;N$8,операции!$O:$O,$F1348))/N1353)</f>
        <v>42244.396143514525</v>
      </c>
      <c r="O1356" s="196"/>
      <c r="P1356" s="193">
        <f>IF(P1353=0,0,(SUMIFS(операции!$AH:$AH,операции!$T:$T,"&lt;"&amp;N$8,операции!$X:$X,"",операции!$AB:$AB,"&lt;&gt;"&amp;"",операции!$AB:$AB,"&lt;"&amp;N$8,операции!$L:$L,P$9,операции!$O:$O,$F1348)+SUMIFS(операции!$AH:$AH,операции!$T:$T,"&lt;"&amp;N$8,операции!$X:$X,"&gt;="&amp;N$8,операции!$AB:$AB,"&lt;&gt;"&amp;"",операции!$AB:$AB,"&lt;"&amp;N$8,операции!$L:$L,P$9,операции!$O:$O,$F1348))/P1353)</f>
        <v>42244.396143514525</v>
      </c>
      <c r="Q1356" s="237">
        <f>IF(Q1353=0,0,(SUMIFS(операции!$AH:$AH,операции!$T:$T,"&lt;"&amp;N$8,операции!$X:$X,"",операции!$AB:$AB,"&lt;&gt;"&amp;"",операции!$AB:$AB,"&lt;"&amp;N$8,операции!$L:$L,Q$9,операции!$O:$O,$F1348)+SUMIFS(операции!$AH:$AH,операции!$T:$T,"&lt;"&amp;N$8,операции!$X:$X,"&gt;="&amp;N$8,операции!$AB:$AB,"&lt;&gt;"&amp;"",операции!$AB:$AB,"&lt;"&amp;N$8,операции!$L:$L,Q$9,операции!$O:$O,$F1348))/Q1353)</f>
        <v>0</v>
      </c>
      <c r="R1356" s="238"/>
      <c r="S1356" s="193">
        <f>IF(S1353=0,0,(SUMIFS(операции!$AH:$AH,операции!$T:$T,"&lt;"&amp;S$8,операции!$X:$X,"",операции!$AB:$AB,"&lt;&gt;"&amp;"",операции!$AB:$AB,"&lt;"&amp;S$8,операции!$O:$O,$F1348)+SUMIFS(операции!$AH:$AH,операции!$T:$T,"&lt;"&amp;S$8,операции!$X:$X,"&gt;="&amp;S$8,операции!$AB:$AB,"&lt;&gt;"&amp;"",операции!$AB:$AB,"&lt;"&amp;S$8,операции!$O:$O,$F1348))/S1353)</f>
        <v>42249.979368238579</v>
      </c>
      <c r="T1356" s="196"/>
      <c r="U1356" s="193">
        <f>IF(U1353=0,0,(SUMIFS(операции!$AH:$AH,операции!$T:$T,"&lt;"&amp;S$8,операции!$X:$X,"",операции!$AB:$AB,"&lt;&gt;"&amp;"",операции!$AB:$AB,"&lt;"&amp;S$8,операции!$L:$L,U$9,операции!$O:$O,$F1348)+SUMIFS(операции!$AH:$AH,операции!$T:$T,"&lt;"&amp;S$8,операции!$X:$X,"&gt;="&amp;S$8,операции!$AB:$AB,"&lt;&gt;"&amp;"",операции!$AB:$AB,"&lt;"&amp;S$8,операции!$L:$L,U$9,операции!$O:$O,$F1348))/U1353)</f>
        <v>42249.979368238579</v>
      </c>
      <c r="V1356" s="237">
        <f>IF(V1353=0,0,(SUMIFS(операции!$AH:$AH,операции!$T:$T,"&lt;"&amp;S$8,операции!$X:$X,"",операции!$AB:$AB,"&lt;&gt;"&amp;"",операции!$AB:$AB,"&lt;"&amp;S$8,операции!$L:$L,V$9,операции!$O:$O,$F1348)+SUMIFS(операции!$AH:$AH,операции!$T:$T,"&lt;"&amp;S$8,операции!$X:$X,"&gt;="&amp;S$8,операции!$AB:$AB,"&lt;&gt;"&amp;"",операции!$AB:$AB,"&lt;"&amp;S$8,операции!$L:$L,V$9,операции!$O:$O,$F1348))/V1353)</f>
        <v>0</v>
      </c>
      <c r="W1356" s="238"/>
      <c r="X1356" s="193">
        <f>IF(X1353=0,0,(SUMIFS(операции!$AH:$AH,операции!$T:$T,"&lt;"&amp;X$8,операции!$X:$X,"",операции!$AB:$AB,"&lt;&gt;"&amp;"",операции!$AB:$AB,"&lt;"&amp;X$8,операции!$O:$O,$F1348)+SUMIFS(операции!$AH:$AH,операции!$T:$T,"&lt;"&amp;X$8,операции!$X:$X,"&gt;="&amp;X$8,операции!$AB:$AB,"&lt;&gt;"&amp;"",операции!$AB:$AB,"&lt;"&amp;X$8,операции!$O:$O,$F1348))/X1353)</f>
        <v>42255.053064280401</v>
      </c>
      <c r="Y1356" s="196"/>
      <c r="Z1356" s="193">
        <f>IF(Z1353=0,0,(SUMIFS(операции!$AH:$AH,операции!$T:$T,"&lt;"&amp;X$8,операции!$X:$X,"",операции!$AB:$AB,"&lt;&gt;"&amp;"",операции!$AB:$AB,"&lt;"&amp;X$8,операции!$L:$L,Z$9,операции!$O:$O,$F1348)+SUMIFS(операции!$AH:$AH,операции!$T:$T,"&lt;"&amp;X$8,операции!$X:$X,"&gt;="&amp;X$8,операции!$AB:$AB,"&lt;&gt;"&amp;"",операции!$AB:$AB,"&lt;"&amp;X$8,операции!$L:$L,Z$9,операции!$O:$O,$F1348))/Z1353)</f>
        <v>42255.053064280401</v>
      </c>
      <c r="AA1356" s="237">
        <f>IF(AA1353=0,0,(SUMIFS(операции!$AH:$AH,операции!$T:$T,"&lt;"&amp;X$8,операции!$X:$X,"",операции!$AB:$AB,"&lt;&gt;"&amp;"",операции!$AB:$AB,"&lt;"&amp;X$8,операции!$L:$L,AA$9,операции!$O:$O,$F1348)+SUMIFS(операции!$AH:$AH,операции!$T:$T,"&lt;"&amp;X$8,операции!$X:$X,"&gt;="&amp;X$8,операции!$AB:$AB,"&lt;&gt;"&amp;"",операции!$AB:$AB,"&lt;"&amp;X$8,операции!$L:$L,AA$9,операции!$O:$O,$F1348))/AA1353)</f>
        <v>0</v>
      </c>
      <c r="AB1356" s="265"/>
      <c r="AC1356" s="37"/>
      <c r="AD1356" s="37"/>
      <c r="AE1356" s="37"/>
      <c r="AF1356" s="37"/>
      <c r="AG1356" s="37"/>
      <c r="AH1356" s="37"/>
      <c r="AI1356" s="37"/>
      <c r="AJ1356" s="37"/>
      <c r="AK1356" s="37"/>
      <c r="AL1356" s="37"/>
      <c r="AM1356" s="37"/>
      <c r="AN1356" s="37"/>
      <c r="AO1356" s="37"/>
      <c r="AP1356" s="37"/>
    </row>
    <row r="1357" spans="1:42" s="192" customFormat="1" ht="11.25">
      <c r="A1357" s="37"/>
      <c r="B1357" s="37"/>
      <c r="C1357" s="37"/>
      <c r="D1357" s="191"/>
      <c r="E1357" s="191" t="s">
        <v>265</v>
      </c>
      <c r="F1357" s="191" t="str">
        <f t="shared" si="2388"/>
        <v>Лекс</v>
      </c>
      <c r="G1357" s="191" t="s">
        <v>219</v>
      </c>
      <c r="H1357" s="315"/>
      <c r="I1357" s="329">
        <f>I1356-I1354</f>
        <v>22.360179825343948</v>
      </c>
      <c r="J1357" s="317"/>
      <c r="K1357" s="329">
        <f t="shared" ref="K1357" si="2401">K1356-K1354</f>
        <v>22.360179825343948</v>
      </c>
      <c r="L1357" s="330">
        <f>L1356-L1354</f>
        <v>0</v>
      </c>
      <c r="M1357" s="274"/>
      <c r="N1357" s="156">
        <f>N1356-N1354</f>
        <v>22.360179825343948</v>
      </c>
      <c r="O1357" s="196"/>
      <c r="P1357" s="156">
        <f t="shared" ref="P1357" si="2402">P1356-P1354</f>
        <v>22.360179825343948</v>
      </c>
      <c r="Q1357" s="245">
        <f>Q1356-Q1354</f>
        <v>0</v>
      </c>
      <c r="R1357" s="238"/>
      <c r="S1357" s="156">
        <f>S1356-S1354</f>
        <v>21.196320218223264</v>
      </c>
      <c r="T1357" s="196"/>
      <c r="U1357" s="156">
        <f t="shared" ref="U1357" si="2403">U1356-U1354</f>
        <v>21.196320218223264</v>
      </c>
      <c r="V1357" s="245">
        <f>V1356-V1354</f>
        <v>0</v>
      </c>
      <c r="W1357" s="238"/>
      <c r="X1357" s="156">
        <f>X1356-X1354</f>
        <v>25.203381994077063</v>
      </c>
      <c r="Y1357" s="196"/>
      <c r="Z1357" s="156">
        <f t="shared" ref="Z1357" si="2404">Z1356-Z1354</f>
        <v>25.203381994077063</v>
      </c>
      <c r="AA1357" s="245">
        <f>AA1356-AA1354</f>
        <v>0</v>
      </c>
      <c r="AB1357" s="265"/>
      <c r="AC1357" s="37"/>
      <c r="AD1357" s="37"/>
      <c r="AE1357" s="37"/>
      <c r="AF1357" s="37"/>
      <c r="AG1357" s="37"/>
      <c r="AH1357" s="37"/>
      <c r="AI1357" s="37"/>
      <c r="AJ1357" s="37"/>
      <c r="AK1357" s="37"/>
      <c r="AL1357" s="37"/>
      <c r="AM1357" s="37"/>
      <c r="AN1357" s="37"/>
      <c r="AO1357" s="37"/>
      <c r="AP1357" s="37"/>
    </row>
    <row r="1358" spans="1:42" s="192" customFormat="1" ht="11.25">
      <c r="A1358" s="37"/>
      <c r="B1358" s="37"/>
      <c r="C1358" s="37"/>
      <c r="D1358" s="191"/>
      <c r="E1358" s="191" t="s">
        <v>268</v>
      </c>
      <c r="F1358" s="191" t="str">
        <f t="shared" si="2388"/>
        <v>Лекс</v>
      </c>
      <c r="G1358" s="191" t="s">
        <v>219</v>
      </c>
      <c r="H1358" s="315"/>
      <c r="I1358" s="329">
        <f>I1355-I1357</f>
        <v>33.603856485475262</v>
      </c>
      <c r="J1358" s="317"/>
      <c r="K1358" s="329">
        <f t="shared" ref="K1358" si="2405">K1355-K1357</f>
        <v>33.603856485475262</v>
      </c>
      <c r="L1358" s="330">
        <f t="shared" ref="L1358" si="2406">L1355-L1357</f>
        <v>0</v>
      </c>
      <c r="M1358" s="274"/>
      <c r="N1358" s="156">
        <f>N1355-N1357</f>
        <v>33.603856485475262</v>
      </c>
      <c r="O1358" s="196"/>
      <c r="P1358" s="156">
        <f t="shared" ref="P1358" si="2407">P1355-P1357</f>
        <v>33.603856485475262</v>
      </c>
      <c r="Q1358" s="245">
        <f t="shared" ref="Q1358" si="2408">Q1355-Q1357</f>
        <v>0</v>
      </c>
      <c r="R1358" s="238"/>
      <c r="S1358" s="156">
        <f>S1355-S1357</f>
        <v>59.0206317614211</v>
      </c>
      <c r="T1358" s="196"/>
      <c r="U1358" s="156">
        <f t="shared" ref="U1358" si="2409">U1355-U1357</f>
        <v>59.0206317614211</v>
      </c>
      <c r="V1358" s="245">
        <f t="shared" ref="V1358" si="2410">V1355-V1357</f>
        <v>0</v>
      </c>
      <c r="W1358" s="238"/>
      <c r="X1358" s="156">
        <f>X1355-X1357</f>
        <v>83.946935719599423</v>
      </c>
      <c r="Y1358" s="196"/>
      <c r="Z1358" s="156">
        <f t="shared" ref="Z1358" si="2411">Z1355-Z1357</f>
        <v>83.946935719599423</v>
      </c>
      <c r="AA1358" s="245">
        <f t="shared" ref="AA1358" si="2412">AA1355-AA1357</f>
        <v>0</v>
      </c>
      <c r="AB1358" s="265"/>
      <c r="AC1358" s="37"/>
      <c r="AD1358" s="37"/>
      <c r="AE1358" s="37"/>
      <c r="AF1358" s="37"/>
      <c r="AG1358" s="37"/>
      <c r="AH1358" s="37"/>
      <c r="AI1358" s="37"/>
      <c r="AJ1358" s="37"/>
      <c r="AK1358" s="37"/>
      <c r="AL1358" s="37"/>
      <c r="AM1358" s="37"/>
      <c r="AN1358" s="37"/>
      <c r="AO1358" s="37"/>
      <c r="AP1358" s="37"/>
    </row>
    <row r="1359" spans="1:42" s="5" customFormat="1">
      <c r="A1359" s="1"/>
      <c r="B1359" s="1"/>
      <c r="C1359" s="1"/>
      <c r="D1359" s="168"/>
      <c r="E1359" s="168" t="s">
        <v>276</v>
      </c>
      <c r="F1359" s="168" t="str">
        <f t="shared" si="2388"/>
        <v>Лекс</v>
      </c>
      <c r="G1359" s="168" t="s">
        <v>261</v>
      </c>
      <c r="H1359" s="326"/>
      <c r="I1359" s="327">
        <f>SUMIFS(операции!$V:$V,операции!$T:$T,"&lt;"&amp;I$8,операции!$X:$X,"",операции!$AB:$AB,"",операции!$O:$O,$F1348)+SUMIFS(операции!$V:$V,операции!$T:$T,"&lt;"&amp;I$8,операции!$X:$X,"&gt;="&amp;I$8,операции!$AB:$AB,"",операции!$O:$O,$F1348)+SUMIFS(операции!$V:$V,операции!$T:$T,"&lt;"&amp;I$8,операции!$X:$X,"",операции!$AB:$AB,"&gt;="&amp;I$8,операции!$O:$O,$F1348)+SUMIFS(операции!$V:$V,операции!$T:$T,"&lt;"&amp;I$8,операции!$X:$X,"&gt;="&amp;I$8,операции!$AB:$AB,"&gt;="&amp;I$8,операции!$O:$O,$F1348)</f>
        <v>11930</v>
      </c>
      <c r="J1359" s="313">
        <f>I1359-K1359-L1359</f>
        <v>0</v>
      </c>
      <c r="K1359" s="327">
        <f>SUMIFS(операции!$V:$V,операции!$T:$T,"&lt;"&amp;I$8,операции!$X:$X,"",операции!$AB:$AB,"",операции!$L:$L,K$9,операции!$O:$O,$F1348)+SUMIFS(операции!$V:$V,операции!$T:$T,"&lt;"&amp;I$8,операции!$X:$X,"&gt;="&amp;I$8,операции!$AB:$AB,"",операции!$L:$L,K$9,операции!$O:$O,$F1348)+SUMIFS(операции!$V:$V,операции!$T:$T,"&lt;"&amp;I$8,операции!$X:$X,"",операции!$AB:$AB,"&gt;="&amp;I$8,операции!$L:$L,K$9,операции!$O:$O,$F1348)+SUMIFS(операции!$V:$V,операции!$T:$T,"&lt;"&amp;I$8,операции!$X:$X,"&gt;="&amp;I$8,операции!$AB:$AB,"&gt;="&amp;I$8,операции!$L:$L,K$9,операции!$O:$O,$F1348)</f>
        <v>11930</v>
      </c>
      <c r="L1359" s="328">
        <f>SUMIFS(операции!$V:$V,операции!$T:$T,"&lt;"&amp;I$8,операции!$X:$X,"",операции!$AB:$AB,"",операции!$L:$L,L$9,операции!$O:$O,$F1348)+SUMIFS(операции!$V:$V,операции!$T:$T,"&lt;"&amp;I$8,операции!$X:$X,"&gt;="&amp;I$8,операции!$AB:$AB,"",операции!$L:$L,L$9,операции!$O:$O,$F1348)+SUMIFS(операции!$V:$V,операции!$T:$T,"&lt;"&amp;I$8,операции!$X:$X,"",операции!$AB:$AB,"&gt;="&amp;I$8,операции!$L:$L,L$9,операции!$O:$O,$F1348)+SUMIFS(операции!$V:$V,операции!$T:$T,"&lt;"&amp;I$8,операции!$X:$X,"&gt;="&amp;I$8,операции!$AB:$AB,"&gt;="&amp;I$8,операции!$L:$L,L$9,операции!$O:$O,$F1348)</f>
        <v>0</v>
      </c>
      <c r="M1359" s="277"/>
      <c r="N1359" s="169">
        <f>SUMIFS(операции!$V:$V,операции!$T:$T,"&lt;"&amp;N$8,операции!$X:$X,"",операции!$AB:$AB,"",операции!$O:$O,$F1348)+SUMIFS(операции!$V:$V,операции!$T:$T,"&lt;"&amp;N$8,операции!$X:$X,"&gt;="&amp;N$8,операции!$AB:$AB,"",операции!$O:$O,$F1348)+SUMIFS(операции!$V:$V,операции!$T:$T,"&lt;"&amp;N$8,операции!$X:$X,"",операции!$AB:$AB,"&gt;="&amp;N$8,операции!$O:$O,$F1348)+SUMIFS(операции!$V:$V,операции!$T:$T,"&lt;"&amp;N$8,операции!$X:$X,"&gt;="&amp;N$8,операции!$AB:$AB,"&gt;="&amp;N$8,операции!$O:$O,$F1348)</f>
        <v>11930</v>
      </c>
      <c r="O1359" s="170">
        <f>N1359-P1359-Q1359</f>
        <v>0</v>
      </c>
      <c r="P1359" s="169">
        <f>SUMIFS(операции!$V:$V,операции!$T:$T,"&lt;"&amp;N$8,операции!$X:$X,"",операции!$AB:$AB,"",операции!$L:$L,P$9,операции!$O:$O,$F1348)+SUMIFS(операции!$V:$V,операции!$T:$T,"&lt;"&amp;N$8,операции!$X:$X,"&gt;="&amp;N$8,операции!$AB:$AB,"",операции!$L:$L,P$9,операции!$O:$O,$F1348)+SUMIFS(операции!$V:$V,операции!$T:$T,"&lt;"&amp;N$8,операции!$X:$X,"",операции!$AB:$AB,"&gt;="&amp;N$8,операции!$L:$L,P$9,операции!$O:$O,$F1348)+SUMIFS(операции!$V:$V,операции!$T:$T,"&lt;"&amp;N$8,операции!$X:$X,"&gt;="&amp;N$8,операции!$AB:$AB,"&gt;="&amp;N$8,операции!$L:$L,P$9,операции!$O:$O,$F1348)</f>
        <v>11930</v>
      </c>
      <c r="Q1359" s="243">
        <f>SUMIFS(операции!$V:$V,операции!$T:$T,"&lt;"&amp;N$8,операции!$X:$X,"",операции!$AB:$AB,"",операции!$L:$L,Q$9,операции!$O:$O,$F1348)+SUMIFS(операции!$V:$V,операции!$T:$T,"&lt;"&amp;N$8,операции!$X:$X,"&gt;="&amp;N$8,операции!$AB:$AB,"",операции!$L:$L,Q$9,операции!$O:$O,$F1348)+SUMIFS(операции!$V:$V,операции!$T:$T,"&lt;"&amp;N$8,операции!$X:$X,"",операции!$AB:$AB,"&gt;="&amp;N$8,операции!$L:$L,Q$9,операции!$O:$O,$F1348)+SUMIFS(операции!$V:$V,операции!$T:$T,"&lt;"&amp;N$8,операции!$X:$X,"&gt;="&amp;N$8,операции!$AB:$AB,"&gt;="&amp;N$8,операции!$L:$L,Q$9,операции!$O:$O,$F1348)</f>
        <v>0</v>
      </c>
      <c r="R1359" s="244"/>
      <c r="S1359" s="169">
        <f>SUMIFS(операции!$V:$V,операции!$T:$T,"&lt;"&amp;S$8,операции!$X:$X,"",операции!$AB:$AB,"",операции!$O:$O,$F1348)+SUMIFS(операции!$V:$V,операции!$T:$T,"&lt;"&amp;S$8,операции!$X:$X,"&gt;="&amp;S$8,операции!$AB:$AB,"",операции!$O:$O,$F1348)+SUMIFS(операции!$V:$V,операции!$T:$T,"&lt;"&amp;S$8,операции!$X:$X,"",операции!$AB:$AB,"&gt;="&amp;S$8,операции!$O:$O,$F1348)+SUMIFS(операции!$V:$V,операции!$T:$T,"&lt;"&amp;S$8,операции!$X:$X,"&gt;="&amp;S$8,операции!$AB:$AB,"&gt;="&amp;S$8,операции!$O:$O,$F1348)</f>
        <v>11847.48</v>
      </c>
      <c r="T1359" s="170">
        <f>S1359-U1359-V1359</f>
        <v>0</v>
      </c>
      <c r="U1359" s="169">
        <f>SUMIFS(операции!$V:$V,операции!$T:$T,"&lt;"&amp;S$8,операции!$X:$X,"",операции!$AB:$AB,"",операции!$L:$L,U$9,операции!$O:$O,$F1348)+SUMIFS(операции!$V:$V,операции!$T:$T,"&lt;"&amp;S$8,операции!$X:$X,"&gt;="&amp;S$8,операции!$AB:$AB,"",операции!$L:$L,U$9,операции!$O:$O,$F1348)+SUMIFS(операции!$V:$V,операции!$T:$T,"&lt;"&amp;S$8,операции!$X:$X,"",операции!$AB:$AB,"&gt;="&amp;S$8,операции!$L:$L,U$9,операции!$O:$O,$F1348)+SUMIFS(операции!$V:$V,операции!$T:$T,"&lt;"&amp;S$8,операции!$X:$X,"&gt;="&amp;S$8,операции!$AB:$AB,"&gt;="&amp;S$8,операции!$L:$L,U$9,операции!$O:$O,$F1348)</f>
        <v>6036.4800000000005</v>
      </c>
      <c r="V1359" s="243">
        <f>SUMIFS(операции!$V:$V,операции!$T:$T,"&lt;"&amp;S$8,операции!$X:$X,"",операции!$AB:$AB,"",операции!$L:$L,V$9,операции!$O:$O,$F1348)+SUMIFS(операции!$V:$V,операции!$T:$T,"&lt;"&amp;S$8,операции!$X:$X,"&gt;="&amp;S$8,операции!$AB:$AB,"",операции!$L:$L,V$9,операции!$O:$O,$F1348)+SUMIFS(операции!$V:$V,операции!$T:$T,"&lt;"&amp;S$8,операции!$X:$X,"",операции!$AB:$AB,"&gt;="&amp;S$8,операции!$L:$L,V$9,операции!$O:$O,$F1348)+SUMIFS(операции!$V:$V,операции!$T:$T,"&lt;"&amp;S$8,операции!$X:$X,"&gt;="&amp;S$8,операции!$AB:$AB,"&gt;="&amp;S$8,операции!$L:$L,V$9,операции!$O:$O,$F1348)</f>
        <v>5811</v>
      </c>
      <c r="W1359" s="244"/>
      <c r="X1359" s="169">
        <f>SUMIFS(операции!$V:$V,операции!$T:$T,"&lt;"&amp;X$8,операции!$X:$X,"",операции!$AB:$AB,"",операции!$O:$O,$F1348)+SUMIFS(операции!$V:$V,операции!$T:$T,"&lt;"&amp;X$8,операции!$X:$X,"&gt;="&amp;X$8,операции!$AB:$AB,"",операции!$O:$O,$F1348)+SUMIFS(операции!$V:$V,операции!$T:$T,"&lt;"&amp;X$8,операции!$X:$X,"",операции!$AB:$AB,"&gt;="&amp;X$8,операции!$O:$O,$F1348)+SUMIFS(операции!$V:$V,операции!$T:$T,"&lt;"&amp;X$8,операции!$X:$X,"&gt;="&amp;X$8,операции!$AB:$AB,"&gt;="&amp;X$8,операции!$O:$O,$F1348)</f>
        <v>4791</v>
      </c>
      <c r="Y1359" s="170">
        <f>X1359-Z1359-AA1359</f>
        <v>0</v>
      </c>
      <c r="Z1359" s="169">
        <f>SUMIFS(операции!$V:$V,операции!$T:$T,"&lt;"&amp;X$8,операции!$X:$X,"",операции!$AB:$AB,"",операции!$L:$L,Z$9,операции!$O:$O,$F1348)+SUMIFS(операции!$V:$V,операции!$T:$T,"&lt;"&amp;X$8,операции!$X:$X,"&gt;="&amp;X$8,операции!$AB:$AB,"",операции!$L:$L,Z$9,операции!$O:$O,$F1348)+SUMIFS(операции!$V:$V,операции!$T:$T,"&lt;"&amp;X$8,операции!$X:$X,"",операции!$AB:$AB,"&gt;="&amp;X$8,операции!$L:$L,Z$9,операции!$O:$O,$F1348)+SUMIFS(операции!$V:$V,операции!$T:$T,"&lt;"&amp;X$8,операции!$X:$X,"&gt;="&amp;X$8,операции!$AB:$AB,"&gt;="&amp;X$8,операции!$L:$L,Z$9,операции!$O:$O,$F1348)</f>
        <v>2063</v>
      </c>
      <c r="AA1359" s="243">
        <f>SUMIFS(операции!$V:$V,операции!$T:$T,"&lt;"&amp;X$8,операции!$X:$X,"",операции!$AB:$AB,"",операции!$L:$L,AA$9,операции!$O:$O,$F1348)+SUMIFS(операции!$V:$V,операции!$T:$T,"&lt;"&amp;X$8,операции!$X:$X,"&gt;="&amp;X$8,операции!$AB:$AB,"",операции!$L:$L,AA$9,операции!$O:$O,$F1348)+SUMIFS(операции!$V:$V,операции!$T:$T,"&lt;"&amp;X$8,операции!$X:$X,"",операции!$AB:$AB,"&gt;="&amp;X$8,операции!$L:$L,AA$9,операции!$O:$O,$F1348)+SUMIFS(операции!$V:$V,операции!$T:$T,"&lt;"&amp;X$8,операции!$X:$X,"&gt;="&amp;X$8,операции!$AB:$AB,"&gt;="&amp;X$8,операции!$L:$L,AA$9,операции!$O:$O,$F1348)</f>
        <v>2728</v>
      </c>
      <c r="AB1359" s="266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</row>
    <row r="1360" spans="1:42" s="192" customFormat="1" ht="11.25">
      <c r="A1360" s="37"/>
      <c r="B1360" s="37"/>
      <c r="C1360" s="37"/>
      <c r="D1360" s="191"/>
      <c r="E1360" s="191" t="s">
        <v>255</v>
      </c>
      <c r="F1360" s="191" t="str">
        <f t="shared" si="2388"/>
        <v>Лекс</v>
      </c>
      <c r="G1360" s="191" t="s">
        <v>262</v>
      </c>
      <c r="H1360" s="315"/>
      <c r="I1360" s="316">
        <f>IF(I1359=0,0,(SUMIFS(операции!$AF:$AF,операции!$T:$T,"&lt;"&amp;I$8,операции!$X:$X,"",операции!$AB:$AB,"",операции!$O:$O,$F1348)+SUMIFS(операции!$AF:$AF,операции!$T:$T,"&lt;"&amp;I$8,операции!$X:$X,"&gt;="&amp;I$8,операции!$AB:$AB,"",операции!$O:$O,$F1348)+SUMIFS(операции!$AF:$AF,операции!$T:$T,"&lt;"&amp;I$8,операции!$X:$X,"",операции!$AB:$AB,"&gt;="&amp;I$8,операции!$O:$O,$F1348)+SUMIFS(операции!$AF:$AF,операции!$T:$T,"&lt;"&amp;I$8,операции!$X:$X,"&gt;="&amp;I$8,операции!$AB:$AB,"&gt;="&amp;I$8,операции!$O:$O,$F1348))/I1359)</f>
        <v>42204.384660519696</v>
      </c>
      <c r="J1360" s="317"/>
      <c r="K1360" s="316">
        <f>IF(K1359=0,0,(SUMIFS(операции!$AF:$AF,операции!$T:$T,"&lt;"&amp;I$8,операции!$X:$X,"",операции!$AB:$AB,"",операции!$L:$L,K$9,операции!$O:$O,$F1348)+SUMIFS(операции!$AF:$AF,операции!$T:$T,"&lt;"&amp;I$8,операции!$X:$X,"&gt;="&amp;I$8,операции!$AB:$AB,"",операции!$L:$L,K$9,операции!$O:$O,$F1348)+SUMIFS(операции!$AF:$AF,операции!$T:$T,"&lt;"&amp;I$8,операции!$X:$X,"",операции!$AB:$AB,"&gt;="&amp;I$8,операции!$L:$L,K$9,операции!$O:$O,$F1348)+SUMIFS(операции!$AF:$AF,операции!$T:$T,"&lt;"&amp;I$8,операции!$X:$X,"&gt;="&amp;I$8,операции!$AB:$AB,"&gt;="&amp;I$8,операции!$L:$L,K$9,операции!$O:$O,$F1348))/K1359)</f>
        <v>42204.384660519696</v>
      </c>
      <c r="L1360" s="318">
        <f>IF(L1359=0,0,(SUMIFS(операции!$AF:$AF,операции!$T:$T,"&lt;"&amp;I$8,операции!$X:$X,"",операции!$AB:$AB,"",операции!$L:$L,L$9,операции!$O:$O,$F1348)+SUMIFS(операции!$AF:$AF,операции!$T:$T,"&lt;"&amp;I$8,операции!$X:$X,"&gt;="&amp;I$8,операции!$AB:$AB,"",операции!$L:$L,L$9,операции!$O:$O,$F1348)+SUMIFS(операции!$AF:$AF,операции!$T:$T,"&lt;"&amp;I$8,операции!$X:$X,"",операции!$AB:$AB,"&gt;="&amp;I$8,операции!$L:$L,L$9,операции!$O:$O,$F1348)+SUMIFS(операции!$AF:$AF,операции!$T:$T,"&lt;"&amp;I$8,операции!$X:$X,"&gt;="&amp;I$8,операции!$AB:$AB,"&gt;="&amp;I$8,операции!$L:$L,L$9,операции!$O:$O,$F1348))/L1359)</f>
        <v>0</v>
      </c>
      <c r="M1360" s="274"/>
      <c r="N1360" s="193">
        <f>IF(N1359=0,0,(SUMIFS(операции!$AF:$AF,операции!$T:$T,"&lt;"&amp;N$8,операции!$X:$X,"",операции!$AB:$AB,"",операции!$O:$O,$F1348)+SUMIFS(операции!$AF:$AF,операции!$T:$T,"&lt;"&amp;N$8,операции!$X:$X,"&gt;="&amp;N$8,операции!$AB:$AB,"",операции!$O:$O,$F1348)+SUMIFS(операции!$AF:$AF,операции!$T:$T,"&lt;"&amp;N$8,операции!$X:$X,"",операции!$AB:$AB,"&gt;="&amp;N$8,операции!$O:$O,$F1348)+SUMIFS(операции!$AF:$AF,операции!$T:$T,"&lt;"&amp;N$8,операции!$X:$X,"&gt;="&amp;N$8,операции!$AB:$AB,"&gt;="&amp;N$8,операции!$O:$O,$F1348))/N1359)</f>
        <v>42204.384660519696</v>
      </c>
      <c r="O1360" s="196"/>
      <c r="P1360" s="193">
        <f>IF(P1359=0,0,(SUMIFS(операции!$AF:$AF,операции!$T:$T,"&lt;"&amp;N$8,операции!$X:$X,"",операции!$AB:$AB,"",операции!$L:$L,P$9,операции!$O:$O,$F1348)+SUMIFS(операции!$AF:$AF,операции!$T:$T,"&lt;"&amp;N$8,операции!$X:$X,"&gt;="&amp;N$8,операции!$AB:$AB,"",операции!$L:$L,P$9,операции!$O:$O,$F1348)+SUMIFS(операции!$AF:$AF,операции!$T:$T,"&lt;"&amp;N$8,операции!$X:$X,"",операции!$AB:$AB,"&gt;="&amp;N$8,операции!$L:$L,P$9,операции!$O:$O,$F1348)+SUMIFS(операции!$AF:$AF,операции!$T:$T,"&lt;"&amp;N$8,операции!$X:$X,"&gt;="&amp;N$8,операции!$AB:$AB,"&gt;="&amp;N$8,операции!$L:$L,P$9,операции!$O:$O,$F1348))/P1359)</f>
        <v>42204.384660519696</v>
      </c>
      <c r="Q1360" s="237">
        <f>IF(Q1359=0,0,(SUMIFS(операции!$AF:$AF,операции!$T:$T,"&lt;"&amp;N$8,операции!$X:$X,"",операции!$AB:$AB,"",операции!$L:$L,Q$9,операции!$O:$O,$F1348)+SUMIFS(операции!$AF:$AF,операции!$T:$T,"&lt;"&amp;N$8,операции!$X:$X,"&gt;="&amp;N$8,операции!$AB:$AB,"",операции!$L:$L,Q$9,операции!$O:$O,$F1348)+SUMIFS(операции!$AF:$AF,операции!$T:$T,"&lt;"&amp;N$8,операции!$X:$X,"",операции!$AB:$AB,"&gt;="&amp;N$8,операции!$L:$L,Q$9,операции!$O:$O,$F1348)+SUMIFS(операции!$AF:$AF,операции!$T:$T,"&lt;"&amp;N$8,операции!$X:$X,"&gt;="&amp;N$8,операции!$AB:$AB,"&gt;="&amp;N$8,операции!$L:$L,Q$9,операции!$O:$O,$F1348))/Q1359)</f>
        <v>0</v>
      </c>
      <c r="R1360" s="238"/>
      <c r="S1360" s="193">
        <f>IF(S1359=0,0,(SUMIFS(операции!$AF:$AF,операции!$T:$T,"&lt;"&amp;S$8,операции!$X:$X,"",операции!$AB:$AB,"",операции!$O:$O,$F1348)+SUMIFS(операции!$AF:$AF,операции!$T:$T,"&lt;"&amp;S$8,операции!$X:$X,"&gt;="&amp;S$8,операции!$AB:$AB,"",операции!$O:$O,$F1348)+SUMIFS(операции!$AF:$AF,операции!$T:$T,"&lt;"&amp;S$8,операции!$X:$X,"",операции!$AB:$AB,"&gt;="&amp;S$8,операции!$O:$O,$F1348)+SUMIFS(операции!$AF:$AF,операции!$T:$T,"&lt;"&amp;S$8,операции!$X:$X,"&gt;="&amp;S$8,операции!$AB:$AB,"&gt;="&amp;S$8,операции!$O:$O,$F1348))/S1359)</f>
        <v>42290.973325973122</v>
      </c>
      <c r="T1360" s="196"/>
      <c r="U1360" s="193">
        <f>IF(U1359=0,0,(SUMIFS(операции!$AF:$AF,операции!$T:$T,"&lt;"&amp;S$8,операции!$X:$X,"",операции!$AB:$AB,"",операции!$L:$L,U$9,операции!$O:$O,$F1348)+SUMIFS(операции!$AF:$AF,операции!$T:$T,"&lt;"&amp;S$8,операции!$X:$X,"&gt;="&amp;S$8,операции!$AB:$AB,"",операции!$L:$L,U$9,операции!$O:$O,$F1348)+SUMIFS(операции!$AF:$AF,операции!$T:$T,"&lt;"&amp;S$8,операции!$X:$X,"",операции!$AB:$AB,"&gt;="&amp;S$8,операции!$L:$L,U$9,операции!$O:$O,$F1348)+SUMIFS(операции!$AF:$AF,операции!$T:$T,"&lt;"&amp;S$8,операции!$X:$X,"&gt;="&amp;S$8,операции!$AB:$AB,"&gt;="&amp;S$8,операции!$L:$L,U$9,операции!$O:$O,$F1348))/U1359)</f>
        <v>42276.048402380191</v>
      </c>
      <c r="V1360" s="237">
        <f>IF(V1359=0,0,(SUMIFS(операции!$AF:$AF,операции!$T:$T,"&lt;"&amp;S$8,операции!$X:$X,"",операции!$AB:$AB,"",операции!$L:$L,V$9,операции!$O:$O,$F1348)+SUMIFS(операции!$AF:$AF,операции!$T:$T,"&lt;"&amp;S$8,операции!$X:$X,"&gt;="&amp;S$8,операции!$AB:$AB,"",операции!$L:$L,V$9,операции!$O:$O,$F1348)+SUMIFS(операции!$AF:$AF,операции!$T:$T,"&lt;"&amp;S$8,операции!$X:$X,"",операции!$AB:$AB,"&gt;="&amp;S$8,операции!$L:$L,V$9,операции!$O:$O,$F1348)+SUMIFS(операции!$AF:$AF,операции!$T:$T,"&lt;"&amp;S$8,операции!$X:$X,"&gt;="&amp;S$8,операции!$AB:$AB,"&gt;="&amp;S$8,операции!$L:$L,V$9,операции!$O:$O,$F1348))/V1359)</f>
        <v>42306.477370504217</v>
      </c>
      <c r="W1360" s="238"/>
      <c r="X1360" s="193">
        <f>IF(X1359=0,0,(SUMIFS(операции!$AF:$AF,операции!$T:$T,"&lt;"&amp;X$8,операции!$X:$X,"",операции!$AB:$AB,"",операции!$O:$O,$F1348)+SUMIFS(операции!$AF:$AF,операции!$T:$T,"&lt;"&amp;X$8,операции!$X:$X,"&gt;="&amp;X$8,операции!$AB:$AB,"",операции!$O:$O,$F1348)+SUMIFS(операции!$AF:$AF,операции!$T:$T,"&lt;"&amp;X$8,операции!$X:$X,"",операции!$AB:$AB,"&gt;="&amp;X$8,операции!$O:$O,$F1348)+SUMIFS(операции!$AF:$AF,операции!$T:$T,"&lt;"&amp;X$8,операции!$X:$X,"&gt;="&amp;X$8,операции!$AB:$AB,"&gt;="&amp;X$8,операции!$O:$O,$F1348))/X1359)</f>
        <v>42302.982675850551</v>
      </c>
      <c r="Y1360" s="196"/>
      <c r="Z1360" s="193">
        <f>IF(Z1359=0,0,(SUMIFS(операции!$AF:$AF,операции!$T:$T,"&lt;"&amp;X$8,операции!$X:$X,"",операции!$AB:$AB,"",операции!$L:$L,Z$9,операции!$O:$O,$F1348)+SUMIFS(операции!$AF:$AF,операции!$T:$T,"&lt;"&amp;X$8,операции!$X:$X,"&gt;="&amp;X$8,операции!$AB:$AB,"",операции!$L:$L,Z$9,операции!$O:$O,$F1348)+SUMIFS(операции!$AF:$AF,операции!$T:$T,"&lt;"&amp;X$8,операции!$X:$X,"",операции!$AB:$AB,"&gt;="&amp;X$8,операции!$L:$L,Z$9,операции!$O:$O,$F1348)+SUMIFS(операции!$AF:$AF,операции!$T:$T,"&lt;"&amp;X$8,операции!$X:$X,"&gt;="&amp;X$8,операции!$AB:$AB,"&gt;="&amp;X$8,операции!$L:$L,Z$9,операции!$O:$O,$F1348))/Z1359)</f>
        <v>42258</v>
      </c>
      <c r="AA1360" s="237">
        <f>IF(AA1359=0,0,(SUMIFS(операции!$AF:$AF,операции!$T:$T,"&lt;"&amp;X$8,операции!$X:$X,"",операции!$AB:$AB,"",операции!$L:$L,AA$9,операции!$O:$O,$F1348)+SUMIFS(операции!$AF:$AF,операции!$T:$T,"&lt;"&amp;X$8,операции!$X:$X,"&gt;="&amp;X$8,операции!$AB:$AB,"",операции!$L:$L,AA$9,операции!$O:$O,$F1348)+SUMIFS(операции!$AF:$AF,операции!$T:$T,"&lt;"&amp;X$8,операции!$X:$X,"",операции!$AB:$AB,"&gt;="&amp;X$8,операции!$L:$L,AA$9,операции!$O:$O,$F1348)+SUMIFS(операции!$AF:$AF,операции!$T:$T,"&lt;"&amp;X$8,операции!$X:$X,"&gt;="&amp;X$8,операции!$AB:$AB,"&gt;="&amp;X$8,операции!$L:$L,AA$9,операции!$O:$O,$F1348))/AA1359)</f>
        <v>42337</v>
      </c>
      <c r="AB1360" s="265"/>
      <c r="AC1360" s="37"/>
      <c r="AD1360" s="37"/>
      <c r="AE1360" s="37"/>
      <c r="AF1360" s="37"/>
      <c r="AG1360" s="37"/>
      <c r="AH1360" s="37"/>
      <c r="AI1360" s="37"/>
      <c r="AJ1360" s="37"/>
      <c r="AK1360" s="37"/>
      <c r="AL1360" s="37"/>
      <c r="AM1360" s="37"/>
      <c r="AN1360" s="37"/>
      <c r="AO1360" s="37"/>
      <c r="AP1360" s="37"/>
    </row>
    <row r="1361" spans="1:42" s="192" customFormat="1" ht="11.25">
      <c r="A1361" s="37"/>
      <c r="B1361" s="37"/>
      <c r="C1361" s="37"/>
      <c r="D1361" s="191"/>
      <c r="E1361" s="191" t="s">
        <v>263</v>
      </c>
      <c r="F1361" s="191" t="str">
        <f t="shared" si="2388"/>
        <v>Лекс</v>
      </c>
      <c r="G1361" s="191" t="s">
        <v>219</v>
      </c>
      <c r="H1361" s="315"/>
      <c r="I1361" s="329">
        <f>IF(I1359=0,0,I$8-I1360)</f>
        <v>73.615339480304101</v>
      </c>
      <c r="J1361" s="317"/>
      <c r="K1361" s="329">
        <f>IF(K1359=0,0,I$8-K1360)</f>
        <v>73.615339480304101</v>
      </c>
      <c r="L1361" s="330">
        <f>IF(L1359=0,0,I$8-L1360)</f>
        <v>0</v>
      </c>
      <c r="M1361" s="274"/>
      <c r="N1361" s="156">
        <f>IF(N1359=0,0,N$8-N1360)</f>
        <v>73.615339480304101</v>
      </c>
      <c r="O1361" s="196"/>
      <c r="P1361" s="156">
        <f>IF(P1359=0,0,N$8-P1360)</f>
        <v>73.615339480304101</v>
      </c>
      <c r="Q1361" s="245">
        <f>IF(Q1359=0,0,N$8-Q1360)</f>
        <v>0</v>
      </c>
      <c r="R1361" s="238"/>
      <c r="S1361" s="156">
        <f>IF(S1359=0,0,S$8-S1360)</f>
        <v>18.026674026878027</v>
      </c>
      <c r="T1361" s="196"/>
      <c r="U1361" s="156">
        <f>IF(U1359=0,0,S$8-U1360)</f>
        <v>32.951597619809036</v>
      </c>
      <c r="V1361" s="245">
        <f>IF(V1359=0,0,S$8-V1360)</f>
        <v>2.5226294957828941</v>
      </c>
      <c r="W1361" s="238"/>
      <c r="X1361" s="156">
        <f>IF(X1359=0,0,X$8-X1360)</f>
        <v>36.017324149448541</v>
      </c>
      <c r="Y1361" s="196"/>
      <c r="Z1361" s="156">
        <f>IF(Z1359=0,0,X$8-Z1360)</f>
        <v>81</v>
      </c>
      <c r="AA1361" s="245">
        <f>IF(AA1359=0,0,X$8-AA1360)</f>
        <v>2</v>
      </c>
      <c r="AB1361" s="265"/>
      <c r="AC1361" s="37"/>
      <c r="AD1361" s="37"/>
      <c r="AE1361" s="37"/>
      <c r="AF1361" s="37"/>
      <c r="AG1361" s="37"/>
      <c r="AH1361" s="37"/>
      <c r="AI1361" s="37"/>
      <c r="AJ1361" s="37"/>
      <c r="AK1361" s="37"/>
      <c r="AL1361" s="37"/>
      <c r="AM1361" s="37"/>
      <c r="AN1361" s="37"/>
      <c r="AO1361" s="37"/>
      <c r="AP1361" s="37"/>
    </row>
    <row r="1362" spans="1:42" s="192" customFormat="1" ht="11.25">
      <c r="A1362" s="37"/>
      <c r="B1362" s="37"/>
      <c r="C1362" s="37"/>
      <c r="D1362" s="191"/>
      <c r="E1362" s="191" t="s">
        <v>311</v>
      </c>
      <c r="F1362" s="191" t="str">
        <f t="shared" si="2388"/>
        <v>Лекс</v>
      </c>
      <c r="G1362" s="191" t="s">
        <v>262</v>
      </c>
      <c r="H1362" s="315"/>
      <c r="I1362" s="316">
        <f>I$8</f>
        <v>42278</v>
      </c>
      <c r="J1362" s="317"/>
      <c r="K1362" s="316">
        <f>I$8</f>
        <v>42278</v>
      </c>
      <c r="L1362" s="318">
        <f>I$8</f>
        <v>42278</v>
      </c>
      <c r="M1362" s="274"/>
      <c r="N1362" s="193">
        <f>N$8</f>
        <v>42278</v>
      </c>
      <c r="O1362" s="196"/>
      <c r="P1362" s="193">
        <f>N$8</f>
        <v>42278</v>
      </c>
      <c r="Q1362" s="237">
        <f>N$8</f>
        <v>42278</v>
      </c>
      <c r="R1362" s="238"/>
      <c r="S1362" s="193">
        <f>S$8</f>
        <v>42309</v>
      </c>
      <c r="T1362" s="196"/>
      <c r="U1362" s="193">
        <f>S$8</f>
        <v>42309</v>
      </c>
      <c r="V1362" s="237">
        <f>S$8</f>
        <v>42309</v>
      </c>
      <c r="W1362" s="238"/>
      <c r="X1362" s="193">
        <f>X$8</f>
        <v>42339</v>
      </c>
      <c r="Y1362" s="196"/>
      <c r="Z1362" s="193">
        <f>X$8</f>
        <v>42339</v>
      </c>
      <c r="AA1362" s="237">
        <f>X$8</f>
        <v>42339</v>
      </c>
      <c r="AB1362" s="265"/>
      <c r="AC1362" s="37"/>
      <c r="AD1362" s="37"/>
      <c r="AE1362" s="37"/>
      <c r="AF1362" s="37"/>
      <c r="AG1362" s="37"/>
      <c r="AH1362" s="37"/>
      <c r="AI1362" s="37"/>
      <c r="AJ1362" s="37"/>
      <c r="AK1362" s="37"/>
      <c r="AL1362" s="37"/>
      <c r="AM1362" s="37"/>
      <c r="AN1362" s="37"/>
      <c r="AO1362" s="37"/>
      <c r="AP1362" s="37"/>
    </row>
    <row r="1363" spans="1:42" s="192" customFormat="1" ht="11.25">
      <c r="A1363" s="37"/>
      <c r="B1363" s="37"/>
      <c r="C1363" s="37"/>
      <c r="D1363" s="191"/>
      <c r="E1363" s="191" t="s">
        <v>264</v>
      </c>
      <c r="F1363" s="191" t="str">
        <f t="shared" si="2388"/>
        <v>Лекс</v>
      </c>
      <c r="G1363" s="191" t="s">
        <v>219</v>
      </c>
      <c r="H1363" s="315"/>
      <c r="I1363" s="329">
        <f>IF(I1359=0,0,I1362-I1360)</f>
        <v>73.615339480304101</v>
      </c>
      <c r="J1363" s="317"/>
      <c r="K1363" s="329">
        <f>IF(K1359=0,0,K1362-K1360)</f>
        <v>73.615339480304101</v>
      </c>
      <c r="L1363" s="330">
        <f>IF(L1359=0,0,L1362-L1360)</f>
        <v>0</v>
      </c>
      <c r="M1363" s="274"/>
      <c r="N1363" s="156">
        <f>IF(N1359=0,0,N1362-N1360)</f>
        <v>73.615339480304101</v>
      </c>
      <c r="O1363" s="196"/>
      <c r="P1363" s="156">
        <f>IF(P1359=0,0,P1362-P1360)</f>
        <v>73.615339480304101</v>
      </c>
      <c r="Q1363" s="245">
        <f>IF(Q1359=0,0,Q1362-Q1360)</f>
        <v>0</v>
      </c>
      <c r="R1363" s="238"/>
      <c r="S1363" s="156">
        <f>IF(S1359=0,0,S1362-S1360)</f>
        <v>18.026674026878027</v>
      </c>
      <c r="T1363" s="196"/>
      <c r="U1363" s="156">
        <f>IF(U1359=0,0,U1362-U1360)</f>
        <v>32.951597619809036</v>
      </c>
      <c r="V1363" s="245">
        <f>IF(V1359=0,0,V1362-V1360)</f>
        <v>2.5226294957828941</v>
      </c>
      <c r="W1363" s="238"/>
      <c r="X1363" s="156">
        <f>IF(X1359=0,0,X1362-X1360)</f>
        <v>36.017324149448541</v>
      </c>
      <c r="Y1363" s="196"/>
      <c r="Z1363" s="156">
        <f>IF(Z1359=0,0,Z1362-Z1360)</f>
        <v>81</v>
      </c>
      <c r="AA1363" s="245">
        <f>IF(AA1359=0,0,AA1362-AA1360)</f>
        <v>2</v>
      </c>
      <c r="AB1363" s="265"/>
      <c r="AC1363" s="37"/>
      <c r="AD1363" s="37"/>
      <c r="AE1363" s="37"/>
      <c r="AF1363" s="37"/>
      <c r="AG1363" s="37"/>
      <c r="AH1363" s="37"/>
      <c r="AI1363" s="37"/>
      <c r="AJ1363" s="37"/>
      <c r="AK1363" s="37"/>
      <c r="AL1363" s="37"/>
      <c r="AM1363" s="37"/>
      <c r="AN1363" s="37"/>
      <c r="AO1363" s="37"/>
      <c r="AP1363" s="37"/>
    </row>
    <row r="1364" spans="1:42" s="192" customFormat="1" ht="11.25">
      <c r="A1364" s="37"/>
      <c r="B1364" s="37"/>
      <c r="C1364" s="37"/>
      <c r="D1364" s="207"/>
      <c r="E1364" s="207" t="s">
        <v>269</v>
      </c>
      <c r="F1364" s="207" t="str">
        <f t="shared" si="2388"/>
        <v>Лекс</v>
      </c>
      <c r="G1364" s="207" t="s">
        <v>219</v>
      </c>
      <c r="H1364" s="331"/>
      <c r="I1364" s="332">
        <f>I1361-I1363</f>
        <v>0</v>
      </c>
      <c r="J1364" s="333"/>
      <c r="K1364" s="332">
        <f t="shared" ref="K1364" si="2413">K1361-K1363</f>
        <v>0</v>
      </c>
      <c r="L1364" s="334">
        <f>L1361-L1363</f>
        <v>0</v>
      </c>
      <c r="M1364" s="278"/>
      <c r="N1364" s="162">
        <f>N1361-N1363</f>
        <v>0</v>
      </c>
      <c r="O1364" s="208"/>
      <c r="P1364" s="162">
        <f t="shared" ref="P1364" si="2414">P1361-P1363</f>
        <v>0</v>
      </c>
      <c r="Q1364" s="246">
        <f>Q1361-Q1363</f>
        <v>0</v>
      </c>
      <c r="R1364" s="247"/>
      <c r="S1364" s="162">
        <f>S1361-S1363</f>
        <v>0</v>
      </c>
      <c r="T1364" s="208"/>
      <c r="U1364" s="162">
        <f t="shared" ref="U1364" si="2415">U1361-U1363</f>
        <v>0</v>
      </c>
      <c r="V1364" s="246">
        <f>V1361-V1363</f>
        <v>0</v>
      </c>
      <c r="W1364" s="247"/>
      <c r="X1364" s="162">
        <f>X1361-X1363</f>
        <v>0</v>
      </c>
      <c r="Y1364" s="208"/>
      <c r="Z1364" s="162">
        <f t="shared" ref="Z1364" si="2416">Z1361-Z1363</f>
        <v>0</v>
      </c>
      <c r="AA1364" s="246">
        <f>AA1361-AA1363</f>
        <v>0</v>
      </c>
      <c r="AB1364" s="265"/>
      <c r="AC1364" s="37"/>
      <c r="AD1364" s="37"/>
      <c r="AE1364" s="37"/>
      <c r="AF1364" s="37"/>
      <c r="AG1364" s="37"/>
      <c r="AH1364" s="37"/>
      <c r="AI1364" s="37"/>
      <c r="AJ1364" s="37"/>
      <c r="AK1364" s="37"/>
      <c r="AL1364" s="37"/>
      <c r="AM1364" s="37"/>
      <c r="AN1364" s="37"/>
      <c r="AO1364" s="37"/>
      <c r="AP1364" s="37"/>
    </row>
    <row r="1365" spans="1:42" s="111" customFormat="1" ht="11.25">
      <c r="A1365" s="108"/>
      <c r="B1365" s="108"/>
      <c r="C1365" s="108" t="s">
        <v>272</v>
      </c>
      <c r="D1365" s="109"/>
      <c r="E1365" s="109"/>
      <c r="F1365" s="109" t="str">
        <f t="shared" si="2388"/>
        <v>Лекс</v>
      </c>
      <c r="G1365" s="109"/>
      <c r="H1365" s="307"/>
      <c r="I1365" s="308">
        <f>I1366-K1366-L1366</f>
        <v>0</v>
      </c>
      <c r="J1365" s="335"/>
      <c r="K1365" s="308"/>
      <c r="L1365" s="336"/>
      <c r="M1365" s="272"/>
      <c r="N1365" s="110">
        <f>N1366-P1366-Q1366</f>
        <v>0</v>
      </c>
      <c r="O1365" s="105"/>
      <c r="P1365" s="110"/>
      <c r="Q1365" s="248"/>
      <c r="R1365" s="234"/>
      <c r="S1365" s="110">
        <f>S1366-U1366-V1366</f>
        <v>0</v>
      </c>
      <c r="T1365" s="105"/>
      <c r="U1365" s="110"/>
      <c r="V1365" s="248"/>
      <c r="W1365" s="234"/>
      <c r="X1365" s="110">
        <f>X1366-Z1366-AA1366</f>
        <v>0</v>
      </c>
      <c r="Y1365" s="105"/>
      <c r="Z1365" s="110"/>
      <c r="AA1365" s="248"/>
      <c r="AB1365" s="263"/>
      <c r="AC1365" s="108"/>
      <c r="AD1365" s="108"/>
      <c r="AE1365" s="108"/>
      <c r="AF1365" s="108"/>
      <c r="AG1365" s="108"/>
      <c r="AH1365" s="108"/>
      <c r="AI1365" s="108"/>
      <c r="AJ1365" s="108"/>
      <c r="AK1365" s="108"/>
      <c r="AL1365" s="108"/>
      <c r="AM1365" s="108"/>
      <c r="AN1365" s="108"/>
      <c r="AO1365" s="108"/>
      <c r="AP1365" s="108"/>
    </row>
    <row r="1366" spans="1:42" s="5" customFormat="1">
      <c r="A1366" s="1"/>
      <c r="B1366" s="1"/>
      <c r="C1366" s="1"/>
      <c r="D1366" s="168" t="s">
        <v>273</v>
      </c>
      <c r="E1366" s="168"/>
      <c r="F1366" s="168" t="str">
        <f t="shared" si="2388"/>
        <v>Лекс</v>
      </c>
      <c r="G1366" s="168" t="s">
        <v>261</v>
      </c>
      <c r="H1366" s="326"/>
      <c r="I1366" s="327">
        <f>SUMIFS(операции!$V:$V,операции!$T:$T,"&gt;="&amp;I$8,операции!$T:$T,"&lt;="&amp;I$9,операции!$O:$O,$F1348)</f>
        <v>20479.939999999995</v>
      </c>
      <c r="J1366" s="313"/>
      <c r="K1366" s="327">
        <f>SUMIFS(операции!$V:$V,операции!$T:$T,"&gt;="&amp;I$8,операции!$T:$T,"&lt;="&amp;I$9,операции!$L:$L,K$9,операции!$O:$O,$F1348)</f>
        <v>10855.94</v>
      </c>
      <c r="L1366" s="328">
        <f>SUMIFS(операции!$V:$V,операции!$T:$T,"&gt;="&amp;I$8,операции!$T:$T,"&lt;="&amp;I$9,операции!$L:$L,L$9,операции!$O:$O,$F1348)</f>
        <v>9624</v>
      </c>
      <c r="M1366" s="277"/>
      <c r="N1366" s="169">
        <f>SUMIFS(операции!$V:$V,операции!$T:$T,"&gt;="&amp;N$8,операции!$T:$T,"&lt;="&amp;N$9,операции!$O:$O,$F1348)</f>
        <v>16666.939999999999</v>
      </c>
      <c r="O1366" s="170"/>
      <c r="P1366" s="169">
        <f>SUMIFS(операции!$V:$V,операции!$T:$T,"&gt;="&amp;N$8,операции!$T:$T,"&lt;="&amp;N$9,операции!$L:$L,P$9,операции!$O:$O,$F1348)</f>
        <v>10855.94</v>
      </c>
      <c r="Q1366" s="243">
        <f>SUMIFS(операции!$V:$V,операции!$T:$T,"&gt;="&amp;N$8,операции!$T:$T,"&lt;="&amp;N$9,операции!$L:$L,Q$9,операции!$O:$O,$F1348)</f>
        <v>5811</v>
      </c>
      <c r="R1366" s="244"/>
      <c r="S1366" s="169">
        <f>SUMIFS(операции!$V:$V,операции!$T:$T,"&gt;="&amp;S$8,операции!$T:$T,"&lt;="&amp;S$9,операции!$O:$O,$F1348)</f>
        <v>3813</v>
      </c>
      <c r="T1366" s="170"/>
      <c r="U1366" s="169">
        <f>SUMIFS(операции!$V:$V,операции!$T:$T,"&gt;="&amp;S$8,операции!$T:$T,"&lt;="&amp;S$9,операции!$L:$L,U$9,операции!$O:$O,$F1348)</f>
        <v>0</v>
      </c>
      <c r="V1366" s="243">
        <f>SUMIFS(операции!$V:$V,операции!$T:$T,"&gt;="&amp;S$8,операции!$T:$T,"&lt;="&amp;S$9,операции!$L:$L,V$9,операции!$O:$O,$F1348)</f>
        <v>3813</v>
      </c>
      <c r="W1366" s="244"/>
      <c r="X1366" s="169">
        <f>SUMIFS(операции!$V:$V,операции!$T:$T,"&gt;="&amp;X$8,операции!$T:$T,"&lt;="&amp;X$9,операции!$O:$O,$F1348)</f>
        <v>0</v>
      </c>
      <c r="Y1366" s="170"/>
      <c r="Z1366" s="169">
        <f>SUMIFS(операции!$V:$V,операции!$T:$T,"&gt;="&amp;X$8,операции!$T:$T,"&lt;="&amp;X$9,операции!$L:$L,Z$9,операции!$O:$O,$F1348)</f>
        <v>0</v>
      </c>
      <c r="AA1366" s="243">
        <f>SUMIFS(операции!$V:$V,операции!$T:$T,"&gt;="&amp;X$8,операции!$T:$T,"&lt;="&amp;X$9,операции!$L:$L,AA$9,операции!$O:$O,$F1348)</f>
        <v>0</v>
      </c>
      <c r="AB1366" s="266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</row>
    <row r="1367" spans="1:42" s="192" customFormat="1" ht="11.25">
      <c r="A1367" s="37"/>
      <c r="B1367" s="37"/>
      <c r="C1367" s="37"/>
      <c r="D1367" s="207" t="s">
        <v>255</v>
      </c>
      <c r="E1367" s="207"/>
      <c r="F1367" s="207" t="str">
        <f t="shared" si="2388"/>
        <v>Лекс</v>
      </c>
      <c r="G1367" s="207" t="s">
        <v>262</v>
      </c>
      <c r="H1367" s="331"/>
      <c r="I1367" s="337">
        <f>IF(I1366=0,0,SUMIFS(операции!$AF:$AF,операции!$T:$T,"&gt;="&amp;I$8,операции!$T:$T,"&lt;="&amp;I$9,операции!$O:$O,$F1348)/I1366)</f>
        <v>42298.508416528566</v>
      </c>
      <c r="J1367" s="333"/>
      <c r="K1367" s="337">
        <f>IF(K1366=0,0,SUMIFS(операции!$AF:$AF,операции!$T:$T,"&gt;="&amp;I$8,операции!$T:$T,"&lt;="&amp;I$9,операции!$L:$L,K$9,операции!$O:$O,$F1348)/K1366)</f>
        <v>42282.322254912979</v>
      </c>
      <c r="L1367" s="338">
        <f>IF(L1366=0,0,SUMIFS(операции!$AF:$AF,операции!$T:$T,"&gt;="&amp;I$8,операции!$T:$T,"&lt;="&amp;I$9,операции!$L:$L,L$9,операции!$O:$O,$F1348)/L1366)</f>
        <v>42316.766521197009</v>
      </c>
      <c r="M1367" s="278"/>
      <c r="N1367" s="217">
        <f>IF(N1366=0,0,SUMIFS(операции!$AF:$AF,операции!$T:$T,"&gt;="&amp;N$8,операции!$T:$T,"&lt;="&amp;N$9,операции!$O:$O,$F1348)/N1366)</f>
        <v>42290.744039397752</v>
      </c>
      <c r="O1367" s="208"/>
      <c r="P1367" s="217">
        <f>IF(P1366=0,0,SUMIFS(операции!$AF:$AF,операции!$T:$T,"&gt;="&amp;N$8,операции!$T:$T,"&lt;="&amp;N$9,операции!$L:$L,P$9,операции!$O:$O,$F1348)/P1366)</f>
        <v>42282.322254912979</v>
      </c>
      <c r="Q1367" s="249">
        <f>IF(Q1366=0,0,SUMIFS(операции!$AF:$AF,операции!$T:$T,"&gt;="&amp;N$8,операции!$T:$T,"&lt;="&amp;N$9,операции!$L:$L,Q$9,операции!$O:$O,$F1348)/Q1366)</f>
        <v>42306.477370504217</v>
      </c>
      <c r="R1367" s="247"/>
      <c r="S1367" s="217">
        <f>IF(S1366=0,0,SUMIFS(операции!$AF:$AF,операции!$T:$T,"&gt;="&amp;S$8,операции!$T:$T,"&lt;="&amp;S$9,операции!$O:$O,$F1348)/S1366)</f>
        <v>42332.447154471542</v>
      </c>
      <c r="T1367" s="208"/>
      <c r="U1367" s="217">
        <f>IF(U1366=0,0,SUMIFS(операции!$AF:$AF,операции!$T:$T,"&gt;="&amp;S$8,операции!$T:$T,"&lt;="&amp;S$9,операции!$L:$L,U$9,операции!$O:$O,$F1348)/U1366)</f>
        <v>0</v>
      </c>
      <c r="V1367" s="249">
        <f>IF(V1366=0,0,SUMIFS(операции!$AF:$AF,операции!$T:$T,"&gt;="&amp;S$8,операции!$T:$T,"&lt;="&amp;S$9,операции!$L:$L,V$9,операции!$O:$O,$F1348)/V1366)</f>
        <v>42332.447154471542</v>
      </c>
      <c r="W1367" s="247"/>
      <c r="X1367" s="217">
        <f>IF(X1366=0,0,SUMIFS(операции!$AF:$AF,операции!$T:$T,"&gt;="&amp;X$8,операции!$T:$T,"&lt;="&amp;X$9,операции!$O:$O,$F1348)/X1366)</f>
        <v>0</v>
      </c>
      <c r="Y1367" s="208"/>
      <c r="Z1367" s="217">
        <f>IF(Z1366=0,0,SUMIFS(операции!$AF:$AF,операции!$T:$T,"&gt;="&amp;X$8,операции!$T:$T,"&lt;="&amp;X$9,операции!$L:$L,Z$9,операции!$O:$O,$F1348)/Z1366)</f>
        <v>0</v>
      </c>
      <c r="AA1367" s="249">
        <f>IF(AA1366=0,0,SUMIFS(операции!$AF:$AF,операции!$T:$T,"&gt;="&amp;X$8,операции!$T:$T,"&lt;="&amp;X$9,операции!$L:$L,AA$9,операции!$O:$O,$F1348)/AA1366)</f>
        <v>0</v>
      </c>
      <c r="AB1367" s="265"/>
      <c r="AC1367" s="37"/>
      <c r="AD1367" s="37"/>
      <c r="AE1367" s="37"/>
      <c r="AF1367" s="37"/>
      <c r="AG1367" s="37"/>
      <c r="AH1367" s="37"/>
      <c r="AI1367" s="37"/>
      <c r="AJ1367" s="37"/>
      <c r="AK1367" s="37"/>
      <c r="AL1367" s="37"/>
      <c r="AM1367" s="37"/>
      <c r="AN1367" s="37"/>
      <c r="AO1367" s="37"/>
      <c r="AP1367" s="37"/>
    </row>
    <row r="1368" spans="1:42" s="93" customFormat="1" ht="15">
      <c r="A1368" s="92"/>
      <c r="B1368" s="92"/>
      <c r="C1368" s="92"/>
      <c r="D1368" s="212" t="s">
        <v>274</v>
      </c>
      <c r="E1368" s="212"/>
      <c r="F1368" s="212" t="str">
        <f t="shared" si="2388"/>
        <v>Лекс</v>
      </c>
      <c r="G1368" s="212" t="s">
        <v>261</v>
      </c>
      <c r="H1368" s="339"/>
      <c r="I1368" s="340">
        <f>SUMIFS(операции!$Z:$Z,операции!$X:$X,"&gt;="&amp;I$8,операции!$X:$X,"&lt;="&amp;I$9,операции!$O:$O,$F1348)</f>
        <v>57662</v>
      </c>
      <c r="J1368" s="341">
        <f>I1368-I1381-I1391</f>
        <v>0</v>
      </c>
      <c r="K1368" s="340">
        <f>SUMIFS(операции!$Z:$Z,операции!$X:$X,"&gt;="&amp;I$8,операции!$X:$X,"&lt;="&amp;I$9,операции!$L:$L,K$9,операции!$O:$O,$F1348)</f>
        <v>46568</v>
      </c>
      <c r="L1368" s="342">
        <f>SUMIFS(операции!$Z:$Z,операции!$X:$X,"&gt;="&amp;I$8,операции!$X:$X,"&lt;="&amp;I$9,операции!$L:$L,L$9,операции!$O:$O,$F1348)</f>
        <v>11094</v>
      </c>
      <c r="M1368" s="279"/>
      <c r="N1368" s="213">
        <f>SUMIFS(операции!$Z:$Z,операции!$X:$X,"&gt;="&amp;N$8,операции!$X:$X,"&lt;="&amp;N$9,операции!$O:$O,$F1348)</f>
        <v>27266</v>
      </c>
      <c r="O1368" s="216">
        <f>N1368-N1381-N1391</f>
        <v>0</v>
      </c>
      <c r="P1368" s="213">
        <f>SUMIFS(операции!$Z:$Z,операции!$X:$X,"&gt;="&amp;N$8,операции!$X:$X,"&lt;="&amp;N$9,операции!$L:$L,P$9,операции!$O:$O,$F1348)</f>
        <v>27266</v>
      </c>
      <c r="Q1368" s="250">
        <f>SUMIFS(операции!$Z:$Z,операции!$X:$X,"&gt;="&amp;N$8,операции!$X:$X,"&lt;="&amp;N$9,операции!$L:$L,Q$9,операции!$O:$O,$F1348)</f>
        <v>0</v>
      </c>
      <c r="R1368" s="251"/>
      <c r="S1368" s="213">
        <f>SUMIFS(операции!$Z:$Z,операции!$X:$X,"&gt;="&amp;S$8,операции!$X:$X,"&lt;="&amp;S$9,операции!$O:$O,$F1348)</f>
        <v>20528</v>
      </c>
      <c r="T1368" s="216">
        <f>S1368-S1381-S1391</f>
        <v>0</v>
      </c>
      <c r="U1368" s="213">
        <f>SUMIFS(операции!$Z:$Z,операции!$X:$X,"&gt;="&amp;S$8,операции!$X:$X,"&lt;="&amp;S$9,операции!$L:$L,U$9,операции!$O:$O,$F1348)</f>
        <v>12702</v>
      </c>
      <c r="V1368" s="250">
        <f>SUMIFS(операции!$Z:$Z,операции!$X:$X,"&gt;="&amp;S$8,операции!$X:$X,"&lt;="&amp;S$9,операции!$L:$L,V$9,операции!$O:$O,$F1348)</f>
        <v>7826</v>
      </c>
      <c r="W1368" s="251"/>
      <c r="X1368" s="213">
        <f>SUMIFS(операции!$Z:$Z,операции!$X:$X,"&gt;="&amp;X$8,операции!$X:$X,"&lt;="&amp;X$9,операции!$O:$O,$F1348)</f>
        <v>9868</v>
      </c>
      <c r="Y1368" s="216">
        <f>X1368-X1381-X1391</f>
        <v>0</v>
      </c>
      <c r="Z1368" s="213">
        <f>SUMIFS(операции!$Z:$Z,операции!$X:$X,"&gt;="&amp;X$8,операции!$X:$X,"&lt;="&amp;X$9,операции!$L:$L,Z$9,операции!$O:$O,$F1348)</f>
        <v>6600</v>
      </c>
      <c r="AA1368" s="250">
        <f>SUMIFS(операции!$Z:$Z,операции!$X:$X,"&gt;="&amp;X$8,операции!$X:$X,"&lt;="&amp;X$9,операции!$L:$L,AA$9,операции!$O:$O,$F1348)</f>
        <v>3268</v>
      </c>
      <c r="AB1368" s="264"/>
      <c r="AC1368" s="92"/>
      <c r="AD1368" s="92"/>
      <c r="AE1368" s="92"/>
      <c r="AF1368" s="92"/>
      <c r="AG1368" s="92"/>
      <c r="AH1368" s="92"/>
      <c r="AI1368" s="92"/>
      <c r="AJ1368" s="92"/>
      <c r="AK1368" s="92"/>
      <c r="AL1368" s="92"/>
      <c r="AM1368" s="92"/>
      <c r="AN1368" s="92"/>
      <c r="AO1368" s="92"/>
      <c r="AP1368" s="92"/>
    </row>
    <row r="1369" spans="1:42" s="407" customFormat="1" ht="11.25">
      <c r="A1369" s="404"/>
      <c r="B1369" s="404"/>
      <c r="C1369" s="404"/>
      <c r="D1369" s="405" t="s">
        <v>332</v>
      </c>
      <c r="E1369" s="405"/>
      <c r="F1369" s="405" t="str">
        <f>F1367</f>
        <v>Лекс</v>
      </c>
      <c r="G1369" s="405" t="s">
        <v>218</v>
      </c>
      <c r="H1369" s="408"/>
      <c r="I1369" s="408">
        <f>IF(I$31=0,0,I1368/I$31)</f>
        <v>1.5543256520070214E-2</v>
      </c>
      <c r="J1369" s="409"/>
      <c r="K1369" s="408">
        <f t="shared" ref="K1369" si="2417">IF(K$31=0,0,K1368/K$31)</f>
        <v>3.5769974667287312E-2</v>
      </c>
      <c r="L1369" s="410">
        <f t="shared" ref="L1369" si="2418">IF(L$31=0,0,L1368/L$31)</f>
        <v>4.6073303647739816E-3</v>
      </c>
      <c r="M1369" s="411"/>
      <c r="N1369" s="412">
        <f t="shared" ref="N1369" si="2419">IF(N$31=0,0,N1368/N$31)</f>
        <v>3.5181799296260786E-2</v>
      </c>
      <c r="O1369" s="413"/>
      <c r="P1369" s="412">
        <f t="shared" ref="P1369" si="2420">IF(P$31=0,0,P1368/P$31)</f>
        <v>5.4480134911564192E-2</v>
      </c>
      <c r="Q1369" s="414">
        <f t="shared" ref="Q1369" si="2421">IF(Q$31=0,0,Q1368/Q$31)</f>
        <v>0</v>
      </c>
      <c r="R1369" s="415"/>
      <c r="S1369" s="412">
        <f t="shared" ref="S1369" si="2422">IF(S$31=0,0,S1368/S$31)</f>
        <v>1.1567058001515753E-2</v>
      </c>
      <c r="T1369" s="413"/>
      <c r="U1369" s="412">
        <f t="shared" ref="U1369" si="2423">IF(U$31=0,0,U1368/U$31)</f>
        <v>2.016974855300871E-2</v>
      </c>
      <c r="V1369" s="414">
        <f t="shared" ref="V1369" si="2424">IF(V$31=0,0,V1368/V$31)</f>
        <v>6.8352926790923542E-3</v>
      </c>
      <c r="W1369" s="415"/>
      <c r="X1369" s="412">
        <f t="shared" ref="X1369" si="2425">IF(X$31=0,0,X1368/X$31)</f>
        <v>8.5063245747268711E-3</v>
      </c>
      <c r="Y1369" s="413"/>
      <c r="Z1369" s="412">
        <f t="shared" ref="Z1369" si="2426">IF(Z$31=0,0,Z1368/Z$31)</f>
        <v>3.8451903077900057E-2</v>
      </c>
      <c r="AA1369" s="414">
        <f t="shared" ref="AA1369" si="2427">IF(AA$31=0,0,AA1368/AA$31)</f>
        <v>3.3062366265864725E-3</v>
      </c>
      <c r="AB1369" s="406"/>
      <c r="AC1369" s="404"/>
      <c r="AD1369" s="404"/>
      <c r="AE1369" s="404"/>
      <c r="AF1369" s="404"/>
      <c r="AG1369" s="404"/>
      <c r="AH1369" s="404"/>
      <c r="AI1369" s="404"/>
      <c r="AJ1369" s="404"/>
      <c r="AK1369" s="404"/>
      <c r="AL1369" s="404"/>
      <c r="AM1369" s="404"/>
      <c r="AN1369" s="404"/>
      <c r="AO1369" s="404"/>
      <c r="AP1369" s="404"/>
    </row>
    <row r="1370" spans="1:42" s="192" customFormat="1" ht="11.25">
      <c r="A1370" s="37"/>
      <c r="B1370" s="37"/>
      <c r="C1370" s="37"/>
      <c r="D1370" s="191" t="s">
        <v>331</v>
      </c>
      <c r="E1370" s="191"/>
      <c r="F1370" s="191" t="str">
        <f>F1368</f>
        <v>Лекс</v>
      </c>
      <c r="G1370" s="191" t="s">
        <v>334</v>
      </c>
      <c r="H1370" s="315"/>
      <c r="I1370" s="329">
        <f>SUMIFS(операции!$R:$R,операции!$X:$X,"&gt;="&amp;I$8,операции!$X:$X,"&lt;="&amp;I$9,операции!$O:$O,$F1348)</f>
        <v>25</v>
      </c>
      <c r="J1370" s="317">
        <f>I1370-K1370-L1370</f>
        <v>0</v>
      </c>
      <c r="K1370" s="329">
        <f>SUMIFS(операции!$R:$R,операции!$X:$X,"&gt;="&amp;I$8,операции!$X:$X,"&lt;="&amp;I$9,операции!$L:$L,K$9,операции!$O:$O,$F1348)</f>
        <v>21</v>
      </c>
      <c r="L1370" s="330">
        <f>SUMIFS(операции!$R:$R,операции!$X:$X,"&gt;="&amp;I$8,операции!$X:$X,"&lt;="&amp;I$9,операции!$L:$L,L$9,операции!$O:$O,$F1348)</f>
        <v>4</v>
      </c>
      <c r="M1370" s="402"/>
      <c r="N1370" s="156">
        <f>SUMIFS(операции!$R:$R,операции!$X:$X,"&gt;="&amp;N$8,операции!$X:$X,"&lt;="&amp;N$9,операции!$O:$O,$F1348)</f>
        <v>12</v>
      </c>
      <c r="O1370" s="196">
        <f t="shared" ref="O1370" si="2428">N1370-P1370-Q1370</f>
        <v>0</v>
      </c>
      <c r="P1370" s="156">
        <f>SUMIFS(операции!$R:$R,операции!$X:$X,"&gt;="&amp;N$8,операции!$X:$X,"&lt;="&amp;N$9,операции!$L:$L,P$9,операции!$O:$O,$F1348)</f>
        <v>12</v>
      </c>
      <c r="Q1370" s="245">
        <f>SUMIFS(операции!$R:$R,операции!$X:$X,"&gt;="&amp;N$8,операции!$X:$X,"&lt;="&amp;N$9,операции!$L:$L,Q$9,операции!$O:$O,$F1348)</f>
        <v>0</v>
      </c>
      <c r="R1370" s="403"/>
      <c r="S1370" s="156">
        <f>SUMIFS(операции!$R:$R,операции!$X:$X,"&gt;="&amp;S$8,операции!$X:$X,"&lt;="&amp;S$9,операции!$O:$O,$F1348)</f>
        <v>9</v>
      </c>
      <c r="T1370" s="196">
        <f t="shared" ref="T1370" si="2429">S1370-U1370-V1370</f>
        <v>0</v>
      </c>
      <c r="U1370" s="156">
        <f>SUMIFS(операции!$R:$R,операции!$X:$X,"&gt;="&amp;S$8,операции!$X:$X,"&lt;="&amp;S$9,операции!$L:$L,U$9,операции!$O:$O,$F1348)</f>
        <v>6</v>
      </c>
      <c r="V1370" s="245">
        <f>SUMIFS(операции!$R:$R,операции!$X:$X,"&gt;="&amp;S$8,операции!$X:$X,"&lt;="&amp;S$9,операции!$L:$L,V$9,операции!$O:$O,$F1348)</f>
        <v>3</v>
      </c>
      <c r="W1370" s="403"/>
      <c r="X1370" s="156">
        <f>SUMIFS(операции!$R:$R,операции!$X:$X,"&gt;="&amp;X$8,операции!$X:$X,"&lt;="&amp;X$9,операции!$O:$O,$F1348)</f>
        <v>4</v>
      </c>
      <c r="Y1370" s="196">
        <f t="shared" ref="Y1370" si="2430">X1370-Z1370-AA1370</f>
        <v>0</v>
      </c>
      <c r="Z1370" s="156">
        <f>SUMIFS(операции!$R:$R,операции!$X:$X,"&gt;="&amp;X$8,операции!$X:$X,"&lt;="&amp;X$9,операции!$L:$L,Z$9,операции!$O:$O,$F1348)</f>
        <v>3</v>
      </c>
      <c r="AA1370" s="245">
        <f>SUMIFS(операции!$R:$R,операции!$X:$X,"&gt;="&amp;X$8,операции!$X:$X,"&lt;="&amp;X$9,операции!$L:$L,AA$9,операции!$O:$O,$F1348)</f>
        <v>1</v>
      </c>
      <c r="AB1370" s="265"/>
      <c r="AC1370" s="37"/>
      <c r="AD1370" s="37"/>
      <c r="AE1370" s="37"/>
      <c r="AF1370" s="37"/>
      <c r="AG1370" s="37"/>
      <c r="AH1370" s="37"/>
      <c r="AI1370" s="37"/>
      <c r="AJ1370" s="37"/>
      <c r="AK1370" s="37"/>
      <c r="AL1370" s="37"/>
      <c r="AM1370" s="37"/>
      <c r="AN1370" s="37"/>
      <c r="AO1370" s="37"/>
      <c r="AP1370" s="37"/>
    </row>
    <row r="1371" spans="1:42" s="192" customFormat="1" ht="11.25">
      <c r="A1371" s="37"/>
      <c r="B1371" s="37"/>
      <c r="C1371" s="37"/>
      <c r="D1371" s="191" t="s">
        <v>333</v>
      </c>
      <c r="E1371" s="191"/>
      <c r="F1371" s="191" t="str">
        <f t="shared" si="2388"/>
        <v>Лекс</v>
      </c>
      <c r="G1371" s="191" t="s">
        <v>261</v>
      </c>
      <c r="H1371" s="315"/>
      <c r="I1371" s="329">
        <f>IF(I1370=0,0,I1368/I1370)</f>
        <v>2306.48</v>
      </c>
      <c r="J1371" s="317"/>
      <c r="K1371" s="329">
        <f t="shared" ref="K1371" si="2431">IF(K1370=0,0,K1368/K1370)</f>
        <v>2217.5238095238096</v>
      </c>
      <c r="L1371" s="330">
        <f t="shared" ref="L1371" si="2432">IF(L1370=0,0,L1368/L1370)</f>
        <v>2773.5</v>
      </c>
      <c r="M1371" s="402"/>
      <c r="N1371" s="156">
        <f>IF(N1370=0,0,N1368/N1370)</f>
        <v>2272.1666666666665</v>
      </c>
      <c r="O1371" s="196"/>
      <c r="P1371" s="156">
        <f>IF(P1370=0,0,P1368/P1370)</f>
        <v>2272.1666666666665</v>
      </c>
      <c r="Q1371" s="245">
        <f>IF(Q1370=0,0,Q1368/Q1370)</f>
        <v>0</v>
      </c>
      <c r="R1371" s="403"/>
      <c r="S1371" s="156">
        <f>IF(S1370=0,0,S1368/S1370)</f>
        <v>2280.8888888888887</v>
      </c>
      <c r="T1371" s="196"/>
      <c r="U1371" s="156">
        <f>IF(U1370=0,0,U1368/U1370)</f>
        <v>2117</v>
      </c>
      <c r="V1371" s="245">
        <f>IF(V1370=0,0,V1368/V1370)</f>
        <v>2608.6666666666665</v>
      </c>
      <c r="W1371" s="403"/>
      <c r="X1371" s="156">
        <f>IF(X1370=0,0,X1368/X1370)</f>
        <v>2467</v>
      </c>
      <c r="Y1371" s="196"/>
      <c r="Z1371" s="156">
        <f>IF(Z1370=0,0,Z1368/Z1370)</f>
        <v>2200</v>
      </c>
      <c r="AA1371" s="245">
        <f>IF(AA1370=0,0,AA1368/AA1370)</f>
        <v>3268</v>
      </c>
      <c r="AB1371" s="265"/>
      <c r="AC1371" s="37"/>
      <c r="AD1371" s="37"/>
      <c r="AE1371" s="37"/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37"/>
    </row>
    <row r="1372" spans="1:42" s="192" customFormat="1" ht="11.25">
      <c r="A1372" s="37"/>
      <c r="B1372" s="37"/>
      <c r="C1372" s="37"/>
      <c r="D1372" s="191" t="s">
        <v>290</v>
      </c>
      <c r="E1372" s="191"/>
      <c r="F1372" s="191" t="str">
        <f>F1368</f>
        <v>Лекс</v>
      </c>
      <c r="G1372" s="191" t="s">
        <v>262</v>
      </c>
      <c r="H1372" s="315"/>
      <c r="I1372" s="316">
        <f>IF(I1368=0,0,SUMIFS(операции!$AG:$AG,операции!$X:$X,"&gt;="&amp;I$8,операции!$X:$X,"&lt;="&amp;I$9,операции!$O:$O,$F1348)/I1368)</f>
        <v>42316.675488189794</v>
      </c>
      <c r="J1372" s="317"/>
      <c r="K1372" s="316">
        <f>IF(K1368=0,0,SUMIFS(операции!$AG:$AG,операции!$X:$X,"&gt;="&amp;I$8,операции!$X:$X,"&lt;="&amp;I$9,операции!$L:$L,K$9,операции!$O:$O,$F1348)/K1368)</f>
        <v>42315.459822195502</v>
      </c>
      <c r="L1372" s="318">
        <f>IF(L1368=0,0,SUMIFS(операции!$AG:$AG,операции!$X:$X,"&gt;="&amp;I$8,операции!$X:$X,"&lt;="&amp;I$9,операции!$L:$L,L$9,операции!$O:$O,$F1348)/L1368)</f>
        <v>42321.778348656931</v>
      </c>
      <c r="M1372" s="274"/>
      <c r="N1372" s="193">
        <f>IF(N1368=0,0,SUMIFS(операции!$AG:$AG,операции!$X:$X,"&gt;="&amp;N$8,операции!$X:$X,"&lt;="&amp;N$9,операции!$O:$O,$F1348)/N1368)</f>
        <v>42305.022372185136</v>
      </c>
      <c r="O1372" s="196"/>
      <c r="P1372" s="193">
        <f>IF(P1368=0,0,SUMIFS(операции!$AG:$AG,операции!$X:$X,"&gt;="&amp;N$8,операции!$X:$X,"&lt;="&amp;N$9,операции!$L:$L,P$9,операции!$O:$O,$F1348)/P1368)</f>
        <v>42305.022372185136</v>
      </c>
      <c r="Q1372" s="237">
        <f>IF(Q1368=0,0,SUMIFS(операции!$AG:$AG,операции!$X:$X,"&gt;="&amp;N$8,операции!$X:$X,"&lt;="&amp;N$9,операции!$L:$L,Q$9,операции!$O:$O,$F1348)/Q1368)</f>
        <v>0</v>
      </c>
      <c r="R1372" s="238"/>
      <c r="S1372" s="193">
        <f>IF(S1368=0,0,SUMIFS(операции!$AG:$AG,операции!$X:$X,"&gt;="&amp;S$8,операции!$X:$X,"&lt;="&amp;S$9,операции!$O:$O,$F1348)/S1368)</f>
        <v>42319.658320342947</v>
      </c>
      <c r="T1372" s="196"/>
      <c r="U1372" s="193">
        <f>IF(U1368=0,0,SUMIFS(операции!$AG:$AG,операции!$X:$X,"&gt;="&amp;S$8,операции!$X:$X,"&lt;="&amp;S$9,операции!$L:$L,U$9,операции!$O:$O,$F1348)/U1368)</f>
        <v>42323.554794520547</v>
      </c>
      <c r="V1372" s="237">
        <f>IF(V1368=0,0,SUMIFS(операции!$AG:$AG,операции!$X:$X,"&gt;="&amp;S$8,операции!$X:$X,"&lt;="&amp;S$9,операции!$L:$L,V$9,операции!$O:$O,$F1348)/V1368)</f>
        <v>42313.334142601583</v>
      </c>
      <c r="W1372" s="238"/>
      <c r="X1372" s="193">
        <f>IF(X1368=0,0,SUMIFS(операции!$AG:$AG,операции!$X:$X,"&gt;="&amp;X$8,операции!$X:$X,"&lt;="&amp;X$9,операции!$O:$O,$F1348)/X1368)</f>
        <v>42342.668828536684</v>
      </c>
      <c r="Y1372" s="196"/>
      <c r="Z1372" s="193">
        <f>IF(Z1368=0,0,SUMIFS(операции!$AG:$AG,операции!$X:$X,"&gt;="&amp;X$8,операции!$X:$X,"&lt;="&amp;X$9,операции!$L:$L,Z$9,операции!$O:$O,$F1348)/Z1368)</f>
        <v>42343</v>
      </c>
      <c r="AA1372" s="237">
        <f>IF(AA1368=0,0,SUMIFS(операции!$AG:$AG,операции!$X:$X,"&gt;="&amp;X$8,операции!$X:$X,"&lt;="&amp;X$9,операции!$L:$L,AA$9,операции!$O:$O,$F1348)/AA1368)</f>
        <v>42342</v>
      </c>
      <c r="AB1372" s="265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37"/>
    </row>
    <row r="1373" spans="1:42" s="93" customFormat="1" ht="15">
      <c r="A1373" s="92"/>
      <c r="B1373" s="92"/>
      <c r="C1373" s="92"/>
      <c r="D1373" s="151" t="s">
        <v>275</v>
      </c>
      <c r="E1373" s="151"/>
      <c r="F1373" s="151" t="str">
        <f t="shared" si="2388"/>
        <v>Лекс</v>
      </c>
      <c r="G1373" s="151" t="s">
        <v>261</v>
      </c>
      <c r="H1373" s="311"/>
      <c r="I1373" s="312">
        <f>SUMIFS(операции!$V:$V,операции!$X:$X,"&gt;="&amp;I$8,операции!$X:$X,"&lt;="&amp;I$9,операции!$O:$O,$F1348)</f>
        <v>54621.82</v>
      </c>
      <c r="J1373" s="313">
        <f>I1373-I1383-I1393</f>
        <v>0</v>
      </c>
      <c r="K1373" s="312">
        <f>SUMIFS(операции!$V:$V,операции!$X:$X,"&gt;="&amp;I$8,операции!$X:$X,"&lt;="&amp;I$9,операции!$L:$L,K$9,операции!$O:$O,$F1348)</f>
        <v>44997.82</v>
      </c>
      <c r="L1373" s="314">
        <f>SUMIFS(операции!$V:$V,операции!$X:$X,"&gt;="&amp;I$8,операции!$X:$X,"&lt;="&amp;I$9,операции!$L:$L,L$9,операции!$O:$O,$F1348)</f>
        <v>9624</v>
      </c>
      <c r="M1373" s="273"/>
      <c r="N1373" s="152">
        <f>SUMIFS(операции!$V:$V,операции!$X:$X,"&gt;="&amp;N$8,операции!$X:$X,"&lt;="&amp;N$9,операции!$O:$O,$F1348)</f>
        <v>25502</v>
      </c>
      <c r="O1373" s="170">
        <f>N1373-N1383-N1393</f>
        <v>0</v>
      </c>
      <c r="P1373" s="152">
        <f>SUMIFS(операции!$V:$V,операции!$X:$X,"&gt;="&amp;N$8,операции!$X:$X,"&lt;="&amp;N$9,операции!$L:$L,P$9,операции!$O:$O,$F1348)</f>
        <v>25502</v>
      </c>
      <c r="Q1373" s="235">
        <f>SUMIFS(операции!$V:$V,операции!$X:$X,"&gt;="&amp;N$8,операции!$X:$X,"&lt;="&amp;N$9,операции!$L:$L,Q$9,операции!$O:$O,$F1348)</f>
        <v>0</v>
      </c>
      <c r="R1373" s="236"/>
      <c r="S1373" s="152">
        <f>SUMIFS(операции!$V:$V,операции!$X:$X,"&gt;="&amp;S$8,операции!$X:$X,"&lt;="&amp;S$9,операции!$O:$O,$F1348)</f>
        <v>20202.819999999996</v>
      </c>
      <c r="T1373" s="170">
        <f>S1373-S1383-S1393</f>
        <v>0</v>
      </c>
      <c r="U1373" s="152">
        <f>SUMIFS(операции!$V:$V,операции!$X:$X,"&gt;="&amp;S$8,операции!$X:$X,"&lt;="&amp;S$9,операции!$L:$L,U$9,операции!$O:$O,$F1348)</f>
        <v>13306.82</v>
      </c>
      <c r="V1373" s="235">
        <f>SUMIFS(операции!$V:$V,операции!$X:$X,"&gt;="&amp;S$8,операции!$X:$X,"&lt;="&amp;S$9,операции!$L:$L,V$9,операции!$O:$O,$F1348)</f>
        <v>6896</v>
      </c>
      <c r="W1373" s="236"/>
      <c r="X1373" s="152">
        <f>SUMIFS(операции!$V:$V,операции!$X:$X,"&gt;="&amp;X$8,операции!$X:$X,"&lt;="&amp;X$9,операции!$O:$O,$F1348)</f>
        <v>8917</v>
      </c>
      <c r="Y1373" s="170">
        <f>X1373-X1383-X1393</f>
        <v>0</v>
      </c>
      <c r="Z1373" s="152">
        <f>SUMIFS(операции!$V:$V,операции!$X:$X,"&gt;="&amp;X$8,операции!$X:$X,"&lt;="&amp;X$9,операции!$L:$L,Z$9,операции!$O:$O,$F1348)</f>
        <v>6189</v>
      </c>
      <c r="AA1373" s="235">
        <f>SUMIFS(операции!$V:$V,операции!$X:$X,"&gt;="&amp;X$8,операции!$X:$X,"&lt;="&amp;X$9,операции!$L:$L,AA$9,операции!$O:$O,$F1348)</f>
        <v>2728</v>
      </c>
      <c r="AB1373" s="264"/>
      <c r="AC1373" s="92"/>
      <c r="AD1373" s="92"/>
      <c r="AE1373" s="92"/>
      <c r="AF1373" s="92"/>
      <c r="AG1373" s="92"/>
      <c r="AH1373" s="92"/>
      <c r="AI1373" s="92"/>
      <c r="AJ1373" s="92"/>
      <c r="AK1373" s="92"/>
      <c r="AL1373" s="92"/>
      <c r="AM1373" s="92"/>
      <c r="AN1373" s="92"/>
      <c r="AO1373" s="92"/>
      <c r="AP1373" s="92"/>
    </row>
    <row r="1374" spans="1:42" s="192" customFormat="1" ht="11.25">
      <c r="A1374" s="37"/>
      <c r="B1374" s="37"/>
      <c r="C1374" s="37"/>
      <c r="D1374" s="191" t="s">
        <v>291</v>
      </c>
      <c r="E1374" s="191"/>
      <c r="F1374" s="191" t="str">
        <f t="shared" si="2388"/>
        <v>Лекс</v>
      </c>
      <c r="G1374" s="191" t="s">
        <v>262</v>
      </c>
      <c r="H1374" s="315"/>
      <c r="I1374" s="316">
        <f>IF(I1373=0,0,SUMIFS(операции!$AF:$AF,операции!$X:$X,"&gt;="&amp;I$8,операции!$X:$X,"&lt;="&amp;I$9,операции!$O:$O,$F1348)/I1373)</f>
        <v>42246.93944819121</v>
      </c>
      <c r="J1374" s="317"/>
      <c r="K1374" s="316">
        <f>IF(K1373=0,0,SUMIFS(операции!$AF:$AF,операции!$X:$X,"&gt;="&amp;I$8,операции!$X:$X,"&lt;="&amp;I$9,операции!$L:$L,K$9,операции!$O:$O,$F1348)/K1373)</f>
        <v>42232.00504135534</v>
      </c>
      <c r="L1374" s="318">
        <f>IF(L1373=0,0,SUMIFS(операции!$AF:$AF,операции!$X:$X,"&gt;="&amp;I$8,операции!$X:$X,"&lt;="&amp;I$9,операции!$L:$L,L$9,операции!$O:$O,$F1348)/L1373)</f>
        <v>42316.766521197009</v>
      </c>
      <c r="M1374" s="274"/>
      <c r="N1374" s="193">
        <f>IF(N1373=0,0,SUMIFS(операции!$AF:$AF,операции!$X:$X,"&gt;="&amp;N$8,операции!$X:$X,"&lt;="&amp;N$9,операции!$O:$O,$F1348)/N1373)</f>
        <v>42219.392126107756</v>
      </c>
      <c r="O1374" s="196"/>
      <c r="P1374" s="193">
        <f>IF(P1373=0,0,SUMIFS(операции!$AF:$AF,операции!$X:$X,"&gt;="&amp;N$8,операции!$X:$X,"&lt;="&amp;N$9,операции!$L:$L,P$9,операции!$O:$O,$F1348)/P1373)</f>
        <v>42219.392126107756</v>
      </c>
      <c r="Q1374" s="237">
        <f>IF(Q1373=0,0,SUMIFS(операции!$AF:$AF,операции!$X:$X,"&gt;="&amp;N$8,операции!$X:$X,"&lt;="&amp;N$9,операции!$L:$L,Q$9,операции!$O:$O,$F1348)/Q1373)</f>
        <v>0</v>
      </c>
      <c r="R1374" s="238"/>
      <c r="S1374" s="193">
        <f>IF(S1373=0,0,SUMIFS(операции!$AF:$AF,операции!$X:$X,"&gt;="&amp;S$8,операции!$X:$X,"&lt;="&amp;S$9,операции!$O:$O,$F1348)/S1373)</f>
        <v>42266.265258513427</v>
      </c>
      <c r="T1374" s="196"/>
      <c r="U1374" s="193">
        <f>IF(U1373=0,0,SUMIFS(операции!$AF:$AF,операции!$X:$X,"&gt;="&amp;S$8,операции!$X:$X,"&lt;="&amp;S$9,операции!$L:$L,U$9,операции!$O:$O,$F1348)/U1373)</f>
        <v>42244.241981931067</v>
      </c>
      <c r="V1374" s="237">
        <f>IF(V1373=0,0,SUMIFS(операции!$AF:$AF,операции!$X:$X,"&gt;="&amp;S$8,операции!$X:$X,"&lt;="&amp;S$9,операции!$L:$L,V$9,операции!$O:$O,$F1348)/V1373)</f>
        <v>42308.762325986077</v>
      </c>
      <c r="W1374" s="238"/>
      <c r="X1374" s="193">
        <f>IF(X1373=0,0,SUMIFS(операции!$AF:$AF,операции!$X:$X,"&gt;="&amp;X$8,операции!$X:$X,"&lt;="&amp;X$9,операции!$O:$O,$F1348)/X1373)</f>
        <v>42281.937310754736</v>
      </c>
      <c r="Y1374" s="196"/>
      <c r="Z1374" s="193">
        <f>IF(Z1373=0,0,SUMIFS(операции!$AF:$AF,операции!$X:$X,"&gt;="&amp;X$8,операции!$X:$X,"&lt;="&amp;X$9,операции!$L:$L,Z$9,операции!$O:$O,$F1348)/Z1373)</f>
        <v>42257.666666666664</v>
      </c>
      <c r="AA1374" s="237">
        <f>IF(AA1373=0,0,SUMIFS(операции!$AF:$AF,операции!$X:$X,"&gt;="&amp;X$8,операции!$X:$X,"&lt;="&amp;X$9,операции!$L:$L,AA$9,операции!$O:$O,$F1348)/AA1373)</f>
        <v>42337</v>
      </c>
      <c r="AB1374" s="265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37"/>
    </row>
    <row r="1375" spans="1:42" s="192" customFormat="1" ht="11.25">
      <c r="A1375" s="37"/>
      <c r="B1375" s="37"/>
      <c r="C1375" s="37"/>
      <c r="D1375" s="191" t="s">
        <v>308</v>
      </c>
      <c r="E1375" s="191"/>
      <c r="F1375" s="191" t="str">
        <f t="shared" si="2388"/>
        <v>Лекс</v>
      </c>
      <c r="G1375" s="191" t="s">
        <v>262</v>
      </c>
      <c r="H1375" s="315"/>
      <c r="I1375" s="316">
        <f>IF(I1373=0,0,(I1383*I1385+I1393*I1395)/I1373)</f>
        <v>42293.090448102972</v>
      </c>
      <c r="J1375" s="317"/>
      <c r="K1375" s="316">
        <f t="shared" ref="K1375:L1375" si="2433">IF(K1373=0,0,(K1383*K1385+K1393*K1395)/K1373)</f>
        <v>42284.381303360911</v>
      </c>
      <c r="L1375" s="318">
        <f t="shared" si="2433"/>
        <v>42333.81078553616</v>
      </c>
      <c r="M1375" s="274"/>
      <c r="N1375" s="193">
        <f>IF(N1373=0,0,(N1383*N1385+N1393*N1395)/N1373)</f>
        <v>42277.447808015058</v>
      </c>
      <c r="O1375" s="196"/>
      <c r="P1375" s="193">
        <f t="shared" ref="P1375:Q1375" si="2434">IF(P1373=0,0,(P1383*P1385+P1393*P1395)/P1373)</f>
        <v>42277.447808015058</v>
      </c>
      <c r="Q1375" s="237">
        <f t="shared" si="2434"/>
        <v>0</v>
      </c>
      <c r="R1375" s="238"/>
      <c r="S1375" s="193">
        <f>IF(S1373=0,0,(S1383*S1385+S1393*S1395)/S1373)</f>
        <v>42287.512520529323</v>
      </c>
      <c r="T1375" s="196"/>
      <c r="U1375" s="193">
        <f t="shared" ref="U1375:V1375" si="2435">IF(U1373=0,0,(U1383*U1385+U1393*U1395)/U1373)</f>
        <v>42268.273313984864</v>
      </c>
      <c r="V1375" s="237">
        <f t="shared" si="2435"/>
        <v>42324.637325986077</v>
      </c>
      <c r="W1375" s="238"/>
      <c r="X1375" s="193">
        <f>IF(X1373=0,0,(X1383*X1385+X1393*X1395)/X1373)</f>
        <v>42311.191544241337</v>
      </c>
      <c r="Y1375" s="196"/>
      <c r="Z1375" s="193">
        <f t="shared" ref="Z1375:AA1375" si="2436">IF(Z1373=0,0,(Z1383*Z1385+Z1393*Z1395)/Z1373)</f>
        <v>42291</v>
      </c>
      <c r="AA1375" s="237">
        <f t="shared" si="2436"/>
        <v>42357</v>
      </c>
      <c r="AB1375" s="265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37"/>
    </row>
    <row r="1376" spans="1:42" s="93" customFormat="1" ht="15">
      <c r="A1376" s="92"/>
      <c r="B1376" s="92"/>
      <c r="C1376" s="92"/>
      <c r="D1376" s="151" t="s">
        <v>278</v>
      </c>
      <c r="E1376" s="151"/>
      <c r="F1376" s="151" t="str">
        <f t="shared" si="2388"/>
        <v>Лекс</v>
      </c>
      <c r="G1376" s="151" t="s">
        <v>261</v>
      </c>
      <c r="H1376" s="311"/>
      <c r="I1376" s="312">
        <f>I1368-I1373</f>
        <v>3040.1800000000003</v>
      </c>
      <c r="J1376" s="313">
        <f>I1376-K1376-L1376</f>
        <v>0</v>
      </c>
      <c r="K1376" s="312">
        <f t="shared" ref="K1376:L1376" si="2437">K1368-K1373</f>
        <v>1570.1800000000003</v>
      </c>
      <c r="L1376" s="314">
        <f t="shared" si="2437"/>
        <v>1470</v>
      </c>
      <c r="M1376" s="273"/>
      <c r="N1376" s="152">
        <f>N1368-N1373</f>
        <v>1764</v>
      </c>
      <c r="O1376" s="170">
        <f>N1376-P1376-Q1376</f>
        <v>0</v>
      </c>
      <c r="P1376" s="152">
        <f t="shared" ref="P1376:Q1376" si="2438">P1368-P1373</f>
        <v>1764</v>
      </c>
      <c r="Q1376" s="235">
        <f t="shared" si="2438"/>
        <v>0</v>
      </c>
      <c r="R1376" s="236"/>
      <c r="S1376" s="152">
        <f>S1368-S1373</f>
        <v>325.18000000000393</v>
      </c>
      <c r="T1376" s="170">
        <f>S1376-U1376-V1376</f>
        <v>3.637978807091713E-12</v>
      </c>
      <c r="U1376" s="152">
        <f t="shared" ref="U1376:V1376" si="2439">U1368-U1373</f>
        <v>-604.81999999999971</v>
      </c>
      <c r="V1376" s="235">
        <f t="shared" si="2439"/>
        <v>930</v>
      </c>
      <c r="W1376" s="236"/>
      <c r="X1376" s="152">
        <f>X1368-X1373</f>
        <v>951</v>
      </c>
      <c r="Y1376" s="170">
        <f>X1376-Z1376-AA1376</f>
        <v>0</v>
      </c>
      <c r="Z1376" s="152">
        <f t="shared" ref="Z1376:AA1376" si="2440">Z1368-Z1373</f>
        <v>411</v>
      </c>
      <c r="AA1376" s="235">
        <f t="shared" si="2440"/>
        <v>540</v>
      </c>
      <c r="AB1376" s="264"/>
      <c r="AC1376" s="92"/>
      <c r="AD1376" s="92"/>
      <c r="AE1376" s="92"/>
      <c r="AF1376" s="92"/>
      <c r="AG1376" s="92"/>
      <c r="AH1376" s="92"/>
      <c r="AI1376" s="92"/>
      <c r="AJ1376" s="92"/>
      <c r="AK1376" s="92"/>
      <c r="AL1376" s="92"/>
      <c r="AM1376" s="92"/>
      <c r="AN1376" s="92"/>
      <c r="AO1376" s="92"/>
      <c r="AP1376" s="92"/>
    </row>
    <row r="1377" spans="1:42" s="211" customFormat="1">
      <c r="A1377" s="210"/>
      <c r="B1377" s="210"/>
      <c r="C1377" s="210"/>
      <c r="D1377" s="218" t="s">
        <v>277</v>
      </c>
      <c r="E1377" s="218"/>
      <c r="F1377" s="218" t="str">
        <f t="shared" si="2388"/>
        <v>Лекс</v>
      </c>
      <c r="G1377" s="218" t="s">
        <v>218</v>
      </c>
      <c r="H1377" s="343"/>
      <c r="I1377" s="344">
        <f>IF(I1368=0,0,(I1376/I1368))</f>
        <v>5.2724151087371239E-2</v>
      </c>
      <c r="J1377" s="345"/>
      <c r="K1377" s="344">
        <f t="shared" ref="K1377" si="2441">IF(K1368=0,0,(K1376/K1368))</f>
        <v>3.3718003779419352E-2</v>
      </c>
      <c r="L1377" s="346">
        <f t="shared" ref="L1377" si="2442">IF(L1368=0,0,(L1376/L1368))</f>
        <v>0.13250405624661979</v>
      </c>
      <c r="M1377" s="280"/>
      <c r="N1377" s="219">
        <f>IF(N1368=0,0,(N1376/N1368))</f>
        <v>6.4695958336389636E-2</v>
      </c>
      <c r="O1377" s="220"/>
      <c r="P1377" s="219">
        <f t="shared" ref="P1377" si="2443">IF(P1368=0,0,(P1376/P1368))</f>
        <v>6.4695958336389636E-2</v>
      </c>
      <c r="Q1377" s="252">
        <f t="shared" ref="Q1377" si="2444">IF(Q1368=0,0,(Q1376/Q1368))</f>
        <v>0</v>
      </c>
      <c r="R1377" s="253"/>
      <c r="S1377" s="219">
        <f>IF(S1368=0,0,(S1376/S1368))</f>
        <v>1.5840802805923808E-2</v>
      </c>
      <c r="T1377" s="220"/>
      <c r="U1377" s="219">
        <f t="shared" ref="U1377" si="2445">IF(U1368=0,0,(U1376/U1368))</f>
        <v>-4.761612344512673E-2</v>
      </c>
      <c r="V1377" s="252">
        <f t="shared" ref="V1377" si="2446">IF(V1368=0,0,(V1376/V1368))</f>
        <v>0.11883465371837465</v>
      </c>
      <c r="W1377" s="253"/>
      <c r="X1377" s="219">
        <f>IF(X1368=0,0,(X1376/X1368))</f>
        <v>9.6372111876773414E-2</v>
      </c>
      <c r="Y1377" s="220"/>
      <c r="Z1377" s="219">
        <f t="shared" ref="Z1377" si="2447">IF(Z1368=0,0,(Z1376/Z1368))</f>
        <v>6.2272727272727271E-2</v>
      </c>
      <c r="AA1377" s="252">
        <f t="shared" ref="AA1377" si="2448">IF(AA1368=0,0,(AA1376/AA1368))</f>
        <v>0.16523867809057527</v>
      </c>
      <c r="AB1377" s="267"/>
      <c r="AC1377" s="210"/>
      <c r="AD1377" s="210"/>
      <c r="AE1377" s="210"/>
      <c r="AF1377" s="210"/>
      <c r="AG1377" s="210"/>
      <c r="AH1377" s="210"/>
      <c r="AI1377" s="210"/>
      <c r="AJ1377" s="210"/>
      <c r="AK1377" s="210"/>
      <c r="AL1377" s="210"/>
      <c r="AM1377" s="210"/>
      <c r="AN1377" s="210"/>
      <c r="AO1377" s="210"/>
      <c r="AP1377" s="210"/>
    </row>
    <row r="1378" spans="1:42" s="93" customFormat="1" ht="15">
      <c r="A1378" s="92"/>
      <c r="B1378" s="92"/>
      <c r="C1378" s="92"/>
      <c r="D1378" s="198" t="s">
        <v>220</v>
      </c>
      <c r="E1378" s="198"/>
      <c r="F1378" s="198" t="str">
        <f t="shared" si="2388"/>
        <v>Лекс</v>
      </c>
      <c r="G1378" s="198" t="s">
        <v>219</v>
      </c>
      <c r="H1378" s="323"/>
      <c r="I1378" s="324">
        <f>I1372-I1374</f>
        <v>69.736039998584602</v>
      </c>
      <c r="J1378" s="321">
        <f>I1378-SUMIFS(ПОбТЗ!$I:$I,ПОбТЗ!$E:$E,$D1378,ПОбТЗ!$F:$F,$F1378)</f>
        <v>0</v>
      </c>
      <c r="K1378" s="324">
        <f t="shared" ref="K1378:L1378" si="2449">K1372-K1374</f>
        <v>83.45478084016213</v>
      </c>
      <c r="L1378" s="325">
        <f t="shared" si="2449"/>
        <v>5.0118274599226424</v>
      </c>
      <c r="M1378" s="276"/>
      <c r="N1378" s="199">
        <f>N1372-N1374</f>
        <v>85.630246077380434</v>
      </c>
      <c r="O1378" s="173">
        <f>N1378-SUMIFS(ПОбТЗ_3!$J:$J,ПОбТЗ_3!$D:$D,$D1378,ПОбТЗ_3!$E:$E,$F1378)</f>
        <v>0</v>
      </c>
      <c r="P1378" s="199">
        <f t="shared" ref="P1378:Q1378" si="2450">P1372-P1374</f>
        <v>85.630246077380434</v>
      </c>
      <c r="Q1378" s="241">
        <f t="shared" si="2450"/>
        <v>0</v>
      </c>
      <c r="R1378" s="242"/>
      <c r="S1378" s="199">
        <f>S1372-S1374</f>
        <v>53.393061829519866</v>
      </c>
      <c r="T1378" s="173">
        <f>S1378-SUMIFS(ПОбТЗ_3!$K:$K,ПОбТЗ_3!$D:$D,$D1378,ПОбТЗ_3!$E:$E,$F1378)</f>
        <v>0</v>
      </c>
      <c r="U1378" s="199">
        <f t="shared" ref="U1378:V1378" si="2451">U1372-U1374</f>
        <v>79.312812589480018</v>
      </c>
      <c r="V1378" s="241">
        <f t="shared" si="2451"/>
        <v>4.5718166155056679</v>
      </c>
      <c r="W1378" s="242"/>
      <c r="X1378" s="199">
        <f>X1372-X1374</f>
        <v>60.731517781947332</v>
      </c>
      <c r="Y1378" s="173">
        <f>X1378-SUMIFS(ПОбТЗ_3!$L:$L,ПОбТЗ_3!$D:$D,$D1378,ПОбТЗ_3!$E:$E,$F1378)</f>
        <v>0</v>
      </c>
      <c r="Z1378" s="199">
        <f t="shared" ref="Z1378:AA1378" si="2452">Z1372-Z1374</f>
        <v>85.333333333335759</v>
      </c>
      <c r="AA1378" s="241">
        <f t="shared" si="2452"/>
        <v>5</v>
      </c>
      <c r="AB1378" s="264"/>
      <c r="AC1378" s="92"/>
      <c r="AD1378" s="92"/>
      <c r="AE1378" s="92"/>
      <c r="AF1378" s="92"/>
      <c r="AG1378" s="92"/>
      <c r="AH1378" s="92"/>
      <c r="AI1378" s="92"/>
      <c r="AJ1378" s="92"/>
      <c r="AK1378" s="92"/>
      <c r="AL1378" s="92"/>
      <c r="AM1378" s="92"/>
      <c r="AN1378" s="92"/>
      <c r="AO1378" s="92"/>
      <c r="AP1378" s="92"/>
    </row>
    <row r="1379" spans="1:42" s="5" customFormat="1">
      <c r="A1379" s="1"/>
      <c r="B1379" s="1"/>
      <c r="C1379" s="1"/>
      <c r="D1379" s="227" t="s">
        <v>309</v>
      </c>
      <c r="E1379" s="227"/>
      <c r="F1379" s="227" t="str">
        <f t="shared" si="2388"/>
        <v>Лекс</v>
      </c>
      <c r="G1379" s="227" t="s">
        <v>219</v>
      </c>
      <c r="H1379" s="347"/>
      <c r="I1379" s="348">
        <f>I1375-I1374</f>
        <v>46.150999911762483</v>
      </c>
      <c r="J1379" s="321"/>
      <c r="K1379" s="348">
        <f t="shared" ref="K1379:L1379" si="2453">K1375-K1374</f>
        <v>52.376262005571334</v>
      </c>
      <c r="L1379" s="349">
        <f t="shared" si="2453"/>
        <v>17.044264339150686</v>
      </c>
      <c r="M1379" s="281"/>
      <c r="N1379" s="228">
        <f>N1375-N1374</f>
        <v>58.055681907302642</v>
      </c>
      <c r="O1379" s="173"/>
      <c r="P1379" s="228">
        <f t="shared" ref="P1379:Q1379" si="2454">P1375-P1374</f>
        <v>58.055681907302642</v>
      </c>
      <c r="Q1379" s="254">
        <f t="shared" si="2454"/>
        <v>0</v>
      </c>
      <c r="R1379" s="255"/>
      <c r="S1379" s="228">
        <f>S1375-S1374</f>
        <v>21.247262015895103</v>
      </c>
      <c r="T1379" s="173"/>
      <c r="U1379" s="228">
        <f t="shared" ref="U1379:V1379" si="2455">U1375-U1374</f>
        <v>24.031332053797087</v>
      </c>
      <c r="V1379" s="254">
        <f t="shared" si="2455"/>
        <v>15.875</v>
      </c>
      <c r="W1379" s="255"/>
      <c r="X1379" s="228">
        <f>X1375-X1374</f>
        <v>29.254233486601152</v>
      </c>
      <c r="Y1379" s="173"/>
      <c r="Z1379" s="228">
        <f t="shared" ref="Z1379:AA1379" si="2456">Z1375-Z1374</f>
        <v>33.333333333335759</v>
      </c>
      <c r="AA1379" s="254">
        <f t="shared" si="2456"/>
        <v>20</v>
      </c>
      <c r="AB1379" s="266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</row>
    <row r="1380" spans="1:42" s="5" customFormat="1">
      <c r="A1380" s="1"/>
      <c r="B1380" s="1"/>
      <c r="C1380" s="1"/>
      <c r="D1380" s="225" t="s">
        <v>310</v>
      </c>
      <c r="E1380" s="225"/>
      <c r="F1380" s="225" t="str">
        <f t="shared" si="2388"/>
        <v>Лекс</v>
      </c>
      <c r="G1380" s="225" t="s">
        <v>219</v>
      </c>
      <c r="H1380" s="350"/>
      <c r="I1380" s="351">
        <f>I1378-I1379</f>
        <v>23.585040086822119</v>
      </c>
      <c r="J1380" s="352"/>
      <c r="K1380" s="351">
        <f t="shared" ref="K1380" si="2457">K1378-K1379</f>
        <v>31.078518834590795</v>
      </c>
      <c r="L1380" s="353">
        <f t="shared" ref="L1380" si="2458">L1378-L1379</f>
        <v>-12.032436879228044</v>
      </c>
      <c r="M1380" s="282"/>
      <c r="N1380" s="226">
        <f>N1378-N1379</f>
        <v>27.574564170077792</v>
      </c>
      <c r="O1380" s="181"/>
      <c r="P1380" s="226">
        <f t="shared" ref="P1380" si="2459">P1378-P1379</f>
        <v>27.574564170077792</v>
      </c>
      <c r="Q1380" s="256">
        <f t="shared" ref="Q1380" si="2460">Q1378-Q1379</f>
        <v>0</v>
      </c>
      <c r="R1380" s="257"/>
      <c r="S1380" s="226">
        <f>S1378-S1379</f>
        <v>32.145799813624762</v>
      </c>
      <c r="T1380" s="181"/>
      <c r="U1380" s="226">
        <f t="shared" ref="U1380" si="2461">U1378-U1379</f>
        <v>55.281480535682931</v>
      </c>
      <c r="V1380" s="256">
        <f t="shared" ref="V1380" si="2462">V1378-V1379</f>
        <v>-11.303183384494332</v>
      </c>
      <c r="W1380" s="257"/>
      <c r="X1380" s="226">
        <f>X1378-X1379</f>
        <v>31.47728429534618</v>
      </c>
      <c r="Y1380" s="181"/>
      <c r="Z1380" s="226">
        <f t="shared" ref="Z1380" si="2463">Z1378-Z1379</f>
        <v>52</v>
      </c>
      <c r="AA1380" s="256">
        <f t="shared" ref="AA1380" si="2464">AA1378-AA1379</f>
        <v>-15</v>
      </c>
      <c r="AB1380" s="266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</row>
    <row r="1381" spans="1:42" s="5" customFormat="1">
      <c r="A1381" s="1"/>
      <c r="B1381" s="1"/>
      <c r="C1381" s="1"/>
      <c r="D1381" s="223"/>
      <c r="E1381" s="223" t="s">
        <v>293</v>
      </c>
      <c r="F1381" s="223" t="str">
        <f t="shared" si="2388"/>
        <v>Лекс</v>
      </c>
      <c r="G1381" s="223" t="s">
        <v>261</v>
      </c>
      <c r="H1381" s="354"/>
      <c r="I1381" s="355">
        <f>SUMIFS(операции!$Z:$Z,операции!$X:$X,"&gt;="&amp;I$8,операции!$X:$X,"&lt;="&amp;I$9,операции!$AB:$AB,"&lt;&gt;"&amp;"",операции!$O:$O,$F1348)</f>
        <v>51291</v>
      </c>
      <c r="J1381" s="341">
        <f>I1381-K1381-L1381</f>
        <v>0</v>
      </c>
      <c r="K1381" s="355">
        <f>SUMIFS(операции!$Z:$Z,операции!$X:$X,"&gt;="&amp;I$8,операции!$X:$X,"&lt;="&amp;I$9,операции!$AB:$AB,"&lt;&gt;"&amp;"",операции!$L:$L,K$9,операции!$O:$O,$F1348)</f>
        <v>40197</v>
      </c>
      <c r="L1381" s="356">
        <f>SUMIFS(операции!$Z:$Z,операции!$X:$X,"&gt;="&amp;I$8,операции!$X:$X,"&lt;="&amp;I$9,операции!$AB:$AB,"&lt;&gt;"&amp;"",операции!$L:$L,L$9,операции!$O:$O,$F1348)</f>
        <v>11094</v>
      </c>
      <c r="M1381" s="283"/>
      <c r="N1381" s="224">
        <f>SUMIFS(операции!$Z:$Z,операции!$X:$X,"&gt;="&amp;N$8,операции!$X:$X,"&lt;="&amp;N$9,операции!$AB:$AB,"&lt;&gt;"&amp;"",операции!$O:$O,$F1348)</f>
        <v>20895</v>
      </c>
      <c r="O1381" s="216">
        <f>N1381-P1381-Q1381</f>
        <v>0</v>
      </c>
      <c r="P1381" s="224">
        <f>SUMIFS(операции!$Z:$Z,операции!$X:$X,"&gt;="&amp;N$8,операции!$X:$X,"&lt;="&amp;N$9,операции!$AB:$AB,"&lt;&gt;"&amp;"",операции!$L:$L,P$9,операции!$O:$O,$F1348)</f>
        <v>20895</v>
      </c>
      <c r="Q1381" s="258">
        <f>SUMIFS(операции!$Z:$Z,операции!$X:$X,"&gt;="&amp;N$8,операции!$X:$X,"&lt;="&amp;N$9,операции!$AB:$AB,"&lt;&gt;"&amp;"",операции!$L:$L,Q$9,операции!$O:$O,$F1348)</f>
        <v>0</v>
      </c>
      <c r="R1381" s="259"/>
      <c r="S1381" s="224">
        <f>SUMIFS(операции!$Z:$Z,операции!$X:$X,"&gt;="&amp;S$8,операции!$X:$X,"&lt;="&amp;S$9,операции!$AB:$AB,"&lt;&gt;"&amp;"",операции!$O:$O,$F1348)</f>
        <v>20528</v>
      </c>
      <c r="T1381" s="216">
        <f>S1381-U1381-V1381</f>
        <v>0</v>
      </c>
      <c r="U1381" s="224">
        <f>SUMIFS(операции!$Z:$Z,операции!$X:$X,"&gt;="&amp;S$8,операции!$X:$X,"&lt;="&amp;S$9,операции!$AB:$AB,"&lt;&gt;"&amp;"",операции!$L:$L,U$9,операции!$O:$O,$F1348)</f>
        <v>12702</v>
      </c>
      <c r="V1381" s="258">
        <f>SUMIFS(операции!$Z:$Z,операции!$X:$X,"&gt;="&amp;S$8,операции!$X:$X,"&lt;="&amp;S$9,операции!$AB:$AB,"&lt;&gt;"&amp;"",операции!$L:$L,V$9,операции!$O:$O,$F1348)</f>
        <v>7826</v>
      </c>
      <c r="W1381" s="259"/>
      <c r="X1381" s="224">
        <f>SUMIFS(операции!$Z:$Z,операции!$X:$X,"&gt;="&amp;X$8,операции!$X:$X,"&lt;="&amp;X$9,операции!$AB:$AB,"&lt;&gt;"&amp;"",операции!$O:$O,$F1348)</f>
        <v>9868</v>
      </c>
      <c r="Y1381" s="216">
        <f>X1381-Z1381-AA1381</f>
        <v>0</v>
      </c>
      <c r="Z1381" s="224">
        <f>SUMIFS(операции!$Z:$Z,операции!$X:$X,"&gt;="&amp;X$8,операции!$X:$X,"&lt;="&amp;X$9,операции!$AB:$AB,"&lt;&gt;"&amp;"",операции!$L:$L,Z$9,операции!$O:$O,$F1348)</f>
        <v>6600</v>
      </c>
      <c r="AA1381" s="258">
        <f>SUMIFS(операции!$Z:$Z,операции!$X:$X,"&gt;="&amp;X$8,операции!$X:$X,"&lt;="&amp;X$9,операции!$AB:$AB,"&lt;&gt;"&amp;"",операции!$L:$L,AA$9,операции!$O:$O,$F1348)</f>
        <v>3268</v>
      </c>
      <c r="AB1381" s="266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</row>
    <row r="1382" spans="1:42" s="192" customFormat="1" ht="11.25">
      <c r="A1382" s="37"/>
      <c r="B1382" s="37"/>
      <c r="C1382" s="37"/>
      <c r="D1382" s="191"/>
      <c r="E1382" s="191" t="s">
        <v>295</v>
      </c>
      <c r="F1382" s="191" t="str">
        <f t="shared" si="2388"/>
        <v>Лекс</v>
      </c>
      <c r="G1382" s="191" t="s">
        <v>262</v>
      </c>
      <c r="H1382" s="315"/>
      <c r="I1382" s="316">
        <f>IF(I1381=0,0,SUMIFS(операции!$AG:$AG,операции!$X:$X,"&gt;="&amp;I$8,операции!$X:$X,"&lt;="&amp;I$9,операции!$AB:$AB,"&lt;&gt;"&amp;"",операции!$O:$O,$F1348)/I1381)</f>
        <v>42318.368563685639</v>
      </c>
      <c r="J1382" s="317"/>
      <c r="K1382" s="316">
        <f>IF(K1381=0,0,SUMIFS(операции!$AG:$AG,операции!$X:$X,"&gt;="&amp;I$8,операции!$X:$X,"&lt;="&amp;I$9,операции!$AB:$AB,"&lt;&gt;"&amp;"",операции!$L:$L,K$9,операции!$O:$O,$F1348)/K1381)</f>
        <v>42317.427494589152</v>
      </c>
      <c r="L1382" s="318">
        <f>IF(L1381=0,0,SUMIFS(операции!$AG:$AG,операции!$X:$X,"&gt;="&amp;I$8,операции!$X:$X,"&lt;="&amp;I$9,операции!$AB:$AB,"&lt;&gt;"&amp;"",операции!$L:$L,L$9,операции!$O:$O,$F1348)/L1381)</f>
        <v>42321.778348656931</v>
      </c>
      <c r="M1382" s="274"/>
      <c r="N1382" s="193">
        <f>IF(N1381=0,0,SUMIFS(операции!$AG:$AG,операции!$X:$X,"&gt;="&amp;N$8,операции!$X:$X,"&lt;="&amp;N$9,операции!$AB:$AB,"&lt;&gt;"&amp;"",операции!$O:$O,$F1348)/N1381)</f>
        <v>42305.625269203156</v>
      </c>
      <c r="O1382" s="196"/>
      <c r="P1382" s="193">
        <f>IF(P1381=0,0,SUMIFS(операции!$AG:$AG,операции!$X:$X,"&gt;="&amp;N$8,операции!$X:$X,"&lt;="&amp;N$9,операции!$AB:$AB,"&lt;&gt;"&amp;"",операции!$L:$L,P$9,операции!$O:$O,$F1348)/P1381)</f>
        <v>42305.625269203156</v>
      </c>
      <c r="Q1382" s="237">
        <f>IF(Q1381=0,0,SUMIFS(операции!$AG:$AG,операции!$X:$X,"&gt;="&amp;N$8,операции!$X:$X,"&lt;="&amp;N$9,операции!$AB:$AB,"&lt;&gt;"&amp;"",операции!$L:$L,Q$9,операции!$O:$O,$F1348)/Q1381)</f>
        <v>0</v>
      </c>
      <c r="R1382" s="238"/>
      <c r="S1382" s="193">
        <f>IF(S1381=0,0,SUMIFS(операции!$AG:$AG,операции!$X:$X,"&gt;="&amp;S$8,операции!$X:$X,"&lt;="&amp;S$9,операции!$AB:$AB,"&lt;&gt;"&amp;"",операции!$O:$O,$F1348)/S1381)</f>
        <v>42319.658320342947</v>
      </c>
      <c r="T1382" s="196"/>
      <c r="U1382" s="193">
        <f>IF(U1381=0,0,SUMIFS(операции!$AG:$AG,операции!$X:$X,"&gt;="&amp;S$8,операции!$X:$X,"&lt;="&amp;S$9,операции!$AB:$AB,"&lt;&gt;"&amp;"",операции!$L:$L,U$9,операции!$O:$O,$F1348)/U1381)</f>
        <v>42323.554794520547</v>
      </c>
      <c r="V1382" s="237">
        <f>IF(V1381=0,0,SUMIFS(операции!$AG:$AG,операции!$X:$X,"&gt;="&amp;S$8,операции!$X:$X,"&lt;="&amp;S$9,операции!$AB:$AB,"&lt;&gt;"&amp;"",операции!$L:$L,V$9,операции!$O:$O,$F1348)/V1381)</f>
        <v>42313.334142601583</v>
      </c>
      <c r="W1382" s="238"/>
      <c r="X1382" s="193">
        <f>IF(X1381=0,0,SUMIFS(операции!$AG:$AG,операции!$X:$X,"&gt;="&amp;X$8,операции!$X:$X,"&lt;="&amp;X$9,операции!$AB:$AB,"&lt;&gt;"&amp;"",операции!$O:$O,$F1348)/X1381)</f>
        <v>42342.668828536684</v>
      </c>
      <c r="Y1382" s="196"/>
      <c r="Z1382" s="193">
        <f>IF(Z1381=0,0,SUMIFS(операции!$AG:$AG,операции!$X:$X,"&gt;="&amp;X$8,операции!$X:$X,"&lt;="&amp;X$9,операции!$AB:$AB,"&lt;&gt;"&amp;"",операции!$L:$L,Z$9,операции!$O:$O,$F1348)/Z1381)</f>
        <v>42343</v>
      </c>
      <c r="AA1382" s="237">
        <f>IF(AA1381=0,0,SUMIFS(операции!$AG:$AG,операции!$X:$X,"&gt;="&amp;X$8,операции!$X:$X,"&lt;="&amp;X$9,операции!$AB:$AB,"&lt;&gt;"&amp;"",операции!$L:$L,AA$9,операции!$O:$O,$F1348)/AA1381)</f>
        <v>42342</v>
      </c>
      <c r="AB1382" s="265"/>
      <c r="AC1382" s="37"/>
      <c r="AD1382" s="37"/>
      <c r="AE1382" s="37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</row>
    <row r="1383" spans="1:42" s="93" customFormat="1" ht="15">
      <c r="A1383" s="92"/>
      <c r="B1383" s="92"/>
      <c r="C1383" s="92"/>
      <c r="D1383" s="151"/>
      <c r="E1383" s="151" t="s">
        <v>292</v>
      </c>
      <c r="F1383" s="151" t="str">
        <f t="shared" si="2388"/>
        <v>Лекс</v>
      </c>
      <c r="G1383" s="151" t="s">
        <v>261</v>
      </c>
      <c r="H1383" s="311"/>
      <c r="I1383" s="312">
        <f>SUMIFS(операции!$V:$V,операции!$X:$X,"&gt;="&amp;I$8,операции!$X:$X,"&lt;="&amp;I$9,операции!$AB:$AB,"&lt;&gt;"&amp;"",операции!$O:$O,$F1348)</f>
        <v>48880.82</v>
      </c>
      <c r="J1383" s="313">
        <f>I1383-K1383-L1383</f>
        <v>0</v>
      </c>
      <c r="K1383" s="312">
        <f>SUMIFS(операции!$V:$V,операции!$X:$X,"&gt;="&amp;I$8,операции!$X:$X,"&lt;="&amp;I$9,операции!$AB:$AB,"&lt;&gt;"&amp;"",операции!$L:$L,K$9,операции!$O:$O,$F1348)</f>
        <v>39256.82</v>
      </c>
      <c r="L1383" s="314">
        <f>SUMIFS(операции!$V:$V,операции!$X:$X,"&gt;="&amp;I$8,операции!$X:$X,"&lt;="&amp;I$9,операции!$AB:$AB,"&lt;&gt;"&amp;"",операции!$L:$L,L$9,операции!$O:$O,$F1348)</f>
        <v>9624</v>
      </c>
      <c r="M1383" s="273"/>
      <c r="N1383" s="152">
        <f>SUMIFS(операции!$V:$V,операции!$X:$X,"&gt;="&amp;N$8,операции!$X:$X,"&lt;="&amp;N$9,операции!$AB:$AB,"&lt;&gt;"&amp;"",операции!$O:$O,$F1348)</f>
        <v>19761</v>
      </c>
      <c r="O1383" s="170">
        <f>N1383-P1383-Q1383</f>
        <v>0</v>
      </c>
      <c r="P1383" s="152">
        <f>SUMIFS(операции!$V:$V,операции!$X:$X,"&gt;="&amp;N$8,операции!$X:$X,"&lt;="&amp;N$9,операции!$AB:$AB,"&lt;&gt;"&amp;"",операции!$L:$L,P$9,операции!$O:$O,$F1348)</f>
        <v>19761</v>
      </c>
      <c r="Q1383" s="235">
        <f>SUMIFS(операции!$V:$V,операции!$X:$X,"&gt;="&amp;N$8,операции!$X:$X,"&lt;="&amp;N$9,операции!$AB:$AB,"&lt;&gt;"&amp;"",операции!$L:$L,Q$9,операции!$O:$O,$F1348)</f>
        <v>0</v>
      </c>
      <c r="R1383" s="236"/>
      <c r="S1383" s="152">
        <f>SUMIFS(операции!$V:$V,операции!$X:$X,"&gt;="&amp;S$8,операции!$X:$X,"&lt;="&amp;S$9,операции!$AB:$AB,"&lt;&gt;"&amp;"",операции!$O:$O,$F1348)</f>
        <v>20202.819999999996</v>
      </c>
      <c r="T1383" s="170">
        <f>S1383-U1383-V1383</f>
        <v>0</v>
      </c>
      <c r="U1383" s="152">
        <f>SUMIFS(операции!$V:$V,операции!$X:$X,"&gt;="&amp;S$8,операции!$X:$X,"&lt;="&amp;S$9,операции!$AB:$AB,"&lt;&gt;"&amp;"",операции!$L:$L,U$9,операции!$O:$O,$F1348)</f>
        <v>13306.82</v>
      </c>
      <c r="V1383" s="235">
        <f>SUMIFS(операции!$V:$V,операции!$X:$X,"&gt;="&amp;S$8,операции!$X:$X,"&lt;="&amp;S$9,операции!$AB:$AB,"&lt;&gt;"&amp;"",операции!$L:$L,V$9,операции!$O:$O,$F1348)</f>
        <v>6896</v>
      </c>
      <c r="W1383" s="236"/>
      <c r="X1383" s="152">
        <f>SUMIFS(операции!$V:$V,операции!$X:$X,"&gt;="&amp;X$8,операции!$X:$X,"&lt;="&amp;X$9,операции!$AB:$AB,"&lt;&gt;"&amp;"",операции!$O:$O,$F1348)</f>
        <v>8917</v>
      </c>
      <c r="Y1383" s="170">
        <f>X1383-Z1383-AA1383</f>
        <v>0</v>
      </c>
      <c r="Z1383" s="152">
        <f>SUMIFS(операции!$V:$V,операции!$X:$X,"&gt;="&amp;X$8,операции!$X:$X,"&lt;="&amp;X$9,операции!$AB:$AB,"&lt;&gt;"&amp;"",операции!$L:$L,Z$9,операции!$O:$O,$F1348)</f>
        <v>6189</v>
      </c>
      <c r="AA1383" s="235">
        <f>SUMIFS(операции!$V:$V,операции!$X:$X,"&gt;="&amp;X$8,операции!$X:$X,"&lt;="&amp;X$9,операции!$AB:$AB,"&lt;&gt;"&amp;"",операции!$L:$L,AA$9,операции!$O:$O,$F1348)</f>
        <v>2728</v>
      </c>
      <c r="AB1383" s="264"/>
      <c r="AC1383" s="92"/>
      <c r="AD1383" s="92"/>
      <c r="AE1383" s="92"/>
      <c r="AF1383" s="92"/>
      <c r="AG1383" s="92"/>
      <c r="AH1383" s="92"/>
      <c r="AI1383" s="92"/>
      <c r="AJ1383" s="92"/>
      <c r="AK1383" s="92"/>
      <c r="AL1383" s="92"/>
      <c r="AM1383" s="92"/>
      <c r="AN1383" s="92"/>
      <c r="AO1383" s="92"/>
      <c r="AP1383" s="92"/>
    </row>
    <row r="1384" spans="1:42" s="192" customFormat="1" ht="11.25">
      <c r="A1384" s="37"/>
      <c r="B1384" s="37"/>
      <c r="C1384" s="37"/>
      <c r="D1384" s="191"/>
      <c r="E1384" s="191" t="s">
        <v>294</v>
      </c>
      <c r="F1384" s="191" t="str">
        <f t="shared" si="2388"/>
        <v>Лекс</v>
      </c>
      <c r="G1384" s="191" t="s">
        <v>262</v>
      </c>
      <c r="H1384" s="315"/>
      <c r="I1384" s="316">
        <f>IF(I1383=0,0,SUMIFS(операции!$AF:$AF,операции!$X:$X,"&gt;="&amp;I$8,операции!$X:$X,"&lt;="&amp;I$9,операции!$AB:$AB,"&lt;&gt;"&amp;"",операции!$O:$O,$F1348)/I1383)</f>
        <v>42258.683714593986</v>
      </c>
      <c r="J1384" s="317"/>
      <c r="K1384" s="316">
        <f>IF(K1383=0,0,SUMIFS(операции!$AF:$AF,операции!$X:$X,"&gt;="&amp;I$8,операции!$X:$X,"&lt;="&amp;I$9,операции!$AB:$AB,"&lt;&gt;"&amp;"",операции!$L:$L,K$9,операции!$O:$O,$F1348)/K1383)</f>
        <v>42244.444432585224</v>
      </c>
      <c r="L1384" s="318">
        <f>IF(L1383=0,0,SUMIFS(операции!$AF:$AF,операции!$X:$X,"&gt;="&amp;I$8,операции!$X:$X,"&lt;="&amp;I$9,операции!$AB:$AB,"&lt;&gt;"&amp;"",операции!$L:$L,L$9,операции!$O:$O,$F1348)/L1383)</f>
        <v>42316.766521197009</v>
      </c>
      <c r="M1384" s="274"/>
      <c r="N1384" s="193">
        <f>IF(N1383=0,0,SUMIFS(операции!$AF:$AF,операции!$X:$X,"&gt;="&amp;N$8,операции!$X:$X,"&lt;="&amp;N$9,операции!$AB:$AB,"&lt;&gt;"&amp;"",операции!$O:$O,$F1348)/N1383)</f>
        <v>42240.439653863672</v>
      </c>
      <c r="O1384" s="196"/>
      <c r="P1384" s="193">
        <f>IF(P1383=0,0,SUMIFS(операции!$AF:$AF,операции!$X:$X,"&gt;="&amp;N$8,операции!$X:$X,"&lt;="&amp;N$9,операции!$AB:$AB,"&lt;&gt;"&amp;"",операции!$L:$L,P$9,операции!$O:$O,$F1348)/P1383)</f>
        <v>42240.439653863672</v>
      </c>
      <c r="Q1384" s="237">
        <f>IF(Q1383=0,0,SUMIFS(операции!$AF:$AF,операции!$X:$X,"&gt;="&amp;N$8,операции!$X:$X,"&lt;="&amp;N$9,операции!$AB:$AB,"&lt;&gt;"&amp;"",операции!$L:$L,Q$9,операции!$O:$O,$F1348)/Q1383)</f>
        <v>0</v>
      </c>
      <c r="R1384" s="238"/>
      <c r="S1384" s="193">
        <f>IF(S1383=0,0,SUMIFS(операции!$AF:$AF,операции!$X:$X,"&gt;="&amp;S$8,операции!$X:$X,"&lt;="&amp;S$9,операции!$AB:$AB,"&lt;&gt;"&amp;"",операции!$O:$O,$F1348)/S1383)</f>
        <v>42266.265258513427</v>
      </c>
      <c r="T1384" s="196"/>
      <c r="U1384" s="193">
        <f>IF(U1383=0,0,SUMIFS(операции!$AF:$AF,операции!$X:$X,"&gt;="&amp;S$8,операции!$X:$X,"&lt;="&amp;S$9,операции!$AB:$AB,"&lt;&gt;"&amp;"",операции!$L:$L,U$9,операции!$O:$O,$F1348)/U1383)</f>
        <v>42244.241981931067</v>
      </c>
      <c r="V1384" s="237">
        <f>IF(V1383=0,0,SUMIFS(операции!$AF:$AF,операции!$X:$X,"&gt;="&amp;S$8,операции!$X:$X,"&lt;="&amp;S$9,операции!$AB:$AB,"&lt;&gt;"&amp;"",операции!$L:$L,V$9,операции!$O:$O,$F1348)/V1383)</f>
        <v>42308.762325986077</v>
      </c>
      <c r="W1384" s="238"/>
      <c r="X1384" s="193">
        <f>IF(X1383=0,0,SUMIFS(операции!$AF:$AF,операции!$X:$X,"&gt;="&amp;X$8,операции!$X:$X,"&lt;="&amp;X$9,операции!$AB:$AB,"&lt;&gt;"&amp;"",операции!$O:$O,$F1348)/X1383)</f>
        <v>42281.937310754736</v>
      </c>
      <c r="Y1384" s="196"/>
      <c r="Z1384" s="193">
        <f>IF(Z1383=0,0,SUMIFS(операции!$AF:$AF,операции!$X:$X,"&gt;="&amp;X$8,операции!$X:$X,"&lt;="&amp;X$9,операции!$AB:$AB,"&lt;&gt;"&amp;"",операции!$L:$L,Z$9,операции!$O:$O,$F1348)/Z1383)</f>
        <v>42257.666666666664</v>
      </c>
      <c r="AA1384" s="237">
        <f>IF(AA1383=0,0,SUMIFS(операции!$AF:$AF,операции!$X:$X,"&gt;="&amp;X$8,операции!$X:$X,"&lt;="&amp;X$9,операции!$AB:$AB,"&lt;&gt;"&amp;"",операции!$L:$L,AA$9,операции!$O:$O,$F1348)/AA1383)</f>
        <v>42337</v>
      </c>
      <c r="AB1384" s="265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37"/>
    </row>
    <row r="1385" spans="1:42" s="192" customFormat="1" ht="11.25">
      <c r="A1385" s="37"/>
      <c r="B1385" s="37"/>
      <c r="C1385" s="37"/>
      <c r="D1385" s="191"/>
      <c r="E1385" s="191" t="s">
        <v>299</v>
      </c>
      <c r="F1385" s="191" t="str">
        <f t="shared" si="2388"/>
        <v>Лекс</v>
      </c>
      <c r="G1385" s="191" t="s">
        <v>262</v>
      </c>
      <c r="H1385" s="315"/>
      <c r="I1385" s="316">
        <f>IF(I1383=0,0,SUMIFS(операции!$AH:$AH,операции!$X:$X,"&gt;="&amp;I$8,операции!$X:$X,"&lt;="&amp;I$9,операции!$AB:$AB,"&lt;&gt;"&amp;"",операции!$O:$O,$F1348)/I1383)</f>
        <v>42284.174952466019</v>
      </c>
      <c r="J1385" s="317"/>
      <c r="K1385" s="316">
        <f>IF(K1383=0,0,SUMIFS(операции!$AH:$AH,операции!$X:$X,"&gt;="&amp;I$8,операции!$X:$X,"&lt;="&amp;I$9,операции!$AB:$AB,"&lt;&gt;"&amp;"",операции!$L:$L,K$9,операции!$O:$O,$F1348)/K1383)</f>
        <v>42272.00648702569</v>
      </c>
      <c r="L1385" s="318">
        <f>IF(L1383=0,0,SUMIFS(операции!$AH:$AH,операции!$X:$X,"&gt;="&amp;I$8,операции!$X:$X,"&lt;="&amp;I$9,операции!$AB:$AB,"&lt;&gt;"&amp;"",операции!$L:$L,L$9,операции!$O:$O,$F1348)/L1383)</f>
        <v>42333.81078553616</v>
      </c>
      <c r="M1385" s="274"/>
      <c r="N1385" s="193">
        <f>IF(N1383=0,0,SUMIFS(операции!$AH:$AH,операции!$X:$X,"&gt;="&amp;N$8,операции!$X:$X,"&lt;="&amp;N$9,операции!$AB:$AB,"&lt;&gt;"&amp;"",операции!$O:$O,$F1348)/N1383)</f>
        <v>42268.571732199787</v>
      </c>
      <c r="O1385" s="196"/>
      <c r="P1385" s="193">
        <f>IF(P1383=0,0,SUMIFS(операции!$AH:$AH,операции!$X:$X,"&gt;="&amp;N$8,операции!$X:$X,"&lt;="&amp;N$9,операции!$AB:$AB,"&lt;&gt;"&amp;"",операции!$L:$L,P$9,операции!$O:$O,$F1348)/P1383)</f>
        <v>42268.571732199787</v>
      </c>
      <c r="Q1385" s="237">
        <f>IF(Q1383=0,0,SUMIFS(операции!$AH:$AH,операции!$X:$X,"&gt;="&amp;N$8,операции!$X:$X,"&lt;="&amp;N$9,операции!$AB:$AB,"&lt;&gt;"&amp;"",операции!$L:$L,Q$9,операции!$O:$O,$F1348)/Q1383)</f>
        <v>0</v>
      </c>
      <c r="R1385" s="238"/>
      <c r="S1385" s="193">
        <f>IF(S1383=0,0,SUMIFS(операции!$AH:$AH,операции!$X:$X,"&gt;="&amp;S$8,операции!$X:$X,"&lt;="&amp;S$9,операции!$AB:$AB,"&lt;&gt;"&amp;"",операции!$O:$O,$F1348)/S1383)</f>
        <v>42287.512520529323</v>
      </c>
      <c r="T1385" s="196"/>
      <c r="U1385" s="193">
        <f>IF(U1383=0,0,SUMIFS(операции!$AH:$AH,операции!$X:$X,"&gt;="&amp;S$8,операции!$X:$X,"&lt;="&amp;S$9,операции!$AB:$AB,"&lt;&gt;"&amp;"",операции!$L:$L,U$9,операции!$O:$O,$F1348)/U1383)</f>
        <v>42268.273313984864</v>
      </c>
      <c r="V1385" s="237">
        <f>IF(V1383=0,0,SUMIFS(операции!$AH:$AH,операции!$X:$X,"&gt;="&amp;S$8,операции!$X:$X,"&lt;="&amp;S$9,операции!$AB:$AB,"&lt;&gt;"&amp;"",операции!$L:$L,V$9,операции!$O:$O,$F1348)/V1383)</f>
        <v>42324.637325986077</v>
      </c>
      <c r="W1385" s="238"/>
      <c r="X1385" s="193">
        <f>IF(X1383=0,0,SUMIFS(операции!$AH:$AH,операции!$X:$X,"&gt;="&amp;X$8,операции!$X:$X,"&lt;="&amp;X$9,операции!$AB:$AB,"&lt;&gt;"&amp;"",операции!$O:$O,$F1348)/X1383)</f>
        <v>42311.191544241337</v>
      </c>
      <c r="Y1385" s="196"/>
      <c r="Z1385" s="193">
        <f>IF(Z1383=0,0,SUMIFS(операции!$AH:$AH,операции!$X:$X,"&gt;="&amp;X$8,операции!$X:$X,"&lt;="&amp;X$9,операции!$AB:$AB,"&lt;&gt;"&amp;"",операции!$L:$L,Z$9,операции!$O:$O,$F1348)/Z1383)</f>
        <v>42291</v>
      </c>
      <c r="AA1385" s="237">
        <f>IF(AA1383=0,0,SUMIFS(операции!$AH:$AH,операции!$X:$X,"&gt;="&amp;X$8,операции!$X:$X,"&lt;="&amp;X$9,операции!$AB:$AB,"&lt;&gt;"&amp;"",операции!$L:$L,AA$9,операции!$O:$O,$F1348)/AA1383)</f>
        <v>42357</v>
      </c>
      <c r="AB1385" s="265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37"/>
    </row>
    <row r="1386" spans="1:42" s="5" customFormat="1">
      <c r="A1386" s="1"/>
      <c r="B1386" s="1"/>
      <c r="C1386" s="1"/>
      <c r="D1386" s="168"/>
      <c r="E1386" s="168" t="s">
        <v>296</v>
      </c>
      <c r="F1386" s="168" t="str">
        <f t="shared" si="2388"/>
        <v>Лекс</v>
      </c>
      <c r="G1386" s="168" t="s">
        <v>261</v>
      </c>
      <c r="H1386" s="326"/>
      <c r="I1386" s="327">
        <f>I1381-I1383</f>
        <v>2410.1800000000003</v>
      </c>
      <c r="J1386" s="313">
        <f>I1386-K1386-L1386</f>
        <v>0</v>
      </c>
      <c r="K1386" s="327">
        <f t="shared" ref="K1386:L1386" si="2465">K1381-K1383</f>
        <v>940.18000000000029</v>
      </c>
      <c r="L1386" s="328">
        <f t="shared" si="2465"/>
        <v>1470</v>
      </c>
      <c r="M1386" s="277"/>
      <c r="N1386" s="169">
        <f>N1381-N1383</f>
        <v>1134</v>
      </c>
      <c r="O1386" s="170">
        <f>N1386-P1386-Q1386</f>
        <v>0</v>
      </c>
      <c r="P1386" s="169">
        <f t="shared" ref="P1386:Q1386" si="2466">P1381-P1383</f>
        <v>1134</v>
      </c>
      <c r="Q1386" s="243">
        <f t="shared" si="2466"/>
        <v>0</v>
      </c>
      <c r="R1386" s="244"/>
      <c r="S1386" s="169">
        <f>S1381-S1383</f>
        <v>325.18000000000393</v>
      </c>
      <c r="T1386" s="170">
        <f>S1386-U1386-V1386</f>
        <v>3.637978807091713E-12</v>
      </c>
      <c r="U1386" s="169">
        <f t="shared" ref="U1386:V1386" si="2467">U1381-U1383</f>
        <v>-604.81999999999971</v>
      </c>
      <c r="V1386" s="243">
        <f t="shared" si="2467"/>
        <v>930</v>
      </c>
      <c r="W1386" s="244"/>
      <c r="X1386" s="169">
        <f>X1381-X1383</f>
        <v>951</v>
      </c>
      <c r="Y1386" s="170">
        <f>X1386-Z1386-AA1386</f>
        <v>0</v>
      </c>
      <c r="Z1386" s="169">
        <f t="shared" ref="Z1386:AA1386" si="2468">Z1381-Z1383</f>
        <v>411</v>
      </c>
      <c r="AA1386" s="243">
        <f t="shared" si="2468"/>
        <v>540</v>
      </c>
      <c r="AB1386" s="266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</row>
    <row r="1387" spans="1:42" s="211" customFormat="1">
      <c r="A1387" s="210"/>
      <c r="B1387" s="210"/>
      <c r="C1387" s="210"/>
      <c r="D1387" s="218"/>
      <c r="E1387" s="218" t="s">
        <v>297</v>
      </c>
      <c r="F1387" s="218" t="str">
        <f t="shared" si="2388"/>
        <v>Лекс</v>
      </c>
      <c r="G1387" s="218" t="s">
        <v>218</v>
      </c>
      <c r="H1387" s="343"/>
      <c r="I1387" s="344">
        <f>IF(I1381=0,0,(I1386/I1381))</f>
        <v>4.6990310190871701E-2</v>
      </c>
      <c r="J1387" s="345"/>
      <c r="K1387" s="344">
        <f t="shared" ref="K1387" si="2469">IF(K1381=0,0,(K1386/K1381))</f>
        <v>2.3389307659775611E-2</v>
      </c>
      <c r="L1387" s="346">
        <f t="shared" ref="L1387" si="2470">IF(L1381=0,0,(L1386/L1381))</f>
        <v>0.13250405624661979</v>
      </c>
      <c r="M1387" s="280"/>
      <c r="N1387" s="219">
        <f>IF(N1381=0,0,(N1386/N1381))</f>
        <v>5.4271356783919596E-2</v>
      </c>
      <c r="O1387" s="220"/>
      <c r="P1387" s="219">
        <f t="shared" ref="P1387" si="2471">IF(P1381=0,0,(P1386/P1381))</f>
        <v>5.4271356783919596E-2</v>
      </c>
      <c r="Q1387" s="252">
        <f t="shared" ref="Q1387" si="2472">IF(Q1381=0,0,(Q1386/Q1381))</f>
        <v>0</v>
      </c>
      <c r="R1387" s="253"/>
      <c r="S1387" s="219">
        <f>IF(S1381=0,0,(S1386/S1381))</f>
        <v>1.5840802805923808E-2</v>
      </c>
      <c r="T1387" s="220"/>
      <c r="U1387" s="219">
        <f t="shared" ref="U1387" si="2473">IF(U1381=0,0,(U1386/U1381))</f>
        <v>-4.761612344512673E-2</v>
      </c>
      <c r="V1387" s="252">
        <f t="shared" ref="V1387" si="2474">IF(V1381=0,0,(V1386/V1381))</f>
        <v>0.11883465371837465</v>
      </c>
      <c r="W1387" s="253"/>
      <c r="X1387" s="219">
        <f>IF(X1381=0,0,(X1386/X1381))</f>
        <v>9.6372111876773414E-2</v>
      </c>
      <c r="Y1387" s="220"/>
      <c r="Z1387" s="219">
        <f t="shared" ref="Z1387" si="2475">IF(Z1381=0,0,(Z1386/Z1381))</f>
        <v>6.2272727272727271E-2</v>
      </c>
      <c r="AA1387" s="252">
        <f t="shared" ref="AA1387" si="2476">IF(AA1381=0,0,(AA1386/AA1381))</f>
        <v>0.16523867809057527</v>
      </c>
      <c r="AB1387" s="267"/>
      <c r="AC1387" s="210"/>
      <c r="AD1387" s="210"/>
      <c r="AE1387" s="210"/>
      <c r="AF1387" s="210"/>
      <c r="AG1387" s="210"/>
      <c r="AH1387" s="210"/>
      <c r="AI1387" s="210"/>
      <c r="AJ1387" s="210"/>
      <c r="AK1387" s="210"/>
      <c r="AL1387" s="210"/>
      <c r="AM1387" s="210"/>
      <c r="AN1387" s="210"/>
      <c r="AO1387" s="210"/>
      <c r="AP1387" s="210"/>
    </row>
    <row r="1388" spans="1:42" s="5" customFormat="1">
      <c r="A1388" s="1"/>
      <c r="B1388" s="1"/>
      <c r="C1388" s="1"/>
      <c r="D1388" s="227"/>
      <c r="E1388" s="227" t="s">
        <v>298</v>
      </c>
      <c r="F1388" s="227" t="str">
        <f t="shared" si="2388"/>
        <v>Лекс</v>
      </c>
      <c r="G1388" s="227" t="s">
        <v>219</v>
      </c>
      <c r="H1388" s="347"/>
      <c r="I1388" s="348">
        <f>I1382-I1384</f>
        <v>59.684849091652723</v>
      </c>
      <c r="J1388" s="321"/>
      <c r="K1388" s="348">
        <f t="shared" ref="K1388:L1388" si="2477">K1382-K1384</f>
        <v>72.983062003928353</v>
      </c>
      <c r="L1388" s="349">
        <f t="shared" si="2477"/>
        <v>5.0118274599226424</v>
      </c>
      <c r="M1388" s="281"/>
      <c r="N1388" s="228">
        <f>N1382-N1384</f>
        <v>65.185615339483775</v>
      </c>
      <c r="O1388" s="173"/>
      <c r="P1388" s="228">
        <f t="shared" ref="P1388:Q1388" si="2478">P1382-P1384</f>
        <v>65.185615339483775</v>
      </c>
      <c r="Q1388" s="254">
        <f t="shared" si="2478"/>
        <v>0</v>
      </c>
      <c r="R1388" s="255"/>
      <c r="S1388" s="228">
        <f>S1382-S1384</f>
        <v>53.393061829519866</v>
      </c>
      <c r="T1388" s="173"/>
      <c r="U1388" s="228">
        <f t="shared" ref="U1388:V1388" si="2479">U1382-U1384</f>
        <v>79.312812589480018</v>
      </c>
      <c r="V1388" s="254">
        <f t="shared" si="2479"/>
        <v>4.5718166155056679</v>
      </c>
      <c r="W1388" s="255"/>
      <c r="X1388" s="228">
        <f>X1382-X1384</f>
        <v>60.731517781947332</v>
      </c>
      <c r="Y1388" s="173"/>
      <c r="Z1388" s="228">
        <f t="shared" ref="Z1388:AA1388" si="2480">Z1382-Z1384</f>
        <v>85.333333333335759</v>
      </c>
      <c r="AA1388" s="254">
        <f t="shared" si="2480"/>
        <v>5</v>
      </c>
      <c r="AB1388" s="266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</row>
    <row r="1389" spans="1:42" s="5" customFormat="1">
      <c r="A1389" s="1"/>
      <c r="B1389" s="1"/>
      <c r="C1389" s="1"/>
      <c r="D1389" s="227"/>
      <c r="E1389" s="227" t="s">
        <v>300</v>
      </c>
      <c r="F1389" s="227" t="str">
        <f t="shared" si="2388"/>
        <v>Лекс</v>
      </c>
      <c r="G1389" s="227" t="s">
        <v>219</v>
      </c>
      <c r="H1389" s="347"/>
      <c r="I1389" s="348">
        <f>I1385-I1384</f>
        <v>25.491237872032798</v>
      </c>
      <c r="J1389" s="321"/>
      <c r="K1389" s="348">
        <f t="shared" ref="K1389:L1389" si="2481">K1385-K1384</f>
        <v>27.562054440466454</v>
      </c>
      <c r="L1389" s="349">
        <f t="shared" si="2481"/>
        <v>17.044264339150686</v>
      </c>
      <c r="M1389" s="281"/>
      <c r="N1389" s="228">
        <f>N1385-N1384</f>
        <v>28.132078336115228</v>
      </c>
      <c r="O1389" s="173"/>
      <c r="P1389" s="228">
        <f t="shared" ref="P1389:Q1389" si="2482">P1385-P1384</f>
        <v>28.132078336115228</v>
      </c>
      <c r="Q1389" s="254">
        <f t="shared" si="2482"/>
        <v>0</v>
      </c>
      <c r="R1389" s="255"/>
      <c r="S1389" s="228">
        <f>S1385-S1384</f>
        <v>21.247262015895103</v>
      </c>
      <c r="T1389" s="173"/>
      <c r="U1389" s="228">
        <f t="shared" ref="U1389:V1389" si="2483">U1385-U1384</f>
        <v>24.031332053797087</v>
      </c>
      <c r="V1389" s="254">
        <f t="shared" si="2483"/>
        <v>15.875</v>
      </c>
      <c r="W1389" s="255"/>
      <c r="X1389" s="228">
        <f>X1385-X1384</f>
        <v>29.254233486601152</v>
      </c>
      <c r="Y1389" s="173"/>
      <c r="Z1389" s="228">
        <f t="shared" ref="Z1389:AA1389" si="2484">Z1385-Z1384</f>
        <v>33.333333333335759</v>
      </c>
      <c r="AA1389" s="254">
        <f t="shared" si="2484"/>
        <v>20</v>
      </c>
      <c r="AB1389" s="266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</row>
    <row r="1390" spans="1:42" s="93" customFormat="1" ht="15">
      <c r="A1390" s="92"/>
      <c r="B1390" s="92"/>
      <c r="C1390" s="92"/>
      <c r="D1390" s="221"/>
      <c r="E1390" s="221" t="s">
        <v>301</v>
      </c>
      <c r="F1390" s="221" t="str">
        <f t="shared" si="2388"/>
        <v>Лекс</v>
      </c>
      <c r="G1390" s="221" t="s">
        <v>219</v>
      </c>
      <c r="H1390" s="357"/>
      <c r="I1390" s="358">
        <f>I1388-I1389</f>
        <v>34.193611219619925</v>
      </c>
      <c r="J1390" s="352"/>
      <c r="K1390" s="358">
        <f t="shared" ref="K1390" si="2485">K1388-K1389</f>
        <v>45.421007563461899</v>
      </c>
      <c r="L1390" s="359">
        <f t="shared" ref="L1390" si="2486">L1388-L1389</f>
        <v>-12.032436879228044</v>
      </c>
      <c r="M1390" s="284"/>
      <c r="N1390" s="222">
        <f>N1388-N1389</f>
        <v>37.053537003368547</v>
      </c>
      <c r="O1390" s="181"/>
      <c r="P1390" s="222">
        <f t="shared" ref="P1390" si="2487">P1388-P1389</f>
        <v>37.053537003368547</v>
      </c>
      <c r="Q1390" s="260">
        <f t="shared" ref="Q1390" si="2488">Q1388-Q1389</f>
        <v>0</v>
      </c>
      <c r="R1390" s="261"/>
      <c r="S1390" s="222">
        <f>S1388-S1389</f>
        <v>32.145799813624762</v>
      </c>
      <c r="T1390" s="181"/>
      <c r="U1390" s="222">
        <f t="shared" ref="U1390" si="2489">U1388-U1389</f>
        <v>55.281480535682931</v>
      </c>
      <c r="V1390" s="260">
        <f t="shared" ref="V1390" si="2490">V1388-V1389</f>
        <v>-11.303183384494332</v>
      </c>
      <c r="W1390" s="261"/>
      <c r="X1390" s="222">
        <f>X1388-X1389</f>
        <v>31.47728429534618</v>
      </c>
      <c r="Y1390" s="181"/>
      <c r="Z1390" s="222">
        <f t="shared" ref="Z1390" si="2491">Z1388-Z1389</f>
        <v>52</v>
      </c>
      <c r="AA1390" s="260">
        <f t="shared" ref="AA1390" si="2492">AA1388-AA1389</f>
        <v>-15</v>
      </c>
      <c r="AB1390" s="264"/>
      <c r="AC1390" s="92"/>
      <c r="AD1390" s="92"/>
      <c r="AE1390" s="92"/>
      <c r="AF1390" s="92"/>
      <c r="AG1390" s="92"/>
      <c r="AH1390" s="92"/>
      <c r="AI1390" s="92"/>
      <c r="AJ1390" s="92"/>
      <c r="AK1390" s="92"/>
      <c r="AL1390" s="92"/>
      <c r="AM1390" s="92"/>
      <c r="AN1390" s="92"/>
      <c r="AO1390" s="92"/>
      <c r="AP1390" s="92"/>
    </row>
    <row r="1391" spans="1:42" s="5" customFormat="1">
      <c r="A1391" s="1"/>
      <c r="B1391" s="1"/>
      <c r="C1391" s="1"/>
      <c r="D1391" s="223"/>
      <c r="E1391" s="223" t="s">
        <v>302</v>
      </c>
      <c r="F1391" s="223" t="str">
        <f t="shared" si="2388"/>
        <v>Лекс</v>
      </c>
      <c r="G1391" s="223" t="s">
        <v>261</v>
      </c>
      <c r="H1391" s="354"/>
      <c r="I1391" s="355">
        <f>SUMIFS(операции!$Z:$Z,операции!$X:$X,"&gt;="&amp;I$8,операции!$X:$X,"&lt;="&amp;I$9,операции!$AB:$AB,"",операции!$O:$O,$F1348)</f>
        <v>6371</v>
      </c>
      <c r="J1391" s="341">
        <f>I1391-K1391-L1391</f>
        <v>0</v>
      </c>
      <c r="K1391" s="355">
        <f>SUMIFS(операции!$Z:$Z,операции!$X:$X,"&gt;="&amp;I$8,операции!$X:$X,"&lt;="&amp;I$9,операции!$AB:$AB,"",операции!$L:$L,K$9,операции!$O:$O,$F1348)</f>
        <v>6371</v>
      </c>
      <c r="L1391" s="356">
        <f>SUMIFS(операции!$Z:$Z,операции!$X:$X,"&gt;="&amp;I$8,операции!$X:$X,"&lt;="&amp;I$9,операции!$AB:$AB,"",операции!$L:$L,L$9,операции!$O:$O,$F1348)</f>
        <v>0</v>
      </c>
      <c r="M1391" s="283"/>
      <c r="N1391" s="224">
        <f>SUMIFS(операции!$Z:$Z,операции!$X:$X,"&gt;="&amp;N$8,операции!$X:$X,"&lt;="&amp;N$9,операции!$AB:$AB,"",операции!$O:$O,$F1348)</f>
        <v>6371</v>
      </c>
      <c r="O1391" s="216">
        <f>N1391-P1391-Q1391</f>
        <v>0</v>
      </c>
      <c r="P1391" s="224">
        <f>SUMIFS(операции!$Z:$Z,операции!$X:$X,"&gt;="&amp;N$8,операции!$X:$X,"&lt;="&amp;N$9,операции!$AB:$AB,"",операции!$L:$L,P$9,операции!$O:$O,$F1348)</f>
        <v>6371</v>
      </c>
      <c r="Q1391" s="258">
        <f>SUMIFS(операции!$Z:$Z,операции!$X:$X,"&gt;="&amp;N$8,операции!$X:$X,"&lt;="&amp;N$9,операции!$AB:$AB,"",операции!$L:$L,Q$9,операции!$O:$O,$F1348)</f>
        <v>0</v>
      </c>
      <c r="R1391" s="259"/>
      <c r="S1391" s="224">
        <f>SUMIFS(операции!$Z:$Z,операции!$X:$X,"&gt;="&amp;S$8,операции!$X:$X,"&lt;="&amp;S$9,операции!$AB:$AB,"",операции!$O:$O,$F1348)</f>
        <v>0</v>
      </c>
      <c r="T1391" s="216">
        <f>S1391-U1391-V1391</f>
        <v>0</v>
      </c>
      <c r="U1391" s="224">
        <f>SUMIFS(операции!$Z:$Z,операции!$X:$X,"&gt;="&amp;S$8,операции!$X:$X,"&lt;="&amp;S$9,операции!$AB:$AB,"",операции!$L:$L,U$9,операции!$O:$O,$F1348)</f>
        <v>0</v>
      </c>
      <c r="V1391" s="258">
        <f>SUMIFS(операции!$Z:$Z,операции!$X:$X,"&gt;="&amp;S$8,операции!$X:$X,"&lt;="&amp;S$9,операции!$AB:$AB,"",операции!$L:$L,V$9,операции!$O:$O,$F1348)</f>
        <v>0</v>
      </c>
      <c r="W1391" s="259"/>
      <c r="X1391" s="224">
        <f>SUMIFS(операции!$Z:$Z,операции!$X:$X,"&gt;="&amp;X$8,операции!$X:$X,"&lt;="&amp;X$9,операции!$AB:$AB,"",операции!$O:$O,$F1348)</f>
        <v>0</v>
      </c>
      <c r="Y1391" s="216">
        <f>X1391-Z1391-AA1391</f>
        <v>0</v>
      </c>
      <c r="Z1391" s="224">
        <f>SUMIFS(операции!$Z:$Z,операции!$X:$X,"&gt;="&amp;X$8,операции!$X:$X,"&lt;="&amp;X$9,операции!$AB:$AB,"",операции!$L:$L,Z$9,операции!$O:$O,$F1348)</f>
        <v>0</v>
      </c>
      <c r="AA1391" s="258">
        <f>SUMIFS(операции!$Z:$Z,операции!$X:$X,"&gt;="&amp;X$8,операции!$X:$X,"&lt;="&amp;X$9,операции!$AB:$AB,"",операции!$L:$L,AA$9,операции!$O:$O,$F1348)</f>
        <v>0</v>
      </c>
      <c r="AB1391" s="266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</row>
    <row r="1392" spans="1:42" s="192" customFormat="1" ht="11.25">
      <c r="A1392" s="37"/>
      <c r="B1392" s="37"/>
      <c r="C1392" s="37"/>
      <c r="D1392" s="191"/>
      <c r="E1392" s="191" t="s">
        <v>303</v>
      </c>
      <c r="F1392" s="191" t="str">
        <f t="shared" si="2388"/>
        <v>Лекс</v>
      </c>
      <c r="G1392" s="191" t="s">
        <v>262</v>
      </c>
      <c r="H1392" s="315"/>
      <c r="I1392" s="316">
        <f>IF(I1391=0,0,SUMIFS(операции!$AG:$AG,операции!$X:$X,"&gt;="&amp;I$8,операции!$X:$X,"&lt;="&amp;I$9,операции!$AB:$AB,"",операции!$O:$O,$F1348)/I1391)</f>
        <v>42303.045047873173</v>
      </c>
      <c r="J1392" s="317"/>
      <c r="K1392" s="316">
        <f>IF(K1391=0,0,SUMIFS(операции!$AG:$AG,операции!$X:$X,"&gt;="&amp;I$8,операции!$X:$X,"&lt;="&amp;I$9,операции!$AB:$AB,"",операции!$L:$L,K$9,операции!$O:$O,$F1348)/K1391)</f>
        <v>42303.045047873173</v>
      </c>
      <c r="L1392" s="318">
        <f>IF(L1391=0,0,SUMIFS(операции!$AG:$AG,операции!$X:$X,"&gt;="&amp;I$8,операции!$X:$X,"&lt;="&amp;I$9,операции!$AB:$AB,"",операции!$L:$L,L$9,операции!$O:$O,$F1348)/L1391)</f>
        <v>0</v>
      </c>
      <c r="M1392" s="274"/>
      <c r="N1392" s="193">
        <f>IF(N1391=0,0,SUMIFS(операции!$AG:$AG,операции!$X:$X,"&gt;="&amp;N$8,операции!$X:$X,"&lt;="&amp;N$9,операции!$AB:$AB,"",операции!$O:$O,$F1348)/N1391)</f>
        <v>42303.045047873173</v>
      </c>
      <c r="O1392" s="196"/>
      <c r="P1392" s="193">
        <f>IF(P1391=0,0,SUMIFS(операции!$AG:$AG,операции!$X:$X,"&gt;="&amp;N$8,операции!$X:$X,"&lt;="&amp;N$9,операции!$AB:$AB,"",операции!$L:$L,P$9,операции!$O:$O,$F1348)/P1391)</f>
        <v>42303.045047873173</v>
      </c>
      <c r="Q1392" s="237">
        <f>IF(Q1391=0,0,SUMIFS(операции!$AG:$AG,операции!$X:$X,"&gt;="&amp;N$8,операции!$X:$X,"&lt;="&amp;N$9,операции!$AB:$AB,"",операции!$L:$L,Q$9,операции!$O:$O,$F1348)/Q1391)</f>
        <v>0</v>
      </c>
      <c r="R1392" s="238"/>
      <c r="S1392" s="193">
        <f>IF(S1391=0,0,SUMIFS(операции!$AG:$AG,операции!$X:$X,"&gt;="&amp;S$8,операции!$X:$X,"&lt;="&amp;S$9,операции!$AB:$AB,"",операции!$O:$O,$F1348)/S1391)</f>
        <v>0</v>
      </c>
      <c r="T1392" s="196"/>
      <c r="U1392" s="193">
        <f>IF(U1391=0,0,SUMIFS(операции!$AG:$AG,операции!$X:$X,"&gt;="&amp;S$8,операции!$X:$X,"&lt;="&amp;S$9,операции!$AB:$AB,"",операции!$L:$L,U$9,операции!$O:$O,$F1348)/U1391)</f>
        <v>0</v>
      </c>
      <c r="V1392" s="237">
        <f>IF(V1391=0,0,SUMIFS(операции!$AG:$AG,операции!$X:$X,"&gt;="&amp;S$8,операции!$X:$X,"&lt;="&amp;S$9,операции!$AB:$AB,"",операции!$L:$L,V$9,операции!$O:$O,$F1348)/V1391)</f>
        <v>0</v>
      </c>
      <c r="W1392" s="238"/>
      <c r="X1392" s="193">
        <f>IF(X1391=0,0,SUMIFS(операции!$AG:$AG,операции!$X:$X,"&gt;="&amp;X$8,операции!$X:$X,"&lt;="&amp;X$9,операции!$AB:$AB,"",операции!$O:$O,$F1348)/X1391)</f>
        <v>0</v>
      </c>
      <c r="Y1392" s="196"/>
      <c r="Z1392" s="193">
        <f>IF(Z1391=0,0,SUMIFS(операции!$AG:$AG,операции!$X:$X,"&gt;="&amp;X$8,операции!$X:$X,"&lt;="&amp;X$9,операции!$AB:$AB,"",операции!$L:$L,Z$9,операции!$O:$O,$F1348)/Z1391)</f>
        <v>0</v>
      </c>
      <c r="AA1392" s="237">
        <f>IF(AA1391=0,0,SUMIFS(операции!$AG:$AG,операции!$X:$X,"&gt;="&amp;X$8,операции!$X:$X,"&lt;="&amp;X$9,операции!$AB:$AB,"",операции!$L:$L,AA$9,операции!$O:$O,$F1348)/AA1391)</f>
        <v>0</v>
      </c>
      <c r="AB1392" s="265"/>
      <c r="AC1392" s="37"/>
      <c r="AD1392" s="37"/>
      <c r="AE1392" s="37"/>
      <c r="AF1392" s="37"/>
      <c r="AG1392" s="37"/>
      <c r="AH1392" s="37"/>
      <c r="AI1392" s="37"/>
      <c r="AJ1392" s="37"/>
      <c r="AK1392" s="37"/>
      <c r="AL1392" s="37"/>
      <c r="AM1392" s="37"/>
      <c r="AN1392" s="37"/>
      <c r="AO1392" s="37"/>
      <c r="AP1392" s="37"/>
    </row>
    <row r="1393" spans="1:42" s="5" customFormat="1">
      <c r="A1393" s="1"/>
      <c r="B1393" s="1"/>
      <c r="C1393" s="1"/>
      <c r="D1393" s="168"/>
      <c r="E1393" s="168" t="s">
        <v>304</v>
      </c>
      <c r="F1393" s="168" t="str">
        <f t="shared" si="2388"/>
        <v>Лекс</v>
      </c>
      <c r="G1393" s="168" t="s">
        <v>261</v>
      </c>
      <c r="H1393" s="326"/>
      <c r="I1393" s="327">
        <f>SUMIFS(операции!$V:$V,операции!$X:$X,"&gt;="&amp;I$8,операции!$X:$X,"&lt;="&amp;I$9,операции!$AB:$AB,"",операции!$O:$O,$F1348)</f>
        <v>5741</v>
      </c>
      <c r="J1393" s="313">
        <f>I1393-K1393-L1393</f>
        <v>0</v>
      </c>
      <c r="K1393" s="327">
        <f>SUMIFS(операции!$V:$V,операции!$X:$X,"&gt;="&amp;I$8,операции!$X:$X,"&lt;="&amp;I$9,операции!$AB:$AB,"",операции!$L:$L,K$9,операции!$O:$O,$F1348)</f>
        <v>5741</v>
      </c>
      <c r="L1393" s="328">
        <f>SUMIFS(операции!$V:$V,операции!$X:$X,"&gt;="&amp;I$8,операции!$X:$X,"&lt;="&amp;I$9,операции!$AB:$AB,"",операции!$L:$L,L$9,операции!$O:$O,$F1348)</f>
        <v>0</v>
      </c>
      <c r="M1393" s="277"/>
      <c r="N1393" s="169">
        <f>SUMIFS(операции!$V:$V,операции!$X:$X,"&gt;="&amp;N$8,операции!$X:$X,"&lt;="&amp;N$9,операции!$AB:$AB,"",операции!$O:$O,$F1348)</f>
        <v>5741</v>
      </c>
      <c r="O1393" s="170">
        <f>N1393-P1393-Q1393</f>
        <v>0</v>
      </c>
      <c r="P1393" s="169">
        <f>SUMIFS(операции!$V:$V,операции!$X:$X,"&gt;="&amp;N$8,операции!$X:$X,"&lt;="&amp;N$9,операции!$AB:$AB,"",операции!$L:$L,P$9,операции!$O:$O,$F1348)</f>
        <v>5741</v>
      </c>
      <c r="Q1393" s="243">
        <f>SUMIFS(операции!$V:$V,операции!$X:$X,"&gt;="&amp;N$8,операции!$X:$X,"&lt;="&amp;N$9,операции!$AB:$AB,"",операции!$L:$L,Q$9,операции!$O:$O,$F1348)</f>
        <v>0</v>
      </c>
      <c r="R1393" s="244"/>
      <c r="S1393" s="169">
        <f>SUMIFS(операции!$V:$V,операции!$X:$X,"&gt;="&amp;S$8,операции!$X:$X,"&lt;="&amp;S$9,операции!$AB:$AB,"",операции!$O:$O,$F1348)</f>
        <v>0</v>
      </c>
      <c r="T1393" s="170">
        <f>S1393-U1393-V1393</f>
        <v>0</v>
      </c>
      <c r="U1393" s="169">
        <f>SUMIFS(операции!$V:$V,операции!$X:$X,"&gt;="&amp;S$8,операции!$X:$X,"&lt;="&amp;S$9,операции!$AB:$AB,"",операции!$L:$L,U$9,операции!$O:$O,$F1348)</f>
        <v>0</v>
      </c>
      <c r="V1393" s="243">
        <f>SUMIFS(операции!$V:$V,операции!$X:$X,"&gt;="&amp;S$8,операции!$X:$X,"&lt;="&amp;S$9,операции!$AB:$AB,"",операции!$L:$L,V$9,операции!$O:$O,$F1348)</f>
        <v>0</v>
      </c>
      <c r="W1393" s="244"/>
      <c r="X1393" s="169">
        <f>SUMIFS(операции!$V:$V,операции!$X:$X,"&gt;="&amp;X$8,операции!$X:$X,"&lt;="&amp;X$9,операции!$AB:$AB,"",операции!$O:$O,$F1348)</f>
        <v>0</v>
      </c>
      <c r="Y1393" s="170">
        <f>X1393-Z1393-AA1393</f>
        <v>0</v>
      </c>
      <c r="Z1393" s="169">
        <f>SUMIFS(операции!$V:$V,операции!$X:$X,"&gt;="&amp;X$8,операции!$X:$X,"&lt;="&amp;X$9,операции!$AB:$AB,"",операции!$L:$L,Z$9,операции!$O:$O,$F1348)</f>
        <v>0</v>
      </c>
      <c r="AA1393" s="243">
        <f>SUMIFS(операции!$V:$V,операции!$X:$X,"&gt;="&amp;X$8,операции!$X:$X,"&lt;="&amp;X$9,операции!$AB:$AB,"",операции!$L:$L,AA$9,операции!$O:$O,$F1348)</f>
        <v>0</v>
      </c>
      <c r="AB1393" s="266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</row>
    <row r="1394" spans="1:42" s="192" customFormat="1" ht="11.25">
      <c r="A1394" s="37"/>
      <c r="B1394" s="37"/>
      <c r="C1394" s="37"/>
      <c r="D1394" s="191"/>
      <c r="E1394" s="191" t="s">
        <v>305</v>
      </c>
      <c r="F1394" s="191" t="str">
        <f t="shared" si="2388"/>
        <v>Лекс</v>
      </c>
      <c r="G1394" s="191" t="s">
        <v>262</v>
      </c>
      <c r="H1394" s="315"/>
      <c r="I1394" s="316">
        <f>IF(I1393=0,0,SUMIFS(операции!$AF:$AF,операции!$X:$X,"&gt;="&amp;I$8,операции!$X:$X,"&lt;="&amp;I$9,операции!$AB:$AB,"",операции!$O:$O,$F1348)/I1393)</f>
        <v>42146.944783138824</v>
      </c>
      <c r="J1394" s="317"/>
      <c r="K1394" s="316">
        <f>IF(K1393=0,0,SUMIFS(операции!$AF:$AF,операции!$X:$X,"&gt;="&amp;I$8,операции!$X:$X,"&lt;="&amp;I$9,операции!$AB:$AB,"",операции!$L:$L,K$9,операции!$O:$O,$F1348)/K1393)</f>
        <v>42146.944783138824</v>
      </c>
      <c r="L1394" s="318">
        <f>IF(L1393=0,0,SUMIFS(операции!$AF:$AF,операции!$X:$X,"&gt;="&amp;I$8,операции!$X:$X,"&lt;="&amp;I$9,операции!$AB:$AB,"",операции!$L:$L,L$9,операции!$O:$O,$F1348)/L1393)</f>
        <v>0</v>
      </c>
      <c r="M1394" s="274"/>
      <c r="N1394" s="193">
        <f>IF(N1393=0,0,SUMIFS(операции!$AF:$AF,операции!$X:$X,"&gt;="&amp;N$8,операции!$X:$X,"&lt;="&amp;N$9,операции!$AB:$AB,"",операции!$O:$O,$F1348)/N1393)</f>
        <v>42146.944783138824</v>
      </c>
      <c r="O1394" s="196"/>
      <c r="P1394" s="193">
        <f>IF(P1393=0,0,SUMIFS(операции!$AF:$AF,операции!$X:$X,"&gt;="&amp;N$8,операции!$X:$X,"&lt;="&amp;N$9,операции!$AB:$AB,"",операции!$L:$L,P$9,операции!$O:$O,$F1348)/P1393)</f>
        <v>42146.944783138824</v>
      </c>
      <c r="Q1394" s="237">
        <f>IF(Q1393=0,0,SUMIFS(операции!$AF:$AF,операции!$X:$X,"&gt;="&amp;N$8,операции!$X:$X,"&lt;="&amp;N$9,операции!$AB:$AB,"",операции!$L:$L,Q$9,операции!$O:$O,$F1348)/Q1393)</f>
        <v>0</v>
      </c>
      <c r="R1394" s="238"/>
      <c r="S1394" s="193">
        <f>IF(S1393=0,0,SUMIFS(операции!$AF:$AF,операции!$X:$X,"&gt;="&amp;S$8,операции!$X:$X,"&lt;="&amp;S$9,операции!$AB:$AB,"",операции!$O:$O,$F1348)/S1393)</f>
        <v>0</v>
      </c>
      <c r="T1394" s="196"/>
      <c r="U1394" s="193">
        <f>IF(U1393=0,0,SUMIFS(операции!$AF:$AF,операции!$X:$X,"&gt;="&amp;S$8,операции!$X:$X,"&lt;="&amp;S$9,операции!$AB:$AB,"",операции!$L:$L,U$9,операции!$O:$O,$F1348)/U1393)</f>
        <v>0</v>
      </c>
      <c r="V1394" s="237">
        <f>IF(V1393=0,0,SUMIFS(операции!$AF:$AF,операции!$X:$X,"&gt;="&amp;S$8,операции!$X:$X,"&lt;="&amp;S$9,операции!$AB:$AB,"",операции!$L:$L,V$9,операции!$O:$O,$F1348)/V1393)</f>
        <v>0</v>
      </c>
      <c r="W1394" s="238"/>
      <c r="X1394" s="193">
        <f>IF(X1393=0,0,SUMIFS(операции!$AF:$AF,операции!$X:$X,"&gt;="&amp;X$8,операции!$X:$X,"&lt;="&amp;X$9,операции!$AB:$AB,"",операции!$O:$O,$F1348)/X1393)</f>
        <v>0</v>
      </c>
      <c r="Y1394" s="196"/>
      <c r="Z1394" s="193">
        <f>IF(Z1393=0,0,SUMIFS(операции!$AF:$AF,операции!$X:$X,"&gt;="&amp;X$8,операции!$X:$X,"&lt;="&amp;X$9,операции!$AB:$AB,"",операции!$L:$L,Z$9,операции!$O:$O,$F1348)/Z1393)</f>
        <v>0</v>
      </c>
      <c r="AA1394" s="237">
        <f>IF(AA1393=0,0,SUMIFS(операции!$AF:$AF,операции!$X:$X,"&gt;="&amp;X$8,операции!$X:$X,"&lt;="&amp;X$9,операции!$AB:$AB,"",операции!$L:$L,AA$9,операции!$O:$O,$F1348)/AA1393)</f>
        <v>0</v>
      </c>
      <c r="AB1394" s="265"/>
      <c r="AC1394" s="37"/>
      <c r="AD1394" s="37"/>
      <c r="AE1394" s="37"/>
      <c r="AF1394" s="37"/>
      <c r="AG1394" s="37"/>
      <c r="AH1394" s="37"/>
      <c r="AI1394" s="37"/>
      <c r="AJ1394" s="37"/>
      <c r="AK1394" s="37"/>
      <c r="AL1394" s="37"/>
      <c r="AM1394" s="37"/>
      <c r="AN1394" s="37"/>
      <c r="AO1394" s="37"/>
      <c r="AP1394" s="37"/>
    </row>
    <row r="1395" spans="1:42" s="192" customFormat="1" ht="11.25">
      <c r="A1395" s="37"/>
      <c r="B1395" s="37"/>
      <c r="C1395" s="37"/>
      <c r="D1395" s="191"/>
      <c r="E1395" s="191" t="s">
        <v>307</v>
      </c>
      <c r="F1395" s="191" t="str">
        <f t="shared" si="2388"/>
        <v>Лекс</v>
      </c>
      <c r="G1395" s="191" t="s">
        <v>262</v>
      </c>
      <c r="H1395" s="315"/>
      <c r="I1395" s="316">
        <f>I$9</f>
        <v>42369</v>
      </c>
      <c r="J1395" s="317"/>
      <c r="K1395" s="316">
        <f>I$9</f>
        <v>42369</v>
      </c>
      <c r="L1395" s="318">
        <f>I$9</f>
        <v>42369</v>
      </c>
      <c r="M1395" s="274"/>
      <c r="N1395" s="193">
        <f>N$9</f>
        <v>42308</v>
      </c>
      <c r="O1395" s="196"/>
      <c r="P1395" s="193">
        <f>N$9</f>
        <v>42308</v>
      </c>
      <c r="Q1395" s="237">
        <f>N$9</f>
        <v>42308</v>
      </c>
      <c r="R1395" s="238"/>
      <c r="S1395" s="193">
        <f>S$9</f>
        <v>42338</v>
      </c>
      <c r="T1395" s="196"/>
      <c r="U1395" s="193">
        <f>S$9</f>
        <v>42338</v>
      </c>
      <c r="V1395" s="237">
        <f>S$9</f>
        <v>42338</v>
      </c>
      <c r="W1395" s="238"/>
      <c r="X1395" s="193">
        <f>X$9</f>
        <v>42369</v>
      </c>
      <c r="Y1395" s="196"/>
      <c r="Z1395" s="193">
        <f>X$9</f>
        <v>42369</v>
      </c>
      <c r="AA1395" s="237">
        <f>X$9</f>
        <v>42369</v>
      </c>
      <c r="AB1395" s="265"/>
      <c r="AC1395" s="37"/>
      <c r="AD1395" s="37"/>
      <c r="AE1395" s="37"/>
      <c r="AF1395" s="37"/>
      <c r="AG1395" s="37"/>
      <c r="AH1395" s="37"/>
      <c r="AI1395" s="37"/>
      <c r="AJ1395" s="37"/>
      <c r="AK1395" s="37"/>
      <c r="AL1395" s="37"/>
      <c r="AM1395" s="37"/>
      <c r="AN1395" s="37"/>
      <c r="AO1395" s="37"/>
      <c r="AP1395" s="37"/>
    </row>
    <row r="1396" spans="1:42" s="5" customFormat="1">
      <c r="A1396" s="1"/>
      <c r="B1396" s="1"/>
      <c r="C1396" s="1"/>
      <c r="D1396" s="168"/>
      <c r="E1396" s="168" t="s">
        <v>380</v>
      </c>
      <c r="F1396" s="168" t="str">
        <f t="shared" si="2388"/>
        <v>Лекс</v>
      </c>
      <c r="G1396" s="168" t="s">
        <v>261</v>
      </c>
      <c r="H1396" s="326"/>
      <c r="I1396" s="327">
        <f>I1391-I1393</f>
        <v>630</v>
      </c>
      <c r="J1396" s="313">
        <f>I1396-K1396-L1396</f>
        <v>0</v>
      </c>
      <c r="K1396" s="327">
        <f t="shared" ref="K1396:L1396" si="2493">K1391-K1393</f>
        <v>630</v>
      </c>
      <c r="L1396" s="328">
        <f t="shared" si="2493"/>
        <v>0</v>
      </c>
      <c r="M1396" s="277"/>
      <c r="N1396" s="169">
        <f>N1391-N1393</f>
        <v>630</v>
      </c>
      <c r="O1396" s="170">
        <f>N1396-P1396-Q1396</f>
        <v>0</v>
      </c>
      <c r="P1396" s="169">
        <f t="shared" ref="P1396:Q1396" si="2494">P1391-P1393</f>
        <v>630</v>
      </c>
      <c r="Q1396" s="243">
        <f t="shared" si="2494"/>
        <v>0</v>
      </c>
      <c r="R1396" s="244"/>
      <c r="S1396" s="169">
        <f>S1391-S1393</f>
        <v>0</v>
      </c>
      <c r="T1396" s="170">
        <f>S1396-U1396-V1396</f>
        <v>0</v>
      </c>
      <c r="U1396" s="169">
        <f t="shared" ref="U1396:V1396" si="2495">U1391-U1393</f>
        <v>0</v>
      </c>
      <c r="V1396" s="243">
        <f t="shared" si="2495"/>
        <v>0</v>
      </c>
      <c r="W1396" s="244"/>
      <c r="X1396" s="169">
        <f>X1391-X1393</f>
        <v>0</v>
      </c>
      <c r="Y1396" s="170">
        <f>X1396-Z1396-AA1396</f>
        <v>0</v>
      </c>
      <c r="Z1396" s="169">
        <f t="shared" ref="Z1396:AA1396" si="2496">Z1391-Z1393</f>
        <v>0</v>
      </c>
      <c r="AA1396" s="243">
        <f t="shared" si="2496"/>
        <v>0</v>
      </c>
      <c r="AB1396" s="266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</row>
    <row r="1397" spans="1:42" s="211" customFormat="1">
      <c r="A1397" s="210"/>
      <c r="B1397" s="210"/>
      <c r="C1397" s="210"/>
      <c r="D1397" s="218"/>
      <c r="E1397" s="218" t="s">
        <v>381</v>
      </c>
      <c r="F1397" s="218" t="str">
        <f t="shared" si="2388"/>
        <v>Лекс</v>
      </c>
      <c r="G1397" s="218" t="s">
        <v>218</v>
      </c>
      <c r="H1397" s="343"/>
      <c r="I1397" s="344">
        <f>IF(I1391=0,0,(I1396/I1391))</f>
        <v>9.8885575262910058E-2</v>
      </c>
      <c r="J1397" s="345"/>
      <c r="K1397" s="344">
        <f t="shared" ref="K1397" si="2497">IF(K1391=0,0,(K1396/K1391))</f>
        <v>9.8885575262910058E-2</v>
      </c>
      <c r="L1397" s="346">
        <f t="shared" ref="L1397" si="2498">IF(L1391=0,0,(L1396/L1391))</f>
        <v>0</v>
      </c>
      <c r="M1397" s="280"/>
      <c r="N1397" s="219">
        <f>IF(N1391=0,0,(N1396/N1391))</f>
        <v>9.8885575262910058E-2</v>
      </c>
      <c r="O1397" s="220"/>
      <c r="P1397" s="219">
        <f t="shared" ref="P1397" si="2499">IF(P1391=0,0,(P1396/P1391))</f>
        <v>9.8885575262910058E-2</v>
      </c>
      <c r="Q1397" s="252">
        <f t="shared" ref="Q1397" si="2500">IF(Q1391=0,0,(Q1396/Q1391))</f>
        <v>0</v>
      </c>
      <c r="R1397" s="253"/>
      <c r="S1397" s="219">
        <f>IF(S1391=0,0,(S1396/S1391))</f>
        <v>0</v>
      </c>
      <c r="T1397" s="220"/>
      <c r="U1397" s="219">
        <f t="shared" ref="U1397" si="2501">IF(U1391=0,0,(U1396/U1391))</f>
        <v>0</v>
      </c>
      <c r="V1397" s="252">
        <f t="shared" ref="V1397" si="2502">IF(V1391=0,0,(V1396/V1391))</f>
        <v>0</v>
      </c>
      <c r="W1397" s="253"/>
      <c r="X1397" s="219">
        <f>IF(X1391=0,0,(X1396/X1391))</f>
        <v>0</v>
      </c>
      <c r="Y1397" s="220"/>
      <c r="Z1397" s="219">
        <f t="shared" ref="Z1397" si="2503">IF(Z1391=0,0,(Z1396/Z1391))</f>
        <v>0</v>
      </c>
      <c r="AA1397" s="252">
        <f t="shared" ref="AA1397" si="2504">IF(AA1391=0,0,(AA1396/AA1391))</f>
        <v>0</v>
      </c>
      <c r="AB1397" s="267"/>
      <c r="AC1397" s="210"/>
      <c r="AD1397" s="210"/>
      <c r="AE1397" s="210"/>
      <c r="AF1397" s="210"/>
      <c r="AG1397" s="210"/>
      <c r="AH1397" s="210"/>
      <c r="AI1397" s="210"/>
      <c r="AJ1397" s="210"/>
      <c r="AK1397" s="210"/>
      <c r="AL1397" s="210"/>
      <c r="AM1397" s="210"/>
      <c r="AN1397" s="210"/>
      <c r="AO1397" s="210"/>
      <c r="AP1397" s="210"/>
    </row>
    <row r="1398" spans="1:42" s="5" customFormat="1">
      <c r="A1398" s="1"/>
      <c r="B1398" s="1"/>
      <c r="C1398" s="1"/>
      <c r="D1398" s="227"/>
      <c r="E1398" s="227" t="s">
        <v>306</v>
      </c>
      <c r="F1398" s="227" t="str">
        <f t="shared" si="2388"/>
        <v>Лекс</v>
      </c>
      <c r="G1398" s="227" t="s">
        <v>219</v>
      </c>
      <c r="H1398" s="347"/>
      <c r="I1398" s="348">
        <f>I1392-I1394</f>
        <v>156.10026473434846</v>
      </c>
      <c r="J1398" s="321"/>
      <c r="K1398" s="348">
        <f t="shared" ref="K1398:L1398" si="2505">K1392-K1394</f>
        <v>156.10026473434846</v>
      </c>
      <c r="L1398" s="349">
        <f t="shared" si="2505"/>
        <v>0</v>
      </c>
      <c r="M1398" s="281"/>
      <c r="N1398" s="228">
        <f>N1392-N1394</f>
        <v>156.10026473434846</v>
      </c>
      <c r="O1398" s="173"/>
      <c r="P1398" s="228">
        <f t="shared" ref="P1398:Q1398" si="2506">P1392-P1394</f>
        <v>156.10026473434846</v>
      </c>
      <c r="Q1398" s="254">
        <f t="shared" si="2506"/>
        <v>0</v>
      </c>
      <c r="R1398" s="255"/>
      <c r="S1398" s="228">
        <f>S1392-S1394</f>
        <v>0</v>
      </c>
      <c r="T1398" s="173"/>
      <c r="U1398" s="228">
        <f t="shared" ref="U1398:V1398" si="2507">U1392-U1394</f>
        <v>0</v>
      </c>
      <c r="V1398" s="254">
        <f t="shared" si="2507"/>
        <v>0</v>
      </c>
      <c r="W1398" s="255"/>
      <c r="X1398" s="228">
        <f>X1392-X1394</f>
        <v>0</v>
      </c>
      <c r="Y1398" s="173"/>
      <c r="Z1398" s="228">
        <f t="shared" ref="Z1398:AA1398" si="2508">Z1392-Z1394</f>
        <v>0</v>
      </c>
      <c r="AA1398" s="254">
        <f t="shared" si="2508"/>
        <v>0</v>
      </c>
      <c r="AB1398" s="266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</row>
    <row r="1399" spans="1:42" s="5" customFormat="1">
      <c r="A1399" s="1"/>
      <c r="B1399" s="1"/>
      <c r="C1399" s="1"/>
      <c r="D1399" s="227"/>
      <c r="E1399" s="227" t="s">
        <v>382</v>
      </c>
      <c r="F1399" s="227" t="str">
        <f t="shared" si="2388"/>
        <v>Лекс</v>
      </c>
      <c r="G1399" s="227" t="s">
        <v>219</v>
      </c>
      <c r="H1399" s="347"/>
      <c r="I1399" s="348">
        <f>I1395-I1394</f>
        <v>222.05521686117572</v>
      </c>
      <c r="J1399" s="321"/>
      <c r="K1399" s="348">
        <f t="shared" ref="K1399:L1399" si="2509">K1395-K1394</f>
        <v>222.05521686117572</v>
      </c>
      <c r="L1399" s="349">
        <f t="shared" si="2509"/>
        <v>42369</v>
      </c>
      <c r="M1399" s="281"/>
      <c r="N1399" s="228">
        <f>N1395-N1394</f>
        <v>161.05521686117572</v>
      </c>
      <c r="O1399" s="173"/>
      <c r="P1399" s="228">
        <f t="shared" ref="P1399:Q1399" si="2510">P1395-P1394</f>
        <v>161.05521686117572</v>
      </c>
      <c r="Q1399" s="254">
        <f t="shared" si="2510"/>
        <v>42308</v>
      </c>
      <c r="R1399" s="255"/>
      <c r="S1399" s="228">
        <f>S1395-S1394</f>
        <v>42338</v>
      </c>
      <c r="T1399" s="173"/>
      <c r="U1399" s="228">
        <f t="shared" ref="U1399:V1399" si="2511">U1395-U1394</f>
        <v>42338</v>
      </c>
      <c r="V1399" s="254">
        <f t="shared" si="2511"/>
        <v>42338</v>
      </c>
      <c r="W1399" s="255"/>
      <c r="X1399" s="228">
        <f>X1395-X1394</f>
        <v>42369</v>
      </c>
      <c r="Y1399" s="173"/>
      <c r="Z1399" s="228">
        <f t="shared" ref="Z1399:AA1399" si="2512">Z1395-Z1394</f>
        <v>42369</v>
      </c>
      <c r="AA1399" s="254">
        <f t="shared" si="2512"/>
        <v>42369</v>
      </c>
      <c r="AB1399" s="266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</row>
    <row r="1400" spans="1:42" s="5" customFormat="1">
      <c r="A1400" s="1"/>
      <c r="B1400" s="1"/>
      <c r="C1400" s="1"/>
      <c r="D1400" s="225"/>
      <c r="E1400" s="225" t="s">
        <v>383</v>
      </c>
      <c r="F1400" s="225" t="str">
        <f t="shared" si="2388"/>
        <v>Лекс</v>
      </c>
      <c r="G1400" s="225" t="s">
        <v>219</v>
      </c>
      <c r="H1400" s="350"/>
      <c r="I1400" s="351">
        <f>I1398-I1399</f>
        <v>-65.954952126827266</v>
      </c>
      <c r="J1400" s="352"/>
      <c r="K1400" s="351">
        <f t="shared" ref="K1400" si="2513">K1398-K1399</f>
        <v>-65.954952126827266</v>
      </c>
      <c r="L1400" s="353">
        <f t="shared" ref="L1400" si="2514">L1398-L1399</f>
        <v>-42369</v>
      </c>
      <c r="M1400" s="282"/>
      <c r="N1400" s="226">
        <f>N1398-N1399</f>
        <v>-4.9549521268272656</v>
      </c>
      <c r="O1400" s="181"/>
      <c r="P1400" s="226">
        <f t="shared" ref="P1400" si="2515">P1398-P1399</f>
        <v>-4.9549521268272656</v>
      </c>
      <c r="Q1400" s="256">
        <f t="shared" ref="Q1400" si="2516">Q1398-Q1399</f>
        <v>-42308</v>
      </c>
      <c r="R1400" s="257"/>
      <c r="S1400" s="226">
        <f>S1398-S1399</f>
        <v>-42338</v>
      </c>
      <c r="T1400" s="181"/>
      <c r="U1400" s="226">
        <f t="shared" ref="U1400" si="2517">U1398-U1399</f>
        <v>-42338</v>
      </c>
      <c r="V1400" s="256">
        <f t="shared" ref="V1400" si="2518">V1398-V1399</f>
        <v>-42338</v>
      </c>
      <c r="W1400" s="257"/>
      <c r="X1400" s="226">
        <f>X1398-X1399</f>
        <v>-42369</v>
      </c>
      <c r="Y1400" s="181"/>
      <c r="Z1400" s="226">
        <f t="shared" ref="Z1400" si="2519">Z1398-Z1399</f>
        <v>-42369</v>
      </c>
      <c r="AA1400" s="256">
        <f t="shared" ref="AA1400" si="2520">AA1398-AA1399</f>
        <v>-42369</v>
      </c>
      <c r="AB1400" s="266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</row>
    <row r="1401" spans="1:42" s="5" customFormat="1">
      <c r="A1401" s="1"/>
      <c r="B1401" s="1"/>
      <c r="C1401" s="1"/>
      <c r="D1401" s="168" t="s">
        <v>312</v>
      </c>
      <c r="E1401" s="168"/>
      <c r="F1401" s="168" t="str">
        <f t="shared" si="2388"/>
        <v>Лекс</v>
      </c>
      <c r="G1401" s="168" t="s">
        <v>261</v>
      </c>
      <c r="H1401" s="326"/>
      <c r="I1401" s="327">
        <f>SUMIFS(операции!$AC:$AC,операции!$AB:$AB,"&gt;="&amp;I$8,операции!$AB:$AB,"&lt;="&amp;I$9,операции!$O:$O,$F1348)</f>
        <v>24605.939999999995</v>
      </c>
      <c r="J1401" s="313">
        <f>I1401-K1401-L1401</f>
        <v>0</v>
      </c>
      <c r="K1401" s="327">
        <f>SUMIFS(операции!$AC:$AC,операции!$AB:$AB,"&gt;="&amp;I$8,операции!$AB:$AB,"&lt;="&amp;I$9,операции!$L:$L,K$9,операции!$O:$O,$F1348)</f>
        <v>14981.94</v>
      </c>
      <c r="L1401" s="328">
        <f>SUMIFS(операции!$AC:$AC,операции!$AB:$AB,"&gt;="&amp;I$8,операции!$AB:$AB,"&lt;="&amp;I$9,операции!$L:$L,L$9,операции!$O:$O,$F1348)</f>
        <v>9624</v>
      </c>
      <c r="M1401" s="277"/>
      <c r="N1401" s="169">
        <f>SUMIFS(операции!$AC:$AC,операции!$AB:$AB,"&gt;="&amp;N$8,операции!$AB:$AB,"&lt;="&amp;N$9,операции!$O:$O,$F1348)</f>
        <v>8099.46</v>
      </c>
      <c r="O1401" s="170">
        <f>N1401-P1401-Q1401</f>
        <v>0</v>
      </c>
      <c r="P1401" s="169">
        <f>SUMIFS(операции!$AC:$AC,операции!$AB:$AB,"&gt;="&amp;N$8,операции!$AB:$AB,"&lt;="&amp;N$9,операции!$L:$L,P$9,операции!$O:$O,$F1348)</f>
        <v>8099.46</v>
      </c>
      <c r="Q1401" s="243">
        <f>SUMIFS(операции!$AC:$AC,операции!$AB:$AB,"&gt;="&amp;N$8,операции!$AB:$AB,"&lt;="&amp;N$9,операции!$L:$L,Q$9,операции!$O:$O,$F1348)</f>
        <v>0</v>
      </c>
      <c r="R1401" s="244"/>
      <c r="S1401" s="169">
        <f>SUMIFS(операции!$AC:$AC,операции!$AB:$AB,"&gt;="&amp;S$8,операции!$AB:$AB,"&lt;="&amp;S$9,операции!$O:$O,$F1348)</f>
        <v>11027.02</v>
      </c>
      <c r="T1401" s="170">
        <f>S1401-U1401-V1401</f>
        <v>0</v>
      </c>
      <c r="U1401" s="169">
        <f>SUMIFS(операции!$AC:$AC,операции!$AB:$AB,"&gt;="&amp;S$8,операции!$AB:$AB,"&lt;="&amp;S$9,операции!$L:$L,U$9,операции!$O:$O,$F1348)</f>
        <v>5216.0200000000004</v>
      </c>
      <c r="V1401" s="243">
        <f>SUMIFS(операции!$AC:$AC,операции!$AB:$AB,"&gt;="&amp;S$8,операции!$AB:$AB,"&lt;="&amp;S$9,операции!$L:$L,V$9,операции!$O:$O,$F1348)</f>
        <v>5811</v>
      </c>
      <c r="W1401" s="244"/>
      <c r="X1401" s="169">
        <f>SUMIFS(операции!$AC:$AC,операции!$AB:$AB,"&gt;="&amp;X$8,операции!$AB:$AB,"&lt;="&amp;X$9,операции!$O:$O,$F1348)</f>
        <v>5479.46</v>
      </c>
      <c r="Y1401" s="170">
        <f>X1401-Z1401-AA1401</f>
        <v>0</v>
      </c>
      <c r="Z1401" s="169">
        <f>SUMIFS(операции!$AC:$AC,операции!$AB:$AB,"&gt;="&amp;X$8,операции!$AB:$AB,"&lt;="&amp;X$9,операции!$L:$L,Z$9,операции!$O:$O,$F1348)</f>
        <v>1666.46</v>
      </c>
      <c r="AA1401" s="243">
        <f>SUMIFS(операции!$AC:$AC,операции!$AB:$AB,"&gt;="&amp;X$8,операции!$AB:$AB,"&lt;="&amp;X$9,операции!$L:$L,AA$9,операции!$O:$O,$F1348)</f>
        <v>3813</v>
      </c>
      <c r="AB1401" s="266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</row>
    <row r="1402" spans="1:42" s="192" customFormat="1" ht="11.25">
      <c r="A1402" s="37"/>
      <c r="B1402" s="37"/>
      <c r="C1402" s="37"/>
      <c r="D1402" s="207" t="s">
        <v>255</v>
      </c>
      <c r="E1402" s="207"/>
      <c r="F1402" s="207" t="str">
        <f t="shared" si="2388"/>
        <v>Лекс</v>
      </c>
      <c r="G1402" s="207" t="s">
        <v>262</v>
      </c>
      <c r="H1402" s="331"/>
      <c r="I1402" s="337">
        <f>IF(I1401=0,0,SUMIFS(операции!$AH:$AH,операции!$AB:$AB,"&gt;="&amp;I$8,операции!$AB:$AB,"&lt;="&amp;I$9,операции!$O:$O,$F1348)/I1401)</f>
        <v>42319.546460732658</v>
      </c>
      <c r="J1402" s="333"/>
      <c r="K1402" s="337">
        <f>IF(K1401=0,0,SUMIFS(операции!$AH:$AH,операции!$AB:$AB,"&gt;="&amp;I$8,операции!$AB:$AB,"&lt;="&amp;I$9,операции!$L:$L,K$9,операции!$O:$O,$F1348)/K1401)</f>
        <v>42310.383437658937</v>
      </c>
      <c r="L1402" s="338">
        <f>IF(L1401=0,0,SUMIFS(операции!$AH:$AH,операции!$AB:$AB,"&gt;="&amp;I$8,операции!$AB:$AB,"&lt;="&amp;I$9,операции!$L:$L,L$9,операции!$O:$O,$F1348)/L1401)</f>
        <v>42333.81078553616</v>
      </c>
      <c r="M1402" s="278"/>
      <c r="N1402" s="217">
        <f>IF(N1401=0,0,SUMIFS(операции!$AH:$AH,операции!$AB:$AB,"&gt;="&amp;N$8,операции!$AB:$AB,"&lt;="&amp;N$9,операции!$O:$O,$F1348)/N1401)</f>
        <v>42298.385941778834</v>
      </c>
      <c r="O1402" s="208"/>
      <c r="P1402" s="217">
        <f>IF(P1401=0,0,SUMIFS(операции!$AH:$AH,операции!$AB:$AB,"&gt;="&amp;N$8,операции!$AB:$AB,"&lt;="&amp;N$9,операции!$L:$L,P$9,операции!$O:$O,$F1348)/P1401)</f>
        <v>42298.385941778834</v>
      </c>
      <c r="Q1402" s="249">
        <f>IF(Q1401=0,0,SUMIFS(операции!$AH:$AH,операции!$AB:$AB,"&gt;="&amp;N$8,операции!$AB:$AB,"&lt;="&amp;N$9,операции!$L:$L,Q$9,операции!$O:$O,$F1348)/Q1401)</f>
        <v>0</v>
      </c>
      <c r="R1402" s="247"/>
      <c r="S1402" s="217">
        <f>IF(S1401=0,0,SUMIFS(операции!$AH:$AH,операции!$AB:$AB,"&gt;="&amp;S$8,операции!$AB:$AB,"&lt;="&amp;S$9,операции!$O:$O,$F1348)/S1401)</f>
        <v>42319.44066846709</v>
      </c>
      <c r="T1402" s="208"/>
      <c r="U1402" s="217">
        <f>IF(U1401=0,0,SUMIFS(операции!$AH:$AH,операции!$AB:$AB,"&gt;="&amp;S$8,операции!$AB:$AB,"&lt;="&amp;S$9,операции!$L:$L,U$9,операции!$O:$O,$F1348)/U1401)</f>
        <v>42319.55104466623</v>
      </c>
      <c r="V1402" s="249">
        <f>IF(V1401=0,0,SUMIFS(операции!$AH:$AH,операции!$AB:$AB,"&gt;="&amp;S$8,операции!$AB:$AB,"&lt;="&amp;S$9,операции!$L:$L,V$9,операции!$O:$O,$F1348)/V1401)</f>
        <v>42319.341593529512</v>
      </c>
      <c r="W1402" s="247"/>
      <c r="X1402" s="217">
        <f>IF(X1401=0,0,SUMIFS(операции!$AH:$AH,операции!$AB:$AB,"&gt;="&amp;X$8,операции!$AB:$AB,"&lt;="&amp;X$9,операции!$O:$O,$F1348)/X1401)</f>
        <v>42351.037766495239</v>
      </c>
      <c r="Y1402" s="208"/>
      <c r="Z1402" s="217">
        <f>IF(Z1401=0,0,SUMIFS(операции!$AH:$AH,операции!$AB:$AB,"&gt;="&amp;X$8,операции!$AB:$AB,"&lt;="&amp;X$9,операции!$L:$L,Z$9,операции!$O:$O,$F1348)/Z1401)</f>
        <v>42340</v>
      </c>
      <c r="AA1402" s="249">
        <f>IF(AA1401=0,0,SUMIFS(операции!$AH:$AH,операции!$AB:$AB,"&gt;="&amp;X$8,операции!$AB:$AB,"&lt;="&amp;X$9,операции!$L:$L,AA$9,операции!$O:$O,$F1348)/AA1401)</f>
        <v>42355.861788617884</v>
      </c>
      <c r="AB1402" s="265"/>
      <c r="AC1402" s="37"/>
      <c r="AD1402" s="37"/>
      <c r="AE1402" s="37"/>
      <c r="AF1402" s="37"/>
      <c r="AG1402" s="37"/>
      <c r="AH1402" s="37"/>
      <c r="AI1402" s="37"/>
      <c r="AJ1402" s="37"/>
      <c r="AK1402" s="37"/>
      <c r="AL1402" s="37"/>
      <c r="AM1402" s="37"/>
      <c r="AN1402" s="37"/>
      <c r="AO1402" s="37"/>
      <c r="AP1402" s="37"/>
    </row>
    <row r="1403" spans="1:42" s="111" customFormat="1" ht="11.25">
      <c r="A1403" s="108"/>
      <c r="B1403" s="108"/>
      <c r="C1403" s="209" t="s">
        <v>279</v>
      </c>
      <c r="D1403" s="109"/>
      <c r="E1403" s="109"/>
      <c r="F1403" s="109" t="str">
        <f t="shared" si="2388"/>
        <v>Лекс</v>
      </c>
      <c r="G1403" s="109"/>
      <c r="H1403" s="307"/>
      <c r="I1403" s="308">
        <f>I1404-K1404-L1404+K1403+L1403</f>
        <v>0</v>
      </c>
      <c r="J1403" s="309">
        <f>I1348+I1366-I1373-I1404</f>
        <v>0</v>
      </c>
      <c r="K1403" s="308">
        <f>K1348+K1366-K1373-K1404</f>
        <v>0</v>
      </c>
      <c r="L1403" s="336">
        <f>L1348+L1366-L1373-L1404</f>
        <v>0</v>
      </c>
      <c r="M1403" s="272"/>
      <c r="N1403" s="110">
        <f>N1404-P1404-Q1404</f>
        <v>0</v>
      </c>
      <c r="O1403" s="215">
        <f>N1348+N1366-N1373-N1404</f>
        <v>0</v>
      </c>
      <c r="P1403" s="110">
        <f>P1348+P1366-P1373-P1404</f>
        <v>0</v>
      </c>
      <c r="Q1403" s="248">
        <f>Q1348+Q1366-Q1373-Q1404</f>
        <v>0</v>
      </c>
      <c r="R1403" s="234"/>
      <c r="S1403" s="110">
        <f>S1404-U1404-V1404</f>
        <v>0</v>
      </c>
      <c r="T1403" s="215">
        <f>S1348+S1366-S1373-S1404</f>
        <v>0</v>
      </c>
      <c r="U1403" s="110">
        <f>U1348+U1366-U1373-U1404</f>
        <v>0</v>
      </c>
      <c r="V1403" s="248">
        <f>V1348+V1366-V1373-V1404</f>
        <v>0</v>
      </c>
      <c r="W1403" s="234"/>
      <c r="X1403" s="110">
        <f>X1404-Z1404-AA1404</f>
        <v>0</v>
      </c>
      <c r="Y1403" s="215">
        <f>X1348+X1366-X1373-X1404</f>
        <v>0</v>
      </c>
      <c r="Z1403" s="110">
        <f>Z1348+Z1366-Z1373-Z1404</f>
        <v>0</v>
      </c>
      <c r="AA1403" s="248">
        <f>AA1348+AA1366-AA1373-AA1404</f>
        <v>0</v>
      </c>
      <c r="AB1403" s="263"/>
      <c r="AC1403" s="108"/>
      <c r="AD1403" s="108"/>
      <c r="AE1403" s="108"/>
      <c r="AF1403" s="108"/>
      <c r="AG1403" s="108"/>
      <c r="AH1403" s="108"/>
      <c r="AI1403" s="108"/>
      <c r="AJ1403" s="108"/>
      <c r="AK1403" s="108"/>
      <c r="AL1403" s="108"/>
      <c r="AM1403" s="108"/>
      <c r="AN1403" s="108"/>
      <c r="AO1403" s="108"/>
      <c r="AP1403" s="108"/>
    </row>
    <row r="1404" spans="1:42" s="93" customFormat="1" ht="15">
      <c r="A1404" s="92"/>
      <c r="B1404" s="92"/>
      <c r="C1404" s="214"/>
      <c r="D1404" s="151" t="s">
        <v>238</v>
      </c>
      <c r="E1404" s="151"/>
      <c r="F1404" s="151" t="str">
        <f t="shared" si="2388"/>
        <v>Лекс</v>
      </c>
      <c r="G1404" s="151" t="s">
        <v>261</v>
      </c>
      <c r="H1404" s="311"/>
      <c r="I1404" s="312">
        <f>SUMIFS(операции!$V:$V,операции!$T:$T,"&lt;="&amp;I$9,операции!$X:$X,"",операции!$O:$O,$F1348)+SUMIFS(операции!$V:$V,операции!$T:$T,"&lt;="&amp;I$9,операции!$X:$X,"&gt;"&amp;I$9,операции!$O:$O,$F1348)</f>
        <v>13998.810000000001</v>
      </c>
      <c r="J1404" s="313">
        <f>I1404-I1409-I1415</f>
        <v>0</v>
      </c>
      <c r="K1404" s="312">
        <f>SUMIFS(операции!$V:$V,операции!$T:$T,"&lt;="&amp;I$9,операции!$X:$X,"",операции!$L:$L,K$9,операции!$O:$O,$F1348)+SUMIFS(операции!$V:$V,операции!$T:$T,"&lt;="&amp;I$9,операции!$X:$X,"&gt;"&amp;I$9,операции!$L:$L,K$9,операции!$O:$O,$F1348)</f>
        <v>13998.810000000001</v>
      </c>
      <c r="L1404" s="314">
        <f>SUMIFS(операции!$V:$V,операции!$T:$T,"&lt;="&amp;I$9,операции!$X:$X,"",операции!$L:$L,L$9,операции!$O:$O,$F1348)+SUMIFS(операции!$V:$V,операции!$T:$T,"&lt;="&amp;I$9,операции!$X:$X,"&gt;"&amp;I$9,операции!$L:$L,L$9,операции!$O:$O,$F1348)</f>
        <v>0</v>
      </c>
      <c r="M1404" s="273"/>
      <c r="N1404" s="152">
        <f>SUMIFS(операции!$V:$V,операции!$T:$T,"&lt;="&amp;N$9,операции!$X:$X,"",операции!$O:$O,$F1348)+SUMIFS(операции!$V:$V,операции!$T:$T,"&lt;="&amp;N$9,операции!$X:$X,"&gt;"&amp;N$9,операции!$O:$O,$F1348)</f>
        <v>39305.629999999997</v>
      </c>
      <c r="O1404" s="170">
        <f>N1404-N1409-N1415</f>
        <v>0</v>
      </c>
      <c r="P1404" s="152">
        <f>SUMIFS(операции!$V:$V,операции!$T:$T,"&lt;="&amp;N$9,операции!$X:$X,"",операции!$L:$L,P$9,операции!$O:$O,$F1348)+SUMIFS(операции!$V:$V,операции!$T:$T,"&lt;="&amp;N$9,операции!$X:$X,"&gt;"&amp;N$9,операции!$L:$L,P$9,операции!$O:$O,$F1348)</f>
        <v>33494.629999999997</v>
      </c>
      <c r="Q1404" s="235">
        <f>SUMIFS(операции!$V:$V,операции!$T:$T,"&lt;="&amp;N$9,операции!$X:$X,"",операции!$L:$L,Q$9,операции!$O:$O,$F1348)+SUMIFS(операции!$V:$V,операции!$T:$T,"&lt;="&amp;N$9,операции!$X:$X,"&gt;"&amp;N$9,операции!$L:$L,Q$9,операции!$O:$O,$F1348)</f>
        <v>5811</v>
      </c>
      <c r="R1404" s="236"/>
      <c r="S1404" s="152">
        <f>SUMIFS(операции!$V:$V,операции!$T:$T,"&lt;="&amp;S$9,операции!$X:$X,"",операции!$O:$O,$F1348)+SUMIFS(операции!$V:$V,операции!$T:$T,"&lt;="&amp;S$9,операции!$X:$X,"&gt;"&amp;S$9,операции!$O:$O,$F1348)</f>
        <v>22915.81</v>
      </c>
      <c r="T1404" s="170">
        <f>S1404-S1409-S1415</f>
        <v>0</v>
      </c>
      <c r="U1404" s="152">
        <f>SUMIFS(операции!$V:$V,операции!$T:$T,"&lt;="&amp;S$9,операции!$X:$X,"",операции!$L:$L,U$9,операции!$O:$O,$F1348)+SUMIFS(операции!$V:$V,операции!$T:$T,"&lt;="&amp;S$9,операции!$X:$X,"&gt;"&amp;S$9,операции!$L:$L,U$9,операции!$O:$O,$F1348)</f>
        <v>20187.810000000001</v>
      </c>
      <c r="V1404" s="235">
        <f>SUMIFS(операции!$V:$V,операции!$T:$T,"&lt;="&amp;S$9,операции!$X:$X,"",операции!$L:$L,V$9,операции!$O:$O,$F1348)+SUMIFS(операции!$V:$V,операции!$T:$T,"&lt;="&amp;S$9,операции!$X:$X,"&gt;"&amp;S$9,операции!$L:$L,V$9,операции!$O:$O,$F1348)</f>
        <v>2728</v>
      </c>
      <c r="W1404" s="236"/>
      <c r="X1404" s="152">
        <f>SUMIFS(операции!$V:$V,операции!$T:$T,"&lt;="&amp;X$9,операции!$X:$X,"",операции!$O:$O,$F1348)+SUMIFS(операции!$V:$V,операции!$T:$T,"&lt;="&amp;X$9,операции!$X:$X,"&gt;"&amp;X$9,операции!$O:$O,$F1348)</f>
        <v>13998.810000000001</v>
      </c>
      <c r="Y1404" s="170">
        <f>X1404-X1409-X1415</f>
        <v>0</v>
      </c>
      <c r="Z1404" s="152">
        <f>SUMIFS(операции!$V:$V,операции!$T:$T,"&lt;="&amp;X$9,операции!$X:$X,"",операции!$L:$L,Z$9,операции!$O:$O,$F1348)+SUMIFS(операции!$V:$V,операции!$T:$T,"&lt;="&amp;X$9,операции!$X:$X,"&gt;"&amp;X$9,операции!$L:$L,Z$9,операции!$O:$O,$F1348)</f>
        <v>13998.810000000001</v>
      </c>
      <c r="AA1404" s="235">
        <f>SUMIFS(операции!$V:$V,операции!$T:$T,"&lt;="&amp;X$9,операции!$X:$X,"",операции!$L:$L,AA$9,операции!$O:$O,$F1348)+SUMIFS(операции!$V:$V,операции!$T:$T,"&lt;="&amp;X$9,операции!$X:$X,"&gt;"&amp;X$9,операции!$L:$L,AA$9,операции!$O:$O,$F1348)</f>
        <v>0</v>
      </c>
      <c r="AB1404" s="264"/>
      <c r="AC1404" s="92"/>
      <c r="AD1404" s="92"/>
      <c r="AE1404" s="92"/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92"/>
    </row>
    <row r="1405" spans="1:42" s="192" customFormat="1" ht="11.25">
      <c r="A1405" s="37"/>
      <c r="B1405" s="37"/>
      <c r="C1405" s="37"/>
      <c r="D1405" s="191" t="s">
        <v>255</v>
      </c>
      <c r="E1405" s="191"/>
      <c r="F1405" s="191" t="str">
        <f t="shared" si="2388"/>
        <v>Лекс</v>
      </c>
      <c r="G1405" s="191" t="s">
        <v>262</v>
      </c>
      <c r="H1405" s="315"/>
      <c r="I1405" s="316">
        <f>IF(I1404=0,0,(SUMIFS(операции!$AF:$AF,операции!$T:$T,"&lt;="&amp;I$9,операции!$X:$X,"",операции!$O:$O,$F1348)+SUMIFS(операции!$AF:$AF,операции!$T:$T,"&lt;="&amp;I$9,операции!$X:$X,"&gt;"&amp;I$9,операции!$O:$O,$F1348))/I1404)</f>
        <v>42221.70004593247</v>
      </c>
      <c r="J1405" s="317"/>
      <c r="K1405" s="316">
        <f>IF(K1404=0,0,(SUMIFS(операции!$AF:$AF,операции!$T:$T,"&lt;="&amp;I$9,операции!$X:$X,"",операции!$L:$L,K$9,операции!$O:$O,$F1348)+SUMIFS(операции!$AF:$AF,операции!$T:$T,"&lt;="&amp;I$9,операции!$X:$X,"&gt;"&amp;I$9,операции!$L:$L,K$9,операции!$O:$O,$F1348))/K1404)</f>
        <v>42221.70004593247</v>
      </c>
      <c r="L1405" s="318">
        <f>IF(L1404=0,0,(SUMIFS(операции!$AF:$AF,операции!$T:$T,"&lt;="&amp;I$9,операции!$X:$X,"",операции!$L:$L,L$9,операции!$O:$O,$F1348)+SUMIFS(операции!$AF:$AF,операции!$T:$T,"&lt;="&amp;I$9,операции!$X:$X,"&gt;"&amp;I$9,операции!$L:$L,L$9,операции!$O:$O,$F1348))/L1404)</f>
        <v>0</v>
      </c>
      <c r="M1405" s="274"/>
      <c r="N1405" s="193">
        <f>IF(N1404=0,0,(SUMIFS(операции!$AF:$AF,операции!$T:$T,"&lt;="&amp;N$9,операции!$X:$X,"",операции!$O:$O,$F1348)+SUMIFS(операции!$AF:$AF,операции!$T:$T,"&lt;="&amp;N$9,операции!$X:$X,"&gt;"&amp;N$9,операции!$O:$O,$F1348))/N1404)</f>
        <v>42247.528405218283</v>
      </c>
      <c r="O1405" s="196"/>
      <c r="P1405" s="193">
        <f>IF(P1404=0,0,(SUMIFS(операции!$AF:$AF,операции!$T:$T,"&lt;="&amp;N$9,операции!$X:$X,"",операции!$L:$L,P$9,операции!$O:$O,$F1348)+SUMIFS(операции!$AF:$AF,операции!$T:$T,"&lt;="&amp;N$9,операции!$X:$X,"&gt;"&amp;N$9,операции!$L:$L,P$9,операции!$O:$O,$F1348))/P1404)</f>
        <v>42237.301319942926</v>
      </c>
      <c r="Q1405" s="237">
        <f>IF(Q1404=0,0,(SUMIFS(операции!$AF:$AF,операции!$T:$T,"&lt;="&amp;N$9,операции!$X:$X,"",операции!$L:$L,Q$9,операции!$O:$O,$F1348)+SUMIFS(операции!$AF:$AF,операции!$T:$T,"&lt;="&amp;N$9,операции!$X:$X,"&gt;"&amp;N$9,операции!$L:$L,Q$9,операции!$O:$O,$F1348))/Q1404)</f>
        <v>42306.477370504217</v>
      </c>
      <c r="R1405" s="238"/>
      <c r="S1405" s="193">
        <f>IF(S1404=0,0,(SUMIFS(операции!$AF:$AF,операции!$T:$T,"&lt;="&amp;S$9,операции!$X:$X,"",операции!$O:$O,$F1348)+SUMIFS(операции!$AF:$AF,операции!$T:$T,"&lt;="&amp;S$9,операции!$X:$X,"&gt;"&amp;S$9,операции!$O:$O,$F1348))/S1404)</f>
        <v>42245.139570453757</v>
      </c>
      <c r="T1405" s="196"/>
      <c r="U1405" s="193">
        <f>IF(U1404=0,0,(SUMIFS(операции!$AF:$AF,операции!$T:$T,"&lt;="&amp;S$9,операции!$X:$X,"",операции!$L:$L,U$9,операции!$O:$O,$F1348)+SUMIFS(операции!$AF:$AF,операции!$T:$T,"&lt;="&amp;S$9,операции!$X:$X,"&gt;"&amp;S$9,операции!$L:$L,U$9,операции!$O:$O,$F1348))/U1404)</f>
        <v>42232.72637398509</v>
      </c>
      <c r="V1405" s="237">
        <f>IF(V1404=0,0,(SUMIFS(операции!$AF:$AF,операции!$T:$T,"&lt;="&amp;S$9,операции!$X:$X,"",операции!$L:$L,V$9,операции!$O:$O,$F1348)+SUMIFS(операции!$AF:$AF,операции!$T:$T,"&lt;="&amp;S$9,операции!$X:$X,"&gt;"&amp;S$9,операции!$L:$L,V$9,операции!$O:$O,$F1348))/V1404)</f>
        <v>42337</v>
      </c>
      <c r="W1405" s="238"/>
      <c r="X1405" s="193">
        <f>IF(X1404=0,0,(SUMIFS(операции!$AF:$AF,операции!$T:$T,"&lt;="&amp;X$9,операции!$X:$X,"",операции!$O:$O,$F1348)+SUMIFS(операции!$AF:$AF,операции!$T:$T,"&lt;="&amp;X$9,операции!$X:$X,"&gt;"&amp;X$9,операции!$O:$O,$F1348))/X1404)</f>
        <v>42221.70004593247</v>
      </c>
      <c r="Y1405" s="196"/>
      <c r="Z1405" s="193">
        <f>IF(Z1404=0,0,(SUMIFS(операции!$AF:$AF,операции!$T:$T,"&lt;="&amp;X$9,операции!$X:$X,"",операции!$L:$L,Z$9,операции!$O:$O,$F1348)+SUMIFS(операции!$AF:$AF,операции!$T:$T,"&lt;="&amp;X$9,операции!$X:$X,"&gt;"&amp;X$9,операции!$L:$L,Z$9,операции!$O:$O,$F1348))/Z1404)</f>
        <v>42221.70004593247</v>
      </c>
      <c r="AA1405" s="237">
        <f>IF(AA1404=0,0,(SUMIFS(операции!$AF:$AF,операции!$T:$T,"&lt;="&amp;X$9,операции!$X:$X,"",операции!$L:$L,AA$9,операции!$O:$O,$F1348)+SUMIFS(операции!$AF:$AF,операции!$T:$T,"&lt;="&amp;X$9,операции!$X:$X,"&gt;"&amp;X$9,операции!$L:$L,AA$9,операции!$O:$O,$F1348))/AA1404)</f>
        <v>0</v>
      </c>
      <c r="AB1405" s="265"/>
      <c r="AC1405" s="37"/>
      <c r="AD1405" s="37"/>
      <c r="AE1405" s="37"/>
      <c r="AF1405" s="37"/>
      <c r="AG1405" s="37"/>
      <c r="AH1405" s="37"/>
      <c r="AI1405" s="37"/>
      <c r="AJ1405" s="37"/>
      <c r="AK1405" s="37"/>
      <c r="AL1405" s="37"/>
      <c r="AM1405" s="37"/>
      <c r="AN1405" s="37"/>
      <c r="AO1405" s="37"/>
      <c r="AP1405" s="37"/>
    </row>
    <row r="1406" spans="1:42" s="50" customFormat="1" ht="11.25">
      <c r="A1406" s="48"/>
      <c r="B1406" s="48"/>
      <c r="C1406" s="48"/>
      <c r="D1406" s="154" t="s">
        <v>239</v>
      </c>
      <c r="E1406" s="154"/>
      <c r="F1406" s="154" t="str">
        <f t="shared" si="2388"/>
        <v>Лекс</v>
      </c>
      <c r="G1406" s="154" t="s">
        <v>219</v>
      </c>
      <c r="H1406" s="319"/>
      <c r="I1406" s="320">
        <f>IF(I1404=0,0,I$9-I1405)</f>
        <v>147.29995406753005</v>
      </c>
      <c r="J1406" s="321">
        <f>I1406-SUMIFS(ПОбТЗ!$I:$I,ПОбТЗ!$E:$E,$D1406,ПОбТЗ!$F:$F,$F1406)</f>
        <v>0</v>
      </c>
      <c r="K1406" s="320">
        <f>IF(K1404=0,0,I$9-K1405)</f>
        <v>147.29995406753005</v>
      </c>
      <c r="L1406" s="322">
        <f>IF(L1404=0,0,I$9-L1405)</f>
        <v>0</v>
      </c>
      <c r="M1406" s="275"/>
      <c r="N1406" s="155">
        <f>IF(N1404=0,0,N$9-N1405)</f>
        <v>60.471594781716703</v>
      </c>
      <c r="O1406" s="173">
        <f>N1406-SUMIFS(ПОбТЗ_3!$J:$J,ПОбТЗ_3!$D:$D,$D1406,ПОбТЗ_3!$E:$E,$F1406)</f>
        <v>0</v>
      </c>
      <c r="P1406" s="155">
        <f>IF(P1404=0,0,N$9-P1405)</f>
        <v>70.698680057073943</v>
      </c>
      <c r="Q1406" s="239">
        <f>IF(Q1404=0,0,N$9-Q1405)</f>
        <v>1.5226294957828941</v>
      </c>
      <c r="R1406" s="240"/>
      <c r="S1406" s="155">
        <f>IF(S1404=0,0,S$9-S1405)</f>
        <v>92.860429546242813</v>
      </c>
      <c r="T1406" s="173">
        <f>S1406-SUMIFS(ПОбТЗ_3!$K:$K,ПОбТЗ_3!$D:$D,$D1406,ПОбТЗ_3!$E:$E,$F1406)</f>
        <v>0</v>
      </c>
      <c r="U1406" s="155">
        <f>IF(U1404=0,0,S$9-U1405)</f>
        <v>105.27362601491041</v>
      </c>
      <c r="V1406" s="239">
        <f>IF(V1404=0,0,S$9-V1405)</f>
        <v>1</v>
      </c>
      <c r="W1406" s="240"/>
      <c r="X1406" s="155">
        <f>IF(X1404=0,0,X$9-X1405)</f>
        <v>147.29995406753005</v>
      </c>
      <c r="Y1406" s="173">
        <f>X1406-SUMIFS(ПОбТЗ_3!$L:$L,ПОбТЗ_3!$D:$D,$D1406,ПОбТЗ_3!$E:$E,$F1406)</f>
        <v>0</v>
      </c>
      <c r="Z1406" s="155">
        <f>IF(Z1404=0,0,X$9-Z1405)</f>
        <v>147.29995406753005</v>
      </c>
      <c r="AA1406" s="239">
        <f>IF(AA1404=0,0,X$9-AA1405)</f>
        <v>0</v>
      </c>
      <c r="AB1406" s="230"/>
      <c r="AC1406" s="48"/>
      <c r="AD1406" s="48"/>
      <c r="AE1406" s="48"/>
      <c r="AF1406" s="48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</row>
    <row r="1407" spans="1:42" s="93" customFormat="1" ht="15">
      <c r="A1407" s="92"/>
      <c r="B1407" s="92"/>
      <c r="C1407" s="92"/>
      <c r="D1407" s="198" t="s">
        <v>280</v>
      </c>
      <c r="E1407" s="198"/>
      <c r="F1407" s="198" t="str">
        <f t="shared" si="2388"/>
        <v>Лекс</v>
      </c>
      <c r="G1407" s="198" t="s">
        <v>219</v>
      </c>
      <c r="H1407" s="323"/>
      <c r="I1407" s="324">
        <f>IF(I1404=0,0,(I1409*I1413+I1415*I1419)/I1404)</f>
        <v>34.252876494500299</v>
      </c>
      <c r="J1407" s="321"/>
      <c r="K1407" s="324">
        <f>IF(K1404=0,0,(K1409*K1413+K1415*K1419)/K1404)</f>
        <v>34.252876494500299</v>
      </c>
      <c r="L1407" s="325">
        <f>IF(L1404=0,0,(L1409*L1413+L1415*L1419)/L1404)</f>
        <v>0</v>
      </c>
      <c r="M1407" s="276"/>
      <c r="N1407" s="199">
        <f>IF(N1404=0,0,(N1409*N1413+N1415*N1419)/N1404)</f>
        <v>19.939507902556556</v>
      </c>
      <c r="O1407" s="173"/>
      <c r="P1407" s="199">
        <f>IF(P1404=0,0,(P1409*P1413+P1415*P1419)/P1404)</f>
        <v>23.13466128749689</v>
      </c>
      <c r="Q1407" s="241">
        <f>IF(Q1404=0,0,(Q1409*Q1413+Q1415*Q1419)/Q1404)</f>
        <v>1.5226294957828941</v>
      </c>
      <c r="R1407" s="242"/>
      <c r="S1407" s="199">
        <f>IF(S1404=0,0,(S1409*S1413+S1415*S1419)/S1404)</f>
        <v>27.255179284523468</v>
      </c>
      <c r="T1407" s="173"/>
      <c r="U1407" s="199">
        <f>IF(U1404=0,0,(U1409*U1413+U1415*U1419)/U1404)</f>
        <v>30.803069277948808</v>
      </c>
      <c r="V1407" s="241">
        <f>IF(V1404=0,0,(V1409*V1413+V1415*V1419)/V1404)</f>
        <v>1</v>
      </c>
      <c r="W1407" s="242"/>
      <c r="X1407" s="199">
        <f>IF(X1404=0,0,(X1409*X1413+X1415*X1419)/X1404)</f>
        <v>34.252876494500299</v>
      </c>
      <c r="Y1407" s="173"/>
      <c r="Z1407" s="199">
        <f>IF(Z1404=0,0,(Z1409*Z1413+Z1415*Z1419)/Z1404)</f>
        <v>34.252876494500299</v>
      </c>
      <c r="AA1407" s="241">
        <f>IF(AA1404=0,0,(AA1409*AA1413+AA1415*AA1419)/AA1404)</f>
        <v>0</v>
      </c>
      <c r="AB1407" s="264"/>
      <c r="AC1407" s="92"/>
      <c r="AD1407" s="92"/>
      <c r="AE1407" s="92"/>
      <c r="AF1407" s="92"/>
      <c r="AG1407" s="92"/>
      <c r="AH1407" s="92"/>
      <c r="AI1407" s="92"/>
      <c r="AJ1407" s="92"/>
      <c r="AK1407" s="92"/>
      <c r="AL1407" s="92"/>
      <c r="AM1407" s="92"/>
      <c r="AN1407" s="92"/>
      <c r="AO1407" s="92"/>
      <c r="AP1407" s="92"/>
    </row>
    <row r="1408" spans="1:42" s="50" customFormat="1" ht="11.25">
      <c r="A1408" s="48"/>
      <c r="B1408" s="48"/>
      <c r="C1408" s="48"/>
      <c r="D1408" s="154" t="s">
        <v>281</v>
      </c>
      <c r="E1408" s="154"/>
      <c r="F1408" s="154" t="str">
        <f t="shared" si="2388"/>
        <v>Лекс</v>
      </c>
      <c r="G1408" s="154" t="s">
        <v>219</v>
      </c>
      <c r="H1408" s="319"/>
      <c r="I1408" s="320">
        <f>I1406-I1407</f>
        <v>113.04707757302975</v>
      </c>
      <c r="J1408" s="321"/>
      <c r="K1408" s="320">
        <f>K1406-K1407</f>
        <v>113.04707757302975</v>
      </c>
      <c r="L1408" s="322">
        <f>L1406-L1407</f>
        <v>0</v>
      </c>
      <c r="M1408" s="275"/>
      <c r="N1408" s="155">
        <f>N1406-N1407</f>
        <v>40.532086879160147</v>
      </c>
      <c r="O1408" s="173"/>
      <c r="P1408" s="155">
        <f>P1406-P1407</f>
        <v>47.564018769577054</v>
      </c>
      <c r="Q1408" s="239">
        <f>Q1406-Q1407</f>
        <v>0</v>
      </c>
      <c r="R1408" s="240"/>
      <c r="S1408" s="155">
        <f>S1406-S1407</f>
        <v>65.605250261719348</v>
      </c>
      <c r="T1408" s="173"/>
      <c r="U1408" s="155">
        <f>U1406-U1407</f>
        <v>74.470556736961598</v>
      </c>
      <c r="V1408" s="239">
        <f>V1406-V1407</f>
        <v>0</v>
      </c>
      <c r="W1408" s="240"/>
      <c r="X1408" s="155">
        <f>X1406-X1407</f>
        <v>113.04707757302975</v>
      </c>
      <c r="Y1408" s="173"/>
      <c r="Z1408" s="155">
        <f>Z1406-Z1407</f>
        <v>113.04707757302975</v>
      </c>
      <c r="AA1408" s="239">
        <f>AA1406-AA1407</f>
        <v>0</v>
      </c>
      <c r="AB1408" s="230"/>
      <c r="AC1408" s="48"/>
      <c r="AD1408" s="48"/>
      <c r="AE1408" s="48"/>
      <c r="AF1408" s="48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</row>
    <row r="1409" spans="1:42" s="5" customFormat="1">
      <c r="A1409" s="1"/>
      <c r="B1409" s="1"/>
      <c r="C1409" s="1"/>
      <c r="D1409" s="168"/>
      <c r="E1409" s="168" t="s">
        <v>282</v>
      </c>
      <c r="F1409" s="168" t="str">
        <f t="shared" si="2388"/>
        <v>Лекс</v>
      </c>
      <c r="G1409" s="168" t="s">
        <v>261</v>
      </c>
      <c r="H1409" s="326"/>
      <c r="I1409" s="327">
        <f>SUMIFS(операции!$V:$V,операции!$T:$T,"&lt;="&amp;I$9,операции!$X:$X,"",операции!$AB:$AB,"&lt;&gt;"&amp;"",операции!$AB:$AB,"&lt;="&amp;I$9,операции!$O:$O,$F1348)+SUMIFS(операции!$V:$V,операции!$T:$T,"&lt;="&amp;I$9,операции!$X:$X,"&gt;"&amp;I$9,операции!$AB:$AB,"&lt;&gt;"&amp;"",операции!$AB:$AB,"&lt;="&amp;I$9,операции!$O:$O,$F1348)</f>
        <v>11935.81</v>
      </c>
      <c r="J1409" s="313">
        <f>I1409-K1409-L1409</f>
        <v>0</v>
      </c>
      <c r="K1409" s="327">
        <f>SUMIFS(операции!$V:$V,операции!$T:$T,"&lt;="&amp;I$9,операции!$X:$X,"",операции!$AB:$AB,"&lt;&gt;"&amp;"",операции!$AB:$AB,"&lt;="&amp;I$9,операции!$L:$L,K$9,операции!$O:$O,$F1348)+SUMIFS(операции!$V:$V,операции!$T:$T,"&lt;="&amp;I$9,операции!$X:$X,"&gt;"&amp;I$9,операции!$AB:$AB,"&lt;&gt;"&amp;"",операции!$AB:$AB,"&lt;="&amp;I$9,операции!$L:$L,K$9,операции!$O:$O,$F1348)</f>
        <v>11935.81</v>
      </c>
      <c r="L1409" s="328">
        <f>SUMIFS(операции!$V:$V,операции!$T:$T,"&lt;="&amp;I$9,операции!$X:$X,"",операции!$AB:$AB,"&lt;&gt;"&amp;"",операции!$AB:$AB,"&lt;="&amp;I$9,операции!$L:$L,L$9,операции!$O:$O,$F1348)+SUMIFS(операции!$V:$V,операции!$T:$T,"&lt;="&amp;I$9,операции!$X:$X,"&gt;"&amp;I$9,операции!$AB:$AB,"&lt;&gt;"&amp;"",операции!$AB:$AB,"&lt;="&amp;I$9,операции!$L:$L,L$9,операции!$O:$O,$F1348)</f>
        <v>0</v>
      </c>
      <c r="M1409" s="277"/>
      <c r="N1409" s="169">
        <f>SUMIFS(операции!$V:$V,операции!$T:$T,"&lt;="&amp;N$9,операции!$X:$X,"",операции!$AB:$AB,"&lt;&gt;"&amp;"",операции!$AB:$AB,"&lt;="&amp;N$9,операции!$O:$O,$F1348)+SUMIFS(операции!$V:$V,операции!$T:$T,"&lt;="&amp;N$9,операции!$X:$X,"&gt;"&amp;N$9,операции!$AB:$AB,"&lt;&gt;"&amp;"",операции!$AB:$AB,"&lt;="&amp;N$9,операции!$O:$O,$F1348)</f>
        <v>27458.149999999998</v>
      </c>
      <c r="O1409" s="170">
        <f>N1409-P1409-Q1409</f>
        <v>0</v>
      </c>
      <c r="P1409" s="169">
        <f>SUMIFS(операции!$V:$V,операции!$T:$T,"&lt;="&amp;N$9,операции!$X:$X,"",операции!$AB:$AB,"&lt;&gt;"&amp;"",операции!$AB:$AB,"&lt;="&amp;N$9,операции!$L:$L,P$9,операции!$O:$O,$F1348)+SUMIFS(операции!$V:$V,операции!$T:$T,"&lt;="&amp;N$9,операции!$X:$X,"&gt;"&amp;N$9,операции!$AB:$AB,"&lt;&gt;"&amp;"",операции!$AB:$AB,"&lt;="&amp;N$9,операции!$L:$L,P$9,операции!$O:$O,$F1348)</f>
        <v>27458.149999999998</v>
      </c>
      <c r="Q1409" s="243">
        <f>SUMIFS(операции!$V:$V,операции!$T:$T,"&lt;="&amp;N$9,операции!$X:$X,"",операции!$AB:$AB,"&lt;&gt;"&amp;"",операции!$AB:$AB,"&lt;="&amp;N$9,операции!$L:$L,Q$9,операции!$O:$O,$F1348)+SUMIFS(операции!$V:$V,операции!$T:$T,"&lt;="&amp;N$9,операции!$X:$X,"&gt;"&amp;N$9,операции!$AB:$AB,"&lt;&gt;"&amp;"",операции!$AB:$AB,"&lt;="&amp;N$9,операции!$L:$L,Q$9,операции!$O:$O,$F1348)</f>
        <v>0</v>
      </c>
      <c r="R1409" s="244"/>
      <c r="S1409" s="169">
        <f>SUMIFS(операции!$V:$V,операции!$T:$T,"&lt;="&amp;S$9,операции!$X:$X,"",операции!$AB:$AB,"&lt;&gt;"&amp;"",операции!$AB:$AB,"&lt;="&amp;S$9,операции!$O:$O,$F1348)+SUMIFS(операции!$V:$V,операции!$T:$T,"&lt;="&amp;S$9,операции!$X:$X,"&gt;"&amp;S$9,операции!$AB:$AB,"&lt;&gt;"&amp;"",операции!$AB:$AB,"&lt;="&amp;S$9,операции!$O:$O,$F1348)</f>
        <v>18124.809999999998</v>
      </c>
      <c r="T1409" s="170">
        <f>S1409-U1409-V1409</f>
        <v>0</v>
      </c>
      <c r="U1409" s="169">
        <f>SUMIFS(операции!$V:$V,операции!$T:$T,"&lt;="&amp;S$9,операции!$X:$X,"",операции!$AB:$AB,"&lt;&gt;"&amp;"",операции!$AB:$AB,"&lt;="&amp;S$9,операции!$L:$L,U$9,операции!$O:$O,$F1348)+SUMIFS(операции!$V:$V,операции!$T:$T,"&lt;="&amp;S$9,операции!$X:$X,"&gt;"&amp;S$9,операции!$AB:$AB,"&lt;&gt;"&amp;"",операции!$AB:$AB,"&lt;="&amp;S$9,операции!$L:$L,U$9,операции!$O:$O,$F1348)</f>
        <v>18124.809999999998</v>
      </c>
      <c r="V1409" s="243">
        <f>SUMIFS(операции!$V:$V,операции!$T:$T,"&lt;="&amp;S$9,операции!$X:$X,"",операции!$AB:$AB,"&lt;&gt;"&amp;"",операции!$AB:$AB,"&lt;="&amp;S$9,операции!$L:$L,V$9,операции!$O:$O,$F1348)+SUMIFS(операции!$V:$V,операции!$T:$T,"&lt;="&amp;S$9,операции!$X:$X,"&gt;"&amp;S$9,операции!$AB:$AB,"&lt;&gt;"&amp;"",операции!$AB:$AB,"&lt;="&amp;S$9,операции!$L:$L,V$9,операции!$O:$O,$F1348)</f>
        <v>0</v>
      </c>
      <c r="W1409" s="244"/>
      <c r="X1409" s="169">
        <f>SUMIFS(операции!$V:$V,операции!$T:$T,"&lt;="&amp;X$9,операции!$X:$X,"",операции!$AB:$AB,"&lt;&gt;"&amp;"",операции!$AB:$AB,"&lt;="&amp;X$9,операции!$O:$O,$F1348)+SUMIFS(операции!$V:$V,операции!$T:$T,"&lt;="&amp;X$9,операции!$X:$X,"&gt;"&amp;X$9,операции!$AB:$AB,"&lt;&gt;"&amp;"",операции!$AB:$AB,"&lt;="&amp;X$9,операции!$O:$O,$F1348)</f>
        <v>11935.81</v>
      </c>
      <c r="Y1409" s="170">
        <f>X1409-Z1409-AA1409</f>
        <v>0</v>
      </c>
      <c r="Z1409" s="169">
        <f>SUMIFS(операции!$V:$V,операции!$T:$T,"&lt;="&amp;X$9,операции!$X:$X,"",операции!$AB:$AB,"&lt;&gt;"&amp;"",операции!$AB:$AB,"&lt;="&amp;X$9,операции!$L:$L,Z$9,операции!$O:$O,$F1348)+SUMIFS(операции!$V:$V,операции!$T:$T,"&lt;="&amp;X$9,операции!$X:$X,"&gt;"&amp;X$9,операции!$AB:$AB,"&lt;&gt;"&amp;"",операции!$AB:$AB,"&lt;="&amp;X$9,операции!$L:$L,Z$9,операции!$O:$O,$F1348)</f>
        <v>11935.81</v>
      </c>
      <c r="AA1409" s="243">
        <f>SUMIFS(операции!$V:$V,операции!$T:$T,"&lt;="&amp;X$9,операции!$X:$X,"",операции!$AB:$AB,"&lt;&gt;"&amp;"",операции!$AB:$AB,"&lt;="&amp;X$9,операции!$L:$L,AA$9,операции!$O:$O,$F1348)+SUMIFS(операции!$V:$V,операции!$T:$T,"&lt;="&amp;X$9,операции!$X:$X,"&gt;"&amp;X$9,операции!$AB:$AB,"&lt;&gt;"&amp;"",операции!$AB:$AB,"&lt;="&amp;X$9,операции!$L:$L,AA$9,операции!$O:$O,$F1348)</f>
        <v>0</v>
      </c>
      <c r="AB1409" s="266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</row>
    <row r="1410" spans="1:42" s="192" customFormat="1" ht="11.25">
      <c r="A1410" s="37"/>
      <c r="B1410" s="37"/>
      <c r="C1410" s="37"/>
      <c r="D1410" s="191"/>
      <c r="E1410" s="191" t="s">
        <v>255</v>
      </c>
      <c r="F1410" s="191" t="str">
        <f t="shared" si="2388"/>
        <v>Лекс</v>
      </c>
      <c r="G1410" s="191" t="s">
        <v>262</v>
      </c>
      <c r="H1410" s="315"/>
      <c r="I1410" s="316">
        <f>IF(I1409=0,0,(SUMIFS(операции!$AF:$AF,операции!$T:$T,"&lt;="&amp;I$9,операции!$X:$X,"",операции!$AB:$AB,"&lt;&gt;"&amp;"",операции!$AB:$AB,"&lt;="&amp;I$9,операции!$O:$O,$F1348)+SUMIFS(операции!$AF:$AF,операции!$T:$T,"&lt;="&amp;I$9,операции!$X:$X,"&gt;"&amp;I$9,операции!$AB:$AB,"&lt;&gt;"&amp;"",операции!$AB:$AB,"&lt;="&amp;I$9,операции!$O:$O,$F1348))/I1409)</f>
        <v>42215.425917470202</v>
      </c>
      <c r="J1410" s="317"/>
      <c r="K1410" s="316">
        <f>IF(K1409=0,0,(SUMIFS(операции!$AF:$AF,операции!$T:$T,"&lt;="&amp;I$9,операции!$X:$X,"",операции!$AB:$AB,"&lt;&gt;"&amp;"",операции!$AB:$AB,"&lt;="&amp;I$9,операции!$L:$L,K$9,операции!$O:$O,$F1348)+SUMIFS(операции!$AF:$AF,операции!$T:$T,"&lt;="&amp;I$9,операции!$X:$X,"&gt;"&amp;I$9,операции!$AB:$AB,"&lt;&gt;"&amp;"",операции!$AB:$AB,"&lt;="&amp;I$9,операции!$L:$L,K$9,операции!$O:$O,$F1348))/K1409)</f>
        <v>42215.425917470202</v>
      </c>
      <c r="L1410" s="318">
        <f>IF(L1409=0,0,(SUMIFS(операции!$AF:$AF,операции!$T:$T,"&lt;="&amp;I$9,операции!$X:$X,"",операции!$AB:$AB,"&lt;&gt;"&amp;"",операции!$AB:$AB,"&lt;="&amp;I$9,операции!$L:$L,L$9,операции!$O:$O,$F1348)+SUMIFS(операции!$AF:$AF,операции!$T:$T,"&lt;="&amp;I$9,операции!$X:$X,"&gt;"&amp;I$9,операции!$AB:$AB,"&lt;&gt;"&amp;"",операции!$AB:$AB,"&lt;="&amp;I$9,операции!$L:$L,L$9,операции!$O:$O,$F1348))/L1409)</f>
        <v>0</v>
      </c>
      <c r="M1410" s="274"/>
      <c r="N1410" s="193">
        <f>IF(N1409=0,0,(SUMIFS(операции!$AF:$AF,операции!$T:$T,"&lt;="&amp;N$9,операции!$X:$X,"",операции!$AB:$AB,"&lt;&gt;"&amp;"",операции!$AB:$AB,"&lt;="&amp;N$9,операции!$O:$O,$F1348)+SUMIFS(операции!$AF:$AF,операции!$T:$T,"&lt;="&amp;N$9,операции!$X:$X,"&gt;"&amp;N$9,операции!$AB:$AB,"&lt;&gt;"&amp;"",операции!$AB:$AB,"&lt;="&amp;N$9,операции!$O:$O,$F1348))/N1409)</f>
        <v>42228.783048020356</v>
      </c>
      <c r="O1410" s="196"/>
      <c r="P1410" s="193">
        <f>IF(P1409=0,0,(SUMIFS(операции!$AF:$AF,операции!$T:$T,"&lt;="&amp;N$9,операции!$X:$X,"",операции!$AB:$AB,"&lt;&gt;"&amp;"",операции!$AB:$AB,"&lt;="&amp;N$9,операции!$L:$L,P$9,операции!$O:$O,$F1348)+SUMIFS(операции!$AF:$AF,операции!$T:$T,"&lt;="&amp;N$9,операции!$X:$X,"&gt;"&amp;N$9,операции!$AB:$AB,"&lt;&gt;"&amp;"",операции!$AB:$AB,"&lt;="&amp;N$9,операции!$L:$L,P$9,операции!$O:$O,$F1348))/P1409)</f>
        <v>42228.783048020356</v>
      </c>
      <c r="Q1410" s="237">
        <f>IF(Q1409=0,0,(SUMIFS(операции!$AF:$AF,операции!$T:$T,"&lt;="&amp;N$9,операции!$X:$X,"",операции!$AB:$AB,"&lt;&gt;"&amp;"",операции!$AB:$AB,"&lt;="&amp;N$9,операции!$L:$L,Q$9,операции!$O:$O,$F1348)+SUMIFS(операции!$AF:$AF,операции!$T:$T,"&lt;="&amp;N$9,операции!$X:$X,"&gt;"&amp;N$9,операции!$AB:$AB,"&lt;&gt;"&amp;"",операции!$AB:$AB,"&lt;="&amp;N$9,операции!$L:$L,Q$9,операции!$O:$O,$F1348))/Q1409)</f>
        <v>0</v>
      </c>
      <c r="R1410" s="238"/>
      <c r="S1410" s="193">
        <f>IF(S1409=0,0,(SUMIFS(операции!$AF:$AF,операции!$T:$T,"&lt;="&amp;S$9,операции!$X:$X,"",операции!$AB:$AB,"&lt;&gt;"&amp;"",операции!$AB:$AB,"&lt;="&amp;S$9,операции!$O:$O,$F1348)+SUMIFS(операции!$AF:$AF,операции!$T:$T,"&lt;="&amp;S$9,операции!$X:$X,"&gt;"&amp;S$9,операции!$AB:$AB,"&lt;&gt;"&amp;"",операции!$AB:$AB,"&lt;="&amp;S$9,операции!$O:$O,$F1348))/S1409)</f>
        <v>42229.849682286324</v>
      </c>
      <c r="T1410" s="196"/>
      <c r="U1410" s="193">
        <f>IF(U1409=0,0,(SUMIFS(операции!$AF:$AF,операции!$T:$T,"&lt;="&amp;S$9,операции!$X:$X,"",операции!$AB:$AB,"&lt;&gt;"&amp;"",операции!$AB:$AB,"&lt;="&amp;S$9,операции!$L:$L,U$9,операции!$O:$O,$F1348)+SUMIFS(операции!$AF:$AF,операции!$T:$T,"&lt;="&amp;S$9,операции!$X:$X,"&gt;"&amp;S$9,операции!$AB:$AB,"&lt;&gt;"&amp;"",операции!$AB:$AB,"&lt;="&amp;S$9,операции!$L:$L,U$9,операции!$O:$O,$F1348))/U1409)</f>
        <v>42229.849682286324</v>
      </c>
      <c r="V1410" s="237">
        <f>IF(V1409=0,0,(SUMIFS(операции!$AF:$AF,операции!$T:$T,"&lt;="&amp;S$9,операции!$X:$X,"",операции!$AB:$AB,"&lt;&gt;"&amp;"",операции!$AB:$AB,"&lt;="&amp;S$9,операции!$L:$L,V$9,операции!$O:$O,$F1348)+SUMIFS(операции!$AF:$AF,операции!$T:$T,"&lt;="&amp;S$9,операции!$X:$X,"&gt;"&amp;S$9,операции!$AB:$AB,"&lt;&gt;"&amp;"",операции!$AB:$AB,"&lt;="&amp;S$9,операции!$L:$L,V$9,операции!$O:$O,$F1348))/V1409)</f>
        <v>0</v>
      </c>
      <c r="W1410" s="238"/>
      <c r="X1410" s="193">
        <f>IF(X1409=0,0,(SUMIFS(операции!$AF:$AF,операции!$T:$T,"&lt;="&amp;X$9,операции!$X:$X,"",операции!$AB:$AB,"&lt;&gt;"&amp;"",операции!$AB:$AB,"&lt;="&amp;X$9,операции!$O:$O,$F1348)+SUMIFS(операции!$AF:$AF,операции!$T:$T,"&lt;="&amp;X$9,операции!$X:$X,"&gt;"&amp;X$9,операции!$AB:$AB,"&lt;&gt;"&amp;"",операции!$AB:$AB,"&lt;="&amp;X$9,операции!$O:$O,$F1348))/X1409)</f>
        <v>42215.425917470202</v>
      </c>
      <c r="Y1410" s="196"/>
      <c r="Z1410" s="193">
        <f>IF(Z1409=0,0,(SUMIFS(операции!$AF:$AF,операции!$T:$T,"&lt;="&amp;X$9,операции!$X:$X,"",операции!$AB:$AB,"&lt;&gt;"&amp;"",операции!$AB:$AB,"&lt;="&amp;X$9,операции!$L:$L,Z$9,операции!$O:$O,$F1348)+SUMIFS(операции!$AF:$AF,операции!$T:$T,"&lt;="&amp;X$9,операции!$X:$X,"&gt;"&amp;X$9,операции!$AB:$AB,"&lt;&gt;"&amp;"",операции!$AB:$AB,"&lt;="&amp;X$9,операции!$L:$L,Z$9,операции!$O:$O,$F1348))/Z1409)</f>
        <v>42215.425917470202</v>
      </c>
      <c r="AA1410" s="237">
        <f>IF(AA1409=0,0,(SUMIFS(операции!$AF:$AF,операции!$T:$T,"&lt;="&amp;X$9,операции!$X:$X,"",операции!$AB:$AB,"&lt;&gt;"&amp;"",операции!$AB:$AB,"&lt;="&amp;X$9,операции!$L:$L,AA$9,операции!$O:$O,$F1348)+SUMIFS(операции!$AF:$AF,операции!$T:$T,"&lt;="&amp;X$9,операции!$X:$X,"&gt;"&amp;X$9,операции!$AB:$AB,"&lt;&gt;"&amp;"",операции!$AB:$AB,"&lt;="&amp;X$9,операции!$L:$L,AA$9,операции!$O:$O,$F1348))/AA1409)</f>
        <v>0</v>
      </c>
      <c r="AB1410" s="265"/>
      <c r="AC1410" s="37"/>
      <c r="AD1410" s="37"/>
      <c r="AE1410" s="37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</row>
    <row r="1411" spans="1:42" s="192" customFormat="1" ht="11.25">
      <c r="A1411" s="37"/>
      <c r="B1411" s="37"/>
      <c r="C1411" s="37"/>
      <c r="D1411" s="191"/>
      <c r="E1411" s="191" t="s">
        <v>283</v>
      </c>
      <c r="F1411" s="191" t="str">
        <f t="shared" si="2388"/>
        <v>Лекс</v>
      </c>
      <c r="G1411" s="191" t="s">
        <v>219</v>
      </c>
      <c r="H1411" s="315"/>
      <c r="I1411" s="329">
        <f>IF(I1409=0,0,I$9-I1410)</f>
        <v>153.57408252979803</v>
      </c>
      <c r="J1411" s="317"/>
      <c r="K1411" s="329">
        <f>IF(K1409=0,0,I$9-K1410)</f>
        <v>153.57408252979803</v>
      </c>
      <c r="L1411" s="330">
        <f>IF(L1409=0,0,I$9-L1410)</f>
        <v>0</v>
      </c>
      <c r="M1411" s="274"/>
      <c r="N1411" s="156">
        <f>IF(N1409=0,0,N$9-N1410)</f>
        <v>79.216951979644364</v>
      </c>
      <c r="O1411" s="196"/>
      <c r="P1411" s="156">
        <f>IF(P1409=0,0,N$9-P1410)</f>
        <v>79.216951979644364</v>
      </c>
      <c r="Q1411" s="245">
        <f>IF(Q1409=0,0,N$9-Q1410)</f>
        <v>0</v>
      </c>
      <c r="R1411" s="238"/>
      <c r="S1411" s="156">
        <f>IF(S1409=0,0,S$9-S1410)</f>
        <v>108.15031771367649</v>
      </c>
      <c r="T1411" s="196"/>
      <c r="U1411" s="156">
        <f>IF(U1409=0,0,S$9-U1410)</f>
        <v>108.15031771367649</v>
      </c>
      <c r="V1411" s="245">
        <f>IF(V1409=0,0,S$9-V1410)</f>
        <v>0</v>
      </c>
      <c r="W1411" s="238"/>
      <c r="X1411" s="156">
        <f>IF(X1409=0,0,X$9-X1410)</f>
        <v>153.57408252979803</v>
      </c>
      <c r="Y1411" s="196"/>
      <c r="Z1411" s="156">
        <f>IF(Z1409=0,0,X$9-Z1410)</f>
        <v>153.57408252979803</v>
      </c>
      <c r="AA1411" s="245">
        <f>IF(AA1409=0,0,X$9-AA1410)</f>
        <v>0</v>
      </c>
      <c r="AB1411" s="265"/>
      <c r="AC1411" s="37"/>
      <c r="AD1411" s="37"/>
      <c r="AE1411" s="37"/>
      <c r="AF1411" s="37"/>
      <c r="AG1411" s="37"/>
      <c r="AH1411" s="37"/>
      <c r="AI1411" s="37"/>
      <c r="AJ1411" s="37"/>
      <c r="AK1411" s="37"/>
      <c r="AL1411" s="37"/>
      <c r="AM1411" s="37"/>
      <c r="AN1411" s="37"/>
      <c r="AO1411" s="37"/>
      <c r="AP1411" s="37"/>
    </row>
    <row r="1412" spans="1:42" s="192" customFormat="1" ht="11.25">
      <c r="A1412" s="37"/>
      <c r="B1412" s="37"/>
      <c r="C1412" s="37"/>
      <c r="D1412" s="191"/>
      <c r="E1412" s="191" t="s">
        <v>259</v>
      </c>
      <c r="F1412" s="191" t="str">
        <f t="shared" si="2388"/>
        <v>Лекс</v>
      </c>
      <c r="G1412" s="191" t="s">
        <v>262</v>
      </c>
      <c r="H1412" s="315"/>
      <c r="I1412" s="316">
        <f>IF(I1409=0,0,(SUMIFS(операции!$AH:$AH,операции!$T:$T,"&lt;="&amp;I$9,операции!$X:$X,"",операции!$AB:$AB,"&lt;&gt;"&amp;"",операции!$AB:$AB,"&lt;="&amp;I$9,операции!$O:$O,$F1348)+SUMIFS(операции!$AH:$AH,операции!$T:$T,"&lt;="&amp;I$9,операции!$X:$X,"&gt;"&amp;I$9,операции!$AB:$AB,"&lt;&gt;"&amp;"",операции!$AB:$AB,"&lt;="&amp;I$9,операции!$O:$O,$F1348))/I1409)</f>
        <v>42236.413727262749</v>
      </c>
      <c r="J1412" s="317"/>
      <c r="K1412" s="316">
        <f>IF(K1409=0,0,(SUMIFS(операции!$AH:$AH,операции!$T:$T,"&lt;="&amp;I$9,операции!$X:$X,"",операции!$AB:$AB,"&lt;&gt;"&amp;"",операции!$AB:$AB,"&lt;="&amp;I$9,операции!$L:$L,K$9,операции!$O:$O,$F1348)+SUMIFS(операции!$AH:$AH,операции!$T:$T,"&lt;="&amp;I$9,операции!$X:$X,"&gt;"&amp;I$9,операции!$AB:$AB,"&lt;&gt;"&amp;"",операции!$AB:$AB,"&lt;="&amp;I$9,операции!$L:$L,K$9,операции!$O:$O,$F1348))/K1409)</f>
        <v>42236.413727262749</v>
      </c>
      <c r="L1412" s="318">
        <f>IF(L1409=0,0,(SUMIFS(операции!$AH:$AH,операции!$T:$T,"&lt;="&amp;I$9,операции!$X:$X,"",операции!$AB:$AB,"&lt;&gt;"&amp;"",операции!$AB:$AB,"&lt;="&amp;I$9,операции!$L:$L,L$9,операции!$O:$O,$F1348)+SUMIFS(операции!$AH:$AH,операции!$T:$T,"&lt;="&amp;I$9,операции!$X:$X,"&gt;"&amp;I$9,операции!$AB:$AB,"&lt;&gt;"&amp;"",операции!$AB:$AB,"&lt;="&amp;I$9,операции!$L:$L,L$9,операции!$O:$O,$F1348))/L1409)</f>
        <v>0</v>
      </c>
      <c r="M1412" s="274"/>
      <c r="N1412" s="193">
        <f>IF(N1409=0,0,(SUMIFS(операции!$AH:$AH,операции!$T:$T,"&lt;="&amp;N$9,операции!$X:$X,"",операции!$AB:$AB,"&lt;&gt;"&amp;"",операции!$AB:$AB,"&lt;="&amp;N$9,операции!$O:$O,$F1348)+SUMIFS(операции!$AH:$AH,операции!$T:$T,"&lt;="&amp;N$9,операции!$X:$X,"&gt;"&amp;N$9,операции!$AB:$AB,"&lt;&gt;"&amp;"",операции!$AB:$AB,"&lt;="&amp;N$9,операции!$O:$O,$F1348))/N1409)</f>
        <v>42249.979368238579</v>
      </c>
      <c r="O1412" s="196"/>
      <c r="P1412" s="193">
        <f>IF(P1409=0,0,(SUMIFS(операции!$AH:$AH,операции!$T:$T,"&lt;="&amp;N$9,операции!$X:$X,"",операции!$AB:$AB,"&lt;&gt;"&amp;"",операции!$AB:$AB,"&lt;="&amp;N$9,операции!$L:$L,P$9,операции!$O:$O,$F1348)+SUMIFS(операции!$AH:$AH,операции!$T:$T,"&lt;="&amp;N$9,операции!$X:$X,"&gt;"&amp;N$9,операции!$AB:$AB,"&lt;&gt;"&amp;"",операции!$AB:$AB,"&lt;="&amp;N$9,операции!$L:$L,P$9,операции!$O:$O,$F1348))/P1409)</f>
        <v>42249.979368238579</v>
      </c>
      <c r="Q1412" s="237">
        <f>IF(Q1409=0,0,(SUMIFS(операции!$AH:$AH,операции!$T:$T,"&lt;="&amp;N$9,операции!$X:$X,"",операции!$AB:$AB,"&lt;&gt;"&amp;"",операции!$AB:$AB,"&lt;="&amp;N$9,операции!$L:$L,Q$9,операции!$O:$O,$F1348)+SUMIFS(операции!$AH:$AH,операции!$T:$T,"&lt;="&amp;N$9,операции!$X:$X,"&gt;"&amp;N$9,операции!$AB:$AB,"&lt;&gt;"&amp;"",операции!$AB:$AB,"&lt;="&amp;N$9,операции!$L:$L,Q$9,операции!$O:$O,$F1348))/Q1409)</f>
        <v>0</v>
      </c>
      <c r="R1412" s="238"/>
      <c r="S1412" s="193">
        <f>IF(S1409=0,0,(SUMIFS(операции!$AH:$AH,операции!$T:$T,"&lt;="&amp;S$9,операции!$X:$X,"",операции!$AB:$AB,"&lt;&gt;"&amp;"",операции!$AB:$AB,"&lt;="&amp;S$9,операции!$O:$O,$F1348)+SUMIFS(операции!$AH:$AH,операции!$T:$T,"&lt;="&amp;S$9,операции!$X:$X,"&gt;"&amp;S$9,операции!$AB:$AB,"&lt;&gt;"&amp;"",операции!$AB:$AB,"&lt;="&amp;S$9,операции!$O:$O,$F1348))/S1409)</f>
        <v>42255.053064280401</v>
      </c>
      <c r="T1412" s="196"/>
      <c r="U1412" s="193">
        <f>IF(U1409=0,0,(SUMIFS(операции!$AH:$AH,операции!$T:$T,"&lt;="&amp;S$9,операции!$X:$X,"",операции!$AB:$AB,"&lt;&gt;"&amp;"",операции!$AB:$AB,"&lt;="&amp;S$9,операции!$L:$L,U$9,операции!$O:$O,$F1348)+SUMIFS(операции!$AH:$AH,операции!$T:$T,"&lt;="&amp;S$9,операции!$X:$X,"&gt;"&amp;S$9,операции!$AB:$AB,"&lt;&gt;"&amp;"",операции!$AB:$AB,"&lt;="&amp;S$9,операции!$L:$L,U$9,операции!$O:$O,$F1348))/U1409)</f>
        <v>42255.053064280401</v>
      </c>
      <c r="V1412" s="237">
        <f>IF(V1409=0,0,(SUMIFS(операции!$AH:$AH,операции!$T:$T,"&lt;="&amp;S$9,операции!$X:$X,"",операции!$AB:$AB,"&lt;&gt;"&amp;"",операции!$AB:$AB,"&lt;="&amp;S$9,операции!$L:$L,V$9,операции!$O:$O,$F1348)+SUMIFS(операции!$AH:$AH,операции!$T:$T,"&lt;="&amp;S$9,операции!$X:$X,"&gt;"&amp;S$9,операции!$AB:$AB,"&lt;&gt;"&amp;"",операции!$AB:$AB,"&lt;="&amp;S$9,операции!$L:$L,V$9,операции!$O:$O,$F1348))/V1409)</f>
        <v>0</v>
      </c>
      <c r="W1412" s="238"/>
      <c r="X1412" s="193">
        <f>IF(X1409=0,0,(SUMIFS(операции!$AH:$AH,операции!$T:$T,"&lt;="&amp;X$9,операции!$X:$X,"",операции!$AB:$AB,"&lt;&gt;"&amp;"",операции!$AB:$AB,"&lt;="&amp;X$9,операции!$O:$O,$F1348)+SUMIFS(операции!$AH:$AH,операции!$T:$T,"&lt;="&amp;X$9,операции!$X:$X,"&gt;"&amp;X$9,операции!$AB:$AB,"&lt;&gt;"&amp;"",операции!$AB:$AB,"&lt;="&amp;X$9,операции!$O:$O,$F1348))/X1409)</f>
        <v>42236.413727262749</v>
      </c>
      <c r="Y1412" s="196"/>
      <c r="Z1412" s="193">
        <f>IF(Z1409=0,0,(SUMIFS(операции!$AH:$AH,операции!$T:$T,"&lt;="&amp;X$9,операции!$X:$X,"",операции!$AB:$AB,"&lt;&gt;"&amp;"",операции!$AB:$AB,"&lt;="&amp;X$9,операции!$L:$L,Z$9,операции!$O:$O,$F1348)+SUMIFS(операции!$AH:$AH,операции!$T:$T,"&lt;="&amp;X$9,операции!$X:$X,"&gt;"&amp;X$9,операции!$AB:$AB,"&lt;&gt;"&amp;"",операции!$AB:$AB,"&lt;="&amp;X$9,операции!$L:$L,Z$9,операции!$O:$O,$F1348))/Z1409)</f>
        <v>42236.413727262749</v>
      </c>
      <c r="AA1412" s="237">
        <f>IF(AA1409=0,0,(SUMIFS(операции!$AH:$AH,операции!$T:$T,"&lt;="&amp;X$9,операции!$X:$X,"",операции!$AB:$AB,"&lt;&gt;"&amp;"",операции!$AB:$AB,"&lt;="&amp;X$9,операции!$L:$L,AA$9,операции!$O:$O,$F1348)+SUMIFS(операции!$AH:$AH,операции!$T:$T,"&lt;="&amp;X$9,операции!$X:$X,"&gt;"&amp;X$9,операции!$AB:$AB,"&lt;&gt;"&amp;"",операции!$AB:$AB,"&lt;="&amp;X$9,операции!$L:$L,AA$9,операции!$O:$O,$F1348))/AA1409)</f>
        <v>0</v>
      </c>
      <c r="AB1412" s="265"/>
      <c r="AC1412" s="37"/>
      <c r="AD1412" s="37"/>
      <c r="AE1412" s="37"/>
      <c r="AF1412" s="37"/>
      <c r="AG1412" s="37"/>
      <c r="AH1412" s="37"/>
      <c r="AI1412" s="37"/>
      <c r="AJ1412" s="37"/>
      <c r="AK1412" s="37"/>
      <c r="AL1412" s="37"/>
      <c r="AM1412" s="37"/>
      <c r="AN1412" s="37"/>
      <c r="AO1412" s="37"/>
      <c r="AP1412" s="37"/>
    </row>
    <row r="1413" spans="1:42" s="192" customFormat="1" ht="11.25">
      <c r="A1413" s="37"/>
      <c r="B1413" s="37"/>
      <c r="C1413" s="37"/>
      <c r="D1413" s="191"/>
      <c r="E1413" s="191" t="s">
        <v>284</v>
      </c>
      <c r="F1413" s="191" t="str">
        <f t="shared" si="2388"/>
        <v>Лекс</v>
      </c>
      <c r="G1413" s="191" t="s">
        <v>219</v>
      </c>
      <c r="H1413" s="315"/>
      <c r="I1413" s="329">
        <f>I1412-I1410</f>
        <v>20.987809792546614</v>
      </c>
      <c r="J1413" s="317"/>
      <c r="K1413" s="329">
        <f>K1412-K1410</f>
        <v>20.987809792546614</v>
      </c>
      <c r="L1413" s="330">
        <f>L1412-L1410</f>
        <v>0</v>
      </c>
      <c r="M1413" s="274"/>
      <c r="N1413" s="156">
        <f>N1412-N1410</f>
        <v>21.196320218223264</v>
      </c>
      <c r="O1413" s="196"/>
      <c r="P1413" s="156">
        <f>P1412-P1410</f>
        <v>21.196320218223264</v>
      </c>
      <c r="Q1413" s="245">
        <f>Q1412-Q1410</f>
        <v>0</v>
      </c>
      <c r="R1413" s="238"/>
      <c r="S1413" s="156">
        <f>S1412-S1410</f>
        <v>25.203381994077063</v>
      </c>
      <c r="T1413" s="196"/>
      <c r="U1413" s="156">
        <f>U1412-U1410</f>
        <v>25.203381994077063</v>
      </c>
      <c r="V1413" s="245">
        <f>V1412-V1410</f>
        <v>0</v>
      </c>
      <c r="W1413" s="238"/>
      <c r="X1413" s="156">
        <f>X1412-X1410</f>
        <v>20.987809792546614</v>
      </c>
      <c r="Y1413" s="196"/>
      <c r="Z1413" s="156">
        <f>Z1412-Z1410</f>
        <v>20.987809792546614</v>
      </c>
      <c r="AA1413" s="245">
        <f>AA1412-AA1410</f>
        <v>0</v>
      </c>
      <c r="AB1413" s="265"/>
      <c r="AC1413" s="37"/>
      <c r="AD1413" s="37"/>
      <c r="AE1413" s="37"/>
      <c r="AF1413" s="37"/>
      <c r="AG1413" s="37"/>
      <c r="AH1413" s="37"/>
      <c r="AI1413" s="37"/>
      <c r="AJ1413" s="37"/>
      <c r="AK1413" s="37"/>
      <c r="AL1413" s="37"/>
      <c r="AM1413" s="37"/>
      <c r="AN1413" s="37"/>
      <c r="AO1413" s="37"/>
      <c r="AP1413" s="37"/>
    </row>
    <row r="1414" spans="1:42" s="192" customFormat="1" ht="11.25">
      <c r="A1414" s="37"/>
      <c r="B1414" s="37"/>
      <c r="C1414" s="37"/>
      <c r="D1414" s="191"/>
      <c r="E1414" s="191" t="s">
        <v>285</v>
      </c>
      <c r="F1414" s="191" t="str">
        <f t="shared" si="2388"/>
        <v>Лекс</v>
      </c>
      <c r="G1414" s="191" t="s">
        <v>219</v>
      </c>
      <c r="H1414" s="315"/>
      <c r="I1414" s="329">
        <f>I1411-I1413</f>
        <v>132.58627273725142</v>
      </c>
      <c r="J1414" s="317"/>
      <c r="K1414" s="329">
        <f>K1411-K1413</f>
        <v>132.58627273725142</v>
      </c>
      <c r="L1414" s="330">
        <f>L1411-L1413</f>
        <v>0</v>
      </c>
      <c r="M1414" s="274"/>
      <c r="N1414" s="156">
        <f>N1411-N1413</f>
        <v>58.0206317614211</v>
      </c>
      <c r="O1414" s="196"/>
      <c r="P1414" s="156">
        <f>P1411-P1413</f>
        <v>58.0206317614211</v>
      </c>
      <c r="Q1414" s="245">
        <f>Q1411-Q1413</f>
        <v>0</v>
      </c>
      <c r="R1414" s="238"/>
      <c r="S1414" s="156">
        <f>S1411-S1413</f>
        <v>82.946935719599423</v>
      </c>
      <c r="T1414" s="196"/>
      <c r="U1414" s="156">
        <f>U1411-U1413</f>
        <v>82.946935719599423</v>
      </c>
      <c r="V1414" s="245">
        <f>V1411-V1413</f>
        <v>0</v>
      </c>
      <c r="W1414" s="238"/>
      <c r="X1414" s="156">
        <f>X1411-X1413</f>
        <v>132.58627273725142</v>
      </c>
      <c r="Y1414" s="196"/>
      <c r="Z1414" s="156">
        <f>Z1411-Z1413</f>
        <v>132.58627273725142</v>
      </c>
      <c r="AA1414" s="245">
        <f>AA1411-AA1413</f>
        <v>0</v>
      </c>
      <c r="AB1414" s="265"/>
      <c r="AC1414" s="37"/>
      <c r="AD1414" s="37"/>
      <c r="AE1414" s="37"/>
      <c r="AF1414" s="37"/>
      <c r="AG1414" s="37"/>
      <c r="AH1414" s="37"/>
      <c r="AI1414" s="37"/>
      <c r="AJ1414" s="37"/>
      <c r="AK1414" s="37"/>
      <c r="AL1414" s="37"/>
      <c r="AM1414" s="37"/>
      <c r="AN1414" s="37"/>
      <c r="AO1414" s="37"/>
      <c r="AP1414" s="37"/>
    </row>
    <row r="1415" spans="1:42" s="5" customFormat="1">
      <c r="A1415" s="1"/>
      <c r="B1415" s="1"/>
      <c r="C1415" s="1"/>
      <c r="D1415" s="168"/>
      <c r="E1415" s="168" t="s">
        <v>286</v>
      </c>
      <c r="F1415" s="168" t="str">
        <f t="shared" si="2388"/>
        <v>Лекс</v>
      </c>
      <c r="G1415" s="168" t="s">
        <v>261</v>
      </c>
      <c r="H1415" s="326"/>
      <c r="I1415" s="327">
        <f>SUMIFS(операции!$V:$V,операции!$T:$T,"&lt;="&amp;I$9,операции!$X:$X,"",операции!$AB:$AB,"",операции!$O:$O,$F1348)+SUMIFS(операции!$V:$V,операции!$T:$T,"&lt;="&amp;I$9,операции!$X:$X,"&gt;"&amp;I$9,операции!$AB:$AB,"",операции!$O:$O,$F1348)+SUMIFS(операции!$V:$V,операции!$T:$T,"&lt;="&amp;I$9,операции!$X:$X,"",операции!$AB:$AB,"&gt;"&amp;I$9,операции!$O:$O,$F1348)+SUMIFS(операции!$V:$V,операции!$T:$T,"&lt;="&amp;I$9,операции!$X:$X,"&gt;"&amp;I$9,операции!$AB:$AB,"&gt;"&amp;I$9,операции!$O:$O,$F1348)</f>
        <v>2063</v>
      </c>
      <c r="J1415" s="313">
        <f>I1415-K1415-L1415</f>
        <v>0</v>
      </c>
      <c r="K1415" s="327">
        <f>SUMIFS(операции!$V:$V,операции!$T:$T,"&lt;="&amp;I$9,операции!$X:$X,"",операции!$AB:$AB,"",операции!$L:$L,K$9,операции!$O:$O,$F1348)+SUMIFS(операции!$V:$V,операции!$T:$T,"&lt;="&amp;I$9,операции!$X:$X,"&gt;"&amp;I$9,операции!$AB:$AB,"",операции!$L:$L,K$9,операции!$O:$O,$F1348)+SUMIFS(операции!$V:$V,операции!$T:$T,"&lt;="&amp;I$9,операции!$X:$X,"",операции!$AB:$AB,"&gt;"&amp;I$9,операции!$L:$L,K$9,операции!$O:$O,$F1348)+SUMIFS(операции!$V:$V,операции!$T:$T,"&lt;="&amp;I$9,операции!$X:$X,"&gt;"&amp;I$9,операции!$AB:$AB,"&gt;"&amp;I$9,операции!$L:$L,K$9,операции!$O:$O,$F1348)</f>
        <v>2063</v>
      </c>
      <c r="L1415" s="328">
        <f>SUMIFS(операции!$V:$V,операции!$T:$T,"&lt;="&amp;I$9,операции!$X:$X,"",операции!$AB:$AB,"",операции!$L:$L,L$9,операции!$O:$O,$F1348)+SUMIFS(операции!$V:$V,операции!$T:$T,"&lt;="&amp;I$9,операции!$X:$X,"&gt;"&amp;I$9,операции!$AB:$AB,"",операции!$L:$L,L$9,операции!$O:$O,$F1348)+SUMIFS(операции!$V:$V,операции!$T:$T,"&lt;="&amp;I$9,операции!$X:$X,"",операции!$AB:$AB,"&gt;"&amp;I$9,операции!$L:$L,L$9,операции!$O:$O,$F1348)+SUMIFS(операции!$V:$V,операции!$T:$T,"&lt;="&amp;I$9,операции!$X:$X,"&gt;"&amp;I$9,операции!$AB:$AB,"&gt;"&amp;I$9,операции!$L:$L,L$9,операции!$O:$O,$F1348)</f>
        <v>0</v>
      </c>
      <c r="M1415" s="277"/>
      <c r="N1415" s="169">
        <f>SUMIFS(операции!$V:$V,операции!$T:$T,"&lt;="&amp;N$9,операции!$X:$X,"",операции!$AB:$AB,"",операции!$O:$O,$F1348)+SUMIFS(операции!$V:$V,операции!$T:$T,"&lt;="&amp;N$9,операции!$X:$X,"&gt;"&amp;N$9,операции!$AB:$AB,"",операции!$O:$O,$F1348)+SUMIFS(операции!$V:$V,операции!$T:$T,"&lt;="&amp;N$9,операции!$X:$X,"",операции!$AB:$AB,"&gt;"&amp;N$9,операции!$O:$O,$F1348)+SUMIFS(операции!$V:$V,операции!$T:$T,"&lt;="&amp;N$9,операции!$X:$X,"&gt;"&amp;N$9,операции!$AB:$AB,"&gt;"&amp;N$9,операции!$O:$O,$F1348)</f>
        <v>11847.48</v>
      </c>
      <c r="O1415" s="170">
        <f>N1415-P1415-Q1415</f>
        <v>0</v>
      </c>
      <c r="P1415" s="169">
        <f>SUMIFS(операции!$V:$V,операции!$T:$T,"&lt;="&amp;N$9,операции!$X:$X,"",операции!$AB:$AB,"",операции!$L:$L,P$9,операции!$O:$O,$F1348)+SUMIFS(операции!$V:$V,операции!$T:$T,"&lt;="&amp;N$9,операции!$X:$X,"&gt;"&amp;N$9,операции!$AB:$AB,"",операции!$L:$L,P$9,операции!$O:$O,$F1348)+SUMIFS(операции!$V:$V,операции!$T:$T,"&lt;="&amp;N$9,операции!$X:$X,"",операции!$AB:$AB,"&gt;"&amp;N$9,операции!$L:$L,P$9,операции!$O:$O,$F1348)+SUMIFS(операции!$V:$V,операции!$T:$T,"&lt;="&amp;N$9,операции!$X:$X,"&gt;"&amp;N$9,операции!$AB:$AB,"&gt;"&amp;N$9,операции!$L:$L,P$9,операции!$O:$O,$F1348)</f>
        <v>6036.4800000000005</v>
      </c>
      <c r="Q1415" s="243">
        <f>SUMIFS(операции!$V:$V,операции!$T:$T,"&lt;="&amp;N$9,операции!$X:$X,"",операции!$AB:$AB,"",операции!$L:$L,Q$9,операции!$O:$O,$F1348)+SUMIFS(операции!$V:$V,операции!$T:$T,"&lt;="&amp;N$9,операции!$X:$X,"&gt;"&amp;N$9,операции!$AB:$AB,"",операции!$L:$L,Q$9,операции!$O:$O,$F1348)+SUMIFS(операции!$V:$V,операции!$T:$T,"&lt;="&amp;N$9,операции!$X:$X,"",операции!$AB:$AB,"&gt;"&amp;N$9,операции!$L:$L,Q$9,операции!$O:$O,$F1348)+SUMIFS(операции!$V:$V,операции!$T:$T,"&lt;="&amp;N$9,операции!$X:$X,"&gt;"&amp;N$9,операции!$AB:$AB,"&gt;"&amp;N$9,операции!$L:$L,Q$9,операции!$O:$O,$F1348)</f>
        <v>5811</v>
      </c>
      <c r="R1415" s="244"/>
      <c r="S1415" s="169">
        <f>SUMIFS(операции!$V:$V,операции!$T:$T,"&lt;="&amp;S$9,операции!$X:$X,"",операции!$AB:$AB,"",операции!$O:$O,$F1348)+SUMIFS(операции!$V:$V,операции!$T:$T,"&lt;="&amp;S$9,операции!$X:$X,"&gt;"&amp;S$9,операции!$AB:$AB,"",операции!$O:$O,$F1348)+SUMIFS(операции!$V:$V,операции!$T:$T,"&lt;="&amp;S$9,операции!$X:$X,"",операции!$AB:$AB,"&gt;"&amp;S$9,операции!$O:$O,$F1348)+SUMIFS(операции!$V:$V,операции!$T:$T,"&lt;="&amp;S$9,операции!$X:$X,"&gt;"&amp;S$9,операции!$AB:$AB,"&gt;"&amp;S$9,операции!$O:$O,$F1348)</f>
        <v>4791</v>
      </c>
      <c r="T1415" s="170">
        <f>S1415-U1415-V1415</f>
        <v>0</v>
      </c>
      <c r="U1415" s="169">
        <f>SUMIFS(операции!$V:$V,операции!$T:$T,"&lt;="&amp;S$9,операции!$X:$X,"",операции!$AB:$AB,"",операции!$L:$L,U$9,операции!$O:$O,$F1348)+SUMIFS(операции!$V:$V,операции!$T:$T,"&lt;="&amp;S$9,операции!$X:$X,"&gt;"&amp;S$9,операции!$AB:$AB,"",операции!$L:$L,U$9,операции!$O:$O,$F1348)+SUMIFS(операции!$V:$V,операции!$T:$T,"&lt;="&amp;S$9,операции!$X:$X,"",операции!$AB:$AB,"&gt;"&amp;S$9,операции!$L:$L,U$9,операции!$O:$O,$F1348)+SUMIFS(операции!$V:$V,операции!$T:$T,"&lt;="&amp;S$9,операции!$X:$X,"&gt;"&amp;S$9,операции!$AB:$AB,"&gt;"&amp;S$9,операции!$L:$L,U$9,операции!$O:$O,$F1348)</f>
        <v>2063</v>
      </c>
      <c r="V1415" s="243">
        <f>SUMIFS(операции!$V:$V,операции!$T:$T,"&lt;="&amp;S$9,операции!$X:$X,"",операции!$AB:$AB,"",операции!$L:$L,V$9,операции!$O:$O,$F1348)+SUMIFS(операции!$V:$V,операции!$T:$T,"&lt;="&amp;S$9,операции!$X:$X,"&gt;"&amp;S$9,операции!$AB:$AB,"",операции!$L:$L,V$9,операции!$O:$O,$F1348)+SUMIFS(операции!$V:$V,операции!$T:$T,"&lt;="&amp;S$9,операции!$X:$X,"",операции!$AB:$AB,"&gt;"&amp;S$9,операции!$L:$L,V$9,операции!$O:$O,$F1348)+SUMIFS(операции!$V:$V,операции!$T:$T,"&lt;="&amp;S$9,операции!$X:$X,"&gt;"&amp;S$9,операции!$AB:$AB,"&gt;"&amp;S$9,операции!$L:$L,V$9,операции!$O:$O,$F1348)</f>
        <v>2728</v>
      </c>
      <c r="W1415" s="244"/>
      <c r="X1415" s="169">
        <f>SUMIFS(операции!$V:$V,операции!$T:$T,"&lt;="&amp;X$9,операции!$X:$X,"",операции!$AB:$AB,"",операции!$O:$O,$F1348)+SUMIFS(операции!$V:$V,операции!$T:$T,"&lt;="&amp;X$9,операции!$X:$X,"&gt;"&amp;X$9,операции!$AB:$AB,"",операции!$O:$O,$F1348)+SUMIFS(операции!$V:$V,операции!$T:$T,"&lt;="&amp;X$9,операции!$X:$X,"",операции!$AB:$AB,"&gt;"&amp;X$9,операции!$O:$O,$F1348)+SUMIFS(операции!$V:$V,операции!$T:$T,"&lt;="&amp;X$9,операции!$X:$X,"&gt;"&amp;X$9,операции!$AB:$AB,"&gt;"&amp;X$9,операции!$O:$O,$F1348)</f>
        <v>2063</v>
      </c>
      <c r="Y1415" s="170">
        <f>X1415-Z1415-AA1415</f>
        <v>0</v>
      </c>
      <c r="Z1415" s="169">
        <f>SUMIFS(операции!$V:$V,операции!$T:$T,"&lt;="&amp;X$9,операции!$X:$X,"",операции!$AB:$AB,"",операции!$L:$L,Z$9,операции!$O:$O,$F1348)+SUMIFS(операции!$V:$V,операции!$T:$T,"&lt;="&amp;X$9,операции!$X:$X,"&gt;"&amp;X$9,операции!$AB:$AB,"",операции!$L:$L,Z$9,операции!$O:$O,$F1348)+SUMIFS(операции!$V:$V,операции!$T:$T,"&lt;="&amp;X$9,операции!$X:$X,"",операции!$AB:$AB,"&gt;"&amp;X$9,операции!$L:$L,Z$9,операции!$O:$O,$F1348)+SUMIFS(операции!$V:$V,операции!$T:$T,"&lt;="&amp;X$9,операции!$X:$X,"&gt;"&amp;X$9,операции!$AB:$AB,"&gt;"&amp;X$9,операции!$L:$L,Z$9,операции!$O:$O,$F1348)</f>
        <v>2063</v>
      </c>
      <c r="AA1415" s="243">
        <f>SUMIFS(операции!$V:$V,операции!$T:$T,"&lt;="&amp;X$9,операции!$X:$X,"",операции!$AB:$AB,"",операции!$L:$L,AA$9,операции!$O:$O,$F1348)+SUMIFS(операции!$V:$V,операции!$T:$T,"&lt;="&amp;X$9,операции!$X:$X,"&gt;"&amp;X$9,операции!$AB:$AB,"",операции!$L:$L,AA$9,операции!$O:$O,$F1348)+SUMIFS(операции!$V:$V,операции!$T:$T,"&lt;="&amp;X$9,операции!$X:$X,"",операции!$AB:$AB,"&gt;"&amp;X$9,операции!$L:$L,AA$9,операции!$O:$O,$F1348)+SUMIFS(операции!$V:$V,операции!$T:$T,"&lt;="&amp;X$9,операции!$X:$X,"&gt;"&amp;X$9,операции!$AB:$AB,"&gt;"&amp;X$9,операции!$L:$L,AA$9,операции!$O:$O,$F1348)</f>
        <v>0</v>
      </c>
      <c r="AB1415" s="266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</row>
    <row r="1416" spans="1:42" s="192" customFormat="1" ht="11.25">
      <c r="A1416" s="37"/>
      <c r="B1416" s="37"/>
      <c r="C1416" s="37"/>
      <c r="D1416" s="191"/>
      <c r="E1416" s="191" t="s">
        <v>255</v>
      </c>
      <c r="F1416" s="191" t="str">
        <f t="shared" si="2388"/>
        <v>Лекс</v>
      </c>
      <c r="G1416" s="191" t="s">
        <v>262</v>
      </c>
      <c r="H1416" s="315"/>
      <c r="I1416" s="316">
        <f>IF(I1415=0,0,(SUMIFS(операции!$AF:$AF,операции!$T:$T,"&lt;="&amp;I$9,операции!$X:$X,"",операции!$AB:$AB,"",операции!$O:$O,$F1348)+SUMIFS(операции!$AF:$AF,операции!$T:$T,"&lt;="&amp;I$9,операции!$X:$X,"&gt;"&amp;I$9,операции!$AB:$AB,"",операции!$O:$O,$F1348)+SUMIFS(операции!$AF:$AF,операции!$T:$T,"&lt;="&amp;I$9,операции!$X:$X,"",операции!$AB:$AB,"&gt;"&amp;I$9,операции!$O:$O,$F1348)+SUMIFS(операции!$AF:$AF,операции!$T:$T,"&lt;="&amp;I$9,операции!$X:$X,"&gt;"&amp;I$9,операции!$AB:$AB,"&gt;"&amp;I$9,операции!$O:$O,$F1348))/I1415)</f>
        <v>42258</v>
      </c>
      <c r="J1416" s="317"/>
      <c r="K1416" s="316">
        <f>IF(K1415=0,0,(SUMIFS(операции!$AF:$AF,операции!$T:$T,"&lt;="&amp;I$9,операции!$X:$X,"",операции!$AB:$AB,"",операции!$L:$L,K$9,операции!$O:$O,$F1348)+SUMIFS(операции!$AF:$AF,операции!$T:$T,"&lt;="&amp;I$9,операции!$X:$X,"&gt;"&amp;I$9,операции!$AB:$AB,"",операции!$L:$L,K$9,операции!$O:$O,$F1348)+SUMIFS(операции!$AF:$AF,операции!$T:$T,"&lt;="&amp;I$9,операции!$X:$X,"",операции!$AB:$AB,"&gt;"&amp;I$9,операции!$L:$L,K$9,операции!$O:$O,$F1348)+SUMIFS(операции!$AF:$AF,операции!$T:$T,"&lt;="&amp;I$9,операции!$X:$X,"&gt;"&amp;I$9,операции!$AB:$AB,"&gt;"&amp;I$9,операции!$L:$L,K$9,операции!$O:$O,$F1348))/K1415)</f>
        <v>42258</v>
      </c>
      <c r="L1416" s="318">
        <f>IF(L1415=0,0,(SUMIFS(операции!$AF:$AF,операции!$T:$T,"&lt;="&amp;I$9,операции!$X:$X,"",операции!$AB:$AB,"",операции!$L:$L,L$9,операции!$O:$O,$F1348)+SUMIFS(операции!$AF:$AF,операции!$T:$T,"&lt;="&amp;I$9,операции!$X:$X,"&gt;"&amp;I$9,операции!$AB:$AB,"",операции!$L:$L,L$9,операции!$O:$O,$F1348)+SUMIFS(операции!$AF:$AF,операции!$T:$T,"&lt;="&amp;I$9,операции!$X:$X,"",операции!$AB:$AB,"&gt;"&amp;I$9,операции!$L:$L,L$9,операции!$O:$O,$F1348)+SUMIFS(операции!$AF:$AF,операции!$T:$T,"&lt;="&amp;I$9,операции!$X:$X,"&gt;"&amp;I$9,операции!$AB:$AB,"&gt;"&amp;I$9,операции!$L:$L,L$9,операции!$O:$O,$F1348))/L1415)</f>
        <v>0</v>
      </c>
      <c r="M1416" s="274"/>
      <c r="N1416" s="193">
        <f>IF(N1415=0,0,(SUMIFS(операции!$AF:$AF,операции!$T:$T,"&lt;="&amp;N$9,операции!$X:$X,"",операции!$AB:$AB,"",операции!$O:$O,$F1348)+SUMIFS(операции!$AF:$AF,операции!$T:$T,"&lt;="&amp;N$9,операции!$X:$X,"&gt;"&amp;N$9,операции!$AB:$AB,"",операции!$O:$O,$F1348)+SUMIFS(операции!$AF:$AF,операции!$T:$T,"&lt;="&amp;N$9,операции!$X:$X,"",операции!$AB:$AB,"&gt;"&amp;N$9,операции!$O:$O,$F1348)+SUMIFS(операции!$AF:$AF,операции!$T:$T,"&lt;="&amp;N$9,операции!$X:$X,"&gt;"&amp;N$9,операции!$AB:$AB,"&gt;"&amp;N$9,операции!$O:$O,$F1348))/N1415)</f>
        <v>42290.973325973122</v>
      </c>
      <c r="O1416" s="196"/>
      <c r="P1416" s="193">
        <f>IF(P1415=0,0,(SUMIFS(операции!$AF:$AF,операции!$T:$T,"&lt;="&amp;N$9,операции!$X:$X,"",операции!$AB:$AB,"",операции!$L:$L,P$9,операции!$O:$O,$F1348)+SUMIFS(операции!$AF:$AF,операции!$T:$T,"&lt;="&amp;N$9,операции!$X:$X,"&gt;"&amp;N$9,операции!$AB:$AB,"",операции!$L:$L,P$9,операции!$O:$O,$F1348)+SUMIFS(операции!$AF:$AF,операции!$T:$T,"&lt;="&amp;N$9,операции!$X:$X,"",операции!$AB:$AB,"&gt;"&amp;N$9,операции!$L:$L,P$9,операции!$O:$O,$F1348)+SUMIFS(операции!$AF:$AF,операции!$T:$T,"&lt;="&amp;N$9,операции!$X:$X,"&gt;"&amp;N$9,операции!$AB:$AB,"&gt;"&amp;N$9,операции!$L:$L,P$9,операции!$O:$O,$F1348))/P1415)</f>
        <v>42276.048402380191</v>
      </c>
      <c r="Q1416" s="237">
        <f>IF(Q1415=0,0,(SUMIFS(операции!$AF:$AF,операции!$T:$T,"&lt;="&amp;N$9,операции!$X:$X,"",операции!$AB:$AB,"",операции!$L:$L,Q$9,операции!$O:$O,$F1348)+SUMIFS(операции!$AF:$AF,операции!$T:$T,"&lt;="&amp;N$9,операции!$X:$X,"&gt;"&amp;N$9,операции!$AB:$AB,"",операции!$L:$L,Q$9,операции!$O:$O,$F1348)+SUMIFS(операции!$AF:$AF,операции!$T:$T,"&lt;="&amp;N$9,операции!$X:$X,"",операции!$AB:$AB,"&gt;"&amp;N$9,операции!$L:$L,Q$9,операции!$O:$O,$F1348)+SUMIFS(операции!$AF:$AF,операции!$T:$T,"&lt;="&amp;N$9,операции!$X:$X,"&gt;"&amp;N$9,операции!$AB:$AB,"&gt;"&amp;N$9,операции!$L:$L,Q$9,операции!$O:$O,$F1348))/Q1415)</f>
        <v>42306.477370504217</v>
      </c>
      <c r="R1416" s="238"/>
      <c r="S1416" s="193">
        <f>IF(S1415=0,0,(SUMIFS(операции!$AF:$AF,операции!$T:$T,"&lt;="&amp;S$9,операции!$X:$X,"",операции!$AB:$AB,"",операции!$O:$O,$F1348)+SUMIFS(операции!$AF:$AF,операции!$T:$T,"&lt;="&amp;S$9,операции!$X:$X,"&gt;"&amp;S$9,операции!$AB:$AB,"",операции!$O:$O,$F1348)+SUMIFS(операции!$AF:$AF,операции!$T:$T,"&lt;="&amp;S$9,операции!$X:$X,"",операции!$AB:$AB,"&gt;"&amp;S$9,операции!$O:$O,$F1348)+SUMIFS(операции!$AF:$AF,операции!$T:$T,"&lt;="&amp;S$9,операции!$X:$X,"&gt;"&amp;S$9,операции!$AB:$AB,"&gt;"&amp;S$9,операции!$O:$O,$F1348))/S1415)</f>
        <v>42302.982675850551</v>
      </c>
      <c r="T1416" s="196"/>
      <c r="U1416" s="193">
        <f>IF(U1415=0,0,(SUMIFS(операции!$AF:$AF,операции!$T:$T,"&lt;="&amp;S$9,операции!$X:$X,"",операции!$AB:$AB,"",операции!$L:$L,U$9,операции!$O:$O,$F1348)+SUMIFS(операции!$AF:$AF,операции!$T:$T,"&lt;="&amp;S$9,операции!$X:$X,"&gt;"&amp;S$9,операции!$AB:$AB,"",операции!$L:$L,U$9,операции!$O:$O,$F1348)+SUMIFS(операции!$AF:$AF,операции!$T:$T,"&lt;="&amp;S$9,операции!$X:$X,"",операции!$AB:$AB,"&gt;"&amp;S$9,операции!$L:$L,U$9,операции!$O:$O,$F1348)+SUMIFS(операции!$AF:$AF,операции!$T:$T,"&lt;="&amp;S$9,операции!$X:$X,"&gt;"&amp;S$9,операции!$AB:$AB,"&gt;"&amp;S$9,операции!$L:$L,U$9,операции!$O:$O,$F1348))/U1415)</f>
        <v>42258</v>
      </c>
      <c r="V1416" s="237">
        <f>IF(V1415=0,0,(SUMIFS(операции!$AF:$AF,операции!$T:$T,"&lt;="&amp;S$9,операции!$X:$X,"",операции!$AB:$AB,"",операции!$L:$L,V$9,операции!$O:$O,$F1348)+SUMIFS(операции!$AF:$AF,операции!$T:$T,"&lt;="&amp;S$9,операции!$X:$X,"&gt;"&amp;S$9,операции!$AB:$AB,"",операции!$L:$L,V$9,операции!$O:$O,$F1348)+SUMIFS(операции!$AF:$AF,операции!$T:$T,"&lt;="&amp;S$9,операции!$X:$X,"",операции!$AB:$AB,"&gt;"&amp;S$9,операции!$L:$L,V$9,операции!$O:$O,$F1348)+SUMIFS(операции!$AF:$AF,операции!$T:$T,"&lt;="&amp;S$9,операции!$X:$X,"&gt;"&amp;S$9,операции!$AB:$AB,"&gt;"&amp;S$9,операции!$L:$L,V$9,операции!$O:$O,$F1348))/V1415)</f>
        <v>42337</v>
      </c>
      <c r="W1416" s="238"/>
      <c r="X1416" s="193">
        <f>IF(X1415=0,0,(SUMIFS(операции!$AF:$AF,операции!$T:$T,"&lt;="&amp;X$9,операции!$X:$X,"",операции!$AB:$AB,"",операции!$O:$O,$F1348)+SUMIFS(операции!$AF:$AF,операции!$T:$T,"&lt;="&amp;X$9,операции!$X:$X,"&gt;"&amp;X$9,операции!$AB:$AB,"",операции!$O:$O,$F1348)+SUMIFS(операции!$AF:$AF,операции!$T:$T,"&lt;="&amp;X$9,операции!$X:$X,"",операции!$AB:$AB,"&gt;"&amp;X$9,операции!$O:$O,$F1348)+SUMIFS(операции!$AF:$AF,операции!$T:$T,"&lt;="&amp;X$9,операции!$X:$X,"&gt;"&amp;X$9,операции!$AB:$AB,"&gt;"&amp;X$9,операции!$O:$O,$F1348))/X1415)</f>
        <v>42258</v>
      </c>
      <c r="Y1416" s="196"/>
      <c r="Z1416" s="193">
        <f>IF(Z1415=0,0,(SUMIFS(операции!$AF:$AF,операции!$T:$T,"&lt;="&amp;X$9,операции!$X:$X,"",операции!$AB:$AB,"",операции!$L:$L,Z$9,операции!$O:$O,$F1348)+SUMIFS(операции!$AF:$AF,операции!$T:$T,"&lt;="&amp;X$9,операции!$X:$X,"&gt;"&amp;X$9,операции!$AB:$AB,"",операции!$L:$L,Z$9,операции!$O:$O,$F1348)+SUMIFS(операции!$AF:$AF,операции!$T:$T,"&lt;="&amp;X$9,операции!$X:$X,"",операции!$AB:$AB,"&gt;"&amp;X$9,операции!$L:$L,Z$9,операции!$O:$O,$F1348)+SUMIFS(операции!$AF:$AF,операции!$T:$T,"&lt;="&amp;X$9,операции!$X:$X,"&gt;"&amp;X$9,операции!$AB:$AB,"&gt;"&amp;X$9,операции!$L:$L,Z$9,операции!$O:$O,$F1348))/Z1415)</f>
        <v>42258</v>
      </c>
      <c r="AA1416" s="237">
        <f>IF(AA1415=0,0,(SUMIFS(операции!$AF:$AF,операции!$T:$T,"&lt;="&amp;X$9,операции!$X:$X,"",операции!$AB:$AB,"",операции!$L:$L,AA$9,операции!$O:$O,$F1348)+SUMIFS(операции!$AF:$AF,операции!$T:$T,"&lt;="&amp;X$9,операции!$X:$X,"&gt;"&amp;X$9,операции!$AB:$AB,"",операции!$L:$L,AA$9,операции!$O:$O,$F1348)+SUMIFS(операции!$AF:$AF,операции!$T:$T,"&lt;="&amp;X$9,операции!$X:$X,"",операции!$AB:$AB,"&gt;"&amp;X$9,операции!$L:$L,AA$9,операции!$O:$O,$F1348)+SUMIFS(операции!$AF:$AF,операции!$T:$T,"&lt;="&amp;X$9,операции!$X:$X,"&gt;"&amp;X$9,операции!$AB:$AB,"&gt;"&amp;X$9,операции!$L:$L,AA$9,операции!$O:$O,$F1348))/AA1415)</f>
        <v>0</v>
      </c>
      <c r="AB1416" s="265"/>
      <c r="AC1416" s="37"/>
      <c r="AD1416" s="37"/>
      <c r="AE1416" s="37"/>
      <c r="AF1416" s="37"/>
      <c r="AG1416" s="37"/>
      <c r="AH1416" s="37"/>
      <c r="AI1416" s="37"/>
      <c r="AJ1416" s="37"/>
      <c r="AK1416" s="37"/>
      <c r="AL1416" s="37"/>
      <c r="AM1416" s="37"/>
      <c r="AN1416" s="37"/>
      <c r="AO1416" s="37"/>
      <c r="AP1416" s="37"/>
    </row>
    <row r="1417" spans="1:42" s="192" customFormat="1" ht="11.25">
      <c r="A1417" s="37"/>
      <c r="B1417" s="37"/>
      <c r="C1417" s="37"/>
      <c r="D1417" s="191"/>
      <c r="E1417" s="191" t="s">
        <v>287</v>
      </c>
      <c r="F1417" s="191" t="str">
        <f t="shared" ref="F1417:F1420" si="2521">F1416</f>
        <v>Лекс</v>
      </c>
      <c r="G1417" s="191" t="s">
        <v>219</v>
      </c>
      <c r="H1417" s="315"/>
      <c r="I1417" s="329">
        <f>IF(I1415=0,0,I$9-I1416)</f>
        <v>111</v>
      </c>
      <c r="J1417" s="317"/>
      <c r="K1417" s="329">
        <f>IF(K1415=0,0,I$9-K1416)</f>
        <v>111</v>
      </c>
      <c r="L1417" s="330">
        <f>IF(L1415=0,0,I$9-L1416)</f>
        <v>0</v>
      </c>
      <c r="M1417" s="274"/>
      <c r="N1417" s="156">
        <f>IF(N1415=0,0,N$9-N1416)</f>
        <v>17.026674026878027</v>
      </c>
      <c r="O1417" s="196"/>
      <c r="P1417" s="156">
        <f>IF(P1415=0,0,N$9-P1416)</f>
        <v>31.951597619809036</v>
      </c>
      <c r="Q1417" s="245">
        <f>IF(Q1415=0,0,N$9-Q1416)</f>
        <v>1.5226294957828941</v>
      </c>
      <c r="R1417" s="238"/>
      <c r="S1417" s="156">
        <f>IF(S1415=0,0,S$9-S1416)</f>
        <v>35.017324149448541</v>
      </c>
      <c r="T1417" s="196"/>
      <c r="U1417" s="156">
        <f>IF(U1415=0,0,S$9-U1416)</f>
        <v>80</v>
      </c>
      <c r="V1417" s="245">
        <f>IF(V1415=0,0,S$9-V1416)</f>
        <v>1</v>
      </c>
      <c r="W1417" s="238"/>
      <c r="X1417" s="156">
        <f>IF(X1415=0,0,X$9-X1416)</f>
        <v>111</v>
      </c>
      <c r="Y1417" s="196"/>
      <c r="Z1417" s="156">
        <f>IF(Z1415=0,0,X$9-Z1416)</f>
        <v>111</v>
      </c>
      <c r="AA1417" s="245">
        <f>IF(AA1415=0,0,X$9-AA1416)</f>
        <v>0</v>
      </c>
      <c r="AB1417" s="265"/>
      <c r="AC1417" s="37"/>
      <c r="AD1417" s="37"/>
      <c r="AE1417" s="37"/>
      <c r="AF1417" s="37"/>
      <c r="AG1417" s="37"/>
      <c r="AH1417" s="37"/>
      <c r="AI1417" s="37"/>
      <c r="AJ1417" s="37"/>
      <c r="AK1417" s="37"/>
      <c r="AL1417" s="37"/>
      <c r="AM1417" s="37"/>
      <c r="AN1417" s="37"/>
      <c r="AO1417" s="37"/>
      <c r="AP1417" s="37"/>
    </row>
    <row r="1418" spans="1:42" s="192" customFormat="1" ht="11.25">
      <c r="A1418" s="37"/>
      <c r="B1418" s="37"/>
      <c r="C1418" s="37"/>
      <c r="D1418" s="191"/>
      <c r="E1418" s="191" t="s">
        <v>311</v>
      </c>
      <c r="F1418" s="191" t="str">
        <f t="shared" si="2521"/>
        <v>Лекс</v>
      </c>
      <c r="G1418" s="191" t="s">
        <v>262</v>
      </c>
      <c r="H1418" s="315"/>
      <c r="I1418" s="316">
        <f>I$9</f>
        <v>42369</v>
      </c>
      <c r="J1418" s="317"/>
      <c r="K1418" s="316">
        <f>I$9</f>
        <v>42369</v>
      </c>
      <c r="L1418" s="318">
        <f>I$9</f>
        <v>42369</v>
      </c>
      <c r="M1418" s="274"/>
      <c r="N1418" s="193">
        <f>N$9</f>
        <v>42308</v>
      </c>
      <c r="O1418" s="196"/>
      <c r="P1418" s="193">
        <f>N$9</f>
        <v>42308</v>
      </c>
      <c r="Q1418" s="237">
        <f>N$9</f>
        <v>42308</v>
      </c>
      <c r="R1418" s="238"/>
      <c r="S1418" s="193">
        <f>S$9</f>
        <v>42338</v>
      </c>
      <c r="T1418" s="196"/>
      <c r="U1418" s="193">
        <f>S$9</f>
        <v>42338</v>
      </c>
      <c r="V1418" s="237">
        <f>S$9</f>
        <v>42338</v>
      </c>
      <c r="W1418" s="238"/>
      <c r="X1418" s="193">
        <f>X$9</f>
        <v>42369</v>
      </c>
      <c r="Y1418" s="196"/>
      <c r="Z1418" s="193">
        <f>X$9</f>
        <v>42369</v>
      </c>
      <c r="AA1418" s="237">
        <f>X$9</f>
        <v>42369</v>
      </c>
      <c r="AB1418" s="265"/>
      <c r="AC1418" s="37"/>
      <c r="AD1418" s="37"/>
      <c r="AE1418" s="37"/>
      <c r="AF1418" s="37"/>
      <c r="AG1418" s="37"/>
      <c r="AH1418" s="37"/>
      <c r="AI1418" s="37"/>
      <c r="AJ1418" s="37"/>
      <c r="AK1418" s="37"/>
      <c r="AL1418" s="37"/>
      <c r="AM1418" s="37"/>
      <c r="AN1418" s="37"/>
      <c r="AO1418" s="37"/>
      <c r="AP1418" s="37"/>
    </row>
    <row r="1419" spans="1:42" s="192" customFormat="1" ht="11.25">
      <c r="A1419" s="37"/>
      <c r="B1419" s="37"/>
      <c r="C1419" s="37"/>
      <c r="D1419" s="191"/>
      <c r="E1419" s="191" t="s">
        <v>288</v>
      </c>
      <c r="F1419" s="191" t="str">
        <f t="shared" si="2521"/>
        <v>Лекс</v>
      </c>
      <c r="G1419" s="191" t="s">
        <v>219</v>
      </c>
      <c r="H1419" s="315"/>
      <c r="I1419" s="329">
        <f>IF(I1415=0,0,I1418-I1416)</f>
        <v>111</v>
      </c>
      <c r="J1419" s="317"/>
      <c r="K1419" s="329">
        <f>IF(K1415=0,0,K1418-K1416)</f>
        <v>111</v>
      </c>
      <c r="L1419" s="330">
        <f>IF(L1415=0,0,L1418-L1416)</f>
        <v>0</v>
      </c>
      <c r="M1419" s="274"/>
      <c r="N1419" s="156">
        <f>IF(N1415=0,0,N1418-N1416)</f>
        <v>17.026674026878027</v>
      </c>
      <c r="O1419" s="196"/>
      <c r="P1419" s="156">
        <f>IF(P1415=0,0,P1418-P1416)</f>
        <v>31.951597619809036</v>
      </c>
      <c r="Q1419" s="245">
        <f>IF(Q1415=0,0,Q1418-Q1416)</f>
        <v>1.5226294957828941</v>
      </c>
      <c r="R1419" s="238"/>
      <c r="S1419" s="156">
        <f>IF(S1415=0,0,S1418-S1416)</f>
        <v>35.017324149448541</v>
      </c>
      <c r="T1419" s="196"/>
      <c r="U1419" s="156">
        <f>IF(U1415=0,0,U1418-U1416)</f>
        <v>80</v>
      </c>
      <c r="V1419" s="245">
        <f>IF(V1415=0,0,V1418-V1416)</f>
        <v>1</v>
      </c>
      <c r="W1419" s="238"/>
      <c r="X1419" s="156">
        <f>IF(X1415=0,0,X1418-X1416)</f>
        <v>111</v>
      </c>
      <c r="Y1419" s="196"/>
      <c r="Z1419" s="156">
        <f>IF(Z1415=0,0,Z1418-Z1416)</f>
        <v>111</v>
      </c>
      <c r="AA1419" s="245">
        <f>IF(AA1415=0,0,AA1418-AA1416)</f>
        <v>0</v>
      </c>
      <c r="AB1419" s="265"/>
      <c r="AC1419" s="37"/>
      <c r="AD1419" s="37"/>
      <c r="AE1419" s="37"/>
      <c r="AF1419" s="37"/>
      <c r="AG1419" s="37"/>
      <c r="AH1419" s="37"/>
      <c r="AI1419" s="37"/>
      <c r="AJ1419" s="37"/>
      <c r="AK1419" s="37"/>
      <c r="AL1419" s="37"/>
      <c r="AM1419" s="37"/>
      <c r="AN1419" s="37"/>
      <c r="AO1419" s="37"/>
      <c r="AP1419" s="37"/>
    </row>
    <row r="1420" spans="1:42" s="192" customFormat="1" ht="12" thickBot="1">
      <c r="A1420" s="37"/>
      <c r="B1420" s="37"/>
      <c r="C1420" s="37"/>
      <c r="D1420" s="297"/>
      <c r="E1420" s="297" t="s">
        <v>289</v>
      </c>
      <c r="F1420" s="297" t="str">
        <f t="shared" si="2521"/>
        <v>Лекс</v>
      </c>
      <c r="G1420" s="297" t="s">
        <v>219</v>
      </c>
      <c r="H1420" s="377"/>
      <c r="I1420" s="378">
        <f>I1417-I1419</f>
        <v>0</v>
      </c>
      <c r="J1420" s="379"/>
      <c r="K1420" s="378">
        <f>K1417-K1419</f>
        <v>0</v>
      </c>
      <c r="L1420" s="380">
        <f>L1417-L1419</f>
        <v>0</v>
      </c>
      <c r="M1420" s="300"/>
      <c r="N1420" s="298">
        <f>N1417-N1419</f>
        <v>0</v>
      </c>
      <c r="O1420" s="299"/>
      <c r="P1420" s="298">
        <f>P1417-P1419</f>
        <v>0</v>
      </c>
      <c r="Q1420" s="301">
        <f>Q1417-Q1419</f>
        <v>0</v>
      </c>
      <c r="R1420" s="302"/>
      <c r="S1420" s="298">
        <f>S1417-S1419</f>
        <v>0</v>
      </c>
      <c r="T1420" s="299"/>
      <c r="U1420" s="298">
        <f>U1417-U1419</f>
        <v>0</v>
      </c>
      <c r="V1420" s="301">
        <f>V1417-V1419</f>
        <v>0</v>
      </c>
      <c r="W1420" s="302"/>
      <c r="X1420" s="298">
        <f>X1417-X1419</f>
        <v>0</v>
      </c>
      <c r="Y1420" s="299"/>
      <c r="Z1420" s="298">
        <f>Z1417-Z1419</f>
        <v>0</v>
      </c>
      <c r="AA1420" s="301">
        <f>AA1417-AA1419</f>
        <v>0</v>
      </c>
      <c r="AB1420" s="265"/>
      <c r="AC1420" s="37"/>
      <c r="AD1420" s="37"/>
      <c r="AE1420" s="37"/>
      <c r="AF1420" s="37"/>
      <c r="AG1420" s="37"/>
      <c r="AH1420" s="37"/>
      <c r="AI1420" s="37"/>
      <c r="AJ1420" s="37"/>
      <c r="AK1420" s="37"/>
      <c r="AL1420" s="37"/>
      <c r="AM1420" s="37"/>
      <c r="AN1420" s="37"/>
      <c r="AO1420" s="37"/>
      <c r="AP1420" s="37"/>
    </row>
    <row r="1421" spans="1:42" s="111" customFormat="1" ht="11.25">
      <c r="A1421" s="108"/>
      <c r="B1421" s="108"/>
      <c r="C1421" s="108" t="s">
        <v>271</v>
      </c>
      <c r="D1421" s="291"/>
      <c r="E1421" s="291"/>
      <c r="F1421" s="291" t="str">
        <f>F1422</f>
        <v>ОдеждаКомп</v>
      </c>
      <c r="G1421" s="291"/>
      <c r="H1421" s="373"/>
      <c r="I1421" s="374">
        <f>I1422-K1422-L1422</f>
        <v>0</v>
      </c>
      <c r="J1421" s="375">
        <f>N1421+N1439+N1477+SUM(O:O)+S1421+S1439+S1477+SUM(T:T)+X1421+X1439+X1477+SUM(Y:Y)</f>
        <v>3.7104683769939584E-9</v>
      </c>
      <c r="K1421" s="373"/>
      <c r="L1421" s="376"/>
      <c r="M1421" s="293"/>
      <c r="N1421" s="292">
        <f>N1422-P1422-Q1422</f>
        <v>0</v>
      </c>
      <c r="O1421" s="294"/>
      <c r="P1421" s="291"/>
      <c r="Q1421" s="295"/>
      <c r="R1421" s="296"/>
      <c r="S1421" s="292">
        <f>S1422-U1422-V1422</f>
        <v>0</v>
      </c>
      <c r="T1421" s="294"/>
      <c r="U1421" s="291"/>
      <c r="V1421" s="295"/>
      <c r="W1421" s="296"/>
      <c r="X1421" s="292">
        <f>X1422-Z1422-AA1422</f>
        <v>0</v>
      </c>
      <c r="Y1421" s="294"/>
      <c r="Z1421" s="291"/>
      <c r="AA1421" s="295"/>
      <c r="AB1421" s="263"/>
      <c r="AC1421" s="108"/>
      <c r="AD1421" s="108"/>
      <c r="AE1421" s="108"/>
      <c r="AF1421" s="108"/>
      <c r="AG1421" s="108"/>
      <c r="AH1421" s="108"/>
      <c r="AI1421" s="108"/>
      <c r="AJ1421" s="108"/>
      <c r="AK1421" s="108"/>
      <c r="AL1421" s="108"/>
      <c r="AM1421" s="108"/>
      <c r="AN1421" s="108"/>
      <c r="AO1421" s="108"/>
      <c r="AP1421" s="108"/>
    </row>
    <row r="1422" spans="1:42" s="93" customFormat="1" ht="15">
      <c r="A1422" s="92"/>
      <c r="B1422" s="92"/>
      <c r="C1422" s="92"/>
      <c r="D1422" s="151" t="s">
        <v>256</v>
      </c>
      <c r="E1422" s="151"/>
      <c r="F1422" s="286" t="str">
        <f>микс!$H$36</f>
        <v>ОдеждаКомп</v>
      </c>
      <c r="G1422" s="151" t="s">
        <v>261</v>
      </c>
      <c r="H1422" s="311"/>
      <c r="I1422" s="312">
        <f>SUMIFS(операции!$V:$V,операции!$T:$T,"&lt;"&amp;I$8,операции!$X:$X,"",операции!$O:$O,$F1422)+SUMIFS(операции!$V:$V,операции!$T:$T,"&lt;"&amp;I$8,операции!$X:$X,"&gt;="&amp;I$8,операции!$O:$O,$F1422)</f>
        <v>172842.37</v>
      </c>
      <c r="J1422" s="313">
        <f>I1422-I1427-I1433</f>
        <v>0</v>
      </c>
      <c r="K1422" s="312">
        <f>SUMIFS(операции!$V:$V,операции!$T:$T,"&lt;"&amp;I$8,операции!$X:$X,"",операции!$L:$L,K$9,операции!$O:$O,$F1422)+SUMIFS(операции!$V:$V,операции!$T:$T,"&lt;"&amp;I$8,операции!$X:$X,"&gt;="&amp;I$8,операции!$L:$L,K$9,операции!$O:$O,$F1422)</f>
        <v>172842.37</v>
      </c>
      <c r="L1422" s="314">
        <f>SUMIFS(операции!$V:$V,операции!$T:$T,"&lt;"&amp;I$8,операции!$X:$X,"",операции!$L:$L,L$9,операции!$O:$O,$F1422)+SUMIFS(операции!$V:$V,операции!$T:$T,"&lt;"&amp;I$8,операции!$X:$X,"&gt;="&amp;I$8,операции!$L:$L,L$9,операции!$O:$O,$F1422)</f>
        <v>0</v>
      </c>
      <c r="M1422" s="273"/>
      <c r="N1422" s="152">
        <f>SUMIFS(операции!$V:$V,операции!$T:$T,"&lt;"&amp;N$8,операции!$X:$X,"",операции!$O:$O,$F1422)+SUMIFS(операции!$V:$V,операции!$T:$T,"&lt;"&amp;N$8,операции!$X:$X,"&gt;="&amp;N$8,операции!$O:$O,$F1422)</f>
        <v>172842.37</v>
      </c>
      <c r="O1422" s="170">
        <f>N1422-N1427-N1433</f>
        <v>0</v>
      </c>
      <c r="P1422" s="152">
        <f>SUMIFS(операции!$V:$V,операции!$T:$T,"&lt;"&amp;N$8,операции!$X:$X,"",операции!$L:$L,P$9,операции!$O:$O,$F1422)+SUMIFS(операции!$V:$V,операции!$T:$T,"&lt;"&amp;N$8,операции!$X:$X,"&gt;="&amp;N$8,операции!$L:$L,P$9,операции!$O:$O,$F1422)</f>
        <v>172842.37</v>
      </c>
      <c r="Q1422" s="235">
        <f>SUMIFS(операции!$V:$V,операции!$T:$T,"&lt;"&amp;N$8,операции!$X:$X,"",операции!$L:$L,Q$9,операции!$O:$O,$F1422)+SUMIFS(операции!$V:$V,операции!$T:$T,"&lt;"&amp;N$8,операции!$X:$X,"&gt;="&amp;N$8,операции!$L:$L,Q$9,операции!$O:$O,$F1422)</f>
        <v>0</v>
      </c>
      <c r="R1422" s="236"/>
      <c r="S1422" s="152">
        <f>SUMIFS(операции!$V:$V,операции!$T:$T,"&lt;"&amp;S$8,операции!$X:$X,"",операции!$O:$O,$F1422)+SUMIFS(операции!$V:$V,операции!$T:$T,"&lt;"&amp;S$8,операции!$X:$X,"&gt;="&amp;S$8,операции!$O:$O,$F1422)</f>
        <v>147808.37</v>
      </c>
      <c r="T1422" s="170">
        <f>S1422-S1427-S1433</f>
        <v>-2.0918378140777349E-11</v>
      </c>
      <c r="U1422" s="152">
        <f>SUMIFS(операции!$V:$V,операции!$T:$T,"&lt;"&amp;S$8,операции!$X:$X,"",операции!$L:$L,U$9,операции!$O:$O,$F1422)+SUMIFS(операции!$V:$V,операции!$T:$T,"&lt;"&amp;S$8,операции!$X:$X,"&gt;="&amp;S$8,операции!$L:$L,U$9,операции!$O:$O,$F1422)</f>
        <v>147808.37</v>
      </c>
      <c r="V1422" s="235">
        <f>SUMIFS(операции!$V:$V,операции!$T:$T,"&lt;"&amp;S$8,операции!$X:$X,"",операции!$L:$L,V$9,операции!$O:$O,$F1422)+SUMIFS(операции!$V:$V,операции!$T:$T,"&lt;"&amp;S$8,операции!$X:$X,"&gt;="&amp;S$8,операции!$L:$L,V$9,операции!$O:$O,$F1422)</f>
        <v>0</v>
      </c>
      <c r="W1422" s="236"/>
      <c r="X1422" s="152">
        <f>SUMIFS(операции!$V:$V,операции!$T:$T,"&lt;"&amp;X$8,операции!$X:$X,"",операции!$O:$O,$F1422)+SUMIFS(операции!$V:$V,операции!$T:$T,"&lt;"&amp;X$8,операции!$X:$X,"&gt;="&amp;X$8,операции!$O:$O,$F1422)</f>
        <v>99094.610000000015</v>
      </c>
      <c r="Y1422" s="170">
        <f>X1422-X1427-X1433</f>
        <v>8.1854523159563541E-12</v>
      </c>
      <c r="Z1422" s="152">
        <f>SUMIFS(операции!$V:$V,операции!$T:$T,"&lt;"&amp;X$8,операции!$X:$X,"",операции!$L:$L,Z$9,операции!$O:$O,$F1422)+SUMIFS(операции!$V:$V,операции!$T:$T,"&lt;"&amp;X$8,операции!$X:$X,"&gt;="&amp;X$8,операции!$L:$L,Z$9,операции!$O:$O,$F1422)</f>
        <v>99094.610000000015</v>
      </c>
      <c r="AA1422" s="235">
        <f>SUMIFS(операции!$V:$V,операции!$T:$T,"&lt;"&amp;X$8,операции!$X:$X,"",операции!$L:$L,AA$9,операции!$O:$O,$F1422)+SUMIFS(операции!$V:$V,операции!$T:$T,"&lt;"&amp;X$8,операции!$X:$X,"&gt;="&amp;X$8,операции!$L:$L,AA$9,операции!$O:$O,$F1422)</f>
        <v>0</v>
      </c>
      <c r="AB1422" s="264"/>
      <c r="AC1422" s="92"/>
      <c r="AD1422" s="92"/>
      <c r="AE1422" s="92"/>
      <c r="AF1422" s="92"/>
      <c r="AG1422" s="92"/>
      <c r="AH1422" s="92"/>
      <c r="AI1422" s="92"/>
      <c r="AJ1422" s="92"/>
      <c r="AK1422" s="92"/>
      <c r="AL1422" s="92"/>
      <c r="AM1422" s="92"/>
      <c r="AN1422" s="92"/>
      <c r="AO1422" s="92"/>
      <c r="AP1422" s="92"/>
    </row>
    <row r="1423" spans="1:42" s="192" customFormat="1" ht="11.25">
      <c r="A1423" s="37"/>
      <c r="B1423" s="37"/>
      <c r="C1423" s="37"/>
      <c r="D1423" s="191" t="s">
        <v>255</v>
      </c>
      <c r="E1423" s="191"/>
      <c r="F1423" s="191" t="str">
        <f>F1422</f>
        <v>ОдеждаКомп</v>
      </c>
      <c r="G1423" s="191" t="s">
        <v>262</v>
      </c>
      <c r="H1423" s="315"/>
      <c r="I1423" s="316">
        <f>IF(I1422=0,0,(SUMIFS(операции!$AF:$AF,операции!$T:$T,"&lt;"&amp;I$8,операции!$X:$X,"",операции!$O:$O,$F1422)+SUMIFS(операции!$AF:$AF,операции!$T:$T,"&lt;"&amp;I$8,операции!$X:$X,"&gt;="&amp;I$8,операции!$O:$O,$F1422))/I1422)</f>
        <v>42219.594959210524</v>
      </c>
      <c r="J1423" s="317"/>
      <c r="K1423" s="316">
        <f>IF(K1422=0,0,(SUMIFS(операции!$AF:$AF,операции!$T:$T,"&lt;"&amp;I$8,операции!$X:$X,"",операции!$L:$L,K$9,операции!$O:$O,$F1422)+SUMIFS(операции!$AF:$AF,операции!$T:$T,"&lt;"&amp;I$8,операции!$X:$X,"&gt;="&amp;I$8,операции!$L:$L,K$9,операции!$O:$O,$F1422))/K1422)</f>
        <v>42219.594959210524</v>
      </c>
      <c r="L1423" s="318">
        <f>IF(L1422=0,0,(SUMIFS(операции!$AF:$AF,операции!$T:$T,"&lt;"&amp;I$8,операции!$X:$X,"",операции!$L:$L,L$9,операции!$O:$O,$F1422)+SUMIFS(операции!$AF:$AF,операции!$T:$T,"&lt;"&amp;I$8,операции!$X:$X,"&gt;="&amp;I$8,операции!$L:$L,L$9,операции!$O:$O,$F1422))/L1422)</f>
        <v>0</v>
      </c>
      <c r="M1423" s="274"/>
      <c r="N1423" s="193">
        <f>IF(N1422=0,0,(SUMIFS(операции!$AF:$AF,операции!$T:$T,"&lt;"&amp;N$8,операции!$X:$X,"",операции!$O:$O,$F1422)+SUMIFS(операции!$AF:$AF,операции!$T:$T,"&lt;"&amp;N$8,операции!$X:$X,"&gt;="&amp;N$8,операции!$O:$O,$F1422))/N1422)</f>
        <v>42219.594959210524</v>
      </c>
      <c r="O1423" s="196"/>
      <c r="P1423" s="193">
        <f>IF(P1422=0,0,(SUMIFS(операции!$AF:$AF,операции!$T:$T,"&lt;"&amp;N$8,операции!$X:$X,"",операции!$L:$L,P$9,операции!$O:$O,$F1422)+SUMIFS(операции!$AF:$AF,операции!$T:$T,"&lt;"&amp;N$8,операции!$X:$X,"&gt;="&amp;N$8,операции!$L:$L,P$9,операции!$O:$O,$F1422))/P1422)</f>
        <v>42219.594959210524</v>
      </c>
      <c r="Q1423" s="237">
        <f>IF(Q1422=0,0,(SUMIFS(операции!$AF:$AF,операции!$T:$T,"&lt;"&amp;N$8,операции!$X:$X,"",операции!$L:$L,Q$9,операции!$O:$O,$F1422)+SUMIFS(операции!$AF:$AF,операции!$T:$T,"&lt;"&amp;N$8,операции!$X:$X,"&gt;="&amp;N$8,операции!$L:$L,Q$9,операции!$O:$O,$F1422))/Q1422)</f>
        <v>0</v>
      </c>
      <c r="R1423" s="238"/>
      <c r="S1423" s="193">
        <f>IF(S1422=0,0,(SUMIFS(операции!$AF:$AF,операции!$T:$T,"&lt;"&amp;S$8,операции!$X:$X,"",операции!$O:$O,$F1422)+SUMIFS(операции!$AF:$AF,операции!$T:$T,"&lt;"&amp;S$8,операции!$X:$X,"&gt;="&amp;S$8,операции!$O:$O,$F1422))/S1422)</f>
        <v>42220.507872389084</v>
      </c>
      <c r="T1423" s="196"/>
      <c r="U1423" s="193">
        <f>IF(U1422=0,0,(SUMIFS(операции!$AF:$AF,операции!$T:$T,"&lt;"&amp;S$8,операции!$X:$X,"",операции!$L:$L,U$9,операции!$O:$O,$F1422)+SUMIFS(операции!$AF:$AF,операции!$T:$T,"&lt;"&amp;S$8,операции!$X:$X,"&gt;="&amp;S$8,операции!$L:$L,U$9,операции!$O:$O,$F1422))/U1422)</f>
        <v>42220.507872389084</v>
      </c>
      <c r="V1423" s="237">
        <f>IF(V1422=0,0,(SUMIFS(операции!$AF:$AF,операции!$T:$T,"&lt;"&amp;S$8,операции!$X:$X,"",операции!$L:$L,V$9,операции!$O:$O,$F1422)+SUMIFS(операции!$AF:$AF,операции!$T:$T,"&lt;"&amp;S$8,операции!$X:$X,"&gt;="&amp;S$8,операции!$L:$L,V$9,операции!$O:$O,$F1422))/V1422)</f>
        <v>0</v>
      </c>
      <c r="W1423" s="238"/>
      <c r="X1423" s="193">
        <f>IF(X1422=0,0,(SUMIFS(операции!$AF:$AF,операции!$T:$T,"&lt;"&amp;X$8,операции!$X:$X,"",операции!$O:$O,$F1422)+SUMIFS(операции!$AF:$AF,операции!$T:$T,"&lt;"&amp;X$8,операции!$X:$X,"&gt;="&amp;X$8,операции!$O:$O,$F1422))/X1422)</f>
        <v>42213.01128870681</v>
      </c>
      <c r="Y1423" s="196"/>
      <c r="Z1423" s="193">
        <f>IF(Z1422=0,0,(SUMIFS(операции!$AF:$AF,операции!$T:$T,"&lt;"&amp;X$8,операции!$X:$X,"",операции!$L:$L,Z$9,операции!$O:$O,$F1422)+SUMIFS(операции!$AF:$AF,операции!$T:$T,"&lt;"&amp;X$8,операции!$X:$X,"&gt;="&amp;X$8,операции!$L:$L,Z$9,операции!$O:$O,$F1422))/Z1422)</f>
        <v>42213.01128870681</v>
      </c>
      <c r="AA1423" s="237">
        <f>IF(AA1422=0,0,(SUMIFS(операции!$AF:$AF,операции!$T:$T,"&lt;"&amp;X$8,операции!$X:$X,"",операции!$L:$L,AA$9,операции!$O:$O,$F1422)+SUMIFS(операции!$AF:$AF,операции!$T:$T,"&lt;"&amp;X$8,операции!$X:$X,"&gt;="&amp;X$8,операции!$L:$L,AA$9,операции!$O:$O,$F1422))/AA1422)</f>
        <v>0</v>
      </c>
      <c r="AB1423" s="265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</row>
    <row r="1424" spans="1:42" s="50" customFormat="1" ht="11.25">
      <c r="A1424" s="48"/>
      <c r="B1424" s="48"/>
      <c r="C1424" s="48"/>
      <c r="D1424" s="154" t="s">
        <v>257</v>
      </c>
      <c r="E1424" s="154"/>
      <c r="F1424" s="154" t="str">
        <f t="shared" ref="F1424:F1490" si="2522">F1423</f>
        <v>ОдеждаКомп</v>
      </c>
      <c r="G1424" s="154" t="s">
        <v>219</v>
      </c>
      <c r="H1424" s="319"/>
      <c r="I1424" s="320">
        <f>IF(I1422=0,0,I$8-I1423)</f>
        <v>58.405040789475606</v>
      </c>
      <c r="J1424" s="321">
        <f>I1424-IF(I1422=0,0,(I1427*I1429+I1433*I1435)/I1422)</f>
        <v>-4.4124703890702222E-12</v>
      </c>
      <c r="K1424" s="320">
        <f>IF(K1422=0,0,I$8-K1423)</f>
        <v>58.405040789475606</v>
      </c>
      <c r="L1424" s="322">
        <f>IF(L1422=0,0,I$8-L1423)</f>
        <v>0</v>
      </c>
      <c r="M1424" s="275"/>
      <c r="N1424" s="155">
        <f>IF(N1422=0,0,N$8-N1423)</f>
        <v>58.405040789475606</v>
      </c>
      <c r="O1424" s="173">
        <f>N1424-IF(N1422=0,0,(N1427*N1429+N1433*N1435)/N1422)</f>
        <v>-4.4124703890702222E-12</v>
      </c>
      <c r="P1424" s="155">
        <f>IF(P1422=0,0,N$8-P1423)</f>
        <v>58.405040789475606</v>
      </c>
      <c r="Q1424" s="239">
        <f>IF(Q1422=0,0,N$8-Q1423)</f>
        <v>0</v>
      </c>
      <c r="R1424" s="240"/>
      <c r="S1424" s="155">
        <f>IF(S1422=0,0,S$8-S1423)</f>
        <v>88.492127610916214</v>
      </c>
      <c r="T1424" s="173">
        <f>S1424-IF(S1422=0,0,(S1427*S1429+S1433*S1435)/S1422)</f>
        <v>7.4464878707658499E-12</v>
      </c>
      <c r="U1424" s="155">
        <f>IF(U1422=0,0,S$8-U1423)</f>
        <v>88.492127610916214</v>
      </c>
      <c r="V1424" s="239">
        <f>IF(V1422=0,0,S$8-V1423)</f>
        <v>0</v>
      </c>
      <c r="W1424" s="240"/>
      <c r="X1424" s="155">
        <f>IF(X1422=0,0,X$8-X1423)</f>
        <v>125.98871129319014</v>
      </c>
      <c r="Y1424" s="173">
        <f>X1424-IF(X1422=0,0,(X1427*X1429+X1433*X1435)/X1422)</f>
        <v>6.0254023992456496E-12</v>
      </c>
      <c r="Z1424" s="155">
        <f>IF(Z1422=0,0,X$8-Z1423)</f>
        <v>125.98871129319014</v>
      </c>
      <c r="AA1424" s="239">
        <f>IF(AA1422=0,0,X$8-AA1423)</f>
        <v>0</v>
      </c>
      <c r="AB1424" s="230"/>
      <c r="AC1424" s="48"/>
      <c r="AD1424" s="48"/>
      <c r="AE1424" s="48"/>
      <c r="AF1424" s="48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</row>
    <row r="1425" spans="1:42" s="93" customFormat="1" ht="15">
      <c r="A1425" s="92"/>
      <c r="B1425" s="92"/>
      <c r="C1425" s="92"/>
      <c r="D1425" s="198" t="s">
        <v>267</v>
      </c>
      <c r="E1425" s="198"/>
      <c r="F1425" s="198" t="str">
        <f t="shared" si="2522"/>
        <v>ОдеждаКомп</v>
      </c>
      <c r="G1425" s="198" t="s">
        <v>219</v>
      </c>
      <c r="H1425" s="323"/>
      <c r="I1425" s="324">
        <f>IF(I1422=0,0,(I1427*I1431+I1433*I1437)/I1422)</f>
        <v>24.818560807745577</v>
      </c>
      <c r="J1425" s="321"/>
      <c r="K1425" s="324">
        <f t="shared" ref="K1425" si="2523">IF(K1422=0,0,(K1427*K1431+K1433*K1437)/K1422)</f>
        <v>24.818560807745577</v>
      </c>
      <c r="L1425" s="325">
        <f>IF(L1422=0,0,(L1427*L1431+L1433*L1437)/L1422)</f>
        <v>0</v>
      </c>
      <c r="M1425" s="276"/>
      <c r="N1425" s="199">
        <f>IF(N1422=0,0,(N1427*N1431+N1433*N1437)/N1422)</f>
        <v>24.818560807745577</v>
      </c>
      <c r="O1425" s="173"/>
      <c r="P1425" s="199">
        <f t="shared" ref="P1425" si="2524">IF(P1422=0,0,(P1427*P1431+P1433*P1437)/P1422)</f>
        <v>24.818560807745577</v>
      </c>
      <c r="Q1425" s="241">
        <f>IF(Q1422=0,0,(Q1427*Q1431+Q1433*Q1437)/Q1422)</f>
        <v>0</v>
      </c>
      <c r="R1425" s="242"/>
      <c r="S1425" s="199">
        <f>IF(S1422=0,0,(S1427*S1431+S1433*S1437)/S1422)</f>
        <v>27.278139323226544</v>
      </c>
      <c r="T1425" s="173"/>
      <c r="U1425" s="199">
        <f t="shared" ref="U1425" si="2525">IF(U1422=0,0,(U1427*U1431+U1433*U1437)/U1422)</f>
        <v>27.278139323226544</v>
      </c>
      <c r="V1425" s="241">
        <f>IF(V1422=0,0,(V1427*V1431+V1433*V1437)/V1422)</f>
        <v>0</v>
      </c>
      <c r="W1425" s="242"/>
      <c r="X1425" s="199">
        <f>IF(X1422=0,0,(X1427*X1431+X1433*X1437)/X1422)</f>
        <v>25.305252324023716</v>
      </c>
      <c r="Y1425" s="173"/>
      <c r="Z1425" s="199">
        <f t="shared" ref="Z1425" si="2526">IF(Z1422=0,0,(Z1427*Z1431+Z1433*Z1437)/Z1422)</f>
        <v>25.305252324023716</v>
      </c>
      <c r="AA1425" s="241">
        <f>IF(AA1422=0,0,(AA1427*AA1431+AA1433*AA1437)/AA1422)</f>
        <v>0</v>
      </c>
      <c r="AB1425" s="264"/>
      <c r="AC1425" s="92"/>
      <c r="AD1425" s="92"/>
      <c r="AE1425" s="92"/>
      <c r="AF1425" s="92"/>
      <c r="AG1425" s="92"/>
      <c r="AH1425" s="92"/>
      <c r="AI1425" s="92"/>
      <c r="AJ1425" s="92"/>
      <c r="AK1425" s="92"/>
      <c r="AL1425" s="92"/>
      <c r="AM1425" s="92"/>
      <c r="AN1425" s="92"/>
      <c r="AO1425" s="92"/>
      <c r="AP1425" s="92"/>
    </row>
    <row r="1426" spans="1:42" s="50" customFormat="1" ht="11.25">
      <c r="A1426" s="48"/>
      <c r="B1426" s="48"/>
      <c r="C1426" s="48"/>
      <c r="D1426" s="154" t="s">
        <v>270</v>
      </c>
      <c r="E1426" s="154"/>
      <c r="F1426" s="154" t="str">
        <f t="shared" si="2522"/>
        <v>ОдеждаКомп</v>
      </c>
      <c r="G1426" s="154" t="s">
        <v>219</v>
      </c>
      <c r="H1426" s="319"/>
      <c r="I1426" s="320">
        <f>I1424-I1425</f>
        <v>33.586479981730029</v>
      </c>
      <c r="J1426" s="321"/>
      <c r="K1426" s="320">
        <f t="shared" ref="K1426" si="2527">K1424-K1425</f>
        <v>33.586479981730029</v>
      </c>
      <c r="L1426" s="322">
        <f t="shared" ref="L1426" si="2528">L1424-L1425</f>
        <v>0</v>
      </c>
      <c r="M1426" s="275"/>
      <c r="N1426" s="155">
        <f>N1424-N1425</f>
        <v>33.586479981730029</v>
      </c>
      <c r="O1426" s="173"/>
      <c r="P1426" s="155">
        <f t="shared" ref="P1426" si="2529">P1424-P1425</f>
        <v>33.586479981730029</v>
      </c>
      <c r="Q1426" s="239">
        <f t="shared" ref="Q1426" si="2530">Q1424-Q1425</f>
        <v>0</v>
      </c>
      <c r="R1426" s="240"/>
      <c r="S1426" s="155">
        <f>S1424-S1425</f>
        <v>61.213988287689673</v>
      </c>
      <c r="T1426" s="173"/>
      <c r="U1426" s="155">
        <f t="shared" ref="U1426" si="2531">U1424-U1425</f>
        <v>61.213988287689673</v>
      </c>
      <c r="V1426" s="239">
        <f t="shared" ref="V1426" si="2532">V1424-V1425</f>
        <v>0</v>
      </c>
      <c r="W1426" s="240"/>
      <c r="X1426" s="155">
        <f>X1424-X1425</f>
        <v>100.68345896916642</v>
      </c>
      <c r="Y1426" s="173"/>
      <c r="Z1426" s="155">
        <f t="shared" ref="Z1426" si="2533">Z1424-Z1425</f>
        <v>100.68345896916642</v>
      </c>
      <c r="AA1426" s="239">
        <f t="shared" ref="AA1426" si="2534">AA1424-AA1425</f>
        <v>0</v>
      </c>
      <c r="AB1426" s="230"/>
      <c r="AC1426" s="48"/>
      <c r="AD1426" s="48"/>
      <c r="AE1426" s="48"/>
      <c r="AF1426" s="48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</row>
    <row r="1427" spans="1:42" s="5" customFormat="1">
      <c r="A1427" s="1"/>
      <c r="B1427" s="1"/>
      <c r="C1427" s="1"/>
      <c r="D1427" s="168"/>
      <c r="E1427" s="168" t="s">
        <v>258</v>
      </c>
      <c r="F1427" s="168" t="str">
        <f t="shared" si="2522"/>
        <v>ОдеждаКомп</v>
      </c>
      <c r="G1427" s="168" t="s">
        <v>261</v>
      </c>
      <c r="H1427" s="326"/>
      <c r="I1427" s="327">
        <f>SUMIFS(операции!$V:$V,операции!$T:$T,"&lt;"&amp;I$8,операции!$X:$X,"",операции!$AB:$AB,"&lt;&gt;"&amp;"",операции!$AB:$AB,"&lt;"&amp;I$8,операции!$O:$O,$F1422)+SUMIFS(операции!$V:$V,операции!$T:$T,"&lt;"&amp;I$8,операции!$X:$X,"&gt;="&amp;I$8,операции!$AB:$AB,"&lt;&gt;"&amp;"",операции!$AB:$AB,"&lt;"&amp;I$8,операции!$O:$O,$F1422)</f>
        <v>113323.99</v>
      </c>
      <c r="J1427" s="313">
        <f>I1427-K1427-L1427</f>
        <v>0</v>
      </c>
      <c r="K1427" s="327">
        <f>SUMIFS(операции!$V:$V,операции!$T:$T,"&lt;"&amp;I$8,операции!$X:$X,"",операции!$AB:$AB,"&lt;&gt;"&amp;"",операции!$AB:$AB,"&lt;"&amp;I$8,операции!$L:$L,K$9,операции!$O:$O,$F1422)+SUMIFS(операции!$V:$V,операции!$T:$T,"&lt;"&amp;I$8,операции!$X:$X,"&gt;="&amp;I$8,операции!$AB:$AB,"&lt;&gt;"&amp;"",операции!$AB:$AB,"&lt;"&amp;I$8,операции!$L:$L,K$9,операции!$O:$O,$F1422)</f>
        <v>113323.99</v>
      </c>
      <c r="L1427" s="328">
        <f>SUMIFS(операции!$V:$V,операции!$T:$T,"&lt;"&amp;I$8,операции!$X:$X,"",операции!$AB:$AB,"&lt;&gt;"&amp;"",операции!$AB:$AB,"&lt;"&amp;I$8,операции!$L:$L,L$9,операции!$O:$O,$F1422)+SUMIFS(операции!$V:$V,операции!$T:$T,"&lt;"&amp;I$8,операции!$X:$X,"&gt;="&amp;I$8,операции!$AB:$AB,"&lt;&gt;"&amp;"",операции!$AB:$AB,"&lt;"&amp;I$8,операции!$L:$L,L$9,операции!$O:$O,$F1422)</f>
        <v>0</v>
      </c>
      <c r="M1427" s="277"/>
      <c r="N1427" s="169">
        <f>SUMIFS(операции!$V:$V,операции!$T:$T,"&lt;"&amp;N$8,операции!$X:$X,"",операции!$AB:$AB,"&lt;&gt;"&amp;"",операции!$AB:$AB,"&lt;"&amp;N$8,операции!$O:$O,$F1422)+SUMIFS(операции!$V:$V,операции!$T:$T,"&lt;"&amp;N$8,операции!$X:$X,"&gt;="&amp;N$8,операции!$AB:$AB,"&lt;&gt;"&amp;"",операции!$AB:$AB,"&lt;"&amp;N$8,операции!$O:$O,$F1422)</f>
        <v>113323.99</v>
      </c>
      <c r="O1427" s="170">
        <f>N1427-P1427-Q1427</f>
        <v>0</v>
      </c>
      <c r="P1427" s="169">
        <f>SUMIFS(операции!$V:$V,операции!$T:$T,"&lt;"&amp;N$8,операции!$X:$X,"",операции!$AB:$AB,"&lt;&gt;"&amp;"",операции!$AB:$AB,"&lt;"&amp;N$8,операции!$L:$L,P$9,операции!$O:$O,$F1422)+SUMIFS(операции!$V:$V,операции!$T:$T,"&lt;"&amp;N$8,операции!$X:$X,"&gt;="&amp;N$8,операции!$AB:$AB,"&lt;&gt;"&amp;"",операции!$AB:$AB,"&lt;"&amp;N$8,операции!$L:$L,P$9,операции!$O:$O,$F1422)</f>
        <v>113323.99</v>
      </c>
      <c r="Q1427" s="243">
        <f>SUMIFS(операции!$V:$V,операции!$T:$T,"&lt;"&amp;N$8,операции!$X:$X,"",операции!$AB:$AB,"&lt;&gt;"&amp;"",операции!$AB:$AB,"&lt;"&amp;N$8,операции!$L:$L,Q$9,операции!$O:$O,$F1422)+SUMIFS(операции!$V:$V,операции!$T:$T,"&lt;"&amp;N$8,операции!$X:$X,"&gt;="&amp;N$8,операции!$AB:$AB,"&lt;&gt;"&amp;"",операции!$AB:$AB,"&lt;"&amp;N$8,операции!$L:$L,Q$9,операции!$O:$O,$F1422)</f>
        <v>0</v>
      </c>
      <c r="R1427" s="244"/>
      <c r="S1427" s="169">
        <f>SUMIFS(операции!$V:$V,операции!$T:$T,"&lt;"&amp;S$8,операции!$X:$X,"",операции!$AB:$AB,"&lt;&gt;"&amp;"",операции!$AB:$AB,"&lt;"&amp;S$8,операции!$O:$O,$F1422)+SUMIFS(операции!$V:$V,операции!$T:$T,"&lt;"&amp;S$8,операции!$X:$X,"&gt;="&amp;S$8,операции!$AB:$AB,"&lt;&gt;"&amp;"",операции!$AB:$AB,"&lt;"&amp;S$8,операции!$O:$O,$F1422)</f>
        <v>146438.58000000002</v>
      </c>
      <c r="T1427" s="170">
        <f>S1427-U1427-V1427</f>
        <v>0</v>
      </c>
      <c r="U1427" s="169">
        <f>SUMIFS(операции!$V:$V,операции!$T:$T,"&lt;"&amp;S$8,операции!$X:$X,"",операции!$AB:$AB,"&lt;&gt;"&amp;"",операции!$AB:$AB,"&lt;"&amp;S$8,операции!$L:$L,U$9,операции!$O:$O,$F1422)+SUMIFS(операции!$V:$V,операции!$T:$T,"&lt;"&amp;S$8,операции!$X:$X,"&gt;="&amp;S$8,операции!$AB:$AB,"&lt;&gt;"&amp;"",операции!$AB:$AB,"&lt;"&amp;S$8,операции!$L:$L,U$9,операции!$O:$O,$F1422)</f>
        <v>146438.58000000002</v>
      </c>
      <c r="V1427" s="243">
        <f>SUMIFS(операции!$V:$V,операции!$T:$T,"&lt;"&amp;S$8,операции!$X:$X,"",операции!$AB:$AB,"&lt;&gt;"&amp;"",операции!$AB:$AB,"&lt;"&amp;S$8,операции!$L:$L,V$9,операции!$O:$O,$F1422)+SUMIFS(операции!$V:$V,операции!$T:$T,"&lt;"&amp;S$8,операции!$X:$X,"&gt;="&amp;S$8,операции!$AB:$AB,"&lt;&gt;"&amp;"",операции!$AB:$AB,"&lt;"&amp;S$8,операции!$L:$L,V$9,операции!$O:$O,$F1422)</f>
        <v>0</v>
      </c>
      <c r="W1427" s="244"/>
      <c r="X1427" s="169">
        <f>SUMIFS(операции!$V:$V,операции!$T:$T,"&lt;"&amp;X$8,операции!$X:$X,"",операции!$AB:$AB,"&lt;&gt;"&amp;"",операции!$AB:$AB,"&lt;"&amp;X$8,операции!$O:$O,$F1422)+SUMIFS(операции!$V:$V,операции!$T:$T,"&lt;"&amp;X$8,операции!$X:$X,"&gt;="&amp;X$8,операции!$AB:$AB,"&lt;&gt;"&amp;"",операции!$AB:$AB,"&lt;"&amp;X$8,операции!$O:$O,$F1422)</f>
        <v>97724.82</v>
      </c>
      <c r="Y1427" s="170">
        <f>X1427-Z1427-AA1427</f>
        <v>0</v>
      </c>
      <c r="Z1427" s="169">
        <f>SUMIFS(операции!$V:$V,операции!$T:$T,"&lt;"&amp;X$8,операции!$X:$X,"",операции!$AB:$AB,"&lt;&gt;"&amp;"",операции!$AB:$AB,"&lt;"&amp;X$8,операции!$L:$L,Z$9,операции!$O:$O,$F1422)+SUMIFS(операции!$V:$V,операции!$T:$T,"&lt;"&amp;X$8,операции!$X:$X,"&gt;="&amp;X$8,операции!$AB:$AB,"&lt;&gt;"&amp;"",операции!$AB:$AB,"&lt;"&amp;X$8,операции!$L:$L,Z$9,операции!$O:$O,$F1422)</f>
        <v>97724.82</v>
      </c>
      <c r="AA1427" s="243">
        <f>SUMIFS(операции!$V:$V,операции!$T:$T,"&lt;"&amp;X$8,операции!$X:$X,"",операции!$AB:$AB,"&lt;&gt;"&amp;"",операции!$AB:$AB,"&lt;"&amp;X$8,операции!$L:$L,AA$9,операции!$O:$O,$F1422)+SUMIFS(операции!$V:$V,операции!$T:$T,"&lt;"&amp;X$8,операции!$X:$X,"&gt;="&amp;X$8,операции!$AB:$AB,"&lt;&gt;"&amp;"",операции!$AB:$AB,"&lt;"&amp;X$8,операции!$L:$L,AA$9,операции!$O:$O,$F1422)</f>
        <v>0</v>
      </c>
      <c r="AB1427" s="266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</row>
    <row r="1428" spans="1:42" s="192" customFormat="1" ht="11.25">
      <c r="A1428" s="37"/>
      <c r="B1428" s="37"/>
      <c r="C1428" s="37"/>
      <c r="D1428" s="191"/>
      <c r="E1428" s="191" t="s">
        <v>255</v>
      </c>
      <c r="F1428" s="191" t="str">
        <f t="shared" si="2522"/>
        <v>ОдеждаКомп</v>
      </c>
      <c r="G1428" s="191" t="s">
        <v>262</v>
      </c>
      <c r="H1428" s="315"/>
      <c r="I1428" s="316">
        <f>IF(I1427=0,0,(SUMIFS(операции!$AF:$AF,операции!$T:$T,"&lt;"&amp;I$8,операции!$X:$X,"",операции!$AB:$AB,"&lt;&gt;"&amp;"",операции!$AB:$AB,"&lt;"&amp;I$8,операции!$O:$O,$F1422)+SUMIFS(операции!$AF:$AF,операции!$T:$T,"&lt;"&amp;I$8,операции!$X:$X,"&gt;="&amp;I$8,операции!$AB:$AB,"&lt;&gt;"&amp;"",операции!$AB:$AB,"&lt;"&amp;I$8,операции!$O:$O,$F1422))/I1427)</f>
        <v>42206.552036245805</v>
      </c>
      <c r="J1428" s="317"/>
      <c r="K1428" s="316">
        <f>IF(K1427=0,0,(SUMIFS(операции!$AF:$AF,операции!$T:$T,"&lt;"&amp;I$8,операции!$X:$X,"",операции!$AB:$AB,"&lt;&gt;"&amp;"",операции!$AB:$AB,"&lt;"&amp;I$8,операции!$L:$L,K$9,операции!$O:$O,$F1422)+SUMIFS(операции!$AF:$AF,операции!$T:$T,"&lt;"&amp;I$8,операции!$X:$X,"&gt;="&amp;I$8,операции!$AB:$AB,"&lt;&gt;"&amp;"",операции!$AB:$AB,"&lt;"&amp;I$8,операции!$L:$L,K$9,операции!$O:$O,$F1422))/K1427)</f>
        <v>42206.552036245805</v>
      </c>
      <c r="L1428" s="318">
        <f>IF(L1427=0,0,(SUMIFS(операции!$AF:$AF,операции!$T:$T,"&lt;"&amp;I$8,операции!$X:$X,"",операции!$AB:$AB,"&lt;&gt;"&amp;"",операции!$AB:$AB,"&lt;"&amp;I$8,операции!$L:$L,L$9,операции!$O:$O,$F1422)+SUMIFS(операции!$AF:$AF,операции!$T:$T,"&lt;"&amp;I$8,операции!$X:$X,"&gt;="&amp;I$8,операции!$AB:$AB,"&lt;&gt;"&amp;"",операции!$AB:$AB,"&lt;"&amp;I$8,операции!$L:$L,L$9,операции!$O:$O,$F1422))/L1427)</f>
        <v>0</v>
      </c>
      <c r="M1428" s="274"/>
      <c r="N1428" s="193">
        <f>IF(N1427=0,0,(SUMIFS(операции!$AF:$AF,операции!$T:$T,"&lt;"&amp;N$8,операции!$X:$X,"",операции!$AB:$AB,"&lt;&gt;"&amp;"",операции!$AB:$AB,"&lt;"&amp;N$8,операции!$O:$O,$F1422)+SUMIFS(операции!$AF:$AF,операции!$T:$T,"&lt;"&amp;N$8,операции!$X:$X,"&gt;="&amp;N$8,операции!$AB:$AB,"&lt;&gt;"&amp;"",операции!$AB:$AB,"&lt;"&amp;N$8,операции!$O:$O,$F1422))/N1427)</f>
        <v>42206.552036245805</v>
      </c>
      <c r="O1428" s="196"/>
      <c r="P1428" s="193">
        <f>IF(P1427=0,0,(SUMIFS(операции!$AF:$AF,операции!$T:$T,"&lt;"&amp;N$8,операции!$X:$X,"",операции!$AB:$AB,"&lt;&gt;"&amp;"",операции!$AB:$AB,"&lt;"&amp;N$8,операции!$L:$L,P$9,операции!$O:$O,$F1422)+SUMIFS(операции!$AF:$AF,операции!$T:$T,"&lt;"&amp;N$8,операции!$X:$X,"&gt;="&amp;N$8,операции!$AB:$AB,"&lt;&gt;"&amp;"",операции!$AB:$AB,"&lt;"&amp;N$8,операции!$L:$L,P$9,операции!$O:$O,$F1422))/P1427)</f>
        <v>42206.552036245805</v>
      </c>
      <c r="Q1428" s="237">
        <f>IF(Q1427=0,0,(SUMIFS(операции!$AF:$AF,операции!$T:$T,"&lt;"&amp;N$8,операции!$X:$X,"",операции!$AB:$AB,"&lt;&gt;"&amp;"",операции!$AB:$AB,"&lt;"&amp;N$8,операции!$L:$L,Q$9,операции!$O:$O,$F1422)+SUMIFS(операции!$AF:$AF,операции!$T:$T,"&lt;"&amp;N$8,операции!$X:$X,"&gt;="&amp;N$8,операции!$AB:$AB,"&lt;&gt;"&amp;"",операции!$AB:$AB,"&lt;"&amp;N$8,операции!$L:$L,Q$9,операции!$O:$O,$F1422))/Q1427)</f>
        <v>0</v>
      </c>
      <c r="R1428" s="238"/>
      <c r="S1428" s="193">
        <f>IF(S1427=0,0,(SUMIFS(операции!$AF:$AF,операции!$T:$T,"&lt;"&amp;S$8,операции!$X:$X,"",операции!$AB:$AB,"&lt;&gt;"&amp;"",операции!$AB:$AB,"&lt;"&amp;S$8,операции!$O:$O,$F1422)+SUMIFS(операции!$AF:$AF,операции!$T:$T,"&lt;"&amp;S$8,операции!$X:$X,"&gt;="&amp;S$8,операции!$AB:$AB,"&lt;&gt;"&amp;"",операции!$AB:$AB,"&lt;"&amp;S$8,операции!$O:$O,$F1422))/S1427)</f>
        <v>42221.101926555144</v>
      </c>
      <c r="T1428" s="196"/>
      <c r="U1428" s="193">
        <f>IF(U1427=0,0,(SUMIFS(операции!$AF:$AF,операции!$T:$T,"&lt;"&amp;S$8,операции!$X:$X,"",операции!$AB:$AB,"&lt;&gt;"&amp;"",операции!$AB:$AB,"&lt;"&amp;S$8,операции!$L:$L,U$9,операции!$O:$O,$F1422)+SUMIFS(операции!$AF:$AF,операции!$T:$T,"&lt;"&amp;S$8,операции!$X:$X,"&gt;="&amp;S$8,операции!$AB:$AB,"&lt;&gt;"&amp;"",операции!$AB:$AB,"&lt;"&amp;S$8,операции!$L:$L,U$9,операции!$O:$O,$F1422))/U1427)</f>
        <v>42221.101926555144</v>
      </c>
      <c r="V1428" s="237">
        <f>IF(V1427=0,0,(SUMIFS(операции!$AF:$AF,операции!$T:$T,"&lt;"&amp;S$8,операции!$X:$X,"",операции!$AB:$AB,"&lt;&gt;"&amp;"",операции!$AB:$AB,"&lt;"&amp;S$8,операции!$L:$L,V$9,операции!$O:$O,$F1422)+SUMIFS(операции!$AF:$AF,операции!$T:$T,"&lt;"&amp;S$8,операции!$X:$X,"&gt;="&amp;S$8,операции!$AB:$AB,"&lt;&gt;"&amp;"",операции!$AB:$AB,"&lt;"&amp;S$8,операции!$L:$L,V$9,операции!$O:$O,$F1422))/V1427)</f>
        <v>0</v>
      </c>
      <c r="W1428" s="238"/>
      <c r="X1428" s="193">
        <f>IF(X1427=0,0,(SUMIFS(операции!$AF:$AF,операции!$T:$T,"&lt;"&amp;X$8,операции!$X:$X,"",операции!$AB:$AB,"&lt;&gt;"&amp;"",операции!$AB:$AB,"&lt;"&amp;X$8,операции!$O:$O,$F1422)+SUMIFS(операции!$AF:$AF,операции!$T:$T,"&lt;"&amp;X$8,операции!$X:$X,"&gt;="&amp;X$8,операции!$AB:$AB,"&lt;&gt;"&amp;"",операции!$AB:$AB,"&lt;"&amp;X$8,операции!$O:$O,$F1422))/X1427)</f>
        <v>42213.796388164228</v>
      </c>
      <c r="Y1428" s="196"/>
      <c r="Z1428" s="193">
        <f>IF(Z1427=0,0,(SUMIFS(операции!$AF:$AF,операции!$T:$T,"&lt;"&amp;X$8,операции!$X:$X,"",операции!$AB:$AB,"&lt;&gt;"&amp;"",операции!$AB:$AB,"&lt;"&amp;X$8,операции!$L:$L,Z$9,операции!$O:$O,$F1422)+SUMIFS(операции!$AF:$AF,операции!$T:$T,"&lt;"&amp;X$8,операции!$X:$X,"&gt;="&amp;X$8,операции!$AB:$AB,"&lt;&gt;"&amp;"",операции!$AB:$AB,"&lt;"&amp;X$8,операции!$L:$L,Z$9,операции!$O:$O,$F1422))/Z1427)</f>
        <v>42213.796388164228</v>
      </c>
      <c r="AA1428" s="237">
        <f>IF(AA1427=0,0,(SUMIFS(операции!$AF:$AF,операции!$T:$T,"&lt;"&amp;X$8,операции!$X:$X,"",операции!$AB:$AB,"&lt;&gt;"&amp;"",операции!$AB:$AB,"&lt;"&amp;X$8,операции!$L:$L,AA$9,операции!$O:$O,$F1422)+SUMIFS(операции!$AF:$AF,операции!$T:$T,"&lt;"&amp;X$8,операции!$X:$X,"&gt;="&amp;X$8,операции!$AB:$AB,"&lt;&gt;"&amp;"",операции!$AB:$AB,"&lt;"&amp;X$8,операции!$L:$L,AA$9,операции!$O:$O,$F1422))/AA1427)</f>
        <v>0</v>
      </c>
      <c r="AB1428" s="265"/>
      <c r="AC1428" s="37"/>
      <c r="AD1428" s="37"/>
      <c r="AE1428" s="37"/>
      <c r="AF1428" s="37"/>
      <c r="AG1428" s="37"/>
      <c r="AH1428" s="37"/>
      <c r="AI1428" s="37"/>
      <c r="AJ1428" s="37"/>
      <c r="AK1428" s="37"/>
      <c r="AL1428" s="37"/>
      <c r="AM1428" s="37"/>
      <c r="AN1428" s="37"/>
      <c r="AO1428" s="37"/>
      <c r="AP1428" s="37"/>
    </row>
    <row r="1429" spans="1:42" s="192" customFormat="1" ht="11.25">
      <c r="A1429" s="37"/>
      <c r="B1429" s="37"/>
      <c r="C1429" s="37"/>
      <c r="D1429" s="191"/>
      <c r="E1429" s="191" t="s">
        <v>260</v>
      </c>
      <c r="F1429" s="191" t="str">
        <f t="shared" si="2522"/>
        <v>ОдеждаКомп</v>
      </c>
      <c r="G1429" s="191" t="s">
        <v>219</v>
      </c>
      <c r="H1429" s="315"/>
      <c r="I1429" s="329">
        <f>IF(I1427=0,0,I$8-I1428)</f>
        <v>71.447963754195371</v>
      </c>
      <c r="J1429" s="317"/>
      <c r="K1429" s="329">
        <f>IF(K1427=0,0,I$8-K1428)</f>
        <v>71.447963754195371</v>
      </c>
      <c r="L1429" s="330">
        <f>IF(L1427=0,0,I$8-L1428)</f>
        <v>0</v>
      </c>
      <c r="M1429" s="274"/>
      <c r="N1429" s="156">
        <f>IF(N1427=0,0,N$8-N1428)</f>
        <v>71.447963754195371</v>
      </c>
      <c r="O1429" s="196"/>
      <c r="P1429" s="156">
        <f>IF(P1427=0,0,N$8-P1428)</f>
        <v>71.447963754195371</v>
      </c>
      <c r="Q1429" s="245">
        <f>IF(Q1427=0,0,N$8-Q1428)</f>
        <v>0</v>
      </c>
      <c r="R1429" s="238"/>
      <c r="S1429" s="156">
        <f>IF(S1427=0,0,S$8-S1428)</f>
        <v>87.898073444855982</v>
      </c>
      <c r="T1429" s="196"/>
      <c r="U1429" s="156">
        <f>IF(U1427=0,0,S$8-U1428)</f>
        <v>87.898073444855982</v>
      </c>
      <c r="V1429" s="245">
        <f>IF(V1427=0,0,S$8-V1428)</f>
        <v>0</v>
      </c>
      <c r="W1429" s="238"/>
      <c r="X1429" s="156">
        <f>IF(X1427=0,0,X$8-X1428)</f>
        <v>125.20361183577188</v>
      </c>
      <c r="Y1429" s="196"/>
      <c r="Z1429" s="156">
        <f>IF(Z1427=0,0,X$8-Z1428)</f>
        <v>125.20361183577188</v>
      </c>
      <c r="AA1429" s="245">
        <f>IF(AA1427=0,0,X$8-AA1428)</f>
        <v>0</v>
      </c>
      <c r="AB1429" s="265"/>
      <c r="AC1429" s="37"/>
      <c r="AD1429" s="37"/>
      <c r="AE1429" s="37"/>
      <c r="AF1429" s="37"/>
      <c r="AG1429" s="37"/>
      <c r="AH1429" s="37"/>
      <c r="AI1429" s="37"/>
      <c r="AJ1429" s="37"/>
      <c r="AK1429" s="37"/>
      <c r="AL1429" s="37"/>
      <c r="AM1429" s="37"/>
      <c r="AN1429" s="37"/>
      <c r="AO1429" s="37"/>
      <c r="AP1429" s="37"/>
    </row>
    <row r="1430" spans="1:42" s="192" customFormat="1" ht="11.25">
      <c r="A1430" s="37"/>
      <c r="B1430" s="37"/>
      <c r="C1430" s="37"/>
      <c r="D1430" s="191"/>
      <c r="E1430" s="191" t="s">
        <v>259</v>
      </c>
      <c r="F1430" s="191" t="str">
        <f t="shared" si="2522"/>
        <v>ОдеждаКомп</v>
      </c>
      <c r="G1430" s="191" t="s">
        <v>262</v>
      </c>
      <c r="H1430" s="315"/>
      <c r="I1430" s="316">
        <f>IF(I1427=0,0,(SUMIFS(операции!$AH:$AH,операции!$T:$T,"&lt;"&amp;I$8,операции!$X:$X,"",операции!$AB:$AB,"&lt;&gt;"&amp;"",операции!$AB:$AB,"&lt;"&amp;I$8,операции!$O:$O,$F1422)+SUMIFS(операции!$AH:$AH,операции!$T:$T,"&lt;"&amp;I$8,операции!$X:$X,"&gt;="&amp;I$8,операции!$AB:$AB,"&lt;&gt;"&amp;"",операции!$AB:$AB,"&lt;"&amp;I$8,операции!$O:$O,$F1422))/I1427)</f>
        <v>42226.773716844946</v>
      </c>
      <c r="J1430" s="317"/>
      <c r="K1430" s="316">
        <f>IF(K1427=0,0,(SUMIFS(операции!$AH:$AH,операции!$T:$T,"&lt;"&amp;I$8,операции!$X:$X,"",операции!$AB:$AB,"&lt;&gt;"&amp;"",операции!$AB:$AB,"&lt;"&amp;I$8,операции!$L:$L,K$9,операции!$O:$O,$F1422)+SUMIFS(операции!$AH:$AH,операции!$T:$T,"&lt;"&amp;I$8,операции!$X:$X,"&gt;="&amp;I$8,операции!$AB:$AB,"&lt;&gt;"&amp;"",операции!$AB:$AB,"&lt;"&amp;I$8,операции!$L:$L,K$9,операции!$O:$O,$F1422))/K1427)</f>
        <v>42226.773716844946</v>
      </c>
      <c r="L1430" s="318">
        <f>IF(L1427=0,0,(SUMIFS(операции!$AH:$AH,операции!$T:$T,"&lt;"&amp;I$8,операции!$X:$X,"",операции!$AB:$AB,"&lt;&gt;"&amp;"",операции!$AB:$AB,"&lt;"&amp;I$8,операции!$L:$L,L$9,операции!$O:$O,$F1422)+SUMIFS(операции!$AH:$AH,операции!$T:$T,"&lt;"&amp;I$8,операции!$X:$X,"&gt;="&amp;I$8,операции!$AB:$AB,"&lt;&gt;"&amp;"",операции!$AB:$AB,"&lt;"&amp;I$8,операции!$L:$L,L$9,операции!$O:$O,$F1422))/L1427)</f>
        <v>0</v>
      </c>
      <c r="M1430" s="274"/>
      <c r="N1430" s="193">
        <f>IF(N1427=0,0,(SUMIFS(операции!$AH:$AH,операции!$T:$T,"&lt;"&amp;N$8,операции!$X:$X,"",операции!$AB:$AB,"&lt;&gt;"&amp;"",операции!$AB:$AB,"&lt;"&amp;N$8,операции!$O:$O,$F1422)+SUMIFS(операции!$AH:$AH,операции!$T:$T,"&lt;"&amp;N$8,операции!$X:$X,"&gt;="&amp;N$8,операции!$AB:$AB,"&lt;&gt;"&amp;"",операции!$AB:$AB,"&lt;"&amp;N$8,операции!$O:$O,$F1422))/N1427)</f>
        <v>42226.773716844946</v>
      </c>
      <c r="O1430" s="196"/>
      <c r="P1430" s="193">
        <f>IF(P1427=0,0,(SUMIFS(операции!$AH:$AH,операции!$T:$T,"&lt;"&amp;N$8,операции!$X:$X,"",операции!$AB:$AB,"&lt;&gt;"&amp;"",операции!$AB:$AB,"&lt;"&amp;N$8,операции!$L:$L,P$9,операции!$O:$O,$F1422)+SUMIFS(операции!$AH:$AH,операции!$T:$T,"&lt;"&amp;N$8,операции!$X:$X,"&gt;="&amp;N$8,операции!$AB:$AB,"&lt;&gt;"&amp;"",операции!$AB:$AB,"&lt;"&amp;N$8,операции!$L:$L,P$9,операции!$O:$O,$F1422))/P1427)</f>
        <v>42226.773716844946</v>
      </c>
      <c r="Q1430" s="237">
        <f>IF(Q1427=0,0,(SUMIFS(операции!$AH:$AH,операции!$T:$T,"&lt;"&amp;N$8,операции!$X:$X,"",операции!$AB:$AB,"&lt;&gt;"&amp;"",операции!$AB:$AB,"&lt;"&amp;N$8,операции!$L:$L,Q$9,операции!$O:$O,$F1422)+SUMIFS(операции!$AH:$AH,операции!$T:$T,"&lt;"&amp;N$8,операции!$X:$X,"&gt;="&amp;N$8,операции!$AB:$AB,"&lt;&gt;"&amp;"",операции!$AB:$AB,"&lt;"&amp;N$8,операции!$L:$L,Q$9,операции!$O:$O,$F1422))/Q1427)</f>
        <v>0</v>
      </c>
      <c r="R1430" s="238"/>
      <c r="S1430" s="193">
        <f>IF(S1427=0,0,(SUMIFS(операции!$AH:$AH,операции!$T:$T,"&lt;"&amp;S$8,операции!$X:$X,"",операции!$AB:$AB,"&lt;&gt;"&amp;"",операции!$AB:$AB,"&lt;"&amp;S$8,операции!$O:$O,$F1422)+SUMIFS(операции!$AH:$AH,операции!$T:$T,"&lt;"&amp;S$8,операции!$X:$X,"&gt;="&amp;S$8,операции!$AB:$AB,"&lt;&gt;"&amp;"",операции!$AB:$AB,"&lt;"&amp;S$8,операции!$O:$O,$F1422))/S1427)</f>
        <v>42247.213414593331</v>
      </c>
      <c r="T1430" s="196"/>
      <c r="U1430" s="193">
        <f>IF(U1427=0,0,(SUMIFS(операции!$AH:$AH,операции!$T:$T,"&lt;"&amp;S$8,операции!$X:$X,"",операции!$AB:$AB,"&lt;&gt;"&amp;"",операции!$AB:$AB,"&lt;"&amp;S$8,операции!$L:$L,U$9,операции!$O:$O,$F1422)+SUMIFS(операции!$AH:$AH,операции!$T:$T,"&lt;"&amp;S$8,операции!$X:$X,"&gt;="&amp;S$8,операции!$AB:$AB,"&lt;&gt;"&amp;"",операции!$AB:$AB,"&lt;"&amp;S$8,операции!$L:$L,U$9,операции!$O:$O,$F1422))/U1427)</f>
        <v>42247.213414593331</v>
      </c>
      <c r="V1430" s="237">
        <f>IF(V1427=0,0,(SUMIFS(операции!$AH:$AH,операции!$T:$T,"&lt;"&amp;S$8,операции!$X:$X,"",операции!$AB:$AB,"&lt;&gt;"&amp;"",операции!$AB:$AB,"&lt;"&amp;S$8,операции!$L:$L,V$9,операции!$O:$O,$F1422)+SUMIFS(операции!$AH:$AH,операции!$T:$T,"&lt;"&amp;S$8,операции!$X:$X,"&gt;="&amp;S$8,операции!$AB:$AB,"&lt;&gt;"&amp;"",операции!$AB:$AB,"&lt;"&amp;S$8,операции!$L:$L,V$9,операции!$O:$O,$F1422))/V1427)</f>
        <v>0</v>
      </c>
      <c r="W1430" s="238"/>
      <c r="X1430" s="193">
        <f>IF(X1427=0,0,(SUMIFS(операции!$AH:$AH,операции!$T:$T,"&lt;"&amp;X$8,операции!$X:$X,"",операции!$AB:$AB,"&lt;&gt;"&amp;"",операции!$AB:$AB,"&lt;"&amp;X$8,операции!$O:$O,$F1422)+SUMIFS(операции!$AH:$AH,операции!$T:$T,"&lt;"&amp;X$8,операции!$X:$X,"&gt;="&amp;X$8,операции!$AB:$AB,"&lt;&gt;"&amp;"",операции!$AB:$AB,"&lt;"&amp;X$8,операции!$O:$O,$F1422))/X1427)</f>
        <v>42236.905280357641</v>
      </c>
      <c r="Y1430" s="196"/>
      <c r="Z1430" s="193">
        <f>IF(Z1427=0,0,(SUMIFS(операции!$AH:$AH,операции!$T:$T,"&lt;"&amp;X$8,операции!$X:$X,"",операции!$AB:$AB,"&lt;&gt;"&amp;"",операции!$AB:$AB,"&lt;"&amp;X$8,операции!$L:$L,Z$9,операции!$O:$O,$F1422)+SUMIFS(операции!$AH:$AH,операции!$T:$T,"&lt;"&amp;X$8,операции!$X:$X,"&gt;="&amp;X$8,операции!$AB:$AB,"&lt;&gt;"&amp;"",операции!$AB:$AB,"&lt;"&amp;X$8,операции!$L:$L,Z$9,операции!$O:$O,$F1422))/Z1427)</f>
        <v>42236.905280357641</v>
      </c>
      <c r="AA1430" s="237">
        <f>IF(AA1427=0,0,(SUMIFS(операции!$AH:$AH,операции!$T:$T,"&lt;"&amp;X$8,операции!$X:$X,"",операции!$AB:$AB,"&lt;&gt;"&amp;"",операции!$AB:$AB,"&lt;"&amp;X$8,операции!$L:$L,AA$9,операции!$O:$O,$F1422)+SUMIFS(операции!$AH:$AH,операции!$T:$T,"&lt;"&amp;X$8,операции!$X:$X,"&gt;="&amp;X$8,операции!$AB:$AB,"&lt;&gt;"&amp;"",операции!$AB:$AB,"&lt;"&amp;X$8,операции!$L:$L,AA$9,операции!$O:$O,$F1422))/AA1427)</f>
        <v>0</v>
      </c>
      <c r="AB1430" s="265"/>
      <c r="AC1430" s="37"/>
      <c r="AD1430" s="37"/>
      <c r="AE1430" s="37"/>
      <c r="AF1430" s="37"/>
      <c r="AG1430" s="37"/>
      <c r="AH1430" s="37"/>
      <c r="AI1430" s="37"/>
      <c r="AJ1430" s="37"/>
      <c r="AK1430" s="37"/>
      <c r="AL1430" s="37"/>
      <c r="AM1430" s="37"/>
      <c r="AN1430" s="37"/>
      <c r="AO1430" s="37"/>
      <c r="AP1430" s="37"/>
    </row>
    <row r="1431" spans="1:42" s="192" customFormat="1" ht="11.25">
      <c r="A1431" s="37"/>
      <c r="B1431" s="37"/>
      <c r="C1431" s="37"/>
      <c r="D1431" s="191"/>
      <c r="E1431" s="191" t="s">
        <v>265</v>
      </c>
      <c r="F1431" s="191" t="str">
        <f t="shared" si="2522"/>
        <v>ОдеждаКомп</v>
      </c>
      <c r="G1431" s="191" t="s">
        <v>219</v>
      </c>
      <c r="H1431" s="315"/>
      <c r="I1431" s="329">
        <f>I1430-I1428</f>
        <v>20.221680599141109</v>
      </c>
      <c r="J1431" s="317"/>
      <c r="K1431" s="329">
        <f t="shared" ref="K1431" si="2535">K1430-K1428</f>
        <v>20.221680599141109</v>
      </c>
      <c r="L1431" s="330">
        <f>L1430-L1428</f>
        <v>0</v>
      </c>
      <c r="M1431" s="274"/>
      <c r="N1431" s="156">
        <f>N1430-N1428</f>
        <v>20.221680599141109</v>
      </c>
      <c r="O1431" s="196"/>
      <c r="P1431" s="156">
        <f t="shared" ref="P1431" si="2536">P1430-P1428</f>
        <v>20.221680599141109</v>
      </c>
      <c r="Q1431" s="245">
        <f>Q1430-Q1428</f>
        <v>0</v>
      </c>
      <c r="R1431" s="238"/>
      <c r="S1431" s="156">
        <f>S1430-S1428</f>
        <v>26.111488038186508</v>
      </c>
      <c r="T1431" s="196"/>
      <c r="U1431" s="156">
        <f t="shared" ref="U1431" si="2537">U1430-U1428</f>
        <v>26.111488038186508</v>
      </c>
      <c r="V1431" s="245">
        <f>V1430-V1428</f>
        <v>0</v>
      </c>
      <c r="W1431" s="238"/>
      <c r="X1431" s="156">
        <f>X1430-X1428</f>
        <v>23.10889219341334</v>
      </c>
      <c r="Y1431" s="196"/>
      <c r="Z1431" s="156">
        <f t="shared" ref="Z1431" si="2538">Z1430-Z1428</f>
        <v>23.10889219341334</v>
      </c>
      <c r="AA1431" s="245">
        <f>AA1430-AA1428</f>
        <v>0</v>
      </c>
      <c r="AB1431" s="265"/>
      <c r="AC1431" s="37"/>
      <c r="AD1431" s="37"/>
      <c r="AE1431" s="37"/>
      <c r="AF1431" s="37"/>
      <c r="AG1431" s="37"/>
      <c r="AH1431" s="37"/>
      <c r="AI1431" s="37"/>
      <c r="AJ1431" s="37"/>
      <c r="AK1431" s="37"/>
      <c r="AL1431" s="37"/>
      <c r="AM1431" s="37"/>
      <c r="AN1431" s="37"/>
      <c r="AO1431" s="37"/>
      <c r="AP1431" s="37"/>
    </row>
    <row r="1432" spans="1:42" s="192" customFormat="1" ht="11.25">
      <c r="A1432" s="37"/>
      <c r="B1432" s="37"/>
      <c r="C1432" s="37"/>
      <c r="D1432" s="191"/>
      <c r="E1432" s="191" t="s">
        <v>268</v>
      </c>
      <c r="F1432" s="191" t="str">
        <f t="shared" si="2522"/>
        <v>ОдеждаКомп</v>
      </c>
      <c r="G1432" s="191" t="s">
        <v>219</v>
      </c>
      <c r="H1432" s="315"/>
      <c r="I1432" s="329">
        <f>I1429-I1431</f>
        <v>51.226283155054261</v>
      </c>
      <c r="J1432" s="317"/>
      <c r="K1432" s="329">
        <f t="shared" ref="K1432" si="2539">K1429-K1431</f>
        <v>51.226283155054261</v>
      </c>
      <c r="L1432" s="330">
        <f t="shared" ref="L1432" si="2540">L1429-L1431</f>
        <v>0</v>
      </c>
      <c r="M1432" s="274"/>
      <c r="N1432" s="156">
        <f>N1429-N1431</f>
        <v>51.226283155054261</v>
      </c>
      <c r="O1432" s="196"/>
      <c r="P1432" s="156">
        <f t="shared" ref="P1432" si="2541">P1429-P1431</f>
        <v>51.226283155054261</v>
      </c>
      <c r="Q1432" s="245">
        <f t="shared" ref="Q1432" si="2542">Q1429-Q1431</f>
        <v>0</v>
      </c>
      <c r="R1432" s="238"/>
      <c r="S1432" s="156">
        <f>S1429-S1431</f>
        <v>61.786585406669474</v>
      </c>
      <c r="T1432" s="196"/>
      <c r="U1432" s="156">
        <f t="shared" ref="U1432" si="2543">U1429-U1431</f>
        <v>61.786585406669474</v>
      </c>
      <c r="V1432" s="245">
        <f t="shared" ref="V1432" si="2544">V1429-V1431</f>
        <v>0</v>
      </c>
      <c r="W1432" s="238"/>
      <c r="X1432" s="156">
        <f>X1429-X1431</f>
        <v>102.09471964235854</v>
      </c>
      <c r="Y1432" s="196"/>
      <c r="Z1432" s="156">
        <f t="shared" ref="Z1432" si="2545">Z1429-Z1431</f>
        <v>102.09471964235854</v>
      </c>
      <c r="AA1432" s="245">
        <f t="shared" ref="AA1432" si="2546">AA1429-AA1431</f>
        <v>0</v>
      </c>
      <c r="AB1432" s="265"/>
      <c r="AC1432" s="37"/>
      <c r="AD1432" s="37"/>
      <c r="AE1432" s="37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</row>
    <row r="1433" spans="1:42" s="5" customFormat="1">
      <c r="A1433" s="1"/>
      <c r="B1433" s="1"/>
      <c r="C1433" s="1"/>
      <c r="D1433" s="168"/>
      <c r="E1433" s="168" t="s">
        <v>276</v>
      </c>
      <c r="F1433" s="168" t="str">
        <f t="shared" si="2522"/>
        <v>ОдеждаКомп</v>
      </c>
      <c r="G1433" s="168" t="s">
        <v>261</v>
      </c>
      <c r="H1433" s="326"/>
      <c r="I1433" s="327">
        <f>SUMIFS(операции!$V:$V,операции!$T:$T,"&lt;"&amp;I$8,операции!$X:$X,"",операции!$AB:$AB,"",операции!$O:$O,$F1422)+SUMIFS(операции!$V:$V,операции!$T:$T,"&lt;"&amp;I$8,операции!$X:$X,"&gt;="&amp;I$8,операции!$AB:$AB,"",операции!$O:$O,$F1422)+SUMIFS(операции!$V:$V,операции!$T:$T,"&lt;"&amp;I$8,операции!$X:$X,"",операции!$AB:$AB,"&gt;="&amp;I$8,операции!$O:$O,$F1422)+SUMIFS(операции!$V:$V,операции!$T:$T,"&lt;"&amp;I$8,операции!$X:$X,"&gt;="&amp;I$8,операции!$AB:$AB,"&gt;="&amp;I$8,операции!$O:$O,$F1422)</f>
        <v>59518.38</v>
      </c>
      <c r="J1433" s="313">
        <f>I1433-K1433-L1433</f>
        <v>0</v>
      </c>
      <c r="K1433" s="327">
        <f>SUMIFS(операции!$V:$V,операции!$T:$T,"&lt;"&amp;I$8,операции!$X:$X,"",операции!$AB:$AB,"",операции!$L:$L,K$9,операции!$O:$O,$F1422)+SUMIFS(операции!$V:$V,операции!$T:$T,"&lt;"&amp;I$8,операции!$X:$X,"&gt;="&amp;I$8,операции!$AB:$AB,"",операции!$L:$L,K$9,операции!$O:$O,$F1422)+SUMIFS(операции!$V:$V,операции!$T:$T,"&lt;"&amp;I$8,операции!$X:$X,"",операции!$AB:$AB,"&gt;="&amp;I$8,операции!$L:$L,K$9,операции!$O:$O,$F1422)+SUMIFS(операции!$V:$V,операции!$T:$T,"&lt;"&amp;I$8,операции!$X:$X,"&gt;="&amp;I$8,операции!$AB:$AB,"&gt;="&amp;I$8,операции!$L:$L,K$9,операции!$O:$O,$F1422)</f>
        <v>59518.38</v>
      </c>
      <c r="L1433" s="328">
        <f>SUMIFS(операции!$V:$V,операции!$T:$T,"&lt;"&amp;I$8,операции!$X:$X,"",операции!$AB:$AB,"",операции!$L:$L,L$9,операции!$O:$O,$F1422)+SUMIFS(операции!$V:$V,операции!$T:$T,"&lt;"&amp;I$8,операции!$X:$X,"&gt;="&amp;I$8,операции!$AB:$AB,"",операции!$L:$L,L$9,операции!$O:$O,$F1422)+SUMIFS(операции!$V:$V,операции!$T:$T,"&lt;"&amp;I$8,операции!$X:$X,"",операции!$AB:$AB,"&gt;="&amp;I$8,операции!$L:$L,L$9,операции!$O:$O,$F1422)+SUMIFS(операции!$V:$V,операции!$T:$T,"&lt;"&amp;I$8,операции!$X:$X,"&gt;="&amp;I$8,операции!$AB:$AB,"&gt;="&amp;I$8,операции!$L:$L,L$9,операции!$O:$O,$F1422)</f>
        <v>0</v>
      </c>
      <c r="M1433" s="277"/>
      <c r="N1433" s="169">
        <f>SUMIFS(операции!$V:$V,операции!$T:$T,"&lt;"&amp;N$8,операции!$X:$X,"",операции!$AB:$AB,"",операции!$O:$O,$F1422)+SUMIFS(операции!$V:$V,операции!$T:$T,"&lt;"&amp;N$8,операции!$X:$X,"&gt;="&amp;N$8,операции!$AB:$AB,"",операции!$O:$O,$F1422)+SUMIFS(операции!$V:$V,операции!$T:$T,"&lt;"&amp;N$8,операции!$X:$X,"",операции!$AB:$AB,"&gt;="&amp;N$8,операции!$O:$O,$F1422)+SUMIFS(операции!$V:$V,операции!$T:$T,"&lt;"&amp;N$8,операции!$X:$X,"&gt;="&amp;N$8,операции!$AB:$AB,"&gt;="&amp;N$8,операции!$O:$O,$F1422)</f>
        <v>59518.38</v>
      </c>
      <c r="O1433" s="170">
        <f>N1433-P1433-Q1433</f>
        <v>0</v>
      </c>
      <c r="P1433" s="169">
        <f>SUMIFS(операции!$V:$V,операции!$T:$T,"&lt;"&amp;N$8,операции!$X:$X,"",операции!$AB:$AB,"",операции!$L:$L,P$9,операции!$O:$O,$F1422)+SUMIFS(операции!$V:$V,операции!$T:$T,"&lt;"&amp;N$8,операции!$X:$X,"&gt;="&amp;N$8,операции!$AB:$AB,"",операции!$L:$L,P$9,операции!$O:$O,$F1422)+SUMIFS(операции!$V:$V,операции!$T:$T,"&lt;"&amp;N$8,операции!$X:$X,"",операции!$AB:$AB,"&gt;="&amp;N$8,операции!$L:$L,P$9,операции!$O:$O,$F1422)+SUMIFS(операции!$V:$V,операции!$T:$T,"&lt;"&amp;N$8,операции!$X:$X,"&gt;="&amp;N$8,операции!$AB:$AB,"&gt;="&amp;N$8,операции!$L:$L,P$9,операции!$O:$O,$F1422)</f>
        <v>59518.38</v>
      </c>
      <c r="Q1433" s="243">
        <f>SUMIFS(операции!$V:$V,операции!$T:$T,"&lt;"&amp;N$8,операции!$X:$X,"",операции!$AB:$AB,"",операции!$L:$L,Q$9,операции!$O:$O,$F1422)+SUMIFS(операции!$V:$V,операции!$T:$T,"&lt;"&amp;N$8,операции!$X:$X,"&gt;="&amp;N$8,операции!$AB:$AB,"",операции!$L:$L,Q$9,операции!$O:$O,$F1422)+SUMIFS(операции!$V:$V,операции!$T:$T,"&lt;"&amp;N$8,операции!$X:$X,"",операции!$AB:$AB,"&gt;="&amp;N$8,операции!$L:$L,Q$9,операции!$O:$O,$F1422)+SUMIFS(операции!$V:$V,операции!$T:$T,"&lt;"&amp;N$8,операции!$X:$X,"&gt;="&amp;N$8,операции!$AB:$AB,"&gt;="&amp;N$8,операции!$L:$L,Q$9,операции!$O:$O,$F1422)</f>
        <v>0</v>
      </c>
      <c r="R1433" s="244"/>
      <c r="S1433" s="169">
        <f>SUMIFS(операции!$V:$V,операции!$T:$T,"&lt;"&amp;S$8,операции!$X:$X,"",операции!$AB:$AB,"",операции!$O:$O,$F1422)+SUMIFS(операции!$V:$V,операции!$T:$T,"&lt;"&amp;S$8,операции!$X:$X,"&gt;="&amp;S$8,операции!$AB:$AB,"",операции!$O:$O,$F1422)+SUMIFS(операции!$V:$V,операции!$T:$T,"&lt;"&amp;S$8,операции!$X:$X,"",операции!$AB:$AB,"&gt;="&amp;S$8,операции!$O:$O,$F1422)+SUMIFS(операции!$V:$V,операции!$T:$T,"&lt;"&amp;S$8,операции!$X:$X,"&gt;="&amp;S$8,операции!$AB:$AB,"&gt;="&amp;S$8,операции!$O:$O,$F1422)</f>
        <v>1369.79</v>
      </c>
      <c r="T1433" s="170">
        <f>S1433-U1433-V1433</f>
        <v>0</v>
      </c>
      <c r="U1433" s="169">
        <f>SUMIFS(операции!$V:$V,операции!$T:$T,"&lt;"&amp;S$8,операции!$X:$X,"",операции!$AB:$AB,"",операции!$L:$L,U$9,операции!$O:$O,$F1422)+SUMIFS(операции!$V:$V,операции!$T:$T,"&lt;"&amp;S$8,операции!$X:$X,"&gt;="&amp;S$8,операции!$AB:$AB,"",операции!$L:$L,U$9,операции!$O:$O,$F1422)+SUMIFS(операции!$V:$V,операции!$T:$T,"&lt;"&amp;S$8,операции!$X:$X,"",операции!$AB:$AB,"&gt;="&amp;S$8,операции!$L:$L,U$9,операции!$O:$O,$F1422)+SUMIFS(операции!$V:$V,операции!$T:$T,"&lt;"&amp;S$8,операции!$X:$X,"&gt;="&amp;S$8,операции!$AB:$AB,"&gt;="&amp;S$8,операции!$L:$L,U$9,операции!$O:$O,$F1422)</f>
        <v>1369.79</v>
      </c>
      <c r="V1433" s="243">
        <f>SUMIFS(операции!$V:$V,операции!$T:$T,"&lt;"&amp;S$8,операции!$X:$X,"",операции!$AB:$AB,"",операции!$L:$L,V$9,операции!$O:$O,$F1422)+SUMIFS(операции!$V:$V,операции!$T:$T,"&lt;"&amp;S$8,операции!$X:$X,"&gt;="&amp;S$8,операции!$AB:$AB,"",операции!$L:$L,V$9,операции!$O:$O,$F1422)+SUMIFS(операции!$V:$V,операции!$T:$T,"&lt;"&amp;S$8,операции!$X:$X,"",операции!$AB:$AB,"&gt;="&amp;S$8,операции!$L:$L,V$9,операции!$O:$O,$F1422)+SUMIFS(операции!$V:$V,операции!$T:$T,"&lt;"&amp;S$8,операции!$X:$X,"&gt;="&amp;S$8,операции!$AB:$AB,"&gt;="&amp;S$8,операции!$L:$L,V$9,операции!$O:$O,$F1422)</f>
        <v>0</v>
      </c>
      <c r="W1433" s="244"/>
      <c r="X1433" s="169">
        <f>SUMIFS(операции!$V:$V,операции!$T:$T,"&lt;"&amp;X$8,операции!$X:$X,"",операции!$AB:$AB,"",операции!$O:$O,$F1422)+SUMIFS(операции!$V:$V,операции!$T:$T,"&lt;"&amp;X$8,операции!$X:$X,"&gt;="&amp;X$8,операции!$AB:$AB,"",операции!$O:$O,$F1422)+SUMIFS(операции!$V:$V,операции!$T:$T,"&lt;"&amp;X$8,операции!$X:$X,"",операции!$AB:$AB,"&gt;="&amp;X$8,операции!$O:$O,$F1422)+SUMIFS(операции!$V:$V,операции!$T:$T,"&lt;"&amp;X$8,операции!$X:$X,"&gt;="&amp;X$8,операции!$AB:$AB,"&gt;="&amp;X$8,операции!$O:$O,$F1422)</f>
        <v>1369.79</v>
      </c>
      <c r="Y1433" s="170">
        <f>X1433-Z1433-AA1433</f>
        <v>0</v>
      </c>
      <c r="Z1433" s="169">
        <f>SUMIFS(операции!$V:$V,операции!$T:$T,"&lt;"&amp;X$8,операции!$X:$X,"",операции!$AB:$AB,"",операции!$L:$L,Z$9,операции!$O:$O,$F1422)+SUMIFS(операции!$V:$V,операции!$T:$T,"&lt;"&amp;X$8,операции!$X:$X,"&gt;="&amp;X$8,операции!$AB:$AB,"",операции!$L:$L,Z$9,операции!$O:$O,$F1422)+SUMIFS(операции!$V:$V,операции!$T:$T,"&lt;"&amp;X$8,операции!$X:$X,"",операции!$AB:$AB,"&gt;="&amp;X$8,операции!$L:$L,Z$9,операции!$O:$O,$F1422)+SUMIFS(операции!$V:$V,операции!$T:$T,"&lt;"&amp;X$8,операции!$X:$X,"&gt;="&amp;X$8,операции!$AB:$AB,"&gt;="&amp;X$8,операции!$L:$L,Z$9,операции!$O:$O,$F1422)</f>
        <v>1369.79</v>
      </c>
      <c r="AA1433" s="243">
        <f>SUMIFS(операции!$V:$V,операции!$T:$T,"&lt;"&amp;X$8,операции!$X:$X,"",операции!$AB:$AB,"",операции!$L:$L,AA$9,операции!$O:$O,$F1422)+SUMIFS(операции!$V:$V,операции!$T:$T,"&lt;"&amp;X$8,операции!$X:$X,"&gt;="&amp;X$8,операции!$AB:$AB,"",операции!$L:$L,AA$9,операции!$O:$O,$F1422)+SUMIFS(операции!$V:$V,операции!$T:$T,"&lt;"&amp;X$8,операции!$X:$X,"",операции!$AB:$AB,"&gt;="&amp;X$8,операции!$L:$L,AA$9,операции!$O:$O,$F1422)+SUMIFS(операции!$V:$V,операции!$T:$T,"&lt;"&amp;X$8,операции!$X:$X,"&gt;="&amp;X$8,операции!$AB:$AB,"&gt;="&amp;X$8,операции!$L:$L,AA$9,операции!$O:$O,$F1422)</f>
        <v>0</v>
      </c>
      <c r="AB1433" s="266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</row>
    <row r="1434" spans="1:42" s="192" customFormat="1" ht="11.25">
      <c r="A1434" s="37"/>
      <c r="B1434" s="37"/>
      <c r="C1434" s="37"/>
      <c r="D1434" s="191"/>
      <c r="E1434" s="191" t="s">
        <v>255</v>
      </c>
      <c r="F1434" s="191" t="str">
        <f t="shared" si="2522"/>
        <v>ОдеждаКомп</v>
      </c>
      <c r="G1434" s="191" t="s">
        <v>262</v>
      </c>
      <c r="H1434" s="315"/>
      <c r="I1434" s="316">
        <f>IF(I1433=0,0,(SUMIFS(операции!$AF:$AF,операции!$T:$T,"&lt;"&amp;I$8,операции!$X:$X,"",операции!$AB:$AB,"",операции!$O:$O,$F1422)+SUMIFS(операции!$AF:$AF,операции!$T:$T,"&lt;"&amp;I$8,операции!$X:$X,"&gt;="&amp;I$8,операции!$AB:$AB,"",операции!$O:$O,$F1422)+SUMIFS(операции!$AF:$AF,операции!$T:$T,"&lt;"&amp;I$8,операции!$X:$X,"",операции!$AB:$AB,"&gt;="&amp;I$8,операции!$O:$O,$F1422)+SUMIFS(операции!$AF:$AF,операции!$T:$T,"&lt;"&amp;I$8,операции!$X:$X,"&gt;="&amp;I$8,операции!$AB:$AB,"&gt;="&amp;I$8,операции!$O:$O,$F1422))/I1433)</f>
        <v>42244.428902466774</v>
      </c>
      <c r="J1434" s="317"/>
      <c r="K1434" s="316">
        <f>IF(K1433=0,0,(SUMIFS(операции!$AF:$AF,операции!$T:$T,"&lt;"&amp;I$8,операции!$X:$X,"",операции!$AB:$AB,"",операции!$L:$L,K$9,операции!$O:$O,$F1422)+SUMIFS(операции!$AF:$AF,операции!$T:$T,"&lt;"&amp;I$8,операции!$X:$X,"&gt;="&amp;I$8,операции!$AB:$AB,"",операции!$L:$L,K$9,операции!$O:$O,$F1422)+SUMIFS(операции!$AF:$AF,операции!$T:$T,"&lt;"&amp;I$8,операции!$X:$X,"",операции!$AB:$AB,"&gt;="&amp;I$8,операции!$L:$L,K$9,операции!$O:$O,$F1422)+SUMIFS(операции!$AF:$AF,операции!$T:$T,"&lt;"&amp;I$8,операции!$X:$X,"&gt;="&amp;I$8,операции!$AB:$AB,"&gt;="&amp;I$8,операции!$L:$L,K$9,операции!$O:$O,$F1422))/K1433)</f>
        <v>42244.428902466774</v>
      </c>
      <c r="L1434" s="318">
        <f>IF(L1433=0,0,(SUMIFS(операции!$AF:$AF,операции!$T:$T,"&lt;"&amp;I$8,операции!$X:$X,"",операции!$AB:$AB,"",операции!$L:$L,L$9,операции!$O:$O,$F1422)+SUMIFS(операции!$AF:$AF,операции!$T:$T,"&lt;"&amp;I$8,операции!$X:$X,"&gt;="&amp;I$8,операции!$AB:$AB,"",операции!$L:$L,L$9,операции!$O:$O,$F1422)+SUMIFS(операции!$AF:$AF,операции!$T:$T,"&lt;"&amp;I$8,операции!$X:$X,"",операции!$AB:$AB,"&gt;="&amp;I$8,операции!$L:$L,L$9,операции!$O:$O,$F1422)+SUMIFS(операции!$AF:$AF,операции!$T:$T,"&lt;"&amp;I$8,операции!$X:$X,"&gt;="&amp;I$8,операции!$AB:$AB,"&gt;="&amp;I$8,операции!$L:$L,L$9,операции!$O:$O,$F1422))/L1433)</f>
        <v>0</v>
      </c>
      <c r="M1434" s="274"/>
      <c r="N1434" s="193">
        <f>IF(N1433=0,0,(SUMIFS(операции!$AF:$AF,операции!$T:$T,"&lt;"&amp;N$8,операции!$X:$X,"",операции!$AB:$AB,"",операции!$O:$O,$F1422)+SUMIFS(операции!$AF:$AF,операции!$T:$T,"&lt;"&amp;N$8,операции!$X:$X,"&gt;="&amp;N$8,операции!$AB:$AB,"",операции!$O:$O,$F1422)+SUMIFS(операции!$AF:$AF,операции!$T:$T,"&lt;"&amp;N$8,операции!$X:$X,"",операции!$AB:$AB,"&gt;="&amp;N$8,операции!$O:$O,$F1422)+SUMIFS(операции!$AF:$AF,операции!$T:$T,"&lt;"&amp;N$8,операции!$X:$X,"&gt;="&amp;N$8,операции!$AB:$AB,"&gt;="&amp;N$8,операции!$O:$O,$F1422))/N1433)</f>
        <v>42244.428902466774</v>
      </c>
      <c r="O1434" s="196"/>
      <c r="P1434" s="193">
        <f>IF(P1433=0,0,(SUMIFS(операции!$AF:$AF,операции!$T:$T,"&lt;"&amp;N$8,операции!$X:$X,"",операции!$AB:$AB,"",операции!$L:$L,P$9,операции!$O:$O,$F1422)+SUMIFS(операции!$AF:$AF,операции!$T:$T,"&lt;"&amp;N$8,операции!$X:$X,"&gt;="&amp;N$8,операции!$AB:$AB,"",операции!$L:$L,P$9,операции!$O:$O,$F1422)+SUMIFS(операции!$AF:$AF,операции!$T:$T,"&lt;"&amp;N$8,операции!$X:$X,"",операции!$AB:$AB,"&gt;="&amp;N$8,операции!$L:$L,P$9,операции!$O:$O,$F1422)+SUMIFS(операции!$AF:$AF,операции!$T:$T,"&lt;"&amp;N$8,операции!$X:$X,"&gt;="&amp;N$8,операции!$AB:$AB,"&gt;="&amp;N$8,операции!$L:$L,P$9,операции!$O:$O,$F1422))/P1433)</f>
        <v>42244.428902466774</v>
      </c>
      <c r="Q1434" s="237">
        <f>IF(Q1433=0,0,(SUMIFS(операции!$AF:$AF,операции!$T:$T,"&lt;"&amp;N$8,операции!$X:$X,"",операции!$AB:$AB,"",операции!$L:$L,Q$9,операции!$O:$O,$F1422)+SUMIFS(операции!$AF:$AF,операции!$T:$T,"&lt;"&amp;N$8,операции!$X:$X,"&gt;="&amp;N$8,операции!$AB:$AB,"",операции!$L:$L,Q$9,операции!$O:$O,$F1422)+SUMIFS(операции!$AF:$AF,операции!$T:$T,"&lt;"&amp;N$8,операции!$X:$X,"",операции!$AB:$AB,"&gt;="&amp;N$8,операции!$L:$L,Q$9,операции!$O:$O,$F1422)+SUMIFS(операции!$AF:$AF,операции!$T:$T,"&lt;"&amp;N$8,операции!$X:$X,"&gt;="&amp;N$8,операции!$AB:$AB,"&gt;="&amp;N$8,операции!$L:$L,Q$9,операции!$O:$O,$F1422))/Q1433)</f>
        <v>0</v>
      </c>
      <c r="R1434" s="238"/>
      <c r="S1434" s="193">
        <f>IF(S1433=0,0,(SUMIFS(операции!$AF:$AF,операции!$T:$T,"&lt;"&amp;S$8,операции!$X:$X,"",операции!$AB:$AB,"",операции!$O:$O,$F1422)+SUMIFS(операции!$AF:$AF,операции!$T:$T,"&lt;"&amp;S$8,операции!$X:$X,"&gt;="&amp;S$8,операции!$AB:$AB,"",операции!$O:$O,$F1422)+SUMIFS(операции!$AF:$AF,операции!$T:$T,"&lt;"&amp;S$8,операции!$X:$X,"",операции!$AB:$AB,"&gt;="&amp;S$8,операции!$O:$O,$F1422)+SUMIFS(операции!$AF:$AF,операции!$T:$T,"&lt;"&amp;S$8,операции!$X:$X,"&gt;="&amp;S$8,операции!$AB:$AB,"&gt;="&amp;S$8,операции!$O:$O,$F1422))/S1433)</f>
        <v>42157</v>
      </c>
      <c r="T1434" s="196"/>
      <c r="U1434" s="193">
        <f>IF(U1433=0,0,(SUMIFS(операции!$AF:$AF,операции!$T:$T,"&lt;"&amp;S$8,операции!$X:$X,"",операции!$AB:$AB,"",операции!$L:$L,U$9,операции!$O:$O,$F1422)+SUMIFS(операции!$AF:$AF,операции!$T:$T,"&lt;"&amp;S$8,операции!$X:$X,"&gt;="&amp;S$8,операции!$AB:$AB,"",операции!$L:$L,U$9,операции!$O:$O,$F1422)+SUMIFS(операции!$AF:$AF,операции!$T:$T,"&lt;"&amp;S$8,операции!$X:$X,"",операции!$AB:$AB,"&gt;="&amp;S$8,операции!$L:$L,U$9,операции!$O:$O,$F1422)+SUMIFS(операции!$AF:$AF,операции!$T:$T,"&lt;"&amp;S$8,операции!$X:$X,"&gt;="&amp;S$8,операции!$AB:$AB,"&gt;="&amp;S$8,операции!$L:$L,U$9,операции!$O:$O,$F1422))/U1433)</f>
        <v>42157</v>
      </c>
      <c r="V1434" s="237">
        <f>IF(V1433=0,0,(SUMIFS(операции!$AF:$AF,операции!$T:$T,"&lt;"&amp;S$8,операции!$X:$X,"",операции!$AB:$AB,"",операции!$L:$L,V$9,операции!$O:$O,$F1422)+SUMIFS(операции!$AF:$AF,операции!$T:$T,"&lt;"&amp;S$8,операции!$X:$X,"&gt;="&amp;S$8,операции!$AB:$AB,"",операции!$L:$L,V$9,операции!$O:$O,$F1422)+SUMIFS(операции!$AF:$AF,операции!$T:$T,"&lt;"&amp;S$8,операции!$X:$X,"",операции!$AB:$AB,"&gt;="&amp;S$8,операции!$L:$L,V$9,операции!$O:$O,$F1422)+SUMIFS(операции!$AF:$AF,операции!$T:$T,"&lt;"&amp;S$8,операции!$X:$X,"&gt;="&amp;S$8,операции!$AB:$AB,"&gt;="&amp;S$8,операции!$L:$L,V$9,операции!$O:$O,$F1422))/V1433)</f>
        <v>0</v>
      </c>
      <c r="W1434" s="238"/>
      <c r="X1434" s="193">
        <f>IF(X1433=0,0,(SUMIFS(операции!$AF:$AF,операции!$T:$T,"&lt;"&amp;X$8,операции!$X:$X,"",операции!$AB:$AB,"",операции!$O:$O,$F1422)+SUMIFS(операции!$AF:$AF,операции!$T:$T,"&lt;"&amp;X$8,операции!$X:$X,"&gt;="&amp;X$8,операции!$AB:$AB,"",операции!$O:$O,$F1422)+SUMIFS(операции!$AF:$AF,операции!$T:$T,"&lt;"&amp;X$8,операции!$X:$X,"",операции!$AB:$AB,"&gt;="&amp;X$8,операции!$O:$O,$F1422)+SUMIFS(операции!$AF:$AF,операции!$T:$T,"&lt;"&amp;X$8,операции!$X:$X,"&gt;="&amp;X$8,операции!$AB:$AB,"&gt;="&amp;X$8,операции!$O:$O,$F1422))/X1433)</f>
        <v>42157</v>
      </c>
      <c r="Y1434" s="196"/>
      <c r="Z1434" s="193">
        <f>IF(Z1433=0,0,(SUMIFS(операции!$AF:$AF,операции!$T:$T,"&lt;"&amp;X$8,операции!$X:$X,"",операции!$AB:$AB,"",операции!$L:$L,Z$9,операции!$O:$O,$F1422)+SUMIFS(операции!$AF:$AF,операции!$T:$T,"&lt;"&amp;X$8,операции!$X:$X,"&gt;="&amp;X$8,операции!$AB:$AB,"",операции!$L:$L,Z$9,операции!$O:$O,$F1422)+SUMIFS(операции!$AF:$AF,операции!$T:$T,"&lt;"&amp;X$8,операции!$X:$X,"",операции!$AB:$AB,"&gt;="&amp;X$8,операции!$L:$L,Z$9,операции!$O:$O,$F1422)+SUMIFS(операции!$AF:$AF,операции!$T:$T,"&lt;"&amp;X$8,операции!$X:$X,"&gt;="&amp;X$8,операции!$AB:$AB,"&gt;="&amp;X$8,операции!$L:$L,Z$9,операции!$O:$O,$F1422))/Z1433)</f>
        <v>42157</v>
      </c>
      <c r="AA1434" s="237">
        <f>IF(AA1433=0,0,(SUMIFS(операции!$AF:$AF,операции!$T:$T,"&lt;"&amp;X$8,операции!$X:$X,"",операции!$AB:$AB,"",операции!$L:$L,AA$9,операции!$O:$O,$F1422)+SUMIFS(операции!$AF:$AF,операции!$T:$T,"&lt;"&amp;X$8,операции!$X:$X,"&gt;="&amp;X$8,операции!$AB:$AB,"",операции!$L:$L,AA$9,операции!$O:$O,$F1422)+SUMIFS(операции!$AF:$AF,операции!$T:$T,"&lt;"&amp;X$8,операции!$X:$X,"",операции!$AB:$AB,"&gt;="&amp;X$8,операции!$L:$L,AA$9,операции!$O:$O,$F1422)+SUMIFS(операции!$AF:$AF,операции!$T:$T,"&lt;"&amp;X$8,операции!$X:$X,"&gt;="&amp;X$8,операции!$AB:$AB,"&gt;="&amp;X$8,операции!$L:$L,AA$9,операции!$O:$O,$F1422))/AA1433)</f>
        <v>0</v>
      </c>
      <c r="AB1434" s="265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37"/>
    </row>
    <row r="1435" spans="1:42" s="192" customFormat="1" ht="11.25">
      <c r="A1435" s="37"/>
      <c r="B1435" s="37"/>
      <c r="C1435" s="37"/>
      <c r="D1435" s="191"/>
      <c r="E1435" s="191" t="s">
        <v>263</v>
      </c>
      <c r="F1435" s="191" t="str">
        <f t="shared" si="2522"/>
        <v>ОдеждаКомп</v>
      </c>
      <c r="G1435" s="191" t="s">
        <v>219</v>
      </c>
      <c r="H1435" s="315"/>
      <c r="I1435" s="329">
        <f>IF(I1433=0,0,I$8-I1434)</f>
        <v>33.571097533225839</v>
      </c>
      <c r="J1435" s="317"/>
      <c r="K1435" s="329">
        <f>IF(K1433=0,0,I$8-K1434)</f>
        <v>33.571097533225839</v>
      </c>
      <c r="L1435" s="330">
        <f>IF(L1433=0,0,I$8-L1434)</f>
        <v>0</v>
      </c>
      <c r="M1435" s="274"/>
      <c r="N1435" s="156">
        <f>IF(N1433=0,0,N$8-N1434)</f>
        <v>33.571097533225839</v>
      </c>
      <c r="O1435" s="196"/>
      <c r="P1435" s="156">
        <f>IF(P1433=0,0,N$8-P1434)</f>
        <v>33.571097533225839</v>
      </c>
      <c r="Q1435" s="245">
        <f>IF(Q1433=0,0,N$8-Q1434)</f>
        <v>0</v>
      </c>
      <c r="R1435" s="238"/>
      <c r="S1435" s="156">
        <f>IF(S1433=0,0,S$8-S1434)</f>
        <v>152</v>
      </c>
      <c r="T1435" s="196"/>
      <c r="U1435" s="156">
        <f>IF(U1433=0,0,S$8-U1434)</f>
        <v>152</v>
      </c>
      <c r="V1435" s="245">
        <f>IF(V1433=0,0,S$8-V1434)</f>
        <v>0</v>
      </c>
      <c r="W1435" s="238"/>
      <c r="X1435" s="156">
        <f>IF(X1433=0,0,X$8-X1434)</f>
        <v>182</v>
      </c>
      <c r="Y1435" s="196"/>
      <c r="Z1435" s="156">
        <f>IF(Z1433=0,0,X$8-Z1434)</f>
        <v>182</v>
      </c>
      <c r="AA1435" s="245">
        <f>IF(AA1433=0,0,X$8-AA1434)</f>
        <v>0</v>
      </c>
      <c r="AB1435" s="265"/>
      <c r="AC1435" s="37"/>
      <c r="AD1435" s="37"/>
      <c r="AE1435" s="37"/>
      <c r="AF1435" s="37"/>
      <c r="AG1435" s="37"/>
      <c r="AH1435" s="37"/>
      <c r="AI1435" s="37"/>
      <c r="AJ1435" s="37"/>
      <c r="AK1435" s="37"/>
      <c r="AL1435" s="37"/>
      <c r="AM1435" s="37"/>
      <c r="AN1435" s="37"/>
      <c r="AO1435" s="37"/>
      <c r="AP1435" s="37"/>
    </row>
    <row r="1436" spans="1:42" s="192" customFormat="1" ht="11.25">
      <c r="A1436" s="37"/>
      <c r="B1436" s="37"/>
      <c r="C1436" s="37"/>
      <c r="D1436" s="191"/>
      <c r="E1436" s="191" t="s">
        <v>311</v>
      </c>
      <c r="F1436" s="191" t="str">
        <f t="shared" si="2522"/>
        <v>ОдеждаКомп</v>
      </c>
      <c r="G1436" s="191" t="s">
        <v>262</v>
      </c>
      <c r="H1436" s="315"/>
      <c r="I1436" s="316">
        <f>I$8</f>
        <v>42278</v>
      </c>
      <c r="J1436" s="317"/>
      <c r="K1436" s="316">
        <f>I$8</f>
        <v>42278</v>
      </c>
      <c r="L1436" s="318">
        <f>I$8</f>
        <v>42278</v>
      </c>
      <c r="M1436" s="274"/>
      <c r="N1436" s="193">
        <f>N$8</f>
        <v>42278</v>
      </c>
      <c r="O1436" s="196"/>
      <c r="P1436" s="193">
        <f>N$8</f>
        <v>42278</v>
      </c>
      <c r="Q1436" s="237">
        <f>N$8</f>
        <v>42278</v>
      </c>
      <c r="R1436" s="238"/>
      <c r="S1436" s="193">
        <f>S$8</f>
        <v>42309</v>
      </c>
      <c r="T1436" s="196"/>
      <c r="U1436" s="193">
        <f>S$8</f>
        <v>42309</v>
      </c>
      <c r="V1436" s="237">
        <f>S$8</f>
        <v>42309</v>
      </c>
      <c r="W1436" s="238"/>
      <c r="X1436" s="193">
        <f>X$8</f>
        <v>42339</v>
      </c>
      <c r="Y1436" s="196"/>
      <c r="Z1436" s="193">
        <f>X$8</f>
        <v>42339</v>
      </c>
      <c r="AA1436" s="237">
        <f>X$8</f>
        <v>42339</v>
      </c>
      <c r="AB1436" s="265"/>
      <c r="AC1436" s="37"/>
      <c r="AD1436" s="37"/>
      <c r="AE1436" s="37"/>
      <c r="AF1436" s="37"/>
      <c r="AG1436" s="37"/>
      <c r="AH1436" s="37"/>
      <c r="AI1436" s="37"/>
      <c r="AJ1436" s="37"/>
      <c r="AK1436" s="37"/>
      <c r="AL1436" s="37"/>
      <c r="AM1436" s="37"/>
      <c r="AN1436" s="37"/>
      <c r="AO1436" s="37"/>
      <c r="AP1436" s="37"/>
    </row>
    <row r="1437" spans="1:42" s="192" customFormat="1" ht="11.25">
      <c r="A1437" s="37"/>
      <c r="B1437" s="37"/>
      <c r="C1437" s="37"/>
      <c r="D1437" s="191"/>
      <c r="E1437" s="191" t="s">
        <v>264</v>
      </c>
      <c r="F1437" s="191" t="str">
        <f t="shared" si="2522"/>
        <v>ОдеждаКомп</v>
      </c>
      <c r="G1437" s="191" t="s">
        <v>219</v>
      </c>
      <c r="H1437" s="315"/>
      <c r="I1437" s="329">
        <f>IF(I1433=0,0,I1436-I1434)</f>
        <v>33.571097533225839</v>
      </c>
      <c r="J1437" s="317"/>
      <c r="K1437" s="329">
        <f>IF(K1433=0,0,K1436-K1434)</f>
        <v>33.571097533225839</v>
      </c>
      <c r="L1437" s="330">
        <f>IF(L1433=0,0,L1436-L1434)</f>
        <v>0</v>
      </c>
      <c r="M1437" s="274"/>
      <c r="N1437" s="156">
        <f>IF(N1433=0,0,N1436-N1434)</f>
        <v>33.571097533225839</v>
      </c>
      <c r="O1437" s="196"/>
      <c r="P1437" s="156">
        <f>IF(P1433=0,0,P1436-P1434)</f>
        <v>33.571097533225839</v>
      </c>
      <c r="Q1437" s="245">
        <f>IF(Q1433=0,0,Q1436-Q1434)</f>
        <v>0</v>
      </c>
      <c r="R1437" s="238"/>
      <c r="S1437" s="156">
        <f>IF(S1433=0,0,S1436-S1434)</f>
        <v>152</v>
      </c>
      <c r="T1437" s="196"/>
      <c r="U1437" s="156">
        <f>IF(U1433=0,0,U1436-U1434)</f>
        <v>152</v>
      </c>
      <c r="V1437" s="245">
        <f>IF(V1433=0,0,V1436-V1434)</f>
        <v>0</v>
      </c>
      <c r="W1437" s="238"/>
      <c r="X1437" s="156">
        <f>IF(X1433=0,0,X1436-X1434)</f>
        <v>182</v>
      </c>
      <c r="Y1437" s="196"/>
      <c r="Z1437" s="156">
        <f>IF(Z1433=0,0,Z1436-Z1434)</f>
        <v>182</v>
      </c>
      <c r="AA1437" s="245">
        <f>IF(AA1433=0,0,AA1436-AA1434)</f>
        <v>0</v>
      </c>
      <c r="AB1437" s="265"/>
      <c r="AC1437" s="37"/>
      <c r="AD1437" s="37"/>
      <c r="AE1437" s="37"/>
      <c r="AF1437" s="37"/>
      <c r="AG1437" s="37"/>
      <c r="AH1437" s="37"/>
      <c r="AI1437" s="37"/>
      <c r="AJ1437" s="37"/>
      <c r="AK1437" s="37"/>
      <c r="AL1437" s="37"/>
      <c r="AM1437" s="37"/>
      <c r="AN1437" s="37"/>
      <c r="AO1437" s="37"/>
      <c r="AP1437" s="37"/>
    </row>
    <row r="1438" spans="1:42" s="192" customFormat="1" ht="11.25">
      <c r="A1438" s="37"/>
      <c r="B1438" s="37"/>
      <c r="C1438" s="37"/>
      <c r="D1438" s="207"/>
      <c r="E1438" s="207" t="s">
        <v>269</v>
      </c>
      <c r="F1438" s="207" t="str">
        <f t="shared" si="2522"/>
        <v>ОдеждаКомп</v>
      </c>
      <c r="G1438" s="207" t="s">
        <v>219</v>
      </c>
      <c r="H1438" s="331"/>
      <c r="I1438" s="332">
        <f>I1435-I1437</f>
        <v>0</v>
      </c>
      <c r="J1438" s="333"/>
      <c r="K1438" s="332">
        <f t="shared" ref="K1438" si="2547">K1435-K1437</f>
        <v>0</v>
      </c>
      <c r="L1438" s="334">
        <f>L1435-L1437</f>
        <v>0</v>
      </c>
      <c r="M1438" s="278"/>
      <c r="N1438" s="162">
        <f>N1435-N1437</f>
        <v>0</v>
      </c>
      <c r="O1438" s="208"/>
      <c r="P1438" s="162">
        <f t="shared" ref="P1438" si="2548">P1435-P1437</f>
        <v>0</v>
      </c>
      <c r="Q1438" s="246">
        <f>Q1435-Q1437</f>
        <v>0</v>
      </c>
      <c r="R1438" s="247"/>
      <c r="S1438" s="162">
        <f>S1435-S1437</f>
        <v>0</v>
      </c>
      <c r="T1438" s="208"/>
      <c r="U1438" s="162">
        <f t="shared" ref="U1438" si="2549">U1435-U1437</f>
        <v>0</v>
      </c>
      <c r="V1438" s="246">
        <f>V1435-V1437</f>
        <v>0</v>
      </c>
      <c r="W1438" s="247"/>
      <c r="X1438" s="162">
        <f>X1435-X1437</f>
        <v>0</v>
      </c>
      <c r="Y1438" s="208"/>
      <c r="Z1438" s="162">
        <f t="shared" ref="Z1438" si="2550">Z1435-Z1437</f>
        <v>0</v>
      </c>
      <c r="AA1438" s="246">
        <f>AA1435-AA1437</f>
        <v>0</v>
      </c>
      <c r="AB1438" s="265"/>
      <c r="AC1438" s="37"/>
      <c r="AD1438" s="37"/>
      <c r="AE1438" s="37"/>
      <c r="AF1438" s="37"/>
      <c r="AG1438" s="37"/>
      <c r="AH1438" s="37"/>
      <c r="AI1438" s="37"/>
      <c r="AJ1438" s="37"/>
      <c r="AK1438" s="37"/>
      <c r="AL1438" s="37"/>
      <c r="AM1438" s="37"/>
      <c r="AN1438" s="37"/>
      <c r="AO1438" s="37"/>
      <c r="AP1438" s="37"/>
    </row>
    <row r="1439" spans="1:42" s="111" customFormat="1" ht="11.25">
      <c r="A1439" s="108"/>
      <c r="B1439" s="108"/>
      <c r="C1439" s="108" t="s">
        <v>272</v>
      </c>
      <c r="D1439" s="109"/>
      <c r="E1439" s="109"/>
      <c r="F1439" s="109" t="str">
        <f t="shared" si="2522"/>
        <v>ОдеждаКомп</v>
      </c>
      <c r="G1439" s="109"/>
      <c r="H1439" s="307"/>
      <c r="I1439" s="308">
        <f>I1440-K1440-L1440</f>
        <v>0</v>
      </c>
      <c r="J1439" s="335"/>
      <c r="K1439" s="308"/>
      <c r="L1439" s="336"/>
      <c r="M1439" s="272"/>
      <c r="N1439" s="110">
        <f>N1440-P1440-Q1440</f>
        <v>0</v>
      </c>
      <c r="O1439" s="105"/>
      <c r="P1439" s="110"/>
      <c r="Q1439" s="248"/>
      <c r="R1439" s="234"/>
      <c r="S1439" s="110">
        <f>S1440-U1440-V1440</f>
        <v>0</v>
      </c>
      <c r="T1439" s="105"/>
      <c r="U1439" s="110"/>
      <c r="V1439" s="248"/>
      <c r="W1439" s="234"/>
      <c r="X1439" s="110">
        <f>X1440-Z1440-AA1440</f>
        <v>0</v>
      </c>
      <c r="Y1439" s="105"/>
      <c r="Z1439" s="110"/>
      <c r="AA1439" s="248"/>
      <c r="AB1439" s="263"/>
      <c r="AC1439" s="108"/>
      <c r="AD1439" s="108"/>
      <c r="AE1439" s="108"/>
      <c r="AF1439" s="108"/>
      <c r="AG1439" s="108"/>
      <c r="AH1439" s="108"/>
      <c r="AI1439" s="108"/>
      <c r="AJ1439" s="108"/>
      <c r="AK1439" s="108"/>
      <c r="AL1439" s="108"/>
      <c r="AM1439" s="108"/>
      <c r="AN1439" s="108"/>
      <c r="AO1439" s="108"/>
      <c r="AP1439" s="108"/>
    </row>
    <row r="1440" spans="1:42" s="5" customFormat="1">
      <c r="A1440" s="1"/>
      <c r="B1440" s="1"/>
      <c r="C1440" s="1"/>
      <c r="D1440" s="168" t="s">
        <v>273</v>
      </c>
      <c r="E1440" s="168"/>
      <c r="F1440" s="168" t="str">
        <f t="shared" si="2522"/>
        <v>ОдеждаКомп</v>
      </c>
      <c r="G1440" s="168" t="s">
        <v>261</v>
      </c>
      <c r="H1440" s="326"/>
      <c r="I1440" s="327">
        <f>SUMIFS(операции!$V:$V,операции!$T:$T,"&gt;="&amp;I$8,операции!$T:$T,"&lt;="&amp;I$9,операции!$O:$O,$F1422)</f>
        <v>0</v>
      </c>
      <c r="J1440" s="313"/>
      <c r="K1440" s="327">
        <f>SUMIFS(операции!$V:$V,операции!$T:$T,"&gt;="&amp;I$8,операции!$T:$T,"&lt;="&amp;I$9,операции!$L:$L,K$9,операции!$O:$O,$F1422)</f>
        <v>0</v>
      </c>
      <c r="L1440" s="328">
        <f>SUMIFS(операции!$V:$V,операции!$T:$T,"&gt;="&amp;I$8,операции!$T:$T,"&lt;="&amp;I$9,операции!$L:$L,L$9,операции!$O:$O,$F1422)</f>
        <v>0</v>
      </c>
      <c r="M1440" s="277"/>
      <c r="N1440" s="169">
        <f>SUMIFS(операции!$V:$V,операции!$T:$T,"&gt;="&amp;N$8,операции!$T:$T,"&lt;="&amp;N$9,операции!$O:$O,$F1422)</f>
        <v>0</v>
      </c>
      <c r="O1440" s="170"/>
      <c r="P1440" s="169">
        <f>SUMIFS(операции!$V:$V,операции!$T:$T,"&gt;="&amp;N$8,операции!$T:$T,"&lt;="&amp;N$9,операции!$L:$L,P$9,операции!$O:$O,$F1422)</f>
        <v>0</v>
      </c>
      <c r="Q1440" s="243">
        <f>SUMIFS(операции!$V:$V,операции!$T:$T,"&gt;="&amp;N$8,операции!$T:$T,"&lt;="&amp;N$9,операции!$L:$L,Q$9,операции!$O:$O,$F1422)</f>
        <v>0</v>
      </c>
      <c r="R1440" s="244"/>
      <c r="S1440" s="169">
        <f>SUMIFS(операции!$V:$V,операции!$T:$T,"&gt;="&amp;S$8,операции!$T:$T,"&lt;="&amp;S$9,операции!$O:$O,$F1422)</f>
        <v>0</v>
      </c>
      <c r="T1440" s="170"/>
      <c r="U1440" s="169">
        <f>SUMIFS(операции!$V:$V,операции!$T:$T,"&gt;="&amp;S$8,операции!$T:$T,"&lt;="&amp;S$9,операции!$L:$L,U$9,операции!$O:$O,$F1422)</f>
        <v>0</v>
      </c>
      <c r="V1440" s="243">
        <f>SUMIFS(операции!$V:$V,операции!$T:$T,"&gt;="&amp;S$8,операции!$T:$T,"&lt;="&amp;S$9,операции!$L:$L,V$9,операции!$O:$O,$F1422)</f>
        <v>0</v>
      </c>
      <c r="W1440" s="244"/>
      <c r="X1440" s="169">
        <f>SUMIFS(операции!$V:$V,операции!$T:$T,"&gt;="&amp;X$8,операции!$T:$T,"&lt;="&amp;X$9,операции!$O:$O,$F1422)</f>
        <v>0</v>
      </c>
      <c r="Y1440" s="170"/>
      <c r="Z1440" s="169">
        <f>SUMIFS(операции!$V:$V,операции!$T:$T,"&gt;="&amp;X$8,операции!$T:$T,"&lt;="&amp;X$9,операции!$L:$L,Z$9,операции!$O:$O,$F1422)</f>
        <v>0</v>
      </c>
      <c r="AA1440" s="243">
        <f>SUMIFS(операции!$V:$V,операции!$T:$T,"&gt;="&amp;X$8,операции!$T:$T,"&lt;="&amp;X$9,операции!$L:$L,AA$9,операции!$O:$O,$F1422)</f>
        <v>0</v>
      </c>
      <c r="AB1440" s="266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</row>
    <row r="1441" spans="1:42" s="192" customFormat="1" ht="11.25">
      <c r="A1441" s="37"/>
      <c r="B1441" s="37"/>
      <c r="C1441" s="37"/>
      <c r="D1441" s="207" t="s">
        <v>255</v>
      </c>
      <c r="E1441" s="207"/>
      <c r="F1441" s="207" t="str">
        <f t="shared" si="2522"/>
        <v>ОдеждаКомп</v>
      </c>
      <c r="G1441" s="207" t="s">
        <v>262</v>
      </c>
      <c r="H1441" s="331"/>
      <c r="I1441" s="337">
        <f>IF(I1440=0,0,SUMIFS(операции!$AF:$AF,операции!$T:$T,"&gt;="&amp;I$8,операции!$T:$T,"&lt;="&amp;I$9,операции!$O:$O,$F1422)/I1440)</f>
        <v>0</v>
      </c>
      <c r="J1441" s="333"/>
      <c r="K1441" s="337">
        <f>IF(K1440=0,0,SUMIFS(операции!$AF:$AF,операции!$T:$T,"&gt;="&amp;I$8,операции!$T:$T,"&lt;="&amp;I$9,операции!$L:$L,K$9,операции!$O:$O,$F1422)/K1440)</f>
        <v>0</v>
      </c>
      <c r="L1441" s="338">
        <f>IF(L1440=0,0,SUMIFS(операции!$AF:$AF,операции!$T:$T,"&gt;="&amp;I$8,операции!$T:$T,"&lt;="&amp;I$9,операции!$L:$L,L$9,операции!$O:$O,$F1422)/L1440)</f>
        <v>0</v>
      </c>
      <c r="M1441" s="278"/>
      <c r="N1441" s="217">
        <f>IF(N1440=0,0,SUMIFS(операции!$AF:$AF,операции!$T:$T,"&gt;="&amp;N$8,операции!$T:$T,"&lt;="&amp;N$9,операции!$O:$O,$F1422)/N1440)</f>
        <v>0</v>
      </c>
      <c r="O1441" s="208"/>
      <c r="P1441" s="217">
        <f>IF(P1440=0,0,SUMIFS(операции!$AF:$AF,операции!$T:$T,"&gt;="&amp;N$8,операции!$T:$T,"&lt;="&amp;N$9,операции!$L:$L,P$9,операции!$O:$O,$F1422)/P1440)</f>
        <v>0</v>
      </c>
      <c r="Q1441" s="249">
        <f>IF(Q1440=0,0,SUMIFS(операции!$AF:$AF,операции!$T:$T,"&gt;="&amp;N$8,операции!$T:$T,"&lt;="&amp;N$9,операции!$L:$L,Q$9,операции!$O:$O,$F1422)/Q1440)</f>
        <v>0</v>
      </c>
      <c r="R1441" s="247"/>
      <c r="S1441" s="217">
        <f>IF(S1440=0,0,SUMIFS(операции!$AF:$AF,операции!$T:$T,"&gt;="&amp;S$8,операции!$T:$T,"&lt;="&amp;S$9,операции!$O:$O,$F1422)/S1440)</f>
        <v>0</v>
      </c>
      <c r="T1441" s="208"/>
      <c r="U1441" s="217">
        <f>IF(U1440=0,0,SUMIFS(операции!$AF:$AF,операции!$T:$T,"&gt;="&amp;S$8,операции!$T:$T,"&lt;="&amp;S$9,операции!$L:$L,U$9,операции!$O:$O,$F1422)/U1440)</f>
        <v>0</v>
      </c>
      <c r="V1441" s="249">
        <f>IF(V1440=0,0,SUMIFS(операции!$AF:$AF,операции!$T:$T,"&gt;="&amp;S$8,операции!$T:$T,"&lt;="&amp;S$9,операции!$L:$L,V$9,операции!$O:$O,$F1422)/V1440)</f>
        <v>0</v>
      </c>
      <c r="W1441" s="247"/>
      <c r="X1441" s="217">
        <f>IF(X1440=0,0,SUMIFS(операции!$AF:$AF,операции!$T:$T,"&gt;="&amp;X$8,операции!$T:$T,"&lt;="&amp;X$9,операции!$O:$O,$F1422)/X1440)</f>
        <v>0</v>
      </c>
      <c r="Y1441" s="208"/>
      <c r="Z1441" s="217">
        <f>IF(Z1440=0,0,SUMIFS(операции!$AF:$AF,операции!$T:$T,"&gt;="&amp;X$8,операции!$T:$T,"&lt;="&amp;X$9,операции!$L:$L,Z$9,операции!$O:$O,$F1422)/Z1440)</f>
        <v>0</v>
      </c>
      <c r="AA1441" s="249">
        <f>IF(AA1440=0,0,SUMIFS(операции!$AF:$AF,операции!$T:$T,"&gt;="&amp;X$8,операции!$T:$T,"&lt;="&amp;X$9,операции!$L:$L,AA$9,операции!$O:$O,$F1422)/AA1440)</f>
        <v>0</v>
      </c>
      <c r="AB1441" s="265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37"/>
    </row>
    <row r="1442" spans="1:42" s="93" customFormat="1" ht="15">
      <c r="A1442" s="92"/>
      <c r="B1442" s="92"/>
      <c r="C1442" s="92"/>
      <c r="D1442" s="212" t="s">
        <v>274</v>
      </c>
      <c r="E1442" s="212"/>
      <c r="F1442" s="212" t="str">
        <f t="shared" si="2522"/>
        <v>ОдеждаКомп</v>
      </c>
      <c r="G1442" s="212" t="s">
        <v>261</v>
      </c>
      <c r="H1442" s="339"/>
      <c r="I1442" s="340">
        <f>SUMIFS(операции!$Z:$Z,операции!$X:$X,"&gt;="&amp;I$8,операции!$X:$X,"&lt;="&amp;I$9,операции!$O:$O,$F1422)</f>
        <v>132850</v>
      </c>
      <c r="J1442" s="341">
        <f>I1442-I1455-I1465</f>
        <v>0</v>
      </c>
      <c r="K1442" s="340">
        <f>SUMIFS(операции!$Z:$Z,операции!$X:$X,"&gt;="&amp;I$8,операции!$X:$X,"&lt;="&amp;I$9,операции!$L:$L,K$9,операции!$O:$O,$F1422)</f>
        <v>132850</v>
      </c>
      <c r="L1442" s="342">
        <f>SUMIFS(операции!$Z:$Z,операции!$X:$X,"&gt;="&amp;I$8,операции!$X:$X,"&lt;="&amp;I$9,операции!$L:$L,L$9,операции!$O:$O,$F1422)</f>
        <v>0</v>
      </c>
      <c r="M1442" s="279"/>
      <c r="N1442" s="213">
        <f>SUMIFS(операции!$Z:$Z,операции!$X:$X,"&gt;="&amp;N$8,операции!$X:$X,"&lt;="&amp;N$9,операции!$O:$O,$F1422)</f>
        <v>28283</v>
      </c>
      <c r="O1442" s="216">
        <f>N1442-N1455-N1465</f>
        <v>0</v>
      </c>
      <c r="P1442" s="213">
        <f>SUMIFS(операции!$Z:$Z,операции!$X:$X,"&gt;="&amp;N$8,операции!$X:$X,"&lt;="&amp;N$9,операции!$L:$L,P$9,операции!$O:$O,$F1422)</f>
        <v>28283</v>
      </c>
      <c r="Q1442" s="250">
        <f>SUMIFS(операции!$Z:$Z,операции!$X:$X,"&gt;="&amp;N$8,операции!$X:$X,"&lt;="&amp;N$9,операции!$L:$L,Q$9,операции!$O:$O,$F1422)</f>
        <v>0</v>
      </c>
      <c r="R1442" s="251"/>
      <c r="S1442" s="213">
        <f>SUMIFS(операции!$Z:$Z,операции!$X:$X,"&gt;="&amp;S$8,операции!$X:$X,"&lt;="&amp;S$9,операции!$O:$O,$F1422)</f>
        <v>78817</v>
      </c>
      <c r="T1442" s="216">
        <f>S1442-S1455-S1465</f>
        <v>0</v>
      </c>
      <c r="U1442" s="213">
        <f>SUMIFS(операции!$Z:$Z,операции!$X:$X,"&gt;="&amp;S$8,операции!$X:$X,"&lt;="&amp;S$9,операции!$L:$L,U$9,операции!$O:$O,$F1422)</f>
        <v>78817</v>
      </c>
      <c r="V1442" s="250">
        <f>SUMIFS(операции!$Z:$Z,операции!$X:$X,"&gt;="&amp;S$8,операции!$X:$X,"&lt;="&amp;S$9,операции!$L:$L,V$9,операции!$O:$O,$F1422)</f>
        <v>0</v>
      </c>
      <c r="W1442" s="251"/>
      <c r="X1442" s="213">
        <f>SUMIFS(операции!$Z:$Z,операции!$X:$X,"&gt;="&amp;X$8,операции!$X:$X,"&lt;="&amp;X$9,операции!$O:$O,$F1422)</f>
        <v>25750</v>
      </c>
      <c r="Y1442" s="216">
        <f>X1442-X1455-X1465</f>
        <v>0</v>
      </c>
      <c r="Z1442" s="213">
        <f>SUMIFS(операции!$Z:$Z,операции!$X:$X,"&gt;="&amp;X$8,операции!$X:$X,"&lt;="&amp;X$9,операции!$L:$L,Z$9,операции!$O:$O,$F1422)</f>
        <v>25750</v>
      </c>
      <c r="AA1442" s="250">
        <f>SUMIFS(операции!$Z:$Z,операции!$X:$X,"&gt;="&amp;X$8,операции!$X:$X,"&lt;="&amp;X$9,операции!$L:$L,AA$9,операции!$O:$O,$F1422)</f>
        <v>0</v>
      </c>
      <c r="AB1442" s="264"/>
      <c r="AC1442" s="92"/>
      <c r="AD1442" s="92"/>
      <c r="AE1442" s="92"/>
      <c r="AF1442" s="92"/>
      <c r="AG1442" s="92"/>
      <c r="AH1442" s="92"/>
      <c r="AI1442" s="92"/>
      <c r="AJ1442" s="92"/>
      <c r="AK1442" s="92"/>
      <c r="AL1442" s="92"/>
      <c r="AM1442" s="92"/>
      <c r="AN1442" s="92"/>
      <c r="AO1442" s="92"/>
      <c r="AP1442" s="92"/>
    </row>
    <row r="1443" spans="1:42" s="407" customFormat="1" ht="11.25">
      <c r="A1443" s="404"/>
      <c r="B1443" s="404"/>
      <c r="C1443" s="404"/>
      <c r="D1443" s="405" t="s">
        <v>332</v>
      </c>
      <c r="E1443" s="405"/>
      <c r="F1443" s="405" t="str">
        <f>F1441</f>
        <v>ОдеждаКомп</v>
      </c>
      <c r="G1443" s="405" t="s">
        <v>218</v>
      </c>
      <c r="H1443" s="408"/>
      <c r="I1443" s="408">
        <f>IF(I$31=0,0,I1442/I$31)</f>
        <v>3.5810787497681802E-2</v>
      </c>
      <c r="J1443" s="409"/>
      <c r="K1443" s="408">
        <f t="shared" ref="K1443" si="2551">IF(K$31=0,0,K1442/K$31)</f>
        <v>0.10204520560361448</v>
      </c>
      <c r="L1443" s="410">
        <f t="shared" ref="L1443" si="2552">IF(L$31=0,0,L1442/L$31)</f>
        <v>0</v>
      </c>
      <c r="M1443" s="411"/>
      <c r="N1443" s="412">
        <f t="shared" ref="N1443" si="2553">IF(N$31=0,0,N1442/N$31)</f>
        <v>3.6494052281087944E-2</v>
      </c>
      <c r="O1443" s="413"/>
      <c r="P1443" s="412">
        <f t="shared" ref="P1443" si="2554">IF(P$31=0,0,P1442/P$31)</f>
        <v>5.6512200385233261E-2</v>
      </c>
      <c r="Q1443" s="414">
        <f t="shared" ref="Q1443" si="2555">IF(Q$31=0,0,Q1442/Q$31)</f>
        <v>0</v>
      </c>
      <c r="R1443" s="415"/>
      <c r="S1443" s="412">
        <f t="shared" ref="S1443" si="2556">IF(S$31=0,0,S1442/S$31)</f>
        <v>4.4411574946680979E-2</v>
      </c>
      <c r="T1443" s="413"/>
      <c r="U1443" s="412">
        <f t="shared" ref="U1443" si="2557">IF(U$31=0,0,U1442/U$31)</f>
        <v>0.12515502060325048</v>
      </c>
      <c r="V1443" s="414">
        <f t="shared" ref="V1443" si="2558">IF(V$31=0,0,V1442/V$31)</f>
        <v>0</v>
      </c>
      <c r="W1443" s="415"/>
      <c r="X1443" s="412">
        <f t="shared" ref="X1443" si="2559">IF(X$31=0,0,X1442/X$31)</f>
        <v>2.2196783319742293E-2</v>
      </c>
      <c r="Y1443" s="413"/>
      <c r="Z1443" s="412">
        <f t="shared" ref="Z1443" si="2560">IF(Z$31=0,0,Z1442/Z$31)</f>
        <v>0.15002068246301917</v>
      </c>
      <c r="AA1443" s="414">
        <f t="shared" ref="AA1443" si="2561">IF(AA$31=0,0,AA1442/AA$31)</f>
        <v>0</v>
      </c>
      <c r="AB1443" s="406"/>
      <c r="AC1443" s="404"/>
      <c r="AD1443" s="404"/>
      <c r="AE1443" s="404"/>
      <c r="AF1443" s="404"/>
      <c r="AG1443" s="404"/>
      <c r="AH1443" s="404"/>
      <c r="AI1443" s="404"/>
      <c r="AJ1443" s="404"/>
      <c r="AK1443" s="404"/>
      <c r="AL1443" s="404"/>
      <c r="AM1443" s="404"/>
      <c r="AN1443" s="404"/>
      <c r="AO1443" s="404"/>
      <c r="AP1443" s="404"/>
    </row>
    <row r="1444" spans="1:42" s="192" customFormat="1" ht="11.25">
      <c r="A1444" s="37"/>
      <c r="B1444" s="37"/>
      <c r="C1444" s="37"/>
      <c r="D1444" s="191" t="s">
        <v>331</v>
      </c>
      <c r="E1444" s="191"/>
      <c r="F1444" s="191" t="str">
        <f>F1442</f>
        <v>ОдеждаКомп</v>
      </c>
      <c r="G1444" s="191" t="s">
        <v>334</v>
      </c>
      <c r="H1444" s="315"/>
      <c r="I1444" s="329">
        <f>SUMIFS(операции!$R:$R,операции!$X:$X,"&gt;="&amp;I$8,операции!$X:$X,"&lt;="&amp;I$9,операции!$O:$O,$F1422)</f>
        <v>14</v>
      </c>
      <c r="J1444" s="317">
        <f>I1444-K1444-L1444</f>
        <v>0</v>
      </c>
      <c r="K1444" s="329">
        <f>SUMIFS(операции!$R:$R,операции!$X:$X,"&gt;="&amp;I$8,операции!$X:$X,"&lt;="&amp;I$9,операции!$L:$L,K$9,операции!$O:$O,$F1422)</f>
        <v>14</v>
      </c>
      <c r="L1444" s="330">
        <f>SUMIFS(операции!$R:$R,операции!$X:$X,"&gt;="&amp;I$8,операции!$X:$X,"&lt;="&amp;I$9,операции!$L:$L,L$9,операции!$O:$O,$F1422)</f>
        <v>0</v>
      </c>
      <c r="M1444" s="402"/>
      <c r="N1444" s="156">
        <f>SUMIFS(операции!$R:$R,операции!$X:$X,"&gt;="&amp;N$8,операции!$X:$X,"&lt;="&amp;N$9,операции!$O:$O,$F1422)</f>
        <v>4</v>
      </c>
      <c r="O1444" s="196">
        <f t="shared" ref="O1444" si="2562">N1444-P1444-Q1444</f>
        <v>0</v>
      </c>
      <c r="P1444" s="156">
        <f>SUMIFS(операции!$R:$R,операции!$X:$X,"&gt;="&amp;N$8,операции!$X:$X,"&lt;="&amp;N$9,операции!$L:$L,P$9,операции!$O:$O,$F1422)</f>
        <v>4</v>
      </c>
      <c r="Q1444" s="245">
        <f>SUMIFS(операции!$R:$R,операции!$X:$X,"&gt;="&amp;N$8,операции!$X:$X,"&lt;="&amp;N$9,операции!$L:$L,Q$9,операции!$O:$O,$F1422)</f>
        <v>0</v>
      </c>
      <c r="R1444" s="403"/>
      <c r="S1444" s="156">
        <f>SUMIFS(операции!$R:$R,операции!$X:$X,"&gt;="&amp;S$8,операции!$X:$X,"&lt;="&amp;S$9,операции!$O:$O,$F1422)</f>
        <v>6</v>
      </c>
      <c r="T1444" s="196">
        <f t="shared" ref="T1444" si="2563">S1444-U1444-V1444</f>
        <v>0</v>
      </c>
      <c r="U1444" s="156">
        <f>SUMIFS(операции!$R:$R,операции!$X:$X,"&gt;="&amp;S$8,операции!$X:$X,"&lt;="&amp;S$9,операции!$L:$L,U$9,операции!$O:$O,$F1422)</f>
        <v>6</v>
      </c>
      <c r="V1444" s="245">
        <f>SUMIFS(операции!$R:$R,операции!$X:$X,"&gt;="&amp;S$8,операции!$X:$X,"&lt;="&amp;S$9,операции!$L:$L,V$9,операции!$O:$O,$F1422)</f>
        <v>0</v>
      </c>
      <c r="W1444" s="403"/>
      <c r="X1444" s="156">
        <f>SUMIFS(операции!$R:$R,операции!$X:$X,"&gt;="&amp;X$8,операции!$X:$X,"&lt;="&amp;X$9,операции!$O:$O,$F1422)</f>
        <v>4</v>
      </c>
      <c r="Y1444" s="196">
        <f t="shared" ref="Y1444" si="2564">X1444-Z1444-AA1444</f>
        <v>0</v>
      </c>
      <c r="Z1444" s="156">
        <f>SUMIFS(операции!$R:$R,операции!$X:$X,"&gt;="&amp;X$8,операции!$X:$X,"&lt;="&amp;X$9,операции!$L:$L,Z$9,операции!$O:$O,$F1422)</f>
        <v>4</v>
      </c>
      <c r="AA1444" s="245">
        <f>SUMIFS(операции!$R:$R,операции!$X:$X,"&gt;="&amp;X$8,операции!$X:$X,"&lt;="&amp;X$9,операции!$L:$L,AA$9,операции!$O:$O,$F1422)</f>
        <v>0</v>
      </c>
      <c r="AB1444" s="265"/>
      <c r="AC1444" s="37"/>
      <c r="AD1444" s="37"/>
      <c r="AE1444" s="37"/>
      <c r="AF1444" s="37"/>
      <c r="AG1444" s="37"/>
      <c r="AH1444" s="37"/>
      <c r="AI1444" s="37"/>
      <c r="AJ1444" s="37"/>
      <c r="AK1444" s="37"/>
      <c r="AL1444" s="37"/>
      <c r="AM1444" s="37"/>
      <c r="AN1444" s="37"/>
      <c r="AO1444" s="37"/>
      <c r="AP1444" s="37"/>
    </row>
    <row r="1445" spans="1:42" s="192" customFormat="1" ht="11.25">
      <c r="A1445" s="37"/>
      <c r="B1445" s="37"/>
      <c r="C1445" s="37"/>
      <c r="D1445" s="191" t="s">
        <v>333</v>
      </c>
      <c r="E1445" s="191"/>
      <c r="F1445" s="191" t="str">
        <f t="shared" si="2522"/>
        <v>ОдеждаКомп</v>
      </c>
      <c r="G1445" s="191" t="s">
        <v>261</v>
      </c>
      <c r="H1445" s="315"/>
      <c r="I1445" s="329">
        <f>IF(I1444=0,0,I1442/I1444)</f>
        <v>9489.2857142857138</v>
      </c>
      <c r="J1445" s="317"/>
      <c r="K1445" s="329">
        <f t="shared" ref="K1445" si="2565">IF(K1444=0,0,K1442/K1444)</f>
        <v>9489.2857142857138</v>
      </c>
      <c r="L1445" s="330">
        <f t="shared" ref="L1445" si="2566">IF(L1444=0,0,L1442/L1444)</f>
        <v>0</v>
      </c>
      <c r="M1445" s="402"/>
      <c r="N1445" s="156">
        <f>IF(N1444=0,0,N1442/N1444)</f>
        <v>7070.75</v>
      </c>
      <c r="O1445" s="196"/>
      <c r="P1445" s="156">
        <f>IF(P1444=0,0,P1442/P1444)</f>
        <v>7070.75</v>
      </c>
      <c r="Q1445" s="245">
        <f>IF(Q1444=0,0,Q1442/Q1444)</f>
        <v>0</v>
      </c>
      <c r="R1445" s="403"/>
      <c r="S1445" s="156">
        <f>IF(S1444=0,0,S1442/S1444)</f>
        <v>13136.166666666666</v>
      </c>
      <c r="T1445" s="196"/>
      <c r="U1445" s="156">
        <f>IF(U1444=0,0,U1442/U1444)</f>
        <v>13136.166666666666</v>
      </c>
      <c r="V1445" s="245">
        <f>IF(V1444=0,0,V1442/V1444)</f>
        <v>0</v>
      </c>
      <c r="W1445" s="403"/>
      <c r="X1445" s="156">
        <f>IF(X1444=0,0,X1442/X1444)</f>
        <v>6437.5</v>
      </c>
      <c r="Y1445" s="196"/>
      <c r="Z1445" s="156">
        <f>IF(Z1444=0,0,Z1442/Z1444)</f>
        <v>6437.5</v>
      </c>
      <c r="AA1445" s="245">
        <f>IF(AA1444=0,0,AA1442/AA1444)</f>
        <v>0</v>
      </c>
      <c r="AB1445" s="265"/>
      <c r="AC1445" s="37"/>
      <c r="AD1445" s="37"/>
      <c r="AE1445" s="37"/>
      <c r="AF1445" s="37"/>
      <c r="AG1445" s="37"/>
      <c r="AH1445" s="37"/>
      <c r="AI1445" s="37"/>
      <c r="AJ1445" s="37"/>
      <c r="AK1445" s="37"/>
      <c r="AL1445" s="37"/>
      <c r="AM1445" s="37"/>
      <c r="AN1445" s="37"/>
      <c r="AO1445" s="37"/>
      <c r="AP1445" s="37"/>
    </row>
    <row r="1446" spans="1:42" s="192" customFormat="1" ht="11.25">
      <c r="A1446" s="37"/>
      <c r="B1446" s="37"/>
      <c r="C1446" s="37"/>
      <c r="D1446" s="191" t="s">
        <v>290</v>
      </c>
      <c r="E1446" s="191"/>
      <c r="F1446" s="191" t="str">
        <f>F1442</f>
        <v>ОдеждаКомп</v>
      </c>
      <c r="G1446" s="191" t="s">
        <v>262</v>
      </c>
      <c r="H1446" s="315"/>
      <c r="I1446" s="316">
        <f>IF(I1442=0,0,SUMIFS(операции!$AG:$AG,операции!$X:$X,"&gt;="&amp;I$8,операции!$X:$X,"&lt;="&amp;I$9,операции!$O:$O,$F1422)/I1442)</f>
        <v>42324.683786225069</v>
      </c>
      <c r="J1446" s="317"/>
      <c r="K1446" s="316">
        <f>IF(K1442=0,0,SUMIFS(операции!$AG:$AG,операции!$X:$X,"&gt;="&amp;I$8,операции!$X:$X,"&lt;="&amp;I$9,операции!$L:$L,K$9,операции!$O:$O,$F1422)/K1442)</f>
        <v>42324.683786225069</v>
      </c>
      <c r="L1446" s="318">
        <f>IF(L1442=0,0,SUMIFS(операции!$AG:$AG,операции!$X:$X,"&gt;="&amp;I$8,операции!$X:$X,"&lt;="&amp;I$9,операции!$L:$L,L$9,операции!$O:$O,$F1422)/L1442)</f>
        <v>0</v>
      </c>
      <c r="M1446" s="274"/>
      <c r="N1446" s="193">
        <f>IF(N1442=0,0,SUMIFS(операции!$AG:$AG,операции!$X:$X,"&gt;="&amp;N$8,операции!$X:$X,"&lt;="&amp;N$9,операции!$O:$O,$F1422)/N1442)</f>
        <v>42303.255701304668</v>
      </c>
      <c r="O1446" s="196"/>
      <c r="P1446" s="193">
        <f>IF(P1442=0,0,SUMIFS(операции!$AG:$AG,операции!$X:$X,"&gt;="&amp;N$8,операции!$X:$X,"&lt;="&amp;N$9,операции!$L:$L,P$9,операции!$O:$O,$F1422)/P1442)</f>
        <v>42303.255701304668</v>
      </c>
      <c r="Q1446" s="237">
        <f>IF(Q1442=0,0,SUMIFS(операции!$AG:$AG,операции!$X:$X,"&gt;="&amp;N$8,операции!$X:$X,"&lt;="&amp;N$9,операции!$L:$L,Q$9,операции!$O:$O,$F1422)/Q1442)</f>
        <v>0</v>
      </c>
      <c r="R1446" s="238"/>
      <c r="S1446" s="193">
        <f>IF(S1442=0,0,SUMIFS(операции!$AG:$AG,операции!$X:$X,"&gt;="&amp;S$8,операции!$X:$X,"&lt;="&amp;S$9,операции!$O:$O,$F1422)/S1442)</f>
        <v>42327.420670667496</v>
      </c>
      <c r="T1446" s="196"/>
      <c r="U1446" s="193">
        <f>IF(U1442=0,0,SUMIFS(операции!$AG:$AG,операции!$X:$X,"&gt;="&amp;S$8,операции!$X:$X,"&lt;="&amp;S$9,операции!$L:$L,U$9,операции!$O:$O,$F1422)/U1442)</f>
        <v>42327.420670667496</v>
      </c>
      <c r="V1446" s="237">
        <f>IF(V1442=0,0,SUMIFS(операции!$AG:$AG,операции!$X:$X,"&gt;="&amp;S$8,операции!$X:$X,"&lt;="&amp;S$9,операции!$L:$L,V$9,операции!$O:$O,$F1422)/V1442)</f>
        <v>0</v>
      </c>
      <c r="W1446" s="238"/>
      <c r="X1446" s="193">
        <f>IF(X1442=0,0,SUMIFS(операции!$AG:$AG,операции!$X:$X,"&gt;="&amp;X$8,операции!$X:$X,"&lt;="&amp;X$9,операции!$O:$O,$F1422)/X1442)</f>
        <v>42339.842524271844</v>
      </c>
      <c r="Y1446" s="196"/>
      <c r="Z1446" s="193">
        <f>IF(Z1442=0,0,SUMIFS(операции!$AG:$AG,операции!$X:$X,"&gt;="&amp;X$8,операции!$X:$X,"&lt;="&amp;X$9,операции!$L:$L,Z$9,операции!$O:$O,$F1422)/Z1442)</f>
        <v>42339.842524271844</v>
      </c>
      <c r="AA1446" s="237">
        <f>IF(AA1442=0,0,SUMIFS(операции!$AG:$AG,операции!$X:$X,"&gt;="&amp;X$8,операции!$X:$X,"&lt;="&amp;X$9,операции!$L:$L,AA$9,операции!$O:$O,$F1422)/AA1442)</f>
        <v>0</v>
      </c>
      <c r="AB1446" s="265"/>
      <c r="AC1446" s="37"/>
      <c r="AD1446" s="37"/>
      <c r="AE1446" s="37"/>
      <c r="AF1446" s="37"/>
      <c r="AG1446" s="37"/>
      <c r="AH1446" s="37"/>
      <c r="AI1446" s="37"/>
      <c r="AJ1446" s="37"/>
      <c r="AK1446" s="37"/>
      <c r="AL1446" s="37"/>
      <c r="AM1446" s="37"/>
      <c r="AN1446" s="37"/>
      <c r="AO1446" s="37"/>
      <c r="AP1446" s="37"/>
    </row>
    <row r="1447" spans="1:42" s="93" customFormat="1" ht="15">
      <c r="A1447" s="92"/>
      <c r="B1447" s="92"/>
      <c r="C1447" s="92"/>
      <c r="D1447" s="151" t="s">
        <v>275</v>
      </c>
      <c r="E1447" s="151"/>
      <c r="F1447" s="151" t="str">
        <f t="shared" si="2522"/>
        <v>ОдеждаКомп</v>
      </c>
      <c r="G1447" s="151" t="s">
        <v>261</v>
      </c>
      <c r="H1447" s="311"/>
      <c r="I1447" s="312">
        <f>SUMIFS(операции!$V:$V,операции!$X:$X,"&gt;="&amp;I$8,операции!$X:$X,"&lt;="&amp;I$9,операции!$O:$O,$F1422)</f>
        <v>90252.13</v>
      </c>
      <c r="J1447" s="313">
        <f>I1447-I1457-I1467</f>
        <v>0</v>
      </c>
      <c r="K1447" s="312">
        <f>SUMIFS(операции!$V:$V,операции!$X:$X,"&gt;="&amp;I$8,операции!$X:$X,"&lt;="&amp;I$9,операции!$L:$L,K$9,операции!$O:$O,$F1422)</f>
        <v>90252.13</v>
      </c>
      <c r="L1447" s="314">
        <f>SUMIFS(операции!$V:$V,операции!$X:$X,"&gt;="&amp;I$8,операции!$X:$X,"&lt;="&amp;I$9,операции!$L:$L,L$9,операции!$O:$O,$F1422)</f>
        <v>0</v>
      </c>
      <c r="M1447" s="273"/>
      <c r="N1447" s="152">
        <f>SUMIFS(операции!$V:$V,операции!$X:$X,"&gt;="&amp;N$8,операции!$X:$X,"&lt;="&amp;N$9,операции!$O:$O,$F1422)</f>
        <v>25034</v>
      </c>
      <c r="O1447" s="170">
        <f>N1447-N1457-N1467</f>
        <v>0</v>
      </c>
      <c r="P1447" s="152">
        <f>SUMIFS(операции!$V:$V,операции!$X:$X,"&gt;="&amp;N$8,операции!$X:$X,"&lt;="&amp;N$9,операции!$L:$L,P$9,операции!$O:$O,$F1422)</f>
        <v>25034</v>
      </c>
      <c r="Q1447" s="235">
        <f>SUMIFS(операции!$V:$V,операции!$X:$X,"&gt;="&amp;N$8,операции!$X:$X,"&lt;="&amp;N$9,операции!$L:$L,Q$9,операции!$O:$O,$F1422)</f>
        <v>0</v>
      </c>
      <c r="R1447" s="236"/>
      <c r="S1447" s="152">
        <f>SUMIFS(операции!$V:$V,операции!$X:$X,"&gt;="&amp;S$8,операции!$X:$X,"&lt;="&amp;S$9,операции!$O:$O,$F1422)</f>
        <v>48713.760000000002</v>
      </c>
      <c r="T1447" s="170">
        <f>S1447-S1457-S1467</f>
        <v>0</v>
      </c>
      <c r="U1447" s="152">
        <f>SUMIFS(операции!$V:$V,операции!$X:$X,"&gt;="&amp;S$8,операции!$X:$X,"&lt;="&amp;S$9,операции!$L:$L,U$9,операции!$O:$O,$F1422)</f>
        <v>48713.760000000002</v>
      </c>
      <c r="V1447" s="235">
        <f>SUMIFS(операции!$V:$V,операции!$X:$X,"&gt;="&amp;S$8,операции!$X:$X,"&lt;="&amp;S$9,операции!$L:$L,V$9,операции!$O:$O,$F1422)</f>
        <v>0</v>
      </c>
      <c r="W1447" s="236"/>
      <c r="X1447" s="152">
        <f>SUMIFS(операции!$V:$V,операции!$X:$X,"&gt;="&amp;X$8,операции!$X:$X,"&lt;="&amp;X$9,операции!$O:$O,$F1422)</f>
        <v>16504.370000000003</v>
      </c>
      <c r="Y1447" s="170">
        <f>X1447-X1457-X1467</f>
        <v>0</v>
      </c>
      <c r="Z1447" s="152">
        <f>SUMIFS(операции!$V:$V,операции!$X:$X,"&gt;="&amp;X$8,операции!$X:$X,"&lt;="&amp;X$9,операции!$L:$L,Z$9,операции!$O:$O,$F1422)</f>
        <v>16504.370000000003</v>
      </c>
      <c r="AA1447" s="235">
        <f>SUMIFS(операции!$V:$V,операции!$X:$X,"&gt;="&amp;X$8,операции!$X:$X,"&lt;="&amp;X$9,операции!$L:$L,AA$9,операции!$O:$O,$F1422)</f>
        <v>0</v>
      </c>
      <c r="AB1447" s="264"/>
      <c r="AC1447" s="92"/>
      <c r="AD1447" s="92"/>
      <c r="AE1447" s="92"/>
      <c r="AF1447" s="92"/>
      <c r="AG1447" s="92"/>
      <c r="AH1447" s="92"/>
      <c r="AI1447" s="92"/>
      <c r="AJ1447" s="92"/>
      <c r="AK1447" s="92"/>
      <c r="AL1447" s="92"/>
      <c r="AM1447" s="92"/>
      <c r="AN1447" s="92"/>
      <c r="AO1447" s="92"/>
      <c r="AP1447" s="92"/>
    </row>
    <row r="1448" spans="1:42" s="192" customFormat="1" ht="11.25">
      <c r="A1448" s="37"/>
      <c r="B1448" s="37"/>
      <c r="C1448" s="37"/>
      <c r="D1448" s="191" t="s">
        <v>291</v>
      </c>
      <c r="E1448" s="191"/>
      <c r="F1448" s="191" t="str">
        <f t="shared" si="2522"/>
        <v>ОдеждаКомп</v>
      </c>
      <c r="G1448" s="191" t="s">
        <v>262</v>
      </c>
      <c r="H1448" s="315"/>
      <c r="I1448" s="316">
        <f>IF(I1447=0,0,SUMIFS(операции!$AF:$AF,операции!$X:$X,"&gt;="&amp;I$8,операции!$X:$X,"&lt;="&amp;I$9,операции!$O:$O,$F1422)/I1447)</f>
        <v>42230.560702999472</v>
      </c>
      <c r="J1448" s="317"/>
      <c r="K1448" s="316">
        <f>IF(K1447=0,0,SUMIFS(операции!$AF:$AF,операции!$X:$X,"&gt;="&amp;I$8,операции!$X:$X,"&lt;="&amp;I$9,операции!$L:$L,K$9,операции!$O:$O,$F1422)/K1447)</f>
        <v>42230.560702999472</v>
      </c>
      <c r="L1448" s="318">
        <f>IF(L1447=0,0,SUMIFS(операции!$AF:$AF,операции!$X:$X,"&gt;="&amp;I$8,операции!$X:$X,"&lt;="&amp;I$9,операции!$L:$L,L$9,операции!$O:$O,$F1422)/L1447)</f>
        <v>0</v>
      </c>
      <c r="M1448" s="274"/>
      <c r="N1448" s="193">
        <f>IF(N1447=0,0,SUMIFS(операции!$AF:$AF,операции!$X:$X,"&gt;="&amp;N$8,операции!$X:$X,"&lt;="&amp;N$9,операции!$O:$O,$F1422)/N1447)</f>
        <v>42214.204841415674</v>
      </c>
      <c r="O1448" s="196"/>
      <c r="P1448" s="193">
        <f>IF(P1447=0,0,SUMIFS(операции!$AF:$AF,операции!$X:$X,"&gt;="&amp;N$8,операции!$X:$X,"&lt;="&amp;N$9,операции!$L:$L,P$9,операции!$O:$O,$F1422)/P1447)</f>
        <v>42214.204841415674</v>
      </c>
      <c r="Q1448" s="237">
        <f>IF(Q1447=0,0,SUMIFS(операции!$AF:$AF,операции!$X:$X,"&gt;="&amp;N$8,операции!$X:$X,"&lt;="&amp;N$9,операции!$L:$L,Q$9,операции!$O:$O,$F1422)/Q1447)</f>
        <v>0</v>
      </c>
      <c r="R1448" s="238"/>
      <c r="S1448" s="193">
        <f>IF(S1447=0,0,SUMIFS(операции!$AF:$AF,операции!$X:$X,"&gt;="&amp;S$8,операции!$X:$X,"&lt;="&amp;S$9,операции!$O:$O,$F1422)/S1447)</f>
        <v>42235.75758902618</v>
      </c>
      <c r="T1448" s="196"/>
      <c r="U1448" s="193">
        <f>IF(U1447=0,0,SUMIFS(операции!$AF:$AF,операции!$X:$X,"&gt;="&amp;S$8,операции!$X:$X,"&lt;="&amp;S$9,операции!$L:$L,U$9,операции!$O:$O,$F1422)/U1447)</f>
        <v>42235.75758902618</v>
      </c>
      <c r="V1448" s="237">
        <f>IF(V1447=0,0,SUMIFS(операции!$AF:$AF,операции!$X:$X,"&gt;="&amp;S$8,операции!$X:$X,"&lt;="&amp;S$9,операции!$L:$L,V$9,операции!$O:$O,$F1422)/V1447)</f>
        <v>0</v>
      </c>
      <c r="W1448" s="238"/>
      <c r="X1448" s="193">
        <f>IF(X1447=0,0,SUMIFS(операции!$AF:$AF,операции!$X:$X,"&gt;="&amp;X$8,операции!$X:$X,"&lt;="&amp;X$9,операции!$O:$O,$F1422)/X1447)</f>
        <v>42240.030484653449</v>
      </c>
      <c r="Y1448" s="196"/>
      <c r="Z1448" s="193">
        <f>IF(Z1447=0,0,SUMIFS(операции!$AF:$AF,операции!$X:$X,"&gt;="&amp;X$8,операции!$X:$X,"&lt;="&amp;X$9,операции!$L:$L,Z$9,операции!$O:$O,$F1422)/Z1447)</f>
        <v>42240.030484653449</v>
      </c>
      <c r="AA1448" s="237">
        <f>IF(AA1447=0,0,SUMIFS(операции!$AF:$AF,операции!$X:$X,"&gt;="&amp;X$8,операции!$X:$X,"&lt;="&amp;X$9,операции!$L:$L,AA$9,операции!$O:$O,$F1422)/AA1447)</f>
        <v>0</v>
      </c>
      <c r="AB1448" s="265"/>
      <c r="AC1448" s="37"/>
      <c r="AD1448" s="37"/>
      <c r="AE1448" s="37"/>
      <c r="AF1448" s="37"/>
      <c r="AG1448" s="37"/>
      <c r="AH1448" s="37"/>
      <c r="AI1448" s="37"/>
      <c r="AJ1448" s="37"/>
      <c r="AK1448" s="37"/>
      <c r="AL1448" s="37"/>
      <c r="AM1448" s="37"/>
      <c r="AN1448" s="37"/>
      <c r="AO1448" s="37"/>
      <c r="AP1448" s="37"/>
    </row>
    <row r="1449" spans="1:42" s="192" customFormat="1" ht="11.25">
      <c r="A1449" s="37"/>
      <c r="B1449" s="37"/>
      <c r="C1449" s="37"/>
      <c r="D1449" s="191" t="s">
        <v>308</v>
      </c>
      <c r="E1449" s="191"/>
      <c r="F1449" s="191" t="str">
        <f t="shared" si="2522"/>
        <v>ОдеждаКомп</v>
      </c>
      <c r="G1449" s="191" t="s">
        <v>262</v>
      </c>
      <c r="H1449" s="315"/>
      <c r="I1449" s="316">
        <f>IF(I1447=0,0,(I1457*I1459+I1467*I1469)/I1447)</f>
        <v>42278.039962270137</v>
      </c>
      <c r="J1449" s="317"/>
      <c r="K1449" s="316">
        <f t="shared" ref="K1449:L1449" si="2567">IF(K1447=0,0,(K1457*K1459+K1467*K1469)/K1447)</f>
        <v>42278.039962270137</v>
      </c>
      <c r="L1449" s="318">
        <f t="shared" si="2567"/>
        <v>0</v>
      </c>
      <c r="M1449" s="274"/>
      <c r="N1449" s="193">
        <f>IF(N1447=0,0,(N1457*N1459+N1467*N1469)/N1447)</f>
        <v>42260.169129983224</v>
      </c>
      <c r="O1449" s="196"/>
      <c r="P1449" s="193">
        <f t="shared" ref="P1449:Q1449" si="2568">IF(P1447=0,0,(P1457*P1459+P1467*P1469)/P1447)</f>
        <v>42260.169129983224</v>
      </c>
      <c r="Q1449" s="237">
        <f t="shared" si="2568"/>
        <v>0</v>
      </c>
      <c r="R1449" s="238"/>
      <c r="S1449" s="193">
        <f>IF(S1447=0,0,(S1457*S1459+S1467*S1469)/S1447)</f>
        <v>42267.892593591627</v>
      </c>
      <c r="T1449" s="196"/>
      <c r="U1449" s="193">
        <f t="shared" ref="U1449:V1449" si="2569">IF(U1447=0,0,(U1457*U1459+U1467*U1469)/U1447)</f>
        <v>42267.892593591627</v>
      </c>
      <c r="V1449" s="237">
        <f t="shared" si="2569"/>
        <v>0</v>
      </c>
      <c r="W1449" s="238"/>
      <c r="X1449" s="193">
        <f>IF(X1447=0,0,(X1457*X1459+X1467*X1469)/X1447)</f>
        <v>42289.285462577478</v>
      </c>
      <c r="Y1449" s="196"/>
      <c r="Z1449" s="193">
        <f t="shared" ref="Z1449:AA1449" si="2570">IF(Z1447=0,0,(Z1457*Z1459+Z1467*Z1469)/Z1447)</f>
        <v>42289.285462577478</v>
      </c>
      <c r="AA1449" s="237">
        <f t="shared" si="2570"/>
        <v>0</v>
      </c>
      <c r="AB1449" s="265"/>
      <c r="AC1449" s="37"/>
      <c r="AD1449" s="37"/>
      <c r="AE1449" s="37"/>
      <c r="AF1449" s="37"/>
      <c r="AG1449" s="37"/>
      <c r="AH1449" s="37"/>
      <c r="AI1449" s="37"/>
      <c r="AJ1449" s="37"/>
      <c r="AK1449" s="37"/>
      <c r="AL1449" s="37"/>
      <c r="AM1449" s="37"/>
      <c r="AN1449" s="37"/>
      <c r="AO1449" s="37"/>
      <c r="AP1449" s="37"/>
    </row>
    <row r="1450" spans="1:42" s="93" customFormat="1" ht="15">
      <c r="A1450" s="92"/>
      <c r="B1450" s="92"/>
      <c r="C1450" s="92"/>
      <c r="D1450" s="151" t="s">
        <v>278</v>
      </c>
      <c r="E1450" s="151"/>
      <c r="F1450" s="151" t="str">
        <f t="shared" si="2522"/>
        <v>ОдеждаКомп</v>
      </c>
      <c r="G1450" s="151" t="s">
        <v>261</v>
      </c>
      <c r="H1450" s="311"/>
      <c r="I1450" s="312">
        <f>I1442-I1447</f>
        <v>42597.869999999995</v>
      </c>
      <c r="J1450" s="313">
        <f>I1450-K1450-L1450</f>
        <v>0</v>
      </c>
      <c r="K1450" s="312">
        <f t="shared" ref="K1450:L1450" si="2571">K1442-K1447</f>
        <v>42597.869999999995</v>
      </c>
      <c r="L1450" s="314">
        <f t="shared" si="2571"/>
        <v>0</v>
      </c>
      <c r="M1450" s="273"/>
      <c r="N1450" s="152">
        <f>N1442-N1447</f>
        <v>3249</v>
      </c>
      <c r="O1450" s="170">
        <f>N1450-P1450-Q1450</f>
        <v>0</v>
      </c>
      <c r="P1450" s="152">
        <f t="shared" ref="P1450:Q1450" si="2572">P1442-P1447</f>
        <v>3249</v>
      </c>
      <c r="Q1450" s="235">
        <f t="shared" si="2572"/>
        <v>0</v>
      </c>
      <c r="R1450" s="236"/>
      <c r="S1450" s="152">
        <f>S1442-S1447</f>
        <v>30103.239999999998</v>
      </c>
      <c r="T1450" s="170">
        <f>S1450-U1450-V1450</f>
        <v>0</v>
      </c>
      <c r="U1450" s="152">
        <f t="shared" ref="U1450:V1450" si="2573">U1442-U1447</f>
        <v>30103.239999999998</v>
      </c>
      <c r="V1450" s="235">
        <f t="shared" si="2573"/>
        <v>0</v>
      </c>
      <c r="W1450" s="236"/>
      <c r="X1450" s="152">
        <f>X1442-X1447</f>
        <v>9245.6299999999974</v>
      </c>
      <c r="Y1450" s="170">
        <f>X1450-Z1450-AA1450</f>
        <v>0</v>
      </c>
      <c r="Z1450" s="152">
        <f t="shared" ref="Z1450:AA1450" si="2574">Z1442-Z1447</f>
        <v>9245.6299999999974</v>
      </c>
      <c r="AA1450" s="235">
        <f t="shared" si="2574"/>
        <v>0</v>
      </c>
      <c r="AB1450" s="264"/>
      <c r="AC1450" s="92"/>
      <c r="AD1450" s="92"/>
      <c r="AE1450" s="92"/>
      <c r="AF1450" s="92"/>
      <c r="AG1450" s="92"/>
      <c r="AH1450" s="92"/>
      <c r="AI1450" s="92"/>
      <c r="AJ1450" s="92"/>
      <c r="AK1450" s="92"/>
      <c r="AL1450" s="92"/>
      <c r="AM1450" s="92"/>
      <c r="AN1450" s="92"/>
      <c r="AO1450" s="92"/>
      <c r="AP1450" s="92"/>
    </row>
    <row r="1451" spans="1:42" s="211" customFormat="1">
      <c r="A1451" s="210"/>
      <c r="B1451" s="210"/>
      <c r="C1451" s="210"/>
      <c r="D1451" s="218" t="s">
        <v>277</v>
      </c>
      <c r="E1451" s="218"/>
      <c r="F1451" s="218" t="str">
        <f t="shared" si="2522"/>
        <v>ОдеждаКомп</v>
      </c>
      <c r="G1451" s="218" t="s">
        <v>218</v>
      </c>
      <c r="H1451" s="343"/>
      <c r="I1451" s="344">
        <f>IF(I1442=0,0,(I1450/I1442))</f>
        <v>0.32064636808430558</v>
      </c>
      <c r="J1451" s="345"/>
      <c r="K1451" s="344">
        <f t="shared" ref="K1451" si="2575">IF(K1442=0,0,(K1450/K1442))</f>
        <v>0.32064636808430558</v>
      </c>
      <c r="L1451" s="346">
        <f t="shared" ref="L1451" si="2576">IF(L1442=0,0,(L1450/L1442))</f>
        <v>0</v>
      </c>
      <c r="M1451" s="280"/>
      <c r="N1451" s="219">
        <f>IF(N1442=0,0,(N1450/N1442))</f>
        <v>0.11487465968956617</v>
      </c>
      <c r="O1451" s="220"/>
      <c r="P1451" s="219">
        <f t="shared" ref="P1451" si="2577">IF(P1442=0,0,(P1450/P1442))</f>
        <v>0.11487465968956617</v>
      </c>
      <c r="Q1451" s="252">
        <f t="shared" ref="Q1451" si="2578">IF(Q1442=0,0,(Q1450/Q1442))</f>
        <v>0</v>
      </c>
      <c r="R1451" s="253"/>
      <c r="S1451" s="219">
        <f>IF(S1442=0,0,(S1450/S1442))</f>
        <v>0.38193841430148318</v>
      </c>
      <c r="T1451" s="220"/>
      <c r="U1451" s="219">
        <f t="shared" ref="U1451" si="2579">IF(U1442=0,0,(U1450/U1442))</f>
        <v>0.38193841430148318</v>
      </c>
      <c r="V1451" s="252">
        <f t="shared" ref="V1451" si="2580">IF(V1442=0,0,(V1450/V1442))</f>
        <v>0</v>
      </c>
      <c r="W1451" s="253"/>
      <c r="X1451" s="219">
        <f>IF(X1442=0,0,(X1450/X1442))</f>
        <v>0.35905359223300959</v>
      </c>
      <c r="Y1451" s="220"/>
      <c r="Z1451" s="219">
        <f t="shared" ref="Z1451" si="2581">IF(Z1442=0,0,(Z1450/Z1442))</f>
        <v>0.35905359223300959</v>
      </c>
      <c r="AA1451" s="252">
        <f t="shared" ref="AA1451" si="2582">IF(AA1442=0,0,(AA1450/AA1442))</f>
        <v>0</v>
      </c>
      <c r="AB1451" s="267"/>
      <c r="AC1451" s="210"/>
      <c r="AD1451" s="210"/>
      <c r="AE1451" s="210"/>
      <c r="AF1451" s="210"/>
      <c r="AG1451" s="210"/>
      <c r="AH1451" s="210"/>
      <c r="AI1451" s="210"/>
      <c r="AJ1451" s="210"/>
      <c r="AK1451" s="210"/>
      <c r="AL1451" s="210"/>
      <c r="AM1451" s="210"/>
      <c r="AN1451" s="210"/>
      <c r="AO1451" s="210"/>
      <c r="AP1451" s="210"/>
    </row>
    <row r="1452" spans="1:42" s="93" customFormat="1" ht="15">
      <c r="A1452" s="92"/>
      <c r="B1452" s="92"/>
      <c r="C1452" s="92"/>
      <c r="D1452" s="198" t="s">
        <v>220</v>
      </c>
      <c r="E1452" s="198"/>
      <c r="F1452" s="198" t="str">
        <f t="shared" si="2522"/>
        <v>ОдеждаКомп</v>
      </c>
      <c r="G1452" s="198" t="s">
        <v>219</v>
      </c>
      <c r="H1452" s="323"/>
      <c r="I1452" s="324">
        <f>I1446-I1448</f>
        <v>94.123083225596929</v>
      </c>
      <c r="J1452" s="321">
        <f>I1452-SUMIFS(ПОбТЗ!$I:$I,ПОбТЗ!$E:$E,$D1452,ПОбТЗ!$F:$F,$F1452)</f>
        <v>0</v>
      </c>
      <c r="K1452" s="324">
        <f t="shared" ref="K1452:L1452" si="2583">K1446-K1448</f>
        <v>94.123083225596929</v>
      </c>
      <c r="L1452" s="325">
        <f t="shared" si="2583"/>
        <v>0</v>
      </c>
      <c r="M1452" s="276"/>
      <c r="N1452" s="199">
        <f>N1446-N1448</f>
        <v>89.050859888993728</v>
      </c>
      <c r="O1452" s="173">
        <f>N1452-SUMIFS(ПОбТЗ_3!$J:$J,ПОбТЗ_3!$D:$D,$D1452,ПОбТЗ_3!$E:$E,$F1452)</f>
        <v>0</v>
      </c>
      <c r="P1452" s="199">
        <f t="shared" ref="P1452:Q1452" si="2584">P1446-P1448</f>
        <v>89.050859888993728</v>
      </c>
      <c r="Q1452" s="241">
        <f t="shared" si="2584"/>
        <v>0</v>
      </c>
      <c r="R1452" s="242"/>
      <c r="S1452" s="199">
        <f>S1446-S1448</f>
        <v>91.663081641316239</v>
      </c>
      <c r="T1452" s="173">
        <f>S1452-SUMIFS(ПОбТЗ_3!$K:$K,ПОбТЗ_3!$D:$D,$D1452,ПОбТЗ_3!$E:$E,$F1452)</f>
        <v>0</v>
      </c>
      <c r="U1452" s="199">
        <f t="shared" ref="U1452:V1452" si="2585">U1446-U1448</f>
        <v>91.663081641316239</v>
      </c>
      <c r="V1452" s="241">
        <f t="shared" si="2585"/>
        <v>0</v>
      </c>
      <c r="W1452" s="242"/>
      <c r="X1452" s="199">
        <f>X1446-X1448</f>
        <v>99.81203961839492</v>
      </c>
      <c r="Y1452" s="173">
        <f>X1452-SUMIFS(ПОбТЗ_3!$L:$L,ПОбТЗ_3!$D:$D,$D1452,ПОбТЗ_3!$E:$E,$F1452)</f>
        <v>0</v>
      </c>
      <c r="Z1452" s="199">
        <f t="shared" ref="Z1452:AA1452" si="2586">Z1446-Z1448</f>
        <v>99.81203961839492</v>
      </c>
      <c r="AA1452" s="241">
        <f t="shared" si="2586"/>
        <v>0</v>
      </c>
      <c r="AB1452" s="264"/>
      <c r="AC1452" s="92"/>
      <c r="AD1452" s="92"/>
      <c r="AE1452" s="92"/>
      <c r="AF1452" s="92"/>
      <c r="AG1452" s="92"/>
      <c r="AH1452" s="92"/>
      <c r="AI1452" s="92"/>
      <c r="AJ1452" s="92"/>
      <c r="AK1452" s="92"/>
      <c r="AL1452" s="92"/>
      <c r="AM1452" s="92"/>
      <c r="AN1452" s="92"/>
      <c r="AO1452" s="92"/>
      <c r="AP1452" s="92"/>
    </row>
    <row r="1453" spans="1:42" s="5" customFormat="1">
      <c r="A1453" s="1"/>
      <c r="B1453" s="1"/>
      <c r="C1453" s="1"/>
      <c r="D1453" s="227" t="s">
        <v>309</v>
      </c>
      <c r="E1453" s="227"/>
      <c r="F1453" s="227" t="str">
        <f t="shared" si="2522"/>
        <v>ОдеждаКомп</v>
      </c>
      <c r="G1453" s="227" t="s">
        <v>219</v>
      </c>
      <c r="H1453" s="347"/>
      <c r="I1453" s="348">
        <f>I1449-I1448</f>
        <v>47.479259270665352</v>
      </c>
      <c r="J1453" s="321"/>
      <c r="K1453" s="348">
        <f t="shared" ref="K1453:L1453" si="2587">K1449-K1448</f>
        <v>47.479259270665352</v>
      </c>
      <c r="L1453" s="349">
        <f t="shared" si="2587"/>
        <v>0</v>
      </c>
      <c r="M1453" s="281"/>
      <c r="N1453" s="228">
        <f>N1449-N1448</f>
        <v>45.964288567549374</v>
      </c>
      <c r="O1453" s="173"/>
      <c r="P1453" s="228">
        <f t="shared" ref="P1453:Q1453" si="2588">P1449-P1448</f>
        <v>45.964288567549374</v>
      </c>
      <c r="Q1453" s="254">
        <f t="shared" si="2588"/>
        <v>0</v>
      </c>
      <c r="R1453" s="255"/>
      <c r="S1453" s="228">
        <f>S1449-S1448</f>
        <v>32.135004565447161</v>
      </c>
      <c r="T1453" s="173"/>
      <c r="U1453" s="228">
        <f t="shared" ref="U1453:V1453" si="2589">U1449-U1448</f>
        <v>32.135004565447161</v>
      </c>
      <c r="V1453" s="254">
        <f t="shared" si="2589"/>
        <v>0</v>
      </c>
      <c r="W1453" s="255"/>
      <c r="X1453" s="228">
        <f>X1449-X1448</f>
        <v>49.254977924028935</v>
      </c>
      <c r="Y1453" s="173"/>
      <c r="Z1453" s="228">
        <f t="shared" ref="Z1453:AA1453" si="2590">Z1449-Z1448</f>
        <v>49.254977924028935</v>
      </c>
      <c r="AA1453" s="254">
        <f t="shared" si="2590"/>
        <v>0</v>
      </c>
      <c r="AB1453" s="266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</row>
    <row r="1454" spans="1:42" s="5" customFormat="1">
      <c r="A1454" s="1"/>
      <c r="B1454" s="1"/>
      <c r="C1454" s="1"/>
      <c r="D1454" s="225" t="s">
        <v>310</v>
      </c>
      <c r="E1454" s="225"/>
      <c r="F1454" s="225" t="str">
        <f t="shared" si="2522"/>
        <v>ОдеждаКомп</v>
      </c>
      <c r="G1454" s="225" t="s">
        <v>219</v>
      </c>
      <c r="H1454" s="350"/>
      <c r="I1454" s="351">
        <f>I1452-I1453</f>
        <v>46.643823954931577</v>
      </c>
      <c r="J1454" s="352"/>
      <c r="K1454" s="351">
        <f t="shared" ref="K1454" si="2591">K1452-K1453</f>
        <v>46.643823954931577</v>
      </c>
      <c r="L1454" s="353">
        <f t="shared" ref="L1454" si="2592">L1452-L1453</f>
        <v>0</v>
      </c>
      <c r="M1454" s="282"/>
      <c r="N1454" s="226">
        <f>N1452-N1453</f>
        <v>43.086571321444353</v>
      </c>
      <c r="O1454" s="181"/>
      <c r="P1454" s="226">
        <f t="shared" ref="P1454" si="2593">P1452-P1453</f>
        <v>43.086571321444353</v>
      </c>
      <c r="Q1454" s="256">
        <f t="shared" ref="Q1454" si="2594">Q1452-Q1453</f>
        <v>0</v>
      </c>
      <c r="R1454" s="257"/>
      <c r="S1454" s="226">
        <f>S1452-S1453</f>
        <v>59.528077075869078</v>
      </c>
      <c r="T1454" s="181"/>
      <c r="U1454" s="226">
        <f t="shared" ref="U1454" si="2595">U1452-U1453</f>
        <v>59.528077075869078</v>
      </c>
      <c r="V1454" s="256">
        <f t="shared" ref="V1454" si="2596">V1452-V1453</f>
        <v>0</v>
      </c>
      <c r="W1454" s="257"/>
      <c r="X1454" s="226">
        <f>X1452-X1453</f>
        <v>50.557061694365984</v>
      </c>
      <c r="Y1454" s="181"/>
      <c r="Z1454" s="226">
        <f t="shared" ref="Z1454" si="2597">Z1452-Z1453</f>
        <v>50.557061694365984</v>
      </c>
      <c r="AA1454" s="256">
        <f t="shared" ref="AA1454" si="2598">AA1452-AA1453</f>
        <v>0</v>
      </c>
      <c r="AB1454" s="266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</row>
    <row r="1455" spans="1:42" s="5" customFormat="1">
      <c r="A1455" s="1"/>
      <c r="B1455" s="1"/>
      <c r="C1455" s="1"/>
      <c r="D1455" s="223"/>
      <c r="E1455" s="223" t="s">
        <v>293</v>
      </c>
      <c r="F1455" s="223" t="str">
        <f t="shared" si="2522"/>
        <v>ОдеждаКомп</v>
      </c>
      <c r="G1455" s="223" t="s">
        <v>261</v>
      </c>
      <c r="H1455" s="354"/>
      <c r="I1455" s="355">
        <f>SUMIFS(операции!$Z:$Z,операции!$X:$X,"&gt;="&amp;I$8,операции!$X:$X,"&lt;="&amp;I$9,операции!$AB:$AB,"&lt;&gt;"&amp;"",операции!$O:$O,$F1422)</f>
        <v>119087</v>
      </c>
      <c r="J1455" s="341">
        <f>I1455-K1455-L1455</f>
        <v>0</v>
      </c>
      <c r="K1455" s="355">
        <f>SUMIFS(операции!$Z:$Z,операции!$X:$X,"&gt;="&amp;I$8,операции!$X:$X,"&lt;="&amp;I$9,операции!$AB:$AB,"&lt;&gt;"&amp;"",операции!$L:$L,K$9,операции!$O:$O,$F1422)</f>
        <v>119087</v>
      </c>
      <c r="L1455" s="356">
        <f>SUMIFS(операции!$Z:$Z,операции!$X:$X,"&gt;="&amp;I$8,операции!$X:$X,"&lt;="&amp;I$9,операции!$AB:$AB,"&lt;&gt;"&amp;"",операции!$L:$L,L$9,операции!$O:$O,$F1422)</f>
        <v>0</v>
      </c>
      <c r="M1455" s="283"/>
      <c r="N1455" s="224">
        <f>SUMIFS(операции!$Z:$Z,операции!$X:$X,"&gt;="&amp;N$8,операции!$X:$X,"&lt;="&amp;N$9,операции!$AB:$AB,"&lt;&gt;"&amp;"",операции!$O:$O,$F1422)</f>
        <v>16383</v>
      </c>
      <c r="O1455" s="216">
        <f>N1455-P1455-Q1455</f>
        <v>0</v>
      </c>
      <c r="P1455" s="224">
        <f>SUMIFS(операции!$Z:$Z,операции!$X:$X,"&gt;="&amp;N$8,операции!$X:$X,"&lt;="&amp;N$9,операции!$AB:$AB,"&lt;&gt;"&amp;"",операции!$L:$L,P$9,операции!$O:$O,$F1422)</f>
        <v>16383</v>
      </c>
      <c r="Q1455" s="258">
        <f>SUMIFS(операции!$Z:$Z,операции!$X:$X,"&gt;="&amp;N$8,операции!$X:$X,"&lt;="&amp;N$9,операции!$AB:$AB,"&lt;&gt;"&amp;"",операции!$L:$L,Q$9,операции!$O:$O,$F1422)</f>
        <v>0</v>
      </c>
      <c r="R1455" s="259"/>
      <c r="S1455" s="224">
        <f>SUMIFS(операции!$Z:$Z,операции!$X:$X,"&gt;="&amp;S$8,операции!$X:$X,"&lt;="&amp;S$9,операции!$AB:$AB,"&lt;&gt;"&amp;"",операции!$O:$O,$F1422)</f>
        <v>78817</v>
      </c>
      <c r="T1455" s="216">
        <f>S1455-U1455-V1455</f>
        <v>0</v>
      </c>
      <c r="U1455" s="224">
        <f>SUMIFS(операции!$Z:$Z,операции!$X:$X,"&gt;="&amp;S$8,операции!$X:$X,"&lt;="&amp;S$9,операции!$AB:$AB,"&lt;&gt;"&amp;"",операции!$L:$L,U$9,операции!$O:$O,$F1422)</f>
        <v>78817</v>
      </c>
      <c r="V1455" s="258">
        <f>SUMIFS(операции!$Z:$Z,операции!$X:$X,"&gt;="&amp;S$8,операции!$X:$X,"&lt;="&amp;S$9,операции!$AB:$AB,"&lt;&gt;"&amp;"",операции!$L:$L,V$9,операции!$O:$O,$F1422)</f>
        <v>0</v>
      </c>
      <c r="W1455" s="259"/>
      <c r="X1455" s="224">
        <f>SUMIFS(операции!$Z:$Z,операции!$X:$X,"&gt;="&amp;X$8,операции!$X:$X,"&lt;="&amp;X$9,операции!$AB:$AB,"&lt;&gt;"&amp;"",операции!$O:$O,$F1422)</f>
        <v>23887</v>
      </c>
      <c r="Y1455" s="216">
        <f>X1455-Z1455-AA1455</f>
        <v>0</v>
      </c>
      <c r="Z1455" s="224">
        <f>SUMIFS(операции!$Z:$Z,операции!$X:$X,"&gt;="&amp;X$8,операции!$X:$X,"&lt;="&amp;X$9,операции!$AB:$AB,"&lt;&gt;"&amp;"",операции!$L:$L,Z$9,операции!$O:$O,$F1422)</f>
        <v>23887</v>
      </c>
      <c r="AA1455" s="258">
        <f>SUMIFS(операции!$Z:$Z,операции!$X:$X,"&gt;="&amp;X$8,операции!$X:$X,"&lt;="&amp;X$9,операции!$AB:$AB,"&lt;&gt;"&amp;"",операции!$L:$L,AA$9,операции!$O:$O,$F1422)</f>
        <v>0</v>
      </c>
      <c r="AB1455" s="266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</row>
    <row r="1456" spans="1:42" s="192" customFormat="1" ht="11.25">
      <c r="A1456" s="37"/>
      <c r="B1456" s="37"/>
      <c r="C1456" s="37"/>
      <c r="D1456" s="191"/>
      <c r="E1456" s="191" t="s">
        <v>295</v>
      </c>
      <c r="F1456" s="191" t="str">
        <f t="shared" si="2522"/>
        <v>ОдеждаКомп</v>
      </c>
      <c r="G1456" s="191" t="s">
        <v>262</v>
      </c>
      <c r="H1456" s="315"/>
      <c r="I1456" s="316">
        <f>IF(I1455=0,0,SUMIFS(операции!$AG:$AG,операции!$X:$X,"&gt;="&amp;I$8,операции!$X:$X,"&lt;="&amp;I$9,операции!$AB:$AB,"&lt;&gt;"&amp;"",операции!$O:$O,$F1422)/I1455)</f>
        <v>42327.126252235757</v>
      </c>
      <c r="J1456" s="317"/>
      <c r="K1456" s="316">
        <f>IF(K1455=0,0,SUMIFS(операции!$AG:$AG,операции!$X:$X,"&gt;="&amp;I$8,операции!$X:$X,"&lt;="&amp;I$9,операции!$AB:$AB,"&lt;&gt;"&amp;"",операции!$L:$L,K$9,операции!$O:$O,$F1422)/K1455)</f>
        <v>42327.126252235757</v>
      </c>
      <c r="L1456" s="318">
        <f>IF(L1455=0,0,SUMIFS(операции!$AG:$AG,операции!$X:$X,"&gt;="&amp;I$8,операции!$X:$X,"&lt;="&amp;I$9,операции!$AB:$AB,"&lt;&gt;"&amp;"",операции!$L:$L,L$9,операции!$O:$O,$F1422)/L1455)</f>
        <v>0</v>
      </c>
      <c r="M1456" s="274"/>
      <c r="N1456" s="193">
        <f>IF(N1455=0,0,SUMIFS(операции!$AG:$AG,операции!$X:$X,"&gt;="&amp;N$8,операции!$X:$X,"&lt;="&amp;N$9,операции!$AB:$AB,"&lt;&gt;"&amp;"",операции!$O:$O,$F1422)/N1455)</f>
        <v>42307.073246658125</v>
      </c>
      <c r="O1456" s="196"/>
      <c r="P1456" s="193">
        <f>IF(P1455=0,0,SUMIFS(операции!$AG:$AG,операции!$X:$X,"&gt;="&amp;N$8,операции!$X:$X,"&lt;="&amp;N$9,операции!$AB:$AB,"&lt;&gt;"&amp;"",операции!$L:$L,P$9,операции!$O:$O,$F1422)/P1455)</f>
        <v>42307.073246658125</v>
      </c>
      <c r="Q1456" s="237">
        <f>IF(Q1455=0,0,SUMIFS(операции!$AG:$AG,операции!$X:$X,"&gt;="&amp;N$8,операции!$X:$X,"&lt;="&amp;N$9,операции!$AB:$AB,"&lt;&gt;"&amp;"",операции!$L:$L,Q$9,операции!$O:$O,$F1422)/Q1455)</f>
        <v>0</v>
      </c>
      <c r="R1456" s="238"/>
      <c r="S1456" s="193">
        <f>IF(S1455=0,0,SUMIFS(операции!$AG:$AG,операции!$X:$X,"&gt;="&amp;S$8,операции!$X:$X,"&lt;="&amp;S$9,операции!$AB:$AB,"&lt;&gt;"&amp;"",операции!$O:$O,$F1422)/S1455)</f>
        <v>42327.420670667496</v>
      </c>
      <c r="T1456" s="196"/>
      <c r="U1456" s="193">
        <f>IF(U1455=0,0,SUMIFS(операции!$AG:$AG,операции!$X:$X,"&gt;="&amp;S$8,операции!$X:$X,"&lt;="&amp;S$9,операции!$AB:$AB,"&lt;&gt;"&amp;"",операции!$L:$L,U$9,операции!$O:$O,$F1422)/U1455)</f>
        <v>42327.420670667496</v>
      </c>
      <c r="V1456" s="237">
        <f>IF(V1455=0,0,SUMIFS(операции!$AG:$AG,операции!$X:$X,"&gt;="&amp;S$8,операции!$X:$X,"&lt;="&amp;S$9,операции!$AB:$AB,"&lt;&gt;"&amp;"",операции!$L:$L,V$9,операции!$O:$O,$F1422)/V1455)</f>
        <v>0</v>
      </c>
      <c r="W1456" s="238"/>
      <c r="X1456" s="193">
        <f>IF(X1455=0,0,SUMIFS(операции!$AG:$AG,операции!$X:$X,"&gt;="&amp;X$8,операции!$X:$X,"&lt;="&amp;X$9,операции!$AB:$AB,"&lt;&gt;"&amp;"",операции!$O:$O,$F1422)/X1455)</f>
        <v>42339.908234604598</v>
      </c>
      <c r="Y1456" s="196"/>
      <c r="Z1456" s="193">
        <f>IF(Z1455=0,0,SUMIFS(операции!$AG:$AG,операции!$X:$X,"&gt;="&amp;X$8,операции!$X:$X,"&lt;="&amp;X$9,операции!$AB:$AB,"&lt;&gt;"&amp;"",операции!$L:$L,Z$9,операции!$O:$O,$F1422)/Z1455)</f>
        <v>42339.908234604598</v>
      </c>
      <c r="AA1456" s="237">
        <f>IF(AA1455=0,0,SUMIFS(операции!$AG:$AG,операции!$X:$X,"&gt;="&amp;X$8,операции!$X:$X,"&lt;="&amp;X$9,операции!$AB:$AB,"&lt;&gt;"&amp;"",операции!$L:$L,AA$9,операции!$O:$O,$F1422)/AA1455)</f>
        <v>0</v>
      </c>
      <c r="AB1456" s="265"/>
      <c r="AC1456" s="37"/>
      <c r="AD1456" s="37"/>
      <c r="AE1456" s="37"/>
      <c r="AF1456" s="37"/>
      <c r="AG1456" s="37"/>
      <c r="AH1456" s="37"/>
      <c r="AI1456" s="37"/>
      <c r="AJ1456" s="37"/>
      <c r="AK1456" s="37"/>
      <c r="AL1456" s="37"/>
      <c r="AM1456" s="37"/>
      <c r="AN1456" s="37"/>
      <c r="AO1456" s="37"/>
      <c r="AP1456" s="37"/>
    </row>
    <row r="1457" spans="1:42" s="93" customFormat="1" ht="15">
      <c r="A1457" s="92"/>
      <c r="B1457" s="92"/>
      <c r="C1457" s="92"/>
      <c r="D1457" s="151"/>
      <c r="E1457" s="151" t="s">
        <v>292</v>
      </c>
      <c r="F1457" s="151" t="str">
        <f t="shared" si="2522"/>
        <v>ОдеждаКомп</v>
      </c>
      <c r="G1457" s="151" t="s">
        <v>261</v>
      </c>
      <c r="H1457" s="311"/>
      <c r="I1457" s="312">
        <f>SUMIFS(операции!$V:$V,операции!$X:$X,"&gt;="&amp;I$8,операции!$X:$X,"&lt;="&amp;I$9,операции!$AB:$AB,"&lt;&gt;"&amp;"",операции!$O:$O,$F1422)</f>
        <v>76487.34</v>
      </c>
      <c r="J1457" s="313">
        <f>I1457-K1457-L1457</f>
        <v>0</v>
      </c>
      <c r="K1457" s="312">
        <f>SUMIFS(операции!$V:$V,операции!$X:$X,"&gt;="&amp;I$8,операции!$X:$X,"&lt;="&amp;I$9,операции!$AB:$AB,"&lt;&gt;"&amp;"",операции!$L:$L,K$9,операции!$O:$O,$F1422)</f>
        <v>76487.34</v>
      </c>
      <c r="L1457" s="314">
        <f>SUMIFS(операции!$V:$V,операции!$X:$X,"&gt;="&amp;I$8,операции!$X:$X,"&lt;="&amp;I$9,операции!$AB:$AB,"&lt;&gt;"&amp;"",операции!$L:$L,L$9,операции!$O:$O,$F1422)</f>
        <v>0</v>
      </c>
      <c r="M1457" s="273"/>
      <c r="N1457" s="152">
        <f>SUMIFS(операции!$V:$V,операции!$X:$X,"&gt;="&amp;N$8,операции!$X:$X,"&lt;="&amp;N$9,операции!$AB:$AB,"&lt;&gt;"&amp;"",операции!$O:$O,$F1422)</f>
        <v>12639</v>
      </c>
      <c r="O1457" s="170">
        <f>N1457-P1457-Q1457</f>
        <v>0</v>
      </c>
      <c r="P1457" s="152">
        <f>SUMIFS(операции!$V:$V,операции!$X:$X,"&gt;="&amp;N$8,операции!$X:$X,"&lt;="&amp;N$9,операции!$AB:$AB,"&lt;&gt;"&amp;"",операции!$L:$L,P$9,операции!$O:$O,$F1422)</f>
        <v>12639</v>
      </c>
      <c r="Q1457" s="235">
        <f>SUMIFS(операции!$V:$V,операции!$X:$X,"&gt;="&amp;N$8,операции!$X:$X,"&lt;="&amp;N$9,операции!$AB:$AB,"&lt;&gt;"&amp;"",операции!$L:$L,Q$9,операции!$O:$O,$F1422)</f>
        <v>0</v>
      </c>
      <c r="R1457" s="236"/>
      <c r="S1457" s="152">
        <f>SUMIFS(операции!$V:$V,операции!$X:$X,"&gt;="&amp;S$8,операции!$X:$X,"&lt;="&amp;S$9,операции!$AB:$AB,"&lt;&gt;"&amp;"",операции!$O:$O,$F1422)</f>
        <v>48713.760000000002</v>
      </c>
      <c r="T1457" s="170">
        <f>S1457-U1457-V1457</f>
        <v>0</v>
      </c>
      <c r="U1457" s="152">
        <f>SUMIFS(операции!$V:$V,операции!$X:$X,"&gt;="&amp;S$8,операции!$X:$X,"&lt;="&amp;S$9,операции!$AB:$AB,"&lt;&gt;"&amp;"",операции!$L:$L,U$9,операции!$O:$O,$F1422)</f>
        <v>48713.760000000002</v>
      </c>
      <c r="V1457" s="235">
        <f>SUMIFS(операции!$V:$V,операции!$X:$X,"&gt;="&amp;S$8,операции!$X:$X,"&lt;="&amp;S$9,операции!$AB:$AB,"&lt;&gt;"&amp;"",операции!$L:$L,V$9,операции!$O:$O,$F1422)</f>
        <v>0</v>
      </c>
      <c r="W1457" s="236"/>
      <c r="X1457" s="152">
        <f>SUMIFS(операции!$V:$V,операции!$X:$X,"&gt;="&amp;X$8,операции!$X:$X,"&lt;="&amp;X$9,операции!$AB:$AB,"&lt;&gt;"&amp;"",операции!$O:$O,$F1422)</f>
        <v>15134.580000000002</v>
      </c>
      <c r="Y1457" s="170">
        <f>X1457-Z1457-AA1457</f>
        <v>0</v>
      </c>
      <c r="Z1457" s="152">
        <f>SUMIFS(операции!$V:$V,операции!$X:$X,"&gt;="&amp;X$8,операции!$X:$X,"&lt;="&amp;X$9,операции!$AB:$AB,"&lt;&gt;"&amp;"",операции!$L:$L,Z$9,операции!$O:$O,$F1422)</f>
        <v>15134.580000000002</v>
      </c>
      <c r="AA1457" s="235">
        <f>SUMIFS(операции!$V:$V,операции!$X:$X,"&gt;="&amp;X$8,операции!$X:$X,"&lt;="&amp;X$9,операции!$AB:$AB,"&lt;&gt;"&amp;"",операции!$L:$L,AA$9,операции!$O:$O,$F1422)</f>
        <v>0</v>
      </c>
      <c r="AB1457" s="264"/>
      <c r="AC1457" s="92"/>
      <c r="AD1457" s="92"/>
      <c r="AE1457" s="92"/>
      <c r="AF1457" s="92"/>
      <c r="AG1457" s="92"/>
      <c r="AH1457" s="92"/>
      <c r="AI1457" s="92"/>
      <c r="AJ1457" s="92"/>
      <c r="AK1457" s="92"/>
      <c r="AL1457" s="92"/>
      <c r="AM1457" s="92"/>
      <c r="AN1457" s="92"/>
      <c r="AO1457" s="92"/>
      <c r="AP1457" s="92"/>
    </row>
    <row r="1458" spans="1:42" s="192" customFormat="1" ht="11.25">
      <c r="A1458" s="37"/>
      <c r="B1458" s="37"/>
      <c r="C1458" s="37"/>
      <c r="D1458" s="191"/>
      <c r="E1458" s="191" t="s">
        <v>294</v>
      </c>
      <c r="F1458" s="191" t="str">
        <f t="shared" si="2522"/>
        <v>ОдеждаКомп</v>
      </c>
      <c r="G1458" s="191" t="s">
        <v>262</v>
      </c>
      <c r="H1458" s="315"/>
      <c r="I1458" s="316">
        <f>IF(I1457=0,0,SUMIFS(операции!$AF:$AF,операции!$X:$X,"&gt;="&amp;I$8,операции!$X:$X,"&lt;="&amp;I$9,операции!$AB:$AB,"&lt;&gt;"&amp;"",операции!$O:$O,$F1422)/I1457)</f>
        <v>42231.968944272347</v>
      </c>
      <c r="J1458" s="317"/>
      <c r="K1458" s="316">
        <f>IF(K1457=0,0,SUMIFS(операции!$AF:$AF,операции!$X:$X,"&gt;="&amp;I$8,операции!$X:$X,"&lt;="&amp;I$9,операции!$AB:$AB,"&lt;&gt;"&amp;"",операции!$L:$L,K$9,операции!$O:$O,$F1422)/K1457)</f>
        <v>42231.968944272347</v>
      </c>
      <c r="L1458" s="318">
        <f>IF(L1457=0,0,SUMIFS(операции!$AF:$AF,операции!$X:$X,"&gt;="&amp;I$8,операции!$X:$X,"&lt;="&amp;I$9,операции!$AB:$AB,"&lt;&gt;"&amp;"",операции!$L:$L,L$9,операции!$O:$O,$F1422)/L1457)</f>
        <v>0</v>
      </c>
      <c r="M1458" s="274"/>
      <c r="N1458" s="193">
        <f>IF(N1457=0,0,SUMIFS(операции!$AF:$AF,операции!$X:$X,"&gt;="&amp;N$8,операции!$X:$X,"&lt;="&amp;N$9,операции!$AB:$AB,"&lt;&gt;"&amp;"",операции!$O:$O,$F1422)/N1457)</f>
        <v>42198.714613497905</v>
      </c>
      <c r="O1458" s="196"/>
      <c r="P1458" s="193">
        <f>IF(P1457=0,0,SUMIFS(операции!$AF:$AF,операции!$X:$X,"&gt;="&amp;N$8,операции!$X:$X,"&lt;="&amp;N$9,операции!$AB:$AB,"&lt;&gt;"&amp;"",операции!$L:$L,P$9,операции!$O:$O,$F1422)/P1457)</f>
        <v>42198.714613497905</v>
      </c>
      <c r="Q1458" s="237">
        <f>IF(Q1457=0,0,SUMIFS(операции!$AF:$AF,операции!$X:$X,"&gt;="&amp;N$8,операции!$X:$X,"&lt;="&amp;N$9,операции!$AB:$AB,"&lt;&gt;"&amp;"",операции!$L:$L,Q$9,операции!$O:$O,$F1422)/Q1457)</f>
        <v>0</v>
      </c>
      <c r="R1458" s="238"/>
      <c r="S1458" s="193">
        <f>IF(S1457=0,0,SUMIFS(операции!$AF:$AF,операции!$X:$X,"&gt;="&amp;S$8,операции!$X:$X,"&lt;="&amp;S$9,операции!$AB:$AB,"&lt;&gt;"&amp;"",операции!$O:$O,$F1422)/S1457)</f>
        <v>42235.75758902618</v>
      </c>
      <c r="T1458" s="196"/>
      <c r="U1458" s="193">
        <f>IF(U1457=0,0,SUMIFS(операции!$AF:$AF,операции!$X:$X,"&gt;="&amp;S$8,операции!$X:$X,"&lt;="&amp;S$9,операции!$AB:$AB,"&lt;&gt;"&amp;"",операции!$L:$L,U$9,операции!$O:$O,$F1422)/U1457)</f>
        <v>42235.75758902618</v>
      </c>
      <c r="V1458" s="237">
        <f>IF(V1457=0,0,SUMIFS(операции!$AF:$AF,операции!$X:$X,"&gt;="&amp;S$8,операции!$X:$X,"&lt;="&amp;S$9,операции!$AB:$AB,"&lt;&gt;"&amp;"",операции!$L:$L,V$9,операции!$O:$O,$F1422)/V1457)</f>
        <v>0</v>
      </c>
      <c r="W1458" s="238"/>
      <c r="X1458" s="193">
        <f>IF(X1457=0,0,SUMIFS(операции!$AF:$AF,операции!$X:$X,"&gt;="&amp;X$8,операции!$X:$X,"&lt;="&amp;X$9,операции!$AB:$AB,"&lt;&gt;"&amp;"",операции!$O:$O,$F1422)/X1457)</f>
        <v>42247.545349788357</v>
      </c>
      <c r="Y1458" s="196"/>
      <c r="Z1458" s="193">
        <f>IF(Z1457=0,0,SUMIFS(операции!$AF:$AF,операции!$X:$X,"&gt;="&amp;X$8,операции!$X:$X,"&lt;="&amp;X$9,операции!$AB:$AB,"&lt;&gt;"&amp;"",операции!$L:$L,Z$9,операции!$O:$O,$F1422)/Z1457)</f>
        <v>42247.545349788357</v>
      </c>
      <c r="AA1458" s="237">
        <f>IF(AA1457=0,0,SUMIFS(операции!$AF:$AF,операции!$X:$X,"&gt;="&amp;X$8,операции!$X:$X,"&lt;="&amp;X$9,операции!$AB:$AB,"&lt;&gt;"&amp;"",операции!$L:$L,AA$9,операции!$O:$O,$F1422)/AA1457)</f>
        <v>0</v>
      </c>
      <c r="AB1458" s="265"/>
      <c r="AC1458" s="37"/>
      <c r="AD1458" s="37"/>
      <c r="AE1458" s="37"/>
      <c r="AF1458" s="37"/>
      <c r="AG1458" s="37"/>
      <c r="AH1458" s="37"/>
      <c r="AI1458" s="37"/>
      <c r="AJ1458" s="37"/>
      <c r="AK1458" s="37"/>
      <c r="AL1458" s="37"/>
      <c r="AM1458" s="37"/>
      <c r="AN1458" s="37"/>
      <c r="AO1458" s="37"/>
      <c r="AP1458" s="37"/>
    </row>
    <row r="1459" spans="1:42" s="192" customFormat="1" ht="11.25">
      <c r="A1459" s="37"/>
      <c r="B1459" s="37"/>
      <c r="C1459" s="37"/>
      <c r="D1459" s="191"/>
      <c r="E1459" s="191" t="s">
        <v>299</v>
      </c>
      <c r="F1459" s="191" t="str">
        <f t="shared" si="2522"/>
        <v>ОдеждаКомп</v>
      </c>
      <c r="G1459" s="191" t="s">
        <v>262</v>
      </c>
      <c r="H1459" s="315"/>
      <c r="I1459" s="316">
        <f>IF(I1457=0,0,SUMIFS(операции!$AH:$AH,операции!$X:$X,"&gt;="&amp;I$8,операции!$X:$X,"&lt;="&amp;I$9,операции!$AB:$AB,"&lt;&gt;"&amp;"",операции!$O:$O,$F1422)/I1457)</f>
        <v>42261.670641311357</v>
      </c>
      <c r="J1459" s="317"/>
      <c r="K1459" s="316">
        <f>IF(K1457=0,0,SUMIFS(операции!$AH:$AH,операции!$X:$X,"&gt;="&amp;I$8,операции!$X:$X,"&lt;="&amp;I$9,операции!$AB:$AB,"&lt;&gt;"&amp;"",операции!$L:$L,K$9,операции!$O:$O,$F1422)/K1457)</f>
        <v>42261.670641311357</v>
      </c>
      <c r="L1459" s="318">
        <f>IF(L1457=0,0,SUMIFS(операции!$AH:$AH,операции!$X:$X,"&gt;="&amp;I$8,операции!$X:$X,"&lt;="&amp;I$9,операции!$AB:$AB,"&lt;&gt;"&amp;"",операции!$L:$L,L$9,операции!$O:$O,$F1422)/L1457)</f>
        <v>0</v>
      </c>
      <c r="M1459" s="274"/>
      <c r="N1459" s="193">
        <f>IF(N1457=0,0,SUMIFS(операции!$AH:$AH,операции!$X:$X,"&gt;="&amp;N$8,операции!$X:$X,"&lt;="&amp;N$9,операции!$AB:$AB,"&lt;&gt;"&amp;"",операции!$O:$O,$F1422)/N1457)</f>
        <v>42213.261650447028</v>
      </c>
      <c r="O1459" s="196"/>
      <c r="P1459" s="193">
        <f>IF(P1457=0,0,SUMIFS(операции!$AH:$AH,операции!$X:$X,"&gt;="&amp;N$8,операции!$X:$X,"&lt;="&amp;N$9,операции!$AB:$AB,"&lt;&gt;"&amp;"",операции!$L:$L,P$9,операции!$O:$O,$F1422)/P1457)</f>
        <v>42213.261650447028</v>
      </c>
      <c r="Q1459" s="237">
        <f>IF(Q1457=0,0,SUMIFS(операции!$AH:$AH,операции!$X:$X,"&gt;="&amp;N$8,операции!$X:$X,"&lt;="&amp;N$9,операции!$AB:$AB,"&lt;&gt;"&amp;"",операции!$L:$L,Q$9,операции!$O:$O,$F1422)/Q1457)</f>
        <v>0</v>
      </c>
      <c r="R1459" s="238"/>
      <c r="S1459" s="193">
        <f>IF(S1457=0,0,SUMIFS(операции!$AH:$AH,операции!$X:$X,"&gt;="&amp;S$8,операции!$X:$X,"&lt;="&amp;S$9,операции!$AB:$AB,"&lt;&gt;"&amp;"",операции!$O:$O,$F1422)/S1457)</f>
        <v>42267.892593591627</v>
      </c>
      <c r="T1459" s="196"/>
      <c r="U1459" s="193">
        <f>IF(U1457=0,0,SUMIFS(операции!$AH:$AH,операции!$X:$X,"&gt;="&amp;S$8,операции!$X:$X,"&lt;="&amp;S$9,операции!$AB:$AB,"&lt;&gt;"&amp;"",операции!$L:$L,U$9,операции!$O:$O,$F1422)/U1457)</f>
        <v>42267.892593591627</v>
      </c>
      <c r="V1459" s="237">
        <f>IF(V1457=0,0,SUMIFS(операции!$AH:$AH,операции!$X:$X,"&gt;="&amp;S$8,операции!$X:$X,"&lt;="&amp;S$9,операции!$AB:$AB,"&lt;&gt;"&amp;"",операции!$L:$L,V$9,операции!$O:$O,$F1422)/V1457)</f>
        <v>0</v>
      </c>
      <c r="W1459" s="238"/>
      <c r="X1459" s="193">
        <f>IF(X1457=0,0,SUMIFS(операции!$AH:$AH,операции!$X:$X,"&gt;="&amp;X$8,операции!$X:$X,"&lt;="&amp;X$9,операции!$AB:$AB,"&lt;&gt;"&amp;"",операции!$O:$O,$F1422)/X1457)</f>
        <v>42282.070714879424</v>
      </c>
      <c r="Y1459" s="196"/>
      <c r="Z1459" s="193">
        <f>IF(Z1457=0,0,SUMIFS(операции!$AH:$AH,операции!$X:$X,"&gt;="&amp;X$8,операции!$X:$X,"&lt;="&amp;X$9,операции!$AB:$AB,"&lt;&gt;"&amp;"",операции!$L:$L,Z$9,операции!$O:$O,$F1422)/Z1457)</f>
        <v>42282.070714879424</v>
      </c>
      <c r="AA1459" s="237">
        <f>IF(AA1457=0,0,SUMIFS(операции!$AH:$AH,операции!$X:$X,"&gt;="&amp;X$8,операции!$X:$X,"&lt;="&amp;X$9,операции!$AB:$AB,"&lt;&gt;"&amp;"",операции!$L:$L,AA$9,операции!$O:$O,$F1422)/AA1457)</f>
        <v>0</v>
      </c>
      <c r="AB1459" s="265"/>
      <c r="AC1459" s="37"/>
      <c r="AD1459" s="37"/>
      <c r="AE1459" s="37"/>
      <c r="AF1459" s="37"/>
      <c r="AG1459" s="37"/>
      <c r="AH1459" s="37"/>
      <c r="AI1459" s="37"/>
      <c r="AJ1459" s="37"/>
      <c r="AK1459" s="37"/>
      <c r="AL1459" s="37"/>
      <c r="AM1459" s="37"/>
      <c r="AN1459" s="37"/>
      <c r="AO1459" s="37"/>
      <c r="AP1459" s="37"/>
    </row>
    <row r="1460" spans="1:42" s="5" customFormat="1">
      <c r="A1460" s="1"/>
      <c r="B1460" s="1"/>
      <c r="C1460" s="1"/>
      <c r="D1460" s="168"/>
      <c r="E1460" s="168" t="s">
        <v>296</v>
      </c>
      <c r="F1460" s="168" t="str">
        <f t="shared" si="2522"/>
        <v>ОдеждаКомп</v>
      </c>
      <c r="G1460" s="168" t="s">
        <v>261</v>
      </c>
      <c r="H1460" s="326"/>
      <c r="I1460" s="327">
        <f>I1455-I1457</f>
        <v>42599.66</v>
      </c>
      <c r="J1460" s="313">
        <f>I1460-K1460-L1460</f>
        <v>0</v>
      </c>
      <c r="K1460" s="327">
        <f t="shared" ref="K1460:L1460" si="2599">K1455-K1457</f>
        <v>42599.66</v>
      </c>
      <c r="L1460" s="328">
        <f t="shared" si="2599"/>
        <v>0</v>
      </c>
      <c r="M1460" s="277"/>
      <c r="N1460" s="169">
        <f>N1455-N1457</f>
        <v>3744</v>
      </c>
      <c r="O1460" s="170">
        <f>N1460-P1460-Q1460</f>
        <v>0</v>
      </c>
      <c r="P1460" s="169">
        <f t="shared" ref="P1460:Q1460" si="2600">P1455-P1457</f>
        <v>3744</v>
      </c>
      <c r="Q1460" s="243">
        <f t="shared" si="2600"/>
        <v>0</v>
      </c>
      <c r="R1460" s="244"/>
      <c r="S1460" s="169">
        <f>S1455-S1457</f>
        <v>30103.239999999998</v>
      </c>
      <c r="T1460" s="170">
        <f>S1460-U1460-V1460</f>
        <v>0</v>
      </c>
      <c r="U1460" s="169">
        <f t="shared" ref="U1460:V1460" si="2601">U1455-U1457</f>
        <v>30103.239999999998</v>
      </c>
      <c r="V1460" s="243">
        <f t="shared" si="2601"/>
        <v>0</v>
      </c>
      <c r="W1460" s="244"/>
      <c r="X1460" s="169">
        <f>X1455-X1457</f>
        <v>8752.4199999999983</v>
      </c>
      <c r="Y1460" s="170">
        <f>X1460-Z1460-AA1460</f>
        <v>0</v>
      </c>
      <c r="Z1460" s="169">
        <f t="shared" ref="Z1460:AA1460" si="2602">Z1455-Z1457</f>
        <v>8752.4199999999983</v>
      </c>
      <c r="AA1460" s="243">
        <f t="shared" si="2602"/>
        <v>0</v>
      </c>
      <c r="AB1460" s="266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</row>
    <row r="1461" spans="1:42" s="211" customFormat="1">
      <c r="A1461" s="210"/>
      <c r="B1461" s="210"/>
      <c r="C1461" s="210"/>
      <c r="D1461" s="218"/>
      <c r="E1461" s="218" t="s">
        <v>297</v>
      </c>
      <c r="F1461" s="218" t="str">
        <f t="shared" si="2522"/>
        <v>ОдеждаКомп</v>
      </c>
      <c r="G1461" s="218" t="s">
        <v>218</v>
      </c>
      <c r="H1461" s="343"/>
      <c r="I1461" s="344">
        <f>IF(I1455=0,0,(I1460/I1455))</f>
        <v>0.35771881061744776</v>
      </c>
      <c r="J1461" s="345"/>
      <c r="K1461" s="344">
        <f t="shared" ref="K1461" si="2603">IF(K1455=0,0,(K1460/K1455))</f>
        <v>0.35771881061744776</v>
      </c>
      <c r="L1461" s="346">
        <f t="shared" ref="L1461" si="2604">IF(L1455=0,0,(L1460/L1455))</f>
        <v>0</v>
      </c>
      <c r="M1461" s="280"/>
      <c r="N1461" s="219">
        <f>IF(N1455=0,0,(N1460/N1455))</f>
        <v>0.22852957333821644</v>
      </c>
      <c r="O1461" s="220"/>
      <c r="P1461" s="219">
        <f t="shared" ref="P1461" si="2605">IF(P1455=0,0,(P1460/P1455))</f>
        <v>0.22852957333821644</v>
      </c>
      <c r="Q1461" s="252">
        <f t="shared" ref="Q1461" si="2606">IF(Q1455=0,0,(Q1460/Q1455))</f>
        <v>0</v>
      </c>
      <c r="R1461" s="253"/>
      <c r="S1461" s="219">
        <f>IF(S1455=0,0,(S1460/S1455))</f>
        <v>0.38193841430148318</v>
      </c>
      <c r="T1461" s="220"/>
      <c r="U1461" s="219">
        <f t="shared" ref="U1461" si="2607">IF(U1455=0,0,(U1460/U1455))</f>
        <v>0.38193841430148318</v>
      </c>
      <c r="V1461" s="252">
        <f t="shared" ref="V1461" si="2608">IF(V1455=0,0,(V1460/V1455))</f>
        <v>0</v>
      </c>
      <c r="W1461" s="253"/>
      <c r="X1461" s="219">
        <f>IF(X1455=0,0,(X1460/X1455))</f>
        <v>0.36640934399464137</v>
      </c>
      <c r="Y1461" s="220"/>
      <c r="Z1461" s="219">
        <f t="shared" ref="Z1461" si="2609">IF(Z1455=0,0,(Z1460/Z1455))</f>
        <v>0.36640934399464137</v>
      </c>
      <c r="AA1461" s="252">
        <f t="shared" ref="AA1461" si="2610">IF(AA1455=0,0,(AA1460/AA1455))</f>
        <v>0</v>
      </c>
      <c r="AB1461" s="267"/>
      <c r="AC1461" s="210"/>
      <c r="AD1461" s="210"/>
      <c r="AE1461" s="210"/>
      <c r="AF1461" s="210"/>
      <c r="AG1461" s="210"/>
      <c r="AH1461" s="210"/>
      <c r="AI1461" s="210"/>
      <c r="AJ1461" s="210"/>
      <c r="AK1461" s="210"/>
      <c r="AL1461" s="210"/>
      <c r="AM1461" s="210"/>
      <c r="AN1461" s="210"/>
      <c r="AO1461" s="210"/>
      <c r="AP1461" s="210"/>
    </row>
    <row r="1462" spans="1:42" s="5" customFormat="1">
      <c r="A1462" s="1"/>
      <c r="B1462" s="1"/>
      <c r="C1462" s="1"/>
      <c r="D1462" s="227"/>
      <c r="E1462" s="227" t="s">
        <v>298</v>
      </c>
      <c r="F1462" s="227" t="str">
        <f t="shared" si="2522"/>
        <v>ОдеждаКомп</v>
      </c>
      <c r="G1462" s="227" t="s">
        <v>219</v>
      </c>
      <c r="H1462" s="347"/>
      <c r="I1462" s="348">
        <f>I1456-I1458</f>
        <v>95.157307963410858</v>
      </c>
      <c r="J1462" s="321"/>
      <c r="K1462" s="348">
        <f t="shared" ref="K1462:L1462" si="2611">K1456-K1458</f>
        <v>95.157307963410858</v>
      </c>
      <c r="L1462" s="349">
        <f t="shared" si="2611"/>
        <v>0</v>
      </c>
      <c r="M1462" s="281"/>
      <c r="N1462" s="228">
        <f>N1456-N1458</f>
        <v>108.35863316022005</v>
      </c>
      <c r="O1462" s="173"/>
      <c r="P1462" s="228">
        <f t="shared" ref="P1462:Q1462" si="2612">P1456-P1458</f>
        <v>108.35863316022005</v>
      </c>
      <c r="Q1462" s="254">
        <f t="shared" si="2612"/>
        <v>0</v>
      </c>
      <c r="R1462" s="255"/>
      <c r="S1462" s="228">
        <f>S1456-S1458</f>
        <v>91.663081641316239</v>
      </c>
      <c r="T1462" s="173"/>
      <c r="U1462" s="228">
        <f t="shared" ref="U1462:V1462" si="2613">U1456-U1458</f>
        <v>91.663081641316239</v>
      </c>
      <c r="V1462" s="254">
        <f t="shared" si="2613"/>
        <v>0</v>
      </c>
      <c r="W1462" s="255"/>
      <c r="X1462" s="228">
        <f>X1456-X1458</f>
        <v>92.362884816240694</v>
      </c>
      <c r="Y1462" s="173"/>
      <c r="Z1462" s="228">
        <f t="shared" ref="Z1462:AA1462" si="2614">Z1456-Z1458</f>
        <v>92.362884816240694</v>
      </c>
      <c r="AA1462" s="254">
        <f t="shared" si="2614"/>
        <v>0</v>
      </c>
      <c r="AB1462" s="266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</row>
    <row r="1463" spans="1:42" s="5" customFormat="1">
      <c r="A1463" s="1"/>
      <c r="B1463" s="1"/>
      <c r="C1463" s="1"/>
      <c r="D1463" s="227"/>
      <c r="E1463" s="227" t="s">
        <v>300</v>
      </c>
      <c r="F1463" s="227" t="str">
        <f t="shared" si="2522"/>
        <v>ОдеждаКомп</v>
      </c>
      <c r="G1463" s="227" t="s">
        <v>219</v>
      </c>
      <c r="H1463" s="347"/>
      <c r="I1463" s="348">
        <f>I1459-I1458</f>
        <v>29.701697039010469</v>
      </c>
      <c r="J1463" s="321"/>
      <c r="K1463" s="348">
        <f t="shared" ref="K1463:L1463" si="2615">K1459-K1458</f>
        <v>29.701697039010469</v>
      </c>
      <c r="L1463" s="349">
        <f t="shared" si="2615"/>
        <v>0</v>
      </c>
      <c r="M1463" s="281"/>
      <c r="N1463" s="228">
        <f>N1459-N1458</f>
        <v>14.547036949123139</v>
      </c>
      <c r="O1463" s="173"/>
      <c r="P1463" s="228">
        <f t="shared" ref="P1463:Q1463" si="2616">P1459-P1458</f>
        <v>14.547036949123139</v>
      </c>
      <c r="Q1463" s="254">
        <f t="shared" si="2616"/>
        <v>0</v>
      </c>
      <c r="R1463" s="255"/>
      <c r="S1463" s="228">
        <f>S1459-S1458</f>
        <v>32.135004565447161</v>
      </c>
      <c r="T1463" s="173"/>
      <c r="U1463" s="228">
        <f t="shared" ref="U1463:V1463" si="2617">U1459-U1458</f>
        <v>32.135004565447161</v>
      </c>
      <c r="V1463" s="254">
        <f t="shared" si="2617"/>
        <v>0</v>
      </c>
      <c r="W1463" s="255"/>
      <c r="X1463" s="228">
        <f>X1459-X1458</f>
        <v>34.525365091067215</v>
      </c>
      <c r="Y1463" s="173"/>
      <c r="Z1463" s="228">
        <f t="shared" ref="Z1463:AA1463" si="2618">Z1459-Z1458</f>
        <v>34.525365091067215</v>
      </c>
      <c r="AA1463" s="254">
        <f t="shared" si="2618"/>
        <v>0</v>
      </c>
      <c r="AB1463" s="266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</row>
    <row r="1464" spans="1:42" s="93" customFormat="1" ht="15">
      <c r="A1464" s="92"/>
      <c r="B1464" s="92"/>
      <c r="C1464" s="92"/>
      <c r="D1464" s="221"/>
      <c r="E1464" s="221" t="s">
        <v>301</v>
      </c>
      <c r="F1464" s="221" t="str">
        <f t="shared" si="2522"/>
        <v>ОдеждаКомп</v>
      </c>
      <c r="G1464" s="221" t="s">
        <v>219</v>
      </c>
      <c r="H1464" s="357"/>
      <c r="I1464" s="358">
        <f>I1462-I1463</f>
        <v>65.455610924400389</v>
      </c>
      <c r="J1464" s="352"/>
      <c r="K1464" s="358">
        <f t="shared" ref="K1464" si="2619">K1462-K1463</f>
        <v>65.455610924400389</v>
      </c>
      <c r="L1464" s="359">
        <f t="shared" ref="L1464" si="2620">L1462-L1463</f>
        <v>0</v>
      </c>
      <c r="M1464" s="284"/>
      <c r="N1464" s="222">
        <f>N1462-N1463</f>
        <v>93.811596211096912</v>
      </c>
      <c r="O1464" s="181"/>
      <c r="P1464" s="222">
        <f t="shared" ref="P1464" si="2621">P1462-P1463</f>
        <v>93.811596211096912</v>
      </c>
      <c r="Q1464" s="260">
        <f t="shared" ref="Q1464" si="2622">Q1462-Q1463</f>
        <v>0</v>
      </c>
      <c r="R1464" s="261"/>
      <c r="S1464" s="222">
        <f>S1462-S1463</f>
        <v>59.528077075869078</v>
      </c>
      <c r="T1464" s="181"/>
      <c r="U1464" s="222">
        <f t="shared" ref="U1464" si="2623">U1462-U1463</f>
        <v>59.528077075869078</v>
      </c>
      <c r="V1464" s="260">
        <f t="shared" ref="V1464" si="2624">V1462-V1463</f>
        <v>0</v>
      </c>
      <c r="W1464" s="261"/>
      <c r="X1464" s="222">
        <f>X1462-X1463</f>
        <v>57.837519725173479</v>
      </c>
      <c r="Y1464" s="181"/>
      <c r="Z1464" s="222">
        <f t="shared" ref="Z1464" si="2625">Z1462-Z1463</f>
        <v>57.837519725173479</v>
      </c>
      <c r="AA1464" s="260">
        <f t="shared" ref="AA1464" si="2626">AA1462-AA1463</f>
        <v>0</v>
      </c>
      <c r="AB1464" s="264"/>
      <c r="AC1464" s="92"/>
      <c r="AD1464" s="92"/>
      <c r="AE1464" s="92"/>
      <c r="AF1464" s="92"/>
      <c r="AG1464" s="92"/>
      <c r="AH1464" s="92"/>
      <c r="AI1464" s="92"/>
      <c r="AJ1464" s="92"/>
      <c r="AK1464" s="92"/>
      <c r="AL1464" s="92"/>
      <c r="AM1464" s="92"/>
      <c r="AN1464" s="92"/>
      <c r="AO1464" s="92"/>
      <c r="AP1464" s="92"/>
    </row>
    <row r="1465" spans="1:42" s="5" customFormat="1">
      <c r="A1465" s="1"/>
      <c r="B1465" s="1"/>
      <c r="C1465" s="1"/>
      <c r="D1465" s="223"/>
      <c r="E1465" s="223" t="s">
        <v>302</v>
      </c>
      <c r="F1465" s="223" t="str">
        <f t="shared" si="2522"/>
        <v>ОдеждаКомп</v>
      </c>
      <c r="G1465" s="223" t="s">
        <v>261</v>
      </c>
      <c r="H1465" s="354"/>
      <c r="I1465" s="355">
        <f>SUMIFS(операции!$Z:$Z,операции!$X:$X,"&gt;="&amp;I$8,операции!$X:$X,"&lt;="&amp;I$9,операции!$AB:$AB,"",операции!$O:$O,$F1422)</f>
        <v>13763</v>
      </c>
      <c r="J1465" s="341">
        <f>I1465-K1465-L1465</f>
        <v>0</v>
      </c>
      <c r="K1465" s="355">
        <f>SUMIFS(операции!$Z:$Z,операции!$X:$X,"&gt;="&amp;I$8,операции!$X:$X,"&lt;="&amp;I$9,операции!$AB:$AB,"",операции!$L:$L,K$9,операции!$O:$O,$F1422)</f>
        <v>13763</v>
      </c>
      <c r="L1465" s="356">
        <f>SUMIFS(операции!$Z:$Z,операции!$X:$X,"&gt;="&amp;I$8,операции!$X:$X,"&lt;="&amp;I$9,операции!$AB:$AB,"",операции!$L:$L,L$9,операции!$O:$O,$F1422)</f>
        <v>0</v>
      </c>
      <c r="M1465" s="283"/>
      <c r="N1465" s="224">
        <f>SUMIFS(операции!$Z:$Z,операции!$X:$X,"&gt;="&amp;N$8,операции!$X:$X,"&lt;="&amp;N$9,операции!$AB:$AB,"",операции!$O:$O,$F1422)</f>
        <v>11900</v>
      </c>
      <c r="O1465" s="216">
        <f>N1465-P1465-Q1465</f>
        <v>0</v>
      </c>
      <c r="P1465" s="224">
        <f>SUMIFS(операции!$Z:$Z,операции!$X:$X,"&gt;="&amp;N$8,операции!$X:$X,"&lt;="&amp;N$9,операции!$AB:$AB,"",операции!$L:$L,P$9,операции!$O:$O,$F1422)</f>
        <v>11900</v>
      </c>
      <c r="Q1465" s="258">
        <f>SUMIFS(операции!$Z:$Z,операции!$X:$X,"&gt;="&amp;N$8,операции!$X:$X,"&lt;="&amp;N$9,операции!$AB:$AB,"",операции!$L:$L,Q$9,операции!$O:$O,$F1422)</f>
        <v>0</v>
      </c>
      <c r="R1465" s="259"/>
      <c r="S1465" s="224">
        <f>SUMIFS(операции!$Z:$Z,операции!$X:$X,"&gt;="&amp;S$8,операции!$X:$X,"&lt;="&amp;S$9,операции!$AB:$AB,"",операции!$O:$O,$F1422)</f>
        <v>0</v>
      </c>
      <c r="T1465" s="216">
        <f>S1465-U1465-V1465</f>
        <v>0</v>
      </c>
      <c r="U1465" s="224">
        <f>SUMIFS(операции!$Z:$Z,операции!$X:$X,"&gt;="&amp;S$8,операции!$X:$X,"&lt;="&amp;S$9,операции!$AB:$AB,"",операции!$L:$L,U$9,операции!$O:$O,$F1422)</f>
        <v>0</v>
      </c>
      <c r="V1465" s="258">
        <f>SUMIFS(операции!$Z:$Z,операции!$X:$X,"&gt;="&amp;S$8,операции!$X:$X,"&lt;="&amp;S$9,операции!$AB:$AB,"",операции!$L:$L,V$9,операции!$O:$O,$F1422)</f>
        <v>0</v>
      </c>
      <c r="W1465" s="259"/>
      <c r="X1465" s="224">
        <f>SUMIFS(операции!$Z:$Z,операции!$X:$X,"&gt;="&amp;X$8,операции!$X:$X,"&lt;="&amp;X$9,операции!$AB:$AB,"",операции!$O:$O,$F1422)</f>
        <v>1863</v>
      </c>
      <c r="Y1465" s="216">
        <f>X1465-Z1465-AA1465</f>
        <v>0</v>
      </c>
      <c r="Z1465" s="224">
        <f>SUMIFS(операции!$Z:$Z,операции!$X:$X,"&gt;="&amp;X$8,операции!$X:$X,"&lt;="&amp;X$9,операции!$AB:$AB,"",операции!$L:$L,Z$9,операции!$O:$O,$F1422)</f>
        <v>1863</v>
      </c>
      <c r="AA1465" s="258">
        <f>SUMIFS(операции!$Z:$Z,операции!$X:$X,"&gt;="&amp;X$8,операции!$X:$X,"&lt;="&amp;X$9,операции!$AB:$AB,"",операции!$L:$L,AA$9,операции!$O:$O,$F1422)</f>
        <v>0</v>
      </c>
      <c r="AB1465" s="266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</row>
    <row r="1466" spans="1:42" s="192" customFormat="1" ht="11.25">
      <c r="A1466" s="37"/>
      <c r="B1466" s="37"/>
      <c r="C1466" s="37"/>
      <c r="D1466" s="191"/>
      <c r="E1466" s="191" t="s">
        <v>303</v>
      </c>
      <c r="F1466" s="191" t="str">
        <f t="shared" si="2522"/>
        <v>ОдеждаКомп</v>
      </c>
      <c r="G1466" s="191" t="s">
        <v>262</v>
      </c>
      <c r="H1466" s="315"/>
      <c r="I1466" s="316">
        <f>IF(I1465=0,0,SUMIFS(операции!$AG:$AG,операции!$X:$X,"&gt;="&amp;I$8,операции!$X:$X,"&lt;="&amp;I$9,операции!$AB:$AB,"",операции!$O:$O,$F1422)/I1465)</f>
        <v>42303.549880113351</v>
      </c>
      <c r="J1466" s="317"/>
      <c r="K1466" s="316">
        <f>IF(K1465=0,0,SUMIFS(операции!$AG:$AG,операции!$X:$X,"&gt;="&amp;I$8,операции!$X:$X,"&lt;="&amp;I$9,операции!$AB:$AB,"",операции!$L:$L,K$9,операции!$O:$O,$F1422)/K1465)</f>
        <v>42303.549880113351</v>
      </c>
      <c r="L1466" s="318">
        <f>IF(L1465=0,0,SUMIFS(операции!$AG:$AG,операции!$X:$X,"&gt;="&amp;I$8,операции!$X:$X,"&lt;="&amp;I$9,операции!$AB:$AB,"",операции!$L:$L,L$9,операции!$O:$O,$F1422)/L1465)</f>
        <v>0</v>
      </c>
      <c r="M1466" s="274"/>
      <c r="N1466" s="193">
        <f>IF(N1465=0,0,SUMIFS(операции!$AG:$AG,операции!$X:$X,"&gt;="&amp;N$8,операции!$X:$X,"&lt;="&amp;N$9,операции!$AB:$AB,"",операции!$O:$O,$F1422)/N1465)</f>
        <v>42298</v>
      </c>
      <c r="O1466" s="196"/>
      <c r="P1466" s="193">
        <f>IF(P1465=0,0,SUMIFS(операции!$AG:$AG,операции!$X:$X,"&gt;="&amp;N$8,операции!$X:$X,"&lt;="&amp;N$9,операции!$AB:$AB,"",операции!$L:$L,P$9,операции!$O:$O,$F1422)/P1465)</f>
        <v>42298</v>
      </c>
      <c r="Q1466" s="237">
        <f>IF(Q1465=0,0,SUMIFS(операции!$AG:$AG,операции!$X:$X,"&gt;="&amp;N$8,операции!$X:$X,"&lt;="&amp;N$9,операции!$AB:$AB,"",операции!$L:$L,Q$9,операции!$O:$O,$F1422)/Q1465)</f>
        <v>0</v>
      </c>
      <c r="R1466" s="238"/>
      <c r="S1466" s="193">
        <f>IF(S1465=0,0,SUMIFS(операции!$AG:$AG,операции!$X:$X,"&gt;="&amp;S$8,операции!$X:$X,"&lt;="&amp;S$9,операции!$AB:$AB,"",операции!$O:$O,$F1422)/S1465)</f>
        <v>0</v>
      </c>
      <c r="T1466" s="196"/>
      <c r="U1466" s="193">
        <f>IF(U1465=0,0,SUMIFS(операции!$AG:$AG,операции!$X:$X,"&gt;="&amp;S$8,операции!$X:$X,"&lt;="&amp;S$9,операции!$AB:$AB,"",операции!$L:$L,U$9,операции!$O:$O,$F1422)/U1465)</f>
        <v>0</v>
      </c>
      <c r="V1466" s="237">
        <f>IF(V1465=0,0,SUMIFS(операции!$AG:$AG,операции!$X:$X,"&gt;="&amp;S$8,операции!$X:$X,"&lt;="&amp;S$9,операции!$AB:$AB,"",операции!$L:$L,V$9,операции!$O:$O,$F1422)/V1465)</f>
        <v>0</v>
      </c>
      <c r="W1466" s="238"/>
      <c r="X1466" s="193">
        <f>IF(X1465=0,0,SUMIFS(операции!$AG:$AG,операции!$X:$X,"&gt;="&amp;X$8,операции!$X:$X,"&lt;="&amp;X$9,операции!$AB:$AB,"",операции!$O:$O,$F1422)/X1465)</f>
        <v>42339</v>
      </c>
      <c r="Y1466" s="196"/>
      <c r="Z1466" s="193">
        <f>IF(Z1465=0,0,SUMIFS(операции!$AG:$AG,операции!$X:$X,"&gt;="&amp;X$8,операции!$X:$X,"&lt;="&amp;X$9,операции!$AB:$AB,"",операции!$L:$L,Z$9,операции!$O:$O,$F1422)/Z1465)</f>
        <v>42339</v>
      </c>
      <c r="AA1466" s="237">
        <f>IF(AA1465=0,0,SUMIFS(операции!$AG:$AG,операции!$X:$X,"&gt;="&amp;X$8,операции!$X:$X,"&lt;="&amp;X$9,операции!$AB:$AB,"",операции!$L:$L,AA$9,операции!$O:$O,$F1422)/AA1465)</f>
        <v>0</v>
      </c>
      <c r="AB1466" s="265"/>
      <c r="AC1466" s="37"/>
      <c r="AD1466" s="37"/>
      <c r="AE1466" s="37"/>
      <c r="AF1466" s="37"/>
      <c r="AG1466" s="37"/>
      <c r="AH1466" s="37"/>
      <c r="AI1466" s="37"/>
      <c r="AJ1466" s="37"/>
      <c r="AK1466" s="37"/>
      <c r="AL1466" s="37"/>
      <c r="AM1466" s="37"/>
      <c r="AN1466" s="37"/>
      <c r="AO1466" s="37"/>
      <c r="AP1466" s="37"/>
    </row>
    <row r="1467" spans="1:42" s="5" customFormat="1">
      <c r="A1467" s="1"/>
      <c r="B1467" s="1"/>
      <c r="C1467" s="1"/>
      <c r="D1467" s="168"/>
      <c r="E1467" s="168" t="s">
        <v>304</v>
      </c>
      <c r="F1467" s="168" t="str">
        <f t="shared" si="2522"/>
        <v>ОдеждаКомп</v>
      </c>
      <c r="G1467" s="168" t="s">
        <v>261</v>
      </c>
      <c r="H1467" s="326"/>
      <c r="I1467" s="327">
        <f>SUMIFS(операции!$V:$V,операции!$X:$X,"&gt;="&amp;I$8,операции!$X:$X,"&lt;="&amp;I$9,операции!$AB:$AB,"",операции!$O:$O,$F1422)</f>
        <v>13764.79</v>
      </c>
      <c r="J1467" s="313">
        <f>I1467-K1467-L1467</f>
        <v>0</v>
      </c>
      <c r="K1467" s="327">
        <f>SUMIFS(операции!$V:$V,операции!$X:$X,"&gt;="&amp;I$8,операции!$X:$X,"&lt;="&amp;I$9,операции!$AB:$AB,"",операции!$L:$L,K$9,операции!$O:$O,$F1422)</f>
        <v>13764.79</v>
      </c>
      <c r="L1467" s="328">
        <f>SUMIFS(операции!$V:$V,операции!$X:$X,"&gt;="&amp;I$8,операции!$X:$X,"&lt;="&amp;I$9,операции!$AB:$AB,"",операции!$L:$L,L$9,операции!$O:$O,$F1422)</f>
        <v>0</v>
      </c>
      <c r="M1467" s="277"/>
      <c r="N1467" s="169">
        <f>SUMIFS(операции!$V:$V,операции!$X:$X,"&gt;="&amp;N$8,операции!$X:$X,"&lt;="&amp;N$9,операции!$AB:$AB,"",операции!$O:$O,$F1422)</f>
        <v>12395</v>
      </c>
      <c r="O1467" s="170">
        <f>N1467-P1467-Q1467</f>
        <v>0</v>
      </c>
      <c r="P1467" s="169">
        <f>SUMIFS(операции!$V:$V,операции!$X:$X,"&gt;="&amp;N$8,операции!$X:$X,"&lt;="&amp;N$9,операции!$AB:$AB,"",операции!$L:$L,P$9,операции!$O:$O,$F1422)</f>
        <v>12395</v>
      </c>
      <c r="Q1467" s="243">
        <f>SUMIFS(операции!$V:$V,операции!$X:$X,"&gt;="&amp;N$8,операции!$X:$X,"&lt;="&amp;N$9,операции!$AB:$AB,"",операции!$L:$L,Q$9,операции!$O:$O,$F1422)</f>
        <v>0</v>
      </c>
      <c r="R1467" s="244"/>
      <c r="S1467" s="169">
        <f>SUMIFS(операции!$V:$V,операции!$X:$X,"&gt;="&amp;S$8,операции!$X:$X,"&lt;="&amp;S$9,операции!$AB:$AB,"",операции!$O:$O,$F1422)</f>
        <v>0</v>
      </c>
      <c r="T1467" s="170">
        <f>S1467-U1467-V1467</f>
        <v>0</v>
      </c>
      <c r="U1467" s="169">
        <f>SUMIFS(операции!$V:$V,операции!$X:$X,"&gt;="&amp;S$8,операции!$X:$X,"&lt;="&amp;S$9,операции!$AB:$AB,"",операции!$L:$L,U$9,операции!$O:$O,$F1422)</f>
        <v>0</v>
      </c>
      <c r="V1467" s="243">
        <f>SUMIFS(операции!$V:$V,операции!$X:$X,"&gt;="&amp;S$8,операции!$X:$X,"&lt;="&amp;S$9,операции!$AB:$AB,"",операции!$L:$L,V$9,операции!$O:$O,$F1422)</f>
        <v>0</v>
      </c>
      <c r="W1467" s="244"/>
      <c r="X1467" s="169">
        <f>SUMIFS(операции!$V:$V,операции!$X:$X,"&gt;="&amp;X$8,операции!$X:$X,"&lt;="&amp;X$9,операции!$AB:$AB,"",операции!$O:$O,$F1422)</f>
        <v>1369.79</v>
      </c>
      <c r="Y1467" s="170">
        <f>X1467-Z1467-AA1467</f>
        <v>0</v>
      </c>
      <c r="Z1467" s="169">
        <f>SUMIFS(операции!$V:$V,операции!$X:$X,"&gt;="&amp;X$8,операции!$X:$X,"&lt;="&amp;X$9,операции!$AB:$AB,"",операции!$L:$L,Z$9,операции!$O:$O,$F1422)</f>
        <v>1369.79</v>
      </c>
      <c r="AA1467" s="243">
        <f>SUMIFS(операции!$V:$V,операции!$X:$X,"&gt;="&amp;X$8,операции!$X:$X,"&lt;="&amp;X$9,операции!$AB:$AB,"",операции!$L:$L,AA$9,операции!$O:$O,$F1422)</f>
        <v>0</v>
      </c>
      <c r="AB1467" s="266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</row>
    <row r="1468" spans="1:42" s="192" customFormat="1" ht="11.25">
      <c r="A1468" s="37"/>
      <c r="B1468" s="37"/>
      <c r="C1468" s="37"/>
      <c r="D1468" s="191"/>
      <c r="E1468" s="191" t="s">
        <v>305</v>
      </c>
      <c r="F1468" s="191" t="str">
        <f t="shared" si="2522"/>
        <v>ОдеждаКомп</v>
      </c>
      <c r="G1468" s="191" t="s">
        <v>262</v>
      </c>
      <c r="H1468" s="315"/>
      <c r="I1468" s="316">
        <f>IF(I1467=0,0,SUMIFS(операции!$AF:$AF,операции!$X:$X,"&gt;="&amp;I$8,операции!$X:$X,"&lt;="&amp;I$9,операции!$AB:$AB,"",операции!$O:$O,$F1422)/I1467)</f>
        <v>42222.735474351583</v>
      </c>
      <c r="J1468" s="317"/>
      <c r="K1468" s="316">
        <f>IF(K1467=0,0,SUMIFS(операции!$AF:$AF,операции!$X:$X,"&gt;="&amp;I$8,операции!$X:$X,"&lt;="&amp;I$9,операции!$AB:$AB,"",операции!$L:$L,K$9,операции!$O:$O,$F1422)/K1467)</f>
        <v>42222.735474351583</v>
      </c>
      <c r="L1468" s="318">
        <f>IF(L1467=0,0,SUMIFS(операции!$AF:$AF,операции!$X:$X,"&gt;="&amp;I$8,операции!$X:$X,"&lt;="&amp;I$9,операции!$AB:$AB,"",операции!$L:$L,L$9,операции!$O:$O,$F1422)/L1467)</f>
        <v>0</v>
      </c>
      <c r="M1468" s="274"/>
      <c r="N1468" s="193">
        <f>IF(N1467=0,0,SUMIFS(операции!$AF:$AF,операции!$X:$X,"&gt;="&amp;N$8,операции!$X:$X,"&lt;="&amp;N$9,операции!$AB:$AB,"",операции!$O:$O,$F1422)/N1467)</f>
        <v>42230</v>
      </c>
      <c r="O1468" s="196"/>
      <c r="P1468" s="193">
        <f>IF(P1467=0,0,SUMIFS(операции!$AF:$AF,операции!$X:$X,"&gt;="&amp;N$8,операции!$X:$X,"&lt;="&amp;N$9,операции!$AB:$AB,"",операции!$L:$L,P$9,операции!$O:$O,$F1422)/P1467)</f>
        <v>42230</v>
      </c>
      <c r="Q1468" s="237">
        <f>IF(Q1467=0,0,SUMIFS(операции!$AF:$AF,операции!$X:$X,"&gt;="&amp;N$8,операции!$X:$X,"&lt;="&amp;N$9,операции!$AB:$AB,"",операции!$L:$L,Q$9,операции!$O:$O,$F1422)/Q1467)</f>
        <v>0</v>
      </c>
      <c r="R1468" s="238"/>
      <c r="S1468" s="193">
        <f>IF(S1467=0,0,SUMIFS(операции!$AF:$AF,операции!$X:$X,"&gt;="&amp;S$8,операции!$X:$X,"&lt;="&amp;S$9,операции!$AB:$AB,"",операции!$O:$O,$F1422)/S1467)</f>
        <v>0</v>
      </c>
      <c r="T1468" s="196"/>
      <c r="U1468" s="193">
        <f>IF(U1467=0,0,SUMIFS(операции!$AF:$AF,операции!$X:$X,"&gt;="&amp;S$8,операции!$X:$X,"&lt;="&amp;S$9,операции!$AB:$AB,"",операции!$L:$L,U$9,операции!$O:$O,$F1422)/U1467)</f>
        <v>0</v>
      </c>
      <c r="V1468" s="237">
        <f>IF(V1467=0,0,SUMIFS(операции!$AF:$AF,операции!$X:$X,"&gt;="&amp;S$8,операции!$X:$X,"&lt;="&amp;S$9,операции!$AB:$AB,"",операции!$L:$L,V$9,операции!$O:$O,$F1422)/V1467)</f>
        <v>0</v>
      </c>
      <c r="W1468" s="238"/>
      <c r="X1468" s="193">
        <f>IF(X1467=0,0,SUMIFS(операции!$AF:$AF,операции!$X:$X,"&gt;="&amp;X$8,операции!$X:$X,"&lt;="&amp;X$9,операции!$AB:$AB,"",операции!$O:$O,$F1422)/X1467)</f>
        <v>42157</v>
      </c>
      <c r="Y1468" s="196"/>
      <c r="Z1468" s="193">
        <f>IF(Z1467=0,0,SUMIFS(операции!$AF:$AF,операции!$X:$X,"&gt;="&amp;X$8,операции!$X:$X,"&lt;="&amp;X$9,операции!$AB:$AB,"",операции!$L:$L,Z$9,операции!$O:$O,$F1422)/Z1467)</f>
        <v>42157</v>
      </c>
      <c r="AA1468" s="237">
        <f>IF(AA1467=0,0,SUMIFS(операции!$AF:$AF,операции!$X:$X,"&gt;="&amp;X$8,операции!$X:$X,"&lt;="&amp;X$9,операции!$AB:$AB,"",операции!$L:$L,AA$9,операции!$O:$O,$F1422)/AA1467)</f>
        <v>0</v>
      </c>
      <c r="AB1468" s="265"/>
      <c r="AC1468" s="37"/>
      <c r="AD1468" s="37"/>
      <c r="AE1468" s="37"/>
      <c r="AF1468" s="37"/>
      <c r="AG1468" s="37"/>
      <c r="AH1468" s="37"/>
      <c r="AI1468" s="37"/>
      <c r="AJ1468" s="37"/>
      <c r="AK1468" s="37"/>
      <c r="AL1468" s="37"/>
      <c r="AM1468" s="37"/>
      <c r="AN1468" s="37"/>
      <c r="AO1468" s="37"/>
      <c r="AP1468" s="37"/>
    </row>
    <row r="1469" spans="1:42" s="192" customFormat="1" ht="11.25">
      <c r="A1469" s="37"/>
      <c r="B1469" s="37"/>
      <c r="C1469" s="37"/>
      <c r="D1469" s="191"/>
      <c r="E1469" s="191" t="s">
        <v>307</v>
      </c>
      <c r="F1469" s="191" t="str">
        <f t="shared" si="2522"/>
        <v>ОдеждаКомп</v>
      </c>
      <c r="G1469" s="191" t="s">
        <v>262</v>
      </c>
      <c r="H1469" s="315"/>
      <c r="I1469" s="316">
        <f>I$9</f>
        <v>42369</v>
      </c>
      <c r="J1469" s="317"/>
      <c r="K1469" s="316">
        <f>I$9</f>
        <v>42369</v>
      </c>
      <c r="L1469" s="318">
        <f>I$9</f>
        <v>42369</v>
      </c>
      <c r="M1469" s="274"/>
      <c r="N1469" s="193">
        <f>N$9</f>
        <v>42308</v>
      </c>
      <c r="O1469" s="196"/>
      <c r="P1469" s="193">
        <f>N$9</f>
        <v>42308</v>
      </c>
      <c r="Q1469" s="237">
        <f>N$9</f>
        <v>42308</v>
      </c>
      <c r="R1469" s="238"/>
      <c r="S1469" s="193">
        <f>S$9</f>
        <v>42338</v>
      </c>
      <c r="T1469" s="196"/>
      <c r="U1469" s="193">
        <f>S$9</f>
        <v>42338</v>
      </c>
      <c r="V1469" s="237">
        <f>S$9</f>
        <v>42338</v>
      </c>
      <c r="W1469" s="238"/>
      <c r="X1469" s="193">
        <f>X$9</f>
        <v>42369</v>
      </c>
      <c r="Y1469" s="196"/>
      <c r="Z1469" s="193">
        <f>X$9</f>
        <v>42369</v>
      </c>
      <c r="AA1469" s="237">
        <f>X$9</f>
        <v>42369</v>
      </c>
      <c r="AB1469" s="265"/>
      <c r="AC1469" s="37"/>
      <c r="AD1469" s="37"/>
      <c r="AE1469" s="37"/>
      <c r="AF1469" s="37"/>
      <c r="AG1469" s="37"/>
      <c r="AH1469" s="37"/>
      <c r="AI1469" s="37"/>
      <c r="AJ1469" s="37"/>
      <c r="AK1469" s="37"/>
      <c r="AL1469" s="37"/>
      <c r="AM1469" s="37"/>
      <c r="AN1469" s="37"/>
      <c r="AO1469" s="37"/>
      <c r="AP1469" s="37"/>
    </row>
    <row r="1470" spans="1:42" s="5" customFormat="1">
      <c r="A1470" s="1"/>
      <c r="B1470" s="1"/>
      <c r="C1470" s="1"/>
      <c r="D1470" s="168"/>
      <c r="E1470" s="168" t="s">
        <v>380</v>
      </c>
      <c r="F1470" s="168" t="str">
        <f t="shared" si="2522"/>
        <v>ОдеждаКомп</v>
      </c>
      <c r="G1470" s="168" t="s">
        <v>261</v>
      </c>
      <c r="H1470" s="326"/>
      <c r="I1470" s="327">
        <f>I1465-I1467</f>
        <v>-1.7900000000008731</v>
      </c>
      <c r="J1470" s="313">
        <f>I1470-K1470-L1470</f>
        <v>0</v>
      </c>
      <c r="K1470" s="327">
        <f t="shared" ref="K1470:L1470" si="2627">K1465-K1467</f>
        <v>-1.7900000000008731</v>
      </c>
      <c r="L1470" s="328">
        <f t="shared" si="2627"/>
        <v>0</v>
      </c>
      <c r="M1470" s="277"/>
      <c r="N1470" s="169">
        <f>N1465-N1467</f>
        <v>-495</v>
      </c>
      <c r="O1470" s="170">
        <f>N1470-P1470-Q1470</f>
        <v>0</v>
      </c>
      <c r="P1470" s="169">
        <f t="shared" ref="P1470:Q1470" si="2628">P1465-P1467</f>
        <v>-495</v>
      </c>
      <c r="Q1470" s="243">
        <f t="shared" si="2628"/>
        <v>0</v>
      </c>
      <c r="R1470" s="244"/>
      <c r="S1470" s="169">
        <f>S1465-S1467</f>
        <v>0</v>
      </c>
      <c r="T1470" s="170">
        <f>S1470-U1470-V1470</f>
        <v>0</v>
      </c>
      <c r="U1470" s="169">
        <f t="shared" ref="U1470:V1470" si="2629">U1465-U1467</f>
        <v>0</v>
      </c>
      <c r="V1470" s="243">
        <f t="shared" si="2629"/>
        <v>0</v>
      </c>
      <c r="W1470" s="244"/>
      <c r="X1470" s="169">
        <f>X1465-X1467</f>
        <v>493.21000000000004</v>
      </c>
      <c r="Y1470" s="170">
        <f>X1470-Z1470-AA1470</f>
        <v>0</v>
      </c>
      <c r="Z1470" s="169">
        <f t="shared" ref="Z1470:AA1470" si="2630">Z1465-Z1467</f>
        <v>493.21000000000004</v>
      </c>
      <c r="AA1470" s="243">
        <f t="shared" si="2630"/>
        <v>0</v>
      </c>
      <c r="AB1470" s="266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</row>
    <row r="1471" spans="1:42" s="211" customFormat="1">
      <c r="A1471" s="210"/>
      <c r="B1471" s="210"/>
      <c r="C1471" s="210"/>
      <c r="D1471" s="218"/>
      <c r="E1471" s="218" t="s">
        <v>381</v>
      </c>
      <c r="F1471" s="218" t="str">
        <f t="shared" si="2522"/>
        <v>ОдеждаКомп</v>
      </c>
      <c r="G1471" s="218" t="s">
        <v>218</v>
      </c>
      <c r="H1471" s="343"/>
      <c r="I1471" s="344">
        <f>IF(I1465=0,0,(I1470/I1465))</f>
        <v>-1.3005885344771293E-4</v>
      </c>
      <c r="J1471" s="345"/>
      <c r="K1471" s="344">
        <f t="shared" ref="K1471" si="2631">IF(K1465=0,0,(K1470/K1465))</f>
        <v>-1.3005885344771293E-4</v>
      </c>
      <c r="L1471" s="346">
        <f t="shared" ref="L1471" si="2632">IF(L1465=0,0,(L1470/L1465))</f>
        <v>0</v>
      </c>
      <c r="M1471" s="280"/>
      <c r="N1471" s="219">
        <f>IF(N1465=0,0,(N1470/N1465))</f>
        <v>-4.1596638655462183E-2</v>
      </c>
      <c r="O1471" s="220"/>
      <c r="P1471" s="219">
        <f t="shared" ref="P1471" si="2633">IF(P1465=0,0,(P1470/P1465))</f>
        <v>-4.1596638655462183E-2</v>
      </c>
      <c r="Q1471" s="252">
        <f t="shared" ref="Q1471" si="2634">IF(Q1465=0,0,(Q1470/Q1465))</f>
        <v>0</v>
      </c>
      <c r="R1471" s="253"/>
      <c r="S1471" s="219">
        <f>IF(S1465=0,0,(S1470/S1465))</f>
        <v>0</v>
      </c>
      <c r="T1471" s="220"/>
      <c r="U1471" s="219">
        <f t="shared" ref="U1471" si="2635">IF(U1465=0,0,(U1470/U1465))</f>
        <v>0</v>
      </c>
      <c r="V1471" s="252">
        <f t="shared" ref="V1471" si="2636">IF(V1465=0,0,(V1470/V1465))</f>
        <v>0</v>
      </c>
      <c r="W1471" s="253"/>
      <c r="X1471" s="219">
        <f>IF(X1465=0,0,(X1470/X1465))</f>
        <v>0.26473966720343534</v>
      </c>
      <c r="Y1471" s="220"/>
      <c r="Z1471" s="219">
        <f t="shared" ref="Z1471" si="2637">IF(Z1465=0,0,(Z1470/Z1465))</f>
        <v>0.26473966720343534</v>
      </c>
      <c r="AA1471" s="252">
        <f t="shared" ref="AA1471" si="2638">IF(AA1465=0,0,(AA1470/AA1465))</f>
        <v>0</v>
      </c>
      <c r="AB1471" s="267"/>
      <c r="AC1471" s="210"/>
      <c r="AD1471" s="210"/>
      <c r="AE1471" s="210"/>
      <c r="AF1471" s="210"/>
      <c r="AG1471" s="210"/>
      <c r="AH1471" s="210"/>
      <c r="AI1471" s="210"/>
      <c r="AJ1471" s="210"/>
      <c r="AK1471" s="210"/>
      <c r="AL1471" s="210"/>
      <c r="AM1471" s="210"/>
      <c r="AN1471" s="210"/>
      <c r="AO1471" s="210"/>
      <c r="AP1471" s="210"/>
    </row>
    <row r="1472" spans="1:42" s="5" customFormat="1">
      <c r="A1472" s="1"/>
      <c r="B1472" s="1"/>
      <c r="C1472" s="1"/>
      <c r="D1472" s="227"/>
      <c r="E1472" s="227" t="s">
        <v>306</v>
      </c>
      <c r="F1472" s="227" t="str">
        <f t="shared" si="2522"/>
        <v>ОдеждаКомп</v>
      </c>
      <c r="G1472" s="227" t="s">
        <v>219</v>
      </c>
      <c r="H1472" s="347"/>
      <c r="I1472" s="348">
        <f>I1466-I1468</f>
        <v>80.814405761768285</v>
      </c>
      <c r="J1472" s="321"/>
      <c r="K1472" s="348">
        <f t="shared" ref="K1472:L1472" si="2639">K1466-K1468</f>
        <v>80.814405761768285</v>
      </c>
      <c r="L1472" s="349">
        <f t="shared" si="2639"/>
        <v>0</v>
      </c>
      <c r="M1472" s="281"/>
      <c r="N1472" s="228">
        <f>N1466-N1468</f>
        <v>68</v>
      </c>
      <c r="O1472" s="173"/>
      <c r="P1472" s="228">
        <f t="shared" ref="P1472:Q1472" si="2640">P1466-P1468</f>
        <v>68</v>
      </c>
      <c r="Q1472" s="254">
        <f t="shared" si="2640"/>
        <v>0</v>
      </c>
      <c r="R1472" s="255"/>
      <c r="S1472" s="228">
        <f>S1466-S1468</f>
        <v>0</v>
      </c>
      <c r="T1472" s="173"/>
      <c r="U1472" s="228">
        <f t="shared" ref="U1472:V1472" si="2641">U1466-U1468</f>
        <v>0</v>
      </c>
      <c r="V1472" s="254">
        <f t="shared" si="2641"/>
        <v>0</v>
      </c>
      <c r="W1472" s="255"/>
      <c r="X1472" s="228">
        <f>X1466-X1468</f>
        <v>182</v>
      </c>
      <c r="Y1472" s="173"/>
      <c r="Z1472" s="228">
        <f t="shared" ref="Z1472:AA1472" si="2642">Z1466-Z1468</f>
        <v>182</v>
      </c>
      <c r="AA1472" s="254">
        <f t="shared" si="2642"/>
        <v>0</v>
      </c>
      <c r="AB1472" s="266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</row>
    <row r="1473" spans="1:42" s="5" customFormat="1">
      <c r="A1473" s="1"/>
      <c r="B1473" s="1"/>
      <c r="C1473" s="1"/>
      <c r="D1473" s="227"/>
      <c r="E1473" s="227" t="s">
        <v>382</v>
      </c>
      <c r="F1473" s="227" t="str">
        <f t="shared" si="2522"/>
        <v>ОдеждаКомп</v>
      </c>
      <c r="G1473" s="227" t="s">
        <v>219</v>
      </c>
      <c r="H1473" s="347"/>
      <c r="I1473" s="348">
        <f>I1469-I1468</f>
        <v>146.26452564841748</v>
      </c>
      <c r="J1473" s="321"/>
      <c r="K1473" s="348">
        <f t="shared" ref="K1473:L1473" si="2643">K1469-K1468</f>
        <v>146.26452564841748</v>
      </c>
      <c r="L1473" s="349">
        <f t="shared" si="2643"/>
        <v>42369</v>
      </c>
      <c r="M1473" s="281"/>
      <c r="N1473" s="228">
        <f>N1469-N1468</f>
        <v>78</v>
      </c>
      <c r="O1473" s="173"/>
      <c r="P1473" s="228">
        <f t="shared" ref="P1473:Q1473" si="2644">P1469-P1468</f>
        <v>78</v>
      </c>
      <c r="Q1473" s="254">
        <f t="shared" si="2644"/>
        <v>42308</v>
      </c>
      <c r="R1473" s="255"/>
      <c r="S1473" s="228">
        <f>S1469-S1468</f>
        <v>42338</v>
      </c>
      <c r="T1473" s="173"/>
      <c r="U1473" s="228">
        <f t="shared" ref="U1473:V1473" si="2645">U1469-U1468</f>
        <v>42338</v>
      </c>
      <c r="V1473" s="254">
        <f t="shared" si="2645"/>
        <v>42338</v>
      </c>
      <c r="W1473" s="255"/>
      <c r="X1473" s="228">
        <f>X1469-X1468</f>
        <v>212</v>
      </c>
      <c r="Y1473" s="173"/>
      <c r="Z1473" s="228">
        <f t="shared" ref="Z1473:AA1473" si="2646">Z1469-Z1468</f>
        <v>212</v>
      </c>
      <c r="AA1473" s="254">
        <f t="shared" si="2646"/>
        <v>42369</v>
      </c>
      <c r="AB1473" s="266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</row>
    <row r="1474" spans="1:42" s="5" customFormat="1">
      <c r="A1474" s="1"/>
      <c r="B1474" s="1"/>
      <c r="C1474" s="1"/>
      <c r="D1474" s="225"/>
      <c r="E1474" s="225" t="s">
        <v>383</v>
      </c>
      <c r="F1474" s="225" t="str">
        <f t="shared" si="2522"/>
        <v>ОдеждаКомп</v>
      </c>
      <c r="G1474" s="225" t="s">
        <v>219</v>
      </c>
      <c r="H1474" s="350"/>
      <c r="I1474" s="351">
        <f>I1472-I1473</f>
        <v>-65.45011988664919</v>
      </c>
      <c r="J1474" s="352"/>
      <c r="K1474" s="351">
        <f t="shared" ref="K1474" si="2647">K1472-K1473</f>
        <v>-65.45011988664919</v>
      </c>
      <c r="L1474" s="353">
        <f t="shared" ref="L1474" si="2648">L1472-L1473</f>
        <v>-42369</v>
      </c>
      <c r="M1474" s="282"/>
      <c r="N1474" s="226">
        <f>N1472-N1473</f>
        <v>-10</v>
      </c>
      <c r="O1474" s="181"/>
      <c r="P1474" s="226">
        <f t="shared" ref="P1474" si="2649">P1472-P1473</f>
        <v>-10</v>
      </c>
      <c r="Q1474" s="256">
        <f t="shared" ref="Q1474" si="2650">Q1472-Q1473</f>
        <v>-42308</v>
      </c>
      <c r="R1474" s="257"/>
      <c r="S1474" s="226">
        <f>S1472-S1473</f>
        <v>-42338</v>
      </c>
      <c r="T1474" s="181"/>
      <c r="U1474" s="226">
        <f t="shared" ref="U1474" si="2651">U1472-U1473</f>
        <v>-42338</v>
      </c>
      <c r="V1474" s="256">
        <f t="shared" ref="V1474" si="2652">V1472-V1473</f>
        <v>-42338</v>
      </c>
      <c r="W1474" s="257"/>
      <c r="X1474" s="226">
        <f>X1472-X1473</f>
        <v>-30</v>
      </c>
      <c r="Y1474" s="181"/>
      <c r="Z1474" s="226">
        <f t="shared" ref="Z1474" si="2653">Z1472-Z1473</f>
        <v>-30</v>
      </c>
      <c r="AA1474" s="256">
        <f t="shared" ref="AA1474" si="2654">AA1472-AA1473</f>
        <v>-42369</v>
      </c>
      <c r="AB1474" s="266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</row>
    <row r="1475" spans="1:42" s="5" customFormat="1">
      <c r="A1475" s="1"/>
      <c r="B1475" s="1"/>
      <c r="C1475" s="1"/>
      <c r="D1475" s="168" t="s">
        <v>312</v>
      </c>
      <c r="E1475" s="168"/>
      <c r="F1475" s="168" t="str">
        <f t="shared" si="2522"/>
        <v>ОдеждаКомп</v>
      </c>
      <c r="G1475" s="168" t="s">
        <v>261</v>
      </c>
      <c r="H1475" s="326"/>
      <c r="I1475" s="327">
        <f>SUMIFS(операции!$AC:$AC,операции!$AB:$AB,"&gt;="&amp;I$8,операции!$AB:$AB,"&lt;="&amp;I$9,операции!$O:$O,$F1422)</f>
        <v>45753.59</v>
      </c>
      <c r="J1475" s="313">
        <f>I1475-K1475-L1475</f>
        <v>0</v>
      </c>
      <c r="K1475" s="327">
        <f>SUMIFS(операции!$AC:$AC,операции!$AB:$AB,"&gt;="&amp;I$8,операции!$AB:$AB,"&lt;="&amp;I$9,операции!$L:$L,K$9,операции!$O:$O,$F1422)</f>
        <v>45753.59</v>
      </c>
      <c r="L1475" s="328">
        <f>SUMIFS(операции!$AC:$AC,операции!$AB:$AB,"&gt;="&amp;I$8,операции!$AB:$AB,"&lt;="&amp;I$9,операции!$L:$L,L$9,операции!$O:$O,$F1422)</f>
        <v>0</v>
      </c>
      <c r="M1475" s="277"/>
      <c r="N1475" s="169">
        <f>SUMIFS(операции!$AC:$AC,операции!$AB:$AB,"&gt;="&amp;N$8,операции!$AB:$AB,"&lt;="&amp;N$9,операции!$O:$O,$F1422)</f>
        <v>45753.59</v>
      </c>
      <c r="O1475" s="170">
        <f>N1475-P1475-Q1475</f>
        <v>0</v>
      </c>
      <c r="P1475" s="169">
        <f>SUMIFS(операции!$AC:$AC,операции!$AB:$AB,"&gt;="&amp;N$8,операции!$AB:$AB,"&lt;="&amp;N$9,операции!$L:$L,P$9,операции!$O:$O,$F1422)</f>
        <v>45753.59</v>
      </c>
      <c r="Q1475" s="243">
        <f>SUMIFS(операции!$AC:$AC,операции!$AB:$AB,"&gt;="&amp;N$8,операции!$AB:$AB,"&lt;="&amp;N$9,операции!$L:$L,Q$9,операции!$O:$O,$F1422)</f>
        <v>0</v>
      </c>
      <c r="R1475" s="244"/>
      <c r="S1475" s="169">
        <f>SUMIFS(операции!$AC:$AC,операции!$AB:$AB,"&gt;="&amp;S$8,операции!$AB:$AB,"&lt;="&amp;S$9,операции!$O:$O,$F1422)</f>
        <v>0</v>
      </c>
      <c r="T1475" s="170">
        <f>S1475-U1475-V1475</f>
        <v>0</v>
      </c>
      <c r="U1475" s="169">
        <f>SUMIFS(операции!$AC:$AC,операции!$AB:$AB,"&gt;="&amp;S$8,операции!$AB:$AB,"&lt;="&amp;S$9,операции!$L:$L,U$9,операции!$O:$O,$F1422)</f>
        <v>0</v>
      </c>
      <c r="V1475" s="243">
        <f>SUMIFS(операции!$AC:$AC,операции!$AB:$AB,"&gt;="&amp;S$8,операции!$AB:$AB,"&lt;="&amp;S$9,операции!$L:$L,V$9,операции!$O:$O,$F1422)</f>
        <v>0</v>
      </c>
      <c r="W1475" s="244"/>
      <c r="X1475" s="169">
        <f>SUMIFS(операции!$AC:$AC,операции!$AB:$AB,"&gt;="&amp;X$8,операции!$AB:$AB,"&lt;="&amp;X$9,операции!$O:$O,$F1422)</f>
        <v>0</v>
      </c>
      <c r="Y1475" s="170">
        <f>X1475-Z1475-AA1475</f>
        <v>0</v>
      </c>
      <c r="Z1475" s="169">
        <f>SUMIFS(операции!$AC:$AC,операции!$AB:$AB,"&gt;="&amp;X$8,операции!$AB:$AB,"&lt;="&amp;X$9,операции!$L:$L,Z$9,операции!$O:$O,$F1422)</f>
        <v>0</v>
      </c>
      <c r="AA1475" s="243">
        <f>SUMIFS(операции!$AC:$AC,операции!$AB:$AB,"&gt;="&amp;X$8,операции!$AB:$AB,"&lt;="&amp;X$9,операции!$L:$L,AA$9,операции!$O:$O,$F1422)</f>
        <v>0</v>
      </c>
      <c r="AB1475" s="266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</row>
    <row r="1476" spans="1:42" s="192" customFormat="1" ht="11.25">
      <c r="A1476" s="37"/>
      <c r="B1476" s="37"/>
      <c r="C1476" s="37"/>
      <c r="D1476" s="207" t="s">
        <v>255</v>
      </c>
      <c r="E1476" s="207"/>
      <c r="F1476" s="207" t="str">
        <f t="shared" si="2522"/>
        <v>ОдеждаКомп</v>
      </c>
      <c r="G1476" s="207" t="s">
        <v>262</v>
      </c>
      <c r="H1476" s="331"/>
      <c r="I1476" s="337">
        <f>IF(I1475=0,0,SUMIFS(операции!$AH:$AH,операции!$AB:$AB,"&gt;="&amp;I$8,операции!$AB:$AB,"&lt;="&amp;I$9,операции!$O:$O,$F1422)/I1475)</f>
        <v>42288.46027098639</v>
      </c>
      <c r="J1476" s="333"/>
      <c r="K1476" s="337">
        <f>IF(K1475=0,0,SUMIFS(операции!$AH:$AH,операции!$AB:$AB,"&gt;="&amp;I$8,операции!$AB:$AB,"&lt;="&amp;I$9,операции!$L:$L,K$9,операции!$O:$O,$F1422)/K1475)</f>
        <v>42288.46027098639</v>
      </c>
      <c r="L1476" s="338">
        <f>IF(L1475=0,0,SUMIFS(операции!$AH:$AH,операции!$AB:$AB,"&gt;="&amp;I$8,операции!$AB:$AB,"&lt;="&amp;I$9,операции!$L:$L,L$9,операции!$O:$O,$F1422)/L1475)</f>
        <v>0</v>
      </c>
      <c r="M1476" s="278"/>
      <c r="N1476" s="217">
        <f>IF(N1475=0,0,SUMIFS(операции!$AH:$AH,операции!$AB:$AB,"&gt;="&amp;N$8,операции!$AB:$AB,"&lt;="&amp;N$9,операции!$O:$O,$F1422)/N1475)</f>
        <v>42288.46027098639</v>
      </c>
      <c r="O1476" s="208"/>
      <c r="P1476" s="217">
        <f>IF(P1475=0,0,SUMIFS(операции!$AH:$AH,операции!$AB:$AB,"&gt;="&amp;N$8,операции!$AB:$AB,"&lt;="&amp;N$9,операции!$L:$L,P$9,операции!$O:$O,$F1422)/P1475)</f>
        <v>42288.46027098639</v>
      </c>
      <c r="Q1476" s="249">
        <f>IF(Q1475=0,0,SUMIFS(операции!$AH:$AH,операции!$AB:$AB,"&gt;="&amp;N$8,операции!$AB:$AB,"&lt;="&amp;N$9,операции!$L:$L,Q$9,операции!$O:$O,$F1422)/Q1475)</f>
        <v>0</v>
      </c>
      <c r="R1476" s="247"/>
      <c r="S1476" s="217">
        <f>IF(S1475=0,0,SUMIFS(операции!$AH:$AH,операции!$AB:$AB,"&gt;="&amp;S$8,операции!$AB:$AB,"&lt;="&amp;S$9,операции!$O:$O,$F1422)/S1475)</f>
        <v>0</v>
      </c>
      <c r="T1476" s="208"/>
      <c r="U1476" s="217">
        <f>IF(U1475=0,0,SUMIFS(операции!$AH:$AH,операции!$AB:$AB,"&gt;="&amp;S$8,операции!$AB:$AB,"&lt;="&amp;S$9,операции!$L:$L,U$9,операции!$O:$O,$F1422)/U1475)</f>
        <v>0</v>
      </c>
      <c r="V1476" s="249">
        <f>IF(V1475=0,0,SUMIFS(операции!$AH:$AH,операции!$AB:$AB,"&gt;="&amp;S$8,операции!$AB:$AB,"&lt;="&amp;S$9,операции!$L:$L,V$9,операции!$O:$O,$F1422)/V1475)</f>
        <v>0</v>
      </c>
      <c r="W1476" s="247"/>
      <c r="X1476" s="217">
        <f>IF(X1475=0,0,SUMIFS(операции!$AH:$AH,операции!$AB:$AB,"&gt;="&amp;X$8,операции!$AB:$AB,"&lt;="&amp;X$9,операции!$O:$O,$F1422)/X1475)</f>
        <v>0</v>
      </c>
      <c r="Y1476" s="208"/>
      <c r="Z1476" s="217">
        <f>IF(Z1475=0,0,SUMIFS(операции!$AH:$AH,операции!$AB:$AB,"&gt;="&amp;X$8,операции!$AB:$AB,"&lt;="&amp;X$9,операции!$L:$L,Z$9,операции!$O:$O,$F1422)/Z1475)</f>
        <v>0</v>
      </c>
      <c r="AA1476" s="249">
        <f>IF(AA1475=0,0,SUMIFS(операции!$AH:$AH,операции!$AB:$AB,"&gt;="&amp;X$8,операции!$AB:$AB,"&lt;="&amp;X$9,операции!$L:$L,AA$9,операции!$O:$O,$F1422)/AA1475)</f>
        <v>0</v>
      </c>
      <c r="AB1476" s="265"/>
      <c r="AC1476" s="37"/>
      <c r="AD1476" s="37"/>
      <c r="AE1476" s="37"/>
      <c r="AF1476" s="37"/>
      <c r="AG1476" s="37"/>
      <c r="AH1476" s="37"/>
      <c r="AI1476" s="37"/>
      <c r="AJ1476" s="37"/>
      <c r="AK1476" s="37"/>
      <c r="AL1476" s="37"/>
      <c r="AM1476" s="37"/>
      <c r="AN1476" s="37"/>
      <c r="AO1476" s="37"/>
      <c r="AP1476" s="37"/>
    </row>
    <row r="1477" spans="1:42" s="111" customFormat="1" ht="11.25">
      <c r="A1477" s="108"/>
      <c r="B1477" s="108"/>
      <c r="C1477" s="209" t="s">
        <v>279</v>
      </c>
      <c r="D1477" s="109"/>
      <c r="E1477" s="109"/>
      <c r="F1477" s="109" t="str">
        <f t="shared" si="2522"/>
        <v>ОдеждаКомп</v>
      </c>
      <c r="G1477" s="109"/>
      <c r="H1477" s="307"/>
      <c r="I1477" s="308">
        <f>I1478-K1478-L1478+K1477+L1477</f>
        <v>0</v>
      </c>
      <c r="J1477" s="309">
        <f>I1422+I1440-I1447-I1478</f>
        <v>0</v>
      </c>
      <c r="K1477" s="308">
        <f>K1422+K1440-K1447-K1478</f>
        <v>0</v>
      </c>
      <c r="L1477" s="336">
        <f>L1422+L1440-L1447-L1478</f>
        <v>0</v>
      </c>
      <c r="M1477" s="272"/>
      <c r="N1477" s="110">
        <f>N1478-P1478-Q1478</f>
        <v>0</v>
      </c>
      <c r="O1477" s="215">
        <f>N1422+N1440-N1447-N1478</f>
        <v>0</v>
      </c>
      <c r="P1477" s="110">
        <f>P1422+P1440-P1447-P1478</f>
        <v>0</v>
      </c>
      <c r="Q1477" s="248">
        <f>Q1422+Q1440-Q1447-Q1478</f>
        <v>0</v>
      </c>
      <c r="R1477" s="234"/>
      <c r="S1477" s="110">
        <f>S1478-U1478-V1478</f>
        <v>0</v>
      </c>
      <c r="T1477" s="215">
        <f>S1422+S1440-S1447-S1478</f>
        <v>0</v>
      </c>
      <c r="U1477" s="110">
        <f>U1422+U1440-U1447-U1478</f>
        <v>0</v>
      </c>
      <c r="V1477" s="248">
        <f>V1422+V1440-V1447-V1478</f>
        <v>0</v>
      </c>
      <c r="W1477" s="234"/>
      <c r="X1477" s="110">
        <f>X1478-Z1478-AA1478</f>
        <v>0</v>
      </c>
      <c r="Y1477" s="215">
        <f>X1422+X1440-X1447-X1478</f>
        <v>0</v>
      </c>
      <c r="Z1477" s="110">
        <f>Z1422+Z1440-Z1447-Z1478</f>
        <v>0</v>
      </c>
      <c r="AA1477" s="248">
        <f>AA1422+AA1440-AA1447-AA1478</f>
        <v>0</v>
      </c>
      <c r="AB1477" s="263"/>
      <c r="AC1477" s="108"/>
      <c r="AD1477" s="108"/>
      <c r="AE1477" s="108"/>
      <c r="AF1477" s="108"/>
      <c r="AG1477" s="108"/>
      <c r="AH1477" s="108"/>
      <c r="AI1477" s="108"/>
      <c r="AJ1477" s="108"/>
      <c r="AK1477" s="108"/>
      <c r="AL1477" s="108"/>
      <c r="AM1477" s="108"/>
      <c r="AN1477" s="108"/>
      <c r="AO1477" s="108"/>
      <c r="AP1477" s="108"/>
    </row>
    <row r="1478" spans="1:42" s="93" customFormat="1" ht="15">
      <c r="A1478" s="92"/>
      <c r="B1478" s="92"/>
      <c r="C1478" s="214"/>
      <c r="D1478" s="151" t="s">
        <v>238</v>
      </c>
      <c r="E1478" s="151"/>
      <c r="F1478" s="151" t="str">
        <f t="shared" si="2522"/>
        <v>ОдеждаКомп</v>
      </c>
      <c r="G1478" s="151" t="s">
        <v>261</v>
      </c>
      <c r="H1478" s="311"/>
      <c r="I1478" s="312">
        <f>SUMIFS(операции!$V:$V,операции!$T:$T,"&lt;="&amp;I$9,операции!$X:$X,"",операции!$O:$O,$F1422)+SUMIFS(операции!$V:$V,операции!$T:$T,"&lt;="&amp;I$9,операции!$X:$X,"&gt;"&amp;I$9,операции!$O:$O,$F1422)</f>
        <v>82590.240000000005</v>
      </c>
      <c r="J1478" s="313">
        <f>I1478-I1483-I1489</f>
        <v>0</v>
      </c>
      <c r="K1478" s="312">
        <f>SUMIFS(операции!$V:$V,операции!$T:$T,"&lt;="&amp;I$9,операции!$X:$X,"",операции!$L:$L,K$9,операции!$O:$O,$F1422)+SUMIFS(операции!$V:$V,операции!$T:$T,"&lt;="&amp;I$9,операции!$X:$X,"&gt;"&amp;I$9,операции!$L:$L,K$9,операции!$O:$O,$F1422)</f>
        <v>82590.240000000005</v>
      </c>
      <c r="L1478" s="314">
        <f>SUMIFS(операции!$V:$V,операции!$T:$T,"&lt;="&amp;I$9,операции!$X:$X,"",операции!$L:$L,L$9,операции!$O:$O,$F1422)+SUMIFS(операции!$V:$V,операции!$T:$T,"&lt;="&amp;I$9,операции!$X:$X,"&gt;"&amp;I$9,операции!$L:$L,L$9,операции!$O:$O,$F1422)</f>
        <v>0</v>
      </c>
      <c r="M1478" s="273"/>
      <c r="N1478" s="152">
        <f>SUMIFS(операции!$V:$V,операции!$T:$T,"&lt;="&amp;N$9,операции!$X:$X,"",операции!$O:$O,$F1422)+SUMIFS(операции!$V:$V,операции!$T:$T,"&lt;="&amp;N$9,операции!$X:$X,"&gt;"&amp;N$9,операции!$O:$O,$F1422)</f>
        <v>147808.37</v>
      </c>
      <c r="O1478" s="170">
        <f>N1478-N1483-N1489</f>
        <v>-2.0918378140777349E-11</v>
      </c>
      <c r="P1478" s="152">
        <f>SUMIFS(операции!$V:$V,операции!$T:$T,"&lt;="&amp;N$9,операции!$X:$X,"",операции!$L:$L,P$9,операции!$O:$O,$F1422)+SUMIFS(операции!$V:$V,операции!$T:$T,"&lt;="&amp;N$9,операции!$X:$X,"&gt;"&amp;N$9,операции!$L:$L,P$9,операции!$O:$O,$F1422)</f>
        <v>147808.37</v>
      </c>
      <c r="Q1478" s="235">
        <f>SUMIFS(операции!$V:$V,операции!$T:$T,"&lt;="&amp;N$9,операции!$X:$X,"",операции!$L:$L,Q$9,операции!$O:$O,$F1422)+SUMIFS(операции!$V:$V,операции!$T:$T,"&lt;="&amp;N$9,операции!$X:$X,"&gt;"&amp;N$9,операции!$L:$L,Q$9,операции!$O:$O,$F1422)</f>
        <v>0</v>
      </c>
      <c r="R1478" s="236"/>
      <c r="S1478" s="152">
        <f>SUMIFS(операции!$V:$V,операции!$T:$T,"&lt;="&amp;S$9,операции!$X:$X,"",операции!$O:$O,$F1422)+SUMIFS(операции!$V:$V,операции!$T:$T,"&lt;="&amp;S$9,операции!$X:$X,"&gt;"&amp;S$9,операции!$O:$O,$F1422)</f>
        <v>99094.610000000015</v>
      </c>
      <c r="T1478" s="170">
        <f>S1478-S1483-S1489</f>
        <v>8.1854523159563541E-12</v>
      </c>
      <c r="U1478" s="152">
        <f>SUMIFS(операции!$V:$V,операции!$T:$T,"&lt;="&amp;S$9,операции!$X:$X,"",операции!$L:$L,U$9,операции!$O:$O,$F1422)+SUMIFS(операции!$V:$V,операции!$T:$T,"&lt;="&amp;S$9,операции!$X:$X,"&gt;"&amp;S$9,операции!$L:$L,U$9,операции!$O:$O,$F1422)</f>
        <v>99094.610000000015</v>
      </c>
      <c r="V1478" s="235">
        <f>SUMIFS(операции!$V:$V,операции!$T:$T,"&lt;="&amp;S$9,операции!$X:$X,"",операции!$L:$L,V$9,операции!$O:$O,$F1422)+SUMIFS(операции!$V:$V,операции!$T:$T,"&lt;="&amp;S$9,операции!$X:$X,"&gt;"&amp;S$9,операции!$L:$L,V$9,операции!$O:$O,$F1422)</f>
        <v>0</v>
      </c>
      <c r="W1478" s="236"/>
      <c r="X1478" s="152">
        <f>SUMIFS(операции!$V:$V,операции!$T:$T,"&lt;="&amp;X$9,операции!$X:$X,"",операции!$O:$O,$F1422)+SUMIFS(операции!$V:$V,операции!$T:$T,"&lt;="&amp;X$9,операции!$X:$X,"&gt;"&amp;X$9,операции!$O:$O,$F1422)</f>
        <v>82590.240000000005</v>
      </c>
      <c r="Y1478" s="170">
        <f>X1478-X1483-X1489</f>
        <v>0</v>
      </c>
      <c r="Z1478" s="152">
        <f>SUMIFS(операции!$V:$V,операции!$T:$T,"&lt;="&amp;X$9,операции!$X:$X,"",операции!$L:$L,Z$9,операции!$O:$O,$F1422)+SUMIFS(операции!$V:$V,операции!$T:$T,"&lt;="&amp;X$9,операции!$X:$X,"&gt;"&amp;X$9,операции!$L:$L,Z$9,операции!$O:$O,$F1422)</f>
        <v>82590.240000000005</v>
      </c>
      <c r="AA1478" s="235">
        <f>SUMIFS(операции!$V:$V,операции!$T:$T,"&lt;="&amp;X$9,операции!$X:$X,"",операции!$L:$L,AA$9,операции!$O:$O,$F1422)+SUMIFS(операции!$V:$V,операции!$T:$T,"&lt;="&amp;X$9,операции!$X:$X,"&gt;"&amp;X$9,операции!$L:$L,AA$9,операции!$O:$O,$F1422)</f>
        <v>0</v>
      </c>
      <c r="AB1478" s="264"/>
      <c r="AC1478" s="92"/>
      <c r="AD1478" s="92"/>
      <c r="AE1478" s="92"/>
      <c r="AF1478" s="92"/>
      <c r="AG1478" s="92"/>
      <c r="AH1478" s="92"/>
      <c r="AI1478" s="92"/>
      <c r="AJ1478" s="92"/>
      <c r="AK1478" s="92"/>
      <c r="AL1478" s="92"/>
      <c r="AM1478" s="92"/>
      <c r="AN1478" s="92"/>
      <c r="AO1478" s="92"/>
      <c r="AP1478" s="92"/>
    </row>
    <row r="1479" spans="1:42" s="192" customFormat="1" ht="11.25">
      <c r="A1479" s="37"/>
      <c r="B1479" s="37"/>
      <c r="C1479" s="37"/>
      <c r="D1479" s="191" t="s">
        <v>255</v>
      </c>
      <c r="E1479" s="191"/>
      <c r="F1479" s="191" t="str">
        <f t="shared" si="2522"/>
        <v>ОдеждаКомп</v>
      </c>
      <c r="G1479" s="191" t="s">
        <v>262</v>
      </c>
      <c r="H1479" s="315"/>
      <c r="I1479" s="316">
        <f>IF(I1478=0,0,(SUMIFS(операции!$AF:$AF,операции!$T:$T,"&lt;="&amp;I$9,операции!$X:$X,"",операции!$O:$O,$F1422)+SUMIFS(операции!$AF:$AF,операции!$T:$T,"&lt;="&amp;I$9,операции!$X:$X,"&gt;"&amp;I$9,операции!$O:$O,$F1422))/I1478)</f>
        <v>42207.611924241886</v>
      </c>
      <c r="J1479" s="317"/>
      <c r="K1479" s="316">
        <f>IF(K1478=0,0,(SUMIFS(операции!$AF:$AF,операции!$T:$T,"&lt;="&amp;I$9,операции!$X:$X,"",операции!$L:$L,K$9,операции!$O:$O,$F1422)+SUMIFS(операции!$AF:$AF,операции!$T:$T,"&lt;="&amp;I$9,операции!$X:$X,"&gt;"&amp;I$9,операции!$L:$L,K$9,операции!$O:$O,$F1422))/K1478)</f>
        <v>42207.611924241886</v>
      </c>
      <c r="L1479" s="318">
        <f>IF(L1478=0,0,(SUMIFS(операции!$AF:$AF,операции!$T:$T,"&lt;="&amp;I$9,операции!$X:$X,"",операции!$L:$L,L$9,операции!$O:$O,$F1422)+SUMIFS(операции!$AF:$AF,операции!$T:$T,"&lt;="&amp;I$9,операции!$X:$X,"&gt;"&amp;I$9,операции!$L:$L,L$9,операции!$O:$O,$F1422))/L1478)</f>
        <v>0</v>
      </c>
      <c r="M1479" s="274"/>
      <c r="N1479" s="193">
        <f>IF(N1478=0,0,(SUMIFS(операции!$AF:$AF,операции!$T:$T,"&lt;="&amp;N$9,операции!$X:$X,"",операции!$O:$O,$F1422)+SUMIFS(операции!$AF:$AF,операции!$T:$T,"&lt;="&amp;N$9,операции!$X:$X,"&gt;"&amp;N$9,операции!$O:$O,$F1422))/N1478)</f>
        <v>42220.507872389084</v>
      </c>
      <c r="O1479" s="196"/>
      <c r="P1479" s="193">
        <f>IF(P1478=0,0,(SUMIFS(операции!$AF:$AF,операции!$T:$T,"&lt;="&amp;N$9,операции!$X:$X,"",операции!$L:$L,P$9,операции!$O:$O,$F1422)+SUMIFS(операции!$AF:$AF,операции!$T:$T,"&lt;="&amp;N$9,операции!$X:$X,"&gt;"&amp;N$9,операции!$L:$L,P$9,операции!$O:$O,$F1422))/P1478)</f>
        <v>42220.507872389084</v>
      </c>
      <c r="Q1479" s="237">
        <f>IF(Q1478=0,0,(SUMIFS(операции!$AF:$AF,операции!$T:$T,"&lt;="&amp;N$9,операции!$X:$X,"",операции!$L:$L,Q$9,операции!$O:$O,$F1422)+SUMIFS(операции!$AF:$AF,операции!$T:$T,"&lt;="&amp;N$9,операции!$X:$X,"&gt;"&amp;N$9,операции!$L:$L,Q$9,операции!$O:$O,$F1422))/Q1478)</f>
        <v>0</v>
      </c>
      <c r="R1479" s="238"/>
      <c r="S1479" s="193">
        <f>IF(S1478=0,0,(SUMIFS(операции!$AF:$AF,операции!$T:$T,"&lt;="&amp;S$9,операции!$X:$X,"",операции!$O:$O,$F1422)+SUMIFS(операции!$AF:$AF,операции!$T:$T,"&lt;="&amp;S$9,операции!$X:$X,"&gt;"&amp;S$9,операции!$O:$O,$F1422))/S1478)</f>
        <v>42213.01128870681</v>
      </c>
      <c r="T1479" s="196"/>
      <c r="U1479" s="193">
        <f>IF(U1478=0,0,(SUMIFS(операции!$AF:$AF,операции!$T:$T,"&lt;="&amp;S$9,операции!$X:$X,"",операции!$L:$L,U$9,операции!$O:$O,$F1422)+SUMIFS(операции!$AF:$AF,операции!$T:$T,"&lt;="&amp;S$9,операции!$X:$X,"&gt;"&amp;S$9,операции!$L:$L,U$9,операции!$O:$O,$F1422))/U1478)</f>
        <v>42213.01128870681</v>
      </c>
      <c r="V1479" s="237">
        <f>IF(V1478=0,0,(SUMIFS(операции!$AF:$AF,операции!$T:$T,"&lt;="&amp;S$9,операции!$X:$X,"",операции!$L:$L,V$9,операции!$O:$O,$F1422)+SUMIFS(операции!$AF:$AF,операции!$T:$T,"&lt;="&amp;S$9,операции!$X:$X,"&gt;"&amp;S$9,операции!$L:$L,V$9,операции!$O:$O,$F1422))/V1478)</f>
        <v>0</v>
      </c>
      <c r="W1479" s="238"/>
      <c r="X1479" s="193">
        <f>IF(X1478=0,0,(SUMIFS(операции!$AF:$AF,операции!$T:$T,"&lt;="&amp;X$9,операции!$X:$X,"",операции!$O:$O,$F1422)+SUMIFS(операции!$AF:$AF,операции!$T:$T,"&lt;="&amp;X$9,операции!$X:$X,"&gt;"&amp;X$9,операции!$O:$O,$F1422))/X1478)</f>
        <v>42207.611924241886</v>
      </c>
      <c r="Y1479" s="196"/>
      <c r="Z1479" s="193">
        <f>IF(Z1478=0,0,(SUMIFS(операции!$AF:$AF,операции!$T:$T,"&lt;="&amp;X$9,операции!$X:$X,"",операции!$L:$L,Z$9,операции!$O:$O,$F1422)+SUMIFS(операции!$AF:$AF,операции!$T:$T,"&lt;="&amp;X$9,операции!$X:$X,"&gt;"&amp;X$9,операции!$L:$L,Z$9,операции!$O:$O,$F1422))/Z1478)</f>
        <v>42207.611924241886</v>
      </c>
      <c r="AA1479" s="237">
        <f>IF(AA1478=0,0,(SUMIFS(операции!$AF:$AF,операции!$T:$T,"&lt;="&amp;X$9,операции!$X:$X,"",операции!$L:$L,AA$9,операции!$O:$O,$F1422)+SUMIFS(операции!$AF:$AF,операции!$T:$T,"&lt;="&amp;X$9,операции!$X:$X,"&gt;"&amp;X$9,операции!$L:$L,AA$9,операции!$O:$O,$F1422))/AA1478)</f>
        <v>0</v>
      </c>
      <c r="AB1479" s="265"/>
      <c r="AC1479" s="37"/>
      <c r="AD1479" s="37"/>
      <c r="AE1479" s="37"/>
      <c r="AF1479" s="37"/>
      <c r="AG1479" s="37"/>
      <c r="AH1479" s="37"/>
      <c r="AI1479" s="37"/>
      <c r="AJ1479" s="37"/>
      <c r="AK1479" s="37"/>
      <c r="AL1479" s="37"/>
      <c r="AM1479" s="37"/>
      <c r="AN1479" s="37"/>
      <c r="AO1479" s="37"/>
      <c r="AP1479" s="37"/>
    </row>
    <row r="1480" spans="1:42" s="50" customFormat="1" ht="11.25">
      <c r="A1480" s="48"/>
      <c r="B1480" s="48"/>
      <c r="C1480" s="48"/>
      <c r="D1480" s="154" t="s">
        <v>239</v>
      </c>
      <c r="E1480" s="154"/>
      <c r="F1480" s="154" t="str">
        <f t="shared" si="2522"/>
        <v>ОдеждаКомп</v>
      </c>
      <c r="G1480" s="154" t="s">
        <v>219</v>
      </c>
      <c r="H1480" s="319"/>
      <c r="I1480" s="320">
        <f>IF(I1478=0,0,I$9-I1479)</f>
        <v>161.3880757581137</v>
      </c>
      <c r="J1480" s="321">
        <f>I1480-SUMIFS(ПОбТЗ!$I:$I,ПОбТЗ!$E:$E,$D1480,ПОбТЗ!$F:$F,$F1480)</f>
        <v>0</v>
      </c>
      <c r="K1480" s="320">
        <f>IF(K1478=0,0,I$9-K1479)</f>
        <v>161.3880757581137</v>
      </c>
      <c r="L1480" s="322">
        <f>IF(L1478=0,0,I$9-L1479)</f>
        <v>0</v>
      </c>
      <c r="M1480" s="275"/>
      <c r="N1480" s="155">
        <f>IF(N1478=0,0,N$9-N1479)</f>
        <v>87.492127610916214</v>
      </c>
      <c r="O1480" s="173">
        <f>N1480-SUMIFS(ПОбТЗ_3!$J:$J,ПОбТЗ_3!$D:$D,$D1480,ПОбТЗ_3!$E:$E,$F1480)</f>
        <v>0</v>
      </c>
      <c r="P1480" s="155">
        <f>IF(P1478=0,0,N$9-P1479)</f>
        <v>87.492127610916214</v>
      </c>
      <c r="Q1480" s="239">
        <f>IF(Q1478=0,0,N$9-Q1479)</f>
        <v>0</v>
      </c>
      <c r="R1480" s="240"/>
      <c r="S1480" s="155">
        <f>IF(S1478=0,0,S$9-S1479)</f>
        <v>124.98871129319014</v>
      </c>
      <c r="T1480" s="173">
        <f>S1480-SUMIFS(ПОбТЗ_3!$K:$K,ПОбТЗ_3!$D:$D,$D1480,ПОбТЗ_3!$E:$E,$F1480)</f>
        <v>0</v>
      </c>
      <c r="U1480" s="155">
        <f>IF(U1478=0,0,S$9-U1479)</f>
        <v>124.98871129319014</v>
      </c>
      <c r="V1480" s="239">
        <f>IF(V1478=0,0,S$9-V1479)</f>
        <v>0</v>
      </c>
      <c r="W1480" s="240"/>
      <c r="X1480" s="155">
        <f>IF(X1478=0,0,X$9-X1479)</f>
        <v>161.3880757581137</v>
      </c>
      <c r="Y1480" s="173">
        <f>X1480-SUMIFS(ПОбТЗ_3!$L:$L,ПОбТЗ_3!$D:$D,$D1480,ПОбТЗ_3!$E:$E,$F1480)</f>
        <v>0</v>
      </c>
      <c r="Z1480" s="155">
        <f>IF(Z1478=0,0,X$9-Z1479)</f>
        <v>161.3880757581137</v>
      </c>
      <c r="AA1480" s="239">
        <f>IF(AA1478=0,0,X$9-AA1479)</f>
        <v>0</v>
      </c>
      <c r="AB1480" s="230"/>
      <c r="AC1480" s="48"/>
      <c r="AD1480" s="48"/>
      <c r="AE1480" s="48"/>
      <c r="AF1480" s="48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</row>
    <row r="1481" spans="1:42" s="93" customFormat="1" ht="15">
      <c r="A1481" s="92"/>
      <c r="B1481" s="92"/>
      <c r="C1481" s="92"/>
      <c r="D1481" s="198" t="s">
        <v>280</v>
      </c>
      <c r="E1481" s="198"/>
      <c r="F1481" s="198" t="str">
        <f t="shared" si="2522"/>
        <v>ОдеждаКомп</v>
      </c>
      <c r="G1481" s="198" t="s">
        <v>219</v>
      </c>
      <c r="H1481" s="323"/>
      <c r="I1481" s="324">
        <f>IF(I1478=0,0,(I1483*I1487+I1489*I1493)/I1478)</f>
        <v>21.016834797919728</v>
      </c>
      <c r="J1481" s="321"/>
      <c r="K1481" s="324">
        <f>IF(K1478=0,0,(K1483*K1487+K1489*K1493)/K1478)</f>
        <v>21.016834797919728</v>
      </c>
      <c r="L1481" s="325">
        <f>IF(L1478=0,0,(L1483*L1487+L1489*L1493)/L1478)</f>
        <v>0</v>
      </c>
      <c r="M1481" s="276"/>
      <c r="N1481" s="199">
        <f>IF(N1478=0,0,(N1483*N1487+N1489*N1493)/N1478)</f>
        <v>27.268871986065598</v>
      </c>
      <c r="O1481" s="173"/>
      <c r="P1481" s="199">
        <f>IF(P1478=0,0,(P1483*P1487+P1489*P1493)/P1478)</f>
        <v>27.268871986065598</v>
      </c>
      <c r="Q1481" s="241">
        <f>IF(Q1478=0,0,(Q1483*Q1487+Q1489*Q1493)/Q1478)</f>
        <v>0</v>
      </c>
      <c r="R1481" s="242"/>
      <c r="S1481" s="199">
        <f>IF(S1478=0,0,(S1483*S1487+S1489*S1493)/S1478)</f>
        <v>25.291429271488365</v>
      </c>
      <c r="T1481" s="173"/>
      <c r="U1481" s="199">
        <f>IF(U1478=0,0,(U1483*U1487+U1489*U1493)/U1478)</f>
        <v>25.291429271488365</v>
      </c>
      <c r="V1481" s="241">
        <f>IF(V1478=0,0,(V1483*V1487+V1489*V1493)/V1478)</f>
        <v>0</v>
      </c>
      <c r="W1481" s="242"/>
      <c r="X1481" s="199">
        <f>IF(X1478=0,0,(X1483*X1487+X1489*X1493)/X1478)</f>
        <v>21.016834797919728</v>
      </c>
      <c r="Y1481" s="173"/>
      <c r="Z1481" s="199">
        <f>IF(Z1478=0,0,(Z1483*Z1487+Z1489*Z1493)/Z1478)</f>
        <v>21.016834797919728</v>
      </c>
      <c r="AA1481" s="241">
        <f>IF(AA1478=0,0,(AA1483*AA1487+AA1489*AA1493)/AA1478)</f>
        <v>0</v>
      </c>
      <c r="AB1481" s="264"/>
      <c r="AC1481" s="92"/>
      <c r="AD1481" s="92"/>
      <c r="AE1481" s="92"/>
      <c r="AF1481" s="92"/>
      <c r="AG1481" s="92"/>
      <c r="AH1481" s="92"/>
      <c r="AI1481" s="92"/>
      <c r="AJ1481" s="92"/>
      <c r="AK1481" s="92"/>
      <c r="AL1481" s="92"/>
      <c r="AM1481" s="92"/>
      <c r="AN1481" s="92"/>
      <c r="AO1481" s="92"/>
      <c r="AP1481" s="92"/>
    </row>
    <row r="1482" spans="1:42" s="50" customFormat="1" ht="11.25">
      <c r="A1482" s="48"/>
      <c r="B1482" s="48"/>
      <c r="C1482" s="48"/>
      <c r="D1482" s="154" t="s">
        <v>281</v>
      </c>
      <c r="E1482" s="154"/>
      <c r="F1482" s="154" t="str">
        <f t="shared" si="2522"/>
        <v>ОдеждаКомп</v>
      </c>
      <c r="G1482" s="154" t="s">
        <v>219</v>
      </c>
      <c r="H1482" s="319"/>
      <c r="I1482" s="320">
        <f>I1480-I1481</f>
        <v>140.37124096019397</v>
      </c>
      <c r="J1482" s="321"/>
      <c r="K1482" s="320">
        <f>K1480-K1481</f>
        <v>140.37124096019397</v>
      </c>
      <c r="L1482" s="322">
        <f>L1480-L1481</f>
        <v>0</v>
      </c>
      <c r="M1482" s="275"/>
      <c r="N1482" s="155">
        <f>N1480-N1481</f>
        <v>60.223255624850616</v>
      </c>
      <c r="O1482" s="173"/>
      <c r="P1482" s="155">
        <f>P1480-P1481</f>
        <v>60.223255624850616</v>
      </c>
      <c r="Q1482" s="239">
        <f>Q1480-Q1481</f>
        <v>0</v>
      </c>
      <c r="R1482" s="240"/>
      <c r="S1482" s="155">
        <f>S1480-S1481</f>
        <v>99.697282021701767</v>
      </c>
      <c r="T1482" s="173"/>
      <c r="U1482" s="155">
        <f>U1480-U1481</f>
        <v>99.697282021701767</v>
      </c>
      <c r="V1482" s="239">
        <f>V1480-V1481</f>
        <v>0</v>
      </c>
      <c r="W1482" s="240"/>
      <c r="X1482" s="155">
        <f>X1480-X1481</f>
        <v>140.37124096019397</v>
      </c>
      <c r="Y1482" s="173"/>
      <c r="Z1482" s="155">
        <f>Z1480-Z1481</f>
        <v>140.37124096019397</v>
      </c>
      <c r="AA1482" s="239">
        <f>AA1480-AA1481</f>
        <v>0</v>
      </c>
      <c r="AB1482" s="230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</row>
    <row r="1483" spans="1:42" s="5" customFormat="1">
      <c r="A1483" s="1"/>
      <c r="B1483" s="1"/>
      <c r="C1483" s="1"/>
      <c r="D1483" s="168"/>
      <c r="E1483" s="168" t="s">
        <v>282</v>
      </c>
      <c r="F1483" s="168" t="str">
        <f t="shared" si="2522"/>
        <v>ОдеждаКомп</v>
      </c>
      <c r="G1483" s="168" t="s">
        <v>261</v>
      </c>
      <c r="H1483" s="326"/>
      <c r="I1483" s="327">
        <f>SUMIFS(операции!$V:$V,операции!$T:$T,"&lt;="&amp;I$9,операции!$X:$X,"",операции!$AB:$AB,"&lt;&gt;"&amp;"",операции!$AB:$AB,"&lt;="&amp;I$9,операции!$O:$O,$F1422)+SUMIFS(операции!$V:$V,операции!$T:$T,"&lt;="&amp;I$9,операции!$X:$X,"&gt;"&amp;I$9,операции!$AB:$AB,"&lt;&gt;"&amp;"",операции!$AB:$AB,"&lt;="&amp;I$9,операции!$O:$O,$F1422)</f>
        <v>82590.240000000005</v>
      </c>
      <c r="J1483" s="313">
        <f>I1483-K1483-L1483</f>
        <v>0</v>
      </c>
      <c r="K1483" s="327">
        <f>SUMIFS(операции!$V:$V,операции!$T:$T,"&lt;="&amp;I$9,операции!$X:$X,"",операции!$AB:$AB,"&lt;&gt;"&amp;"",операции!$AB:$AB,"&lt;="&amp;I$9,операции!$L:$L,K$9,операции!$O:$O,$F1422)+SUMIFS(операции!$V:$V,операции!$T:$T,"&lt;="&amp;I$9,операции!$X:$X,"&gt;"&amp;I$9,операции!$AB:$AB,"&lt;&gt;"&amp;"",операции!$AB:$AB,"&lt;="&amp;I$9,операции!$L:$L,K$9,операции!$O:$O,$F1422)</f>
        <v>82590.240000000005</v>
      </c>
      <c r="L1483" s="328">
        <f>SUMIFS(операции!$V:$V,операции!$T:$T,"&lt;="&amp;I$9,операции!$X:$X,"",операции!$AB:$AB,"&lt;&gt;"&amp;"",операции!$AB:$AB,"&lt;="&amp;I$9,операции!$L:$L,L$9,операции!$O:$O,$F1422)+SUMIFS(операции!$V:$V,операции!$T:$T,"&lt;="&amp;I$9,операции!$X:$X,"&gt;"&amp;I$9,операции!$AB:$AB,"&lt;&gt;"&amp;"",операции!$AB:$AB,"&lt;="&amp;I$9,операции!$L:$L,L$9,операции!$O:$O,$F1422)</f>
        <v>0</v>
      </c>
      <c r="M1483" s="277"/>
      <c r="N1483" s="169">
        <f>SUMIFS(операции!$V:$V,операции!$T:$T,"&lt;="&amp;N$9,операции!$X:$X,"",операции!$AB:$AB,"&lt;&gt;"&amp;"",операции!$AB:$AB,"&lt;="&amp;N$9,операции!$O:$O,$F1422)+SUMIFS(операции!$V:$V,операции!$T:$T,"&lt;="&amp;N$9,операции!$X:$X,"&gt;"&amp;N$9,операции!$AB:$AB,"&lt;&gt;"&amp;"",операции!$AB:$AB,"&lt;="&amp;N$9,операции!$O:$O,$F1422)</f>
        <v>146438.58000000002</v>
      </c>
      <c r="O1483" s="170">
        <f>N1483-P1483-Q1483</f>
        <v>0</v>
      </c>
      <c r="P1483" s="169">
        <f>SUMIFS(операции!$V:$V,операции!$T:$T,"&lt;="&amp;N$9,операции!$X:$X,"",операции!$AB:$AB,"&lt;&gt;"&amp;"",операции!$AB:$AB,"&lt;="&amp;N$9,операции!$L:$L,P$9,операции!$O:$O,$F1422)+SUMIFS(операции!$V:$V,операции!$T:$T,"&lt;="&amp;N$9,операции!$X:$X,"&gt;"&amp;N$9,операции!$AB:$AB,"&lt;&gt;"&amp;"",операции!$AB:$AB,"&lt;="&amp;N$9,операции!$L:$L,P$9,операции!$O:$O,$F1422)</f>
        <v>146438.58000000002</v>
      </c>
      <c r="Q1483" s="243">
        <f>SUMIFS(операции!$V:$V,операции!$T:$T,"&lt;="&amp;N$9,операции!$X:$X,"",операции!$AB:$AB,"&lt;&gt;"&amp;"",операции!$AB:$AB,"&lt;="&amp;N$9,операции!$L:$L,Q$9,операции!$O:$O,$F1422)+SUMIFS(операции!$V:$V,операции!$T:$T,"&lt;="&amp;N$9,операции!$X:$X,"&gt;"&amp;N$9,операции!$AB:$AB,"&lt;&gt;"&amp;"",операции!$AB:$AB,"&lt;="&amp;N$9,операции!$L:$L,Q$9,операции!$O:$O,$F1422)</f>
        <v>0</v>
      </c>
      <c r="R1483" s="244"/>
      <c r="S1483" s="169">
        <f>SUMIFS(операции!$V:$V,операции!$T:$T,"&lt;="&amp;S$9,операции!$X:$X,"",операции!$AB:$AB,"&lt;&gt;"&amp;"",операции!$AB:$AB,"&lt;="&amp;S$9,операции!$O:$O,$F1422)+SUMIFS(операции!$V:$V,операции!$T:$T,"&lt;="&amp;S$9,операции!$X:$X,"&gt;"&amp;S$9,операции!$AB:$AB,"&lt;&gt;"&amp;"",операции!$AB:$AB,"&lt;="&amp;S$9,операции!$O:$O,$F1422)</f>
        <v>97724.82</v>
      </c>
      <c r="T1483" s="170">
        <f>S1483-U1483-V1483</f>
        <v>0</v>
      </c>
      <c r="U1483" s="169">
        <f>SUMIFS(операции!$V:$V,операции!$T:$T,"&lt;="&amp;S$9,операции!$X:$X,"",операции!$AB:$AB,"&lt;&gt;"&amp;"",операции!$AB:$AB,"&lt;="&amp;S$9,операции!$L:$L,U$9,операции!$O:$O,$F1422)+SUMIFS(операции!$V:$V,операции!$T:$T,"&lt;="&amp;S$9,операции!$X:$X,"&gt;"&amp;S$9,операции!$AB:$AB,"&lt;&gt;"&amp;"",операции!$AB:$AB,"&lt;="&amp;S$9,операции!$L:$L,U$9,операции!$O:$O,$F1422)</f>
        <v>97724.82</v>
      </c>
      <c r="V1483" s="243">
        <f>SUMIFS(операции!$V:$V,операции!$T:$T,"&lt;="&amp;S$9,операции!$X:$X,"",операции!$AB:$AB,"&lt;&gt;"&amp;"",операции!$AB:$AB,"&lt;="&amp;S$9,операции!$L:$L,V$9,операции!$O:$O,$F1422)+SUMIFS(операции!$V:$V,операции!$T:$T,"&lt;="&amp;S$9,операции!$X:$X,"&gt;"&amp;S$9,операции!$AB:$AB,"&lt;&gt;"&amp;"",операции!$AB:$AB,"&lt;="&amp;S$9,операции!$L:$L,V$9,операции!$O:$O,$F1422)</f>
        <v>0</v>
      </c>
      <c r="W1483" s="244"/>
      <c r="X1483" s="169">
        <f>SUMIFS(операции!$V:$V,операции!$T:$T,"&lt;="&amp;X$9,операции!$X:$X,"",операции!$AB:$AB,"&lt;&gt;"&amp;"",операции!$AB:$AB,"&lt;="&amp;X$9,операции!$O:$O,$F1422)+SUMIFS(операции!$V:$V,операции!$T:$T,"&lt;="&amp;X$9,операции!$X:$X,"&gt;"&amp;X$9,операции!$AB:$AB,"&lt;&gt;"&amp;"",операции!$AB:$AB,"&lt;="&amp;X$9,операции!$O:$O,$F1422)</f>
        <v>82590.240000000005</v>
      </c>
      <c r="Y1483" s="170">
        <f>X1483-Z1483-AA1483</f>
        <v>0</v>
      </c>
      <c r="Z1483" s="169">
        <f>SUMIFS(операции!$V:$V,операции!$T:$T,"&lt;="&amp;X$9,операции!$X:$X,"",операции!$AB:$AB,"&lt;&gt;"&amp;"",операции!$AB:$AB,"&lt;="&amp;X$9,операции!$L:$L,Z$9,операции!$O:$O,$F1422)+SUMIFS(операции!$V:$V,операции!$T:$T,"&lt;="&amp;X$9,операции!$X:$X,"&gt;"&amp;X$9,операции!$AB:$AB,"&lt;&gt;"&amp;"",операции!$AB:$AB,"&lt;="&amp;X$9,операции!$L:$L,Z$9,операции!$O:$O,$F1422)</f>
        <v>82590.240000000005</v>
      </c>
      <c r="AA1483" s="243">
        <f>SUMIFS(операции!$V:$V,операции!$T:$T,"&lt;="&amp;X$9,операции!$X:$X,"",операции!$AB:$AB,"&lt;&gt;"&amp;"",операции!$AB:$AB,"&lt;="&amp;X$9,операции!$L:$L,AA$9,операции!$O:$O,$F1422)+SUMIFS(операции!$V:$V,операции!$T:$T,"&lt;="&amp;X$9,операции!$X:$X,"&gt;"&amp;X$9,операции!$AB:$AB,"&lt;&gt;"&amp;"",операции!$AB:$AB,"&lt;="&amp;X$9,операции!$L:$L,AA$9,операции!$O:$O,$F1422)</f>
        <v>0</v>
      </c>
      <c r="AB1483" s="266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</row>
    <row r="1484" spans="1:42" s="192" customFormat="1" ht="11.25">
      <c r="A1484" s="37"/>
      <c r="B1484" s="37"/>
      <c r="C1484" s="37"/>
      <c r="D1484" s="191"/>
      <c r="E1484" s="191" t="s">
        <v>255</v>
      </c>
      <c r="F1484" s="191" t="str">
        <f t="shared" si="2522"/>
        <v>ОдеждаКомп</v>
      </c>
      <c r="G1484" s="191" t="s">
        <v>262</v>
      </c>
      <c r="H1484" s="315"/>
      <c r="I1484" s="316">
        <f>IF(I1483=0,0,(SUMIFS(операции!$AF:$AF,операции!$T:$T,"&lt;="&amp;I$9,операции!$X:$X,"",операции!$AB:$AB,"&lt;&gt;"&amp;"",операции!$AB:$AB,"&lt;="&amp;I$9,операции!$O:$O,$F1422)+SUMIFS(операции!$AF:$AF,операции!$T:$T,"&lt;="&amp;I$9,операции!$X:$X,"&gt;"&amp;I$9,операции!$AB:$AB,"&lt;&gt;"&amp;"",операции!$AB:$AB,"&lt;="&amp;I$9,операции!$O:$O,$F1422))/I1483)</f>
        <v>42207.611924241886</v>
      </c>
      <c r="J1484" s="317"/>
      <c r="K1484" s="316">
        <f>IF(K1483=0,0,(SUMIFS(операции!$AF:$AF,операции!$T:$T,"&lt;="&amp;I$9,операции!$X:$X,"",операции!$AB:$AB,"&lt;&gt;"&amp;"",операции!$AB:$AB,"&lt;="&amp;I$9,операции!$L:$L,K$9,операции!$O:$O,$F1422)+SUMIFS(операции!$AF:$AF,операции!$T:$T,"&lt;="&amp;I$9,операции!$X:$X,"&gt;"&amp;I$9,операции!$AB:$AB,"&lt;&gt;"&amp;"",операции!$AB:$AB,"&lt;="&amp;I$9,операции!$L:$L,K$9,операции!$O:$O,$F1422))/K1483)</f>
        <v>42207.611924241886</v>
      </c>
      <c r="L1484" s="318">
        <f>IF(L1483=0,0,(SUMIFS(операции!$AF:$AF,операции!$T:$T,"&lt;="&amp;I$9,операции!$X:$X,"",операции!$AB:$AB,"&lt;&gt;"&amp;"",операции!$AB:$AB,"&lt;="&amp;I$9,операции!$L:$L,L$9,операции!$O:$O,$F1422)+SUMIFS(операции!$AF:$AF,операции!$T:$T,"&lt;="&amp;I$9,операции!$X:$X,"&gt;"&amp;I$9,операции!$AB:$AB,"&lt;&gt;"&amp;"",операции!$AB:$AB,"&lt;="&amp;I$9,операции!$L:$L,L$9,операции!$O:$O,$F1422))/L1483)</f>
        <v>0</v>
      </c>
      <c r="M1484" s="274"/>
      <c r="N1484" s="193">
        <f>IF(N1483=0,0,(SUMIFS(операции!$AF:$AF,операции!$T:$T,"&lt;="&amp;N$9,операции!$X:$X,"",операции!$AB:$AB,"&lt;&gt;"&amp;"",операции!$AB:$AB,"&lt;="&amp;N$9,операции!$O:$O,$F1422)+SUMIFS(операции!$AF:$AF,операции!$T:$T,"&lt;="&amp;N$9,операции!$X:$X,"&gt;"&amp;N$9,операции!$AB:$AB,"&lt;&gt;"&amp;"",операции!$AB:$AB,"&lt;="&amp;N$9,операции!$O:$O,$F1422))/N1483)</f>
        <v>42221.101926555144</v>
      </c>
      <c r="O1484" s="196"/>
      <c r="P1484" s="193">
        <f>IF(P1483=0,0,(SUMIFS(операции!$AF:$AF,операции!$T:$T,"&lt;="&amp;N$9,операции!$X:$X,"",операции!$AB:$AB,"&lt;&gt;"&amp;"",операции!$AB:$AB,"&lt;="&amp;N$9,операции!$L:$L,P$9,операции!$O:$O,$F1422)+SUMIFS(операции!$AF:$AF,операции!$T:$T,"&lt;="&amp;N$9,операции!$X:$X,"&gt;"&amp;N$9,операции!$AB:$AB,"&lt;&gt;"&amp;"",операции!$AB:$AB,"&lt;="&amp;N$9,операции!$L:$L,P$9,операции!$O:$O,$F1422))/P1483)</f>
        <v>42221.101926555144</v>
      </c>
      <c r="Q1484" s="237">
        <f>IF(Q1483=0,0,(SUMIFS(операции!$AF:$AF,операции!$T:$T,"&lt;="&amp;N$9,операции!$X:$X,"",операции!$AB:$AB,"&lt;&gt;"&amp;"",операции!$AB:$AB,"&lt;="&amp;N$9,операции!$L:$L,Q$9,операции!$O:$O,$F1422)+SUMIFS(операции!$AF:$AF,операции!$T:$T,"&lt;="&amp;N$9,операции!$X:$X,"&gt;"&amp;N$9,операции!$AB:$AB,"&lt;&gt;"&amp;"",операции!$AB:$AB,"&lt;="&amp;N$9,операции!$L:$L,Q$9,операции!$O:$O,$F1422))/Q1483)</f>
        <v>0</v>
      </c>
      <c r="R1484" s="238"/>
      <c r="S1484" s="193">
        <f>IF(S1483=0,0,(SUMIFS(операции!$AF:$AF,операции!$T:$T,"&lt;="&amp;S$9,операции!$X:$X,"",операции!$AB:$AB,"&lt;&gt;"&amp;"",операции!$AB:$AB,"&lt;="&amp;S$9,операции!$O:$O,$F1422)+SUMIFS(операции!$AF:$AF,операции!$T:$T,"&lt;="&amp;S$9,операции!$X:$X,"&gt;"&amp;S$9,операции!$AB:$AB,"&lt;&gt;"&amp;"",операции!$AB:$AB,"&lt;="&amp;S$9,операции!$O:$O,$F1422))/S1483)</f>
        <v>42213.796388164228</v>
      </c>
      <c r="T1484" s="196"/>
      <c r="U1484" s="193">
        <f>IF(U1483=0,0,(SUMIFS(операции!$AF:$AF,операции!$T:$T,"&lt;="&amp;S$9,операции!$X:$X,"",операции!$AB:$AB,"&lt;&gt;"&amp;"",операции!$AB:$AB,"&lt;="&amp;S$9,операции!$L:$L,U$9,операции!$O:$O,$F1422)+SUMIFS(операции!$AF:$AF,операции!$T:$T,"&lt;="&amp;S$9,операции!$X:$X,"&gt;"&amp;S$9,операции!$AB:$AB,"&lt;&gt;"&amp;"",операции!$AB:$AB,"&lt;="&amp;S$9,операции!$L:$L,U$9,операции!$O:$O,$F1422))/U1483)</f>
        <v>42213.796388164228</v>
      </c>
      <c r="V1484" s="237">
        <f>IF(V1483=0,0,(SUMIFS(операции!$AF:$AF,операции!$T:$T,"&lt;="&amp;S$9,операции!$X:$X,"",операции!$AB:$AB,"&lt;&gt;"&amp;"",операции!$AB:$AB,"&lt;="&amp;S$9,операции!$L:$L,V$9,операции!$O:$O,$F1422)+SUMIFS(операции!$AF:$AF,операции!$T:$T,"&lt;="&amp;S$9,операции!$X:$X,"&gt;"&amp;S$9,операции!$AB:$AB,"&lt;&gt;"&amp;"",операции!$AB:$AB,"&lt;="&amp;S$9,операции!$L:$L,V$9,операции!$O:$O,$F1422))/V1483)</f>
        <v>0</v>
      </c>
      <c r="W1484" s="238"/>
      <c r="X1484" s="193">
        <f>IF(X1483=0,0,(SUMIFS(операции!$AF:$AF,операции!$T:$T,"&lt;="&amp;X$9,операции!$X:$X,"",операции!$AB:$AB,"&lt;&gt;"&amp;"",операции!$AB:$AB,"&lt;="&amp;X$9,операции!$O:$O,$F1422)+SUMIFS(операции!$AF:$AF,операции!$T:$T,"&lt;="&amp;X$9,операции!$X:$X,"&gt;"&amp;X$9,операции!$AB:$AB,"&lt;&gt;"&amp;"",операции!$AB:$AB,"&lt;="&amp;X$9,операции!$O:$O,$F1422))/X1483)</f>
        <v>42207.611924241886</v>
      </c>
      <c r="Y1484" s="196"/>
      <c r="Z1484" s="193">
        <f>IF(Z1483=0,0,(SUMIFS(операции!$AF:$AF,операции!$T:$T,"&lt;="&amp;X$9,операции!$X:$X,"",операции!$AB:$AB,"&lt;&gt;"&amp;"",операции!$AB:$AB,"&lt;="&amp;X$9,операции!$L:$L,Z$9,операции!$O:$O,$F1422)+SUMIFS(операции!$AF:$AF,операции!$T:$T,"&lt;="&amp;X$9,операции!$X:$X,"&gt;"&amp;X$9,операции!$AB:$AB,"&lt;&gt;"&amp;"",операции!$AB:$AB,"&lt;="&amp;X$9,операции!$L:$L,Z$9,операции!$O:$O,$F1422))/Z1483)</f>
        <v>42207.611924241886</v>
      </c>
      <c r="AA1484" s="237">
        <f>IF(AA1483=0,0,(SUMIFS(операции!$AF:$AF,операции!$T:$T,"&lt;="&amp;X$9,операции!$X:$X,"",операции!$AB:$AB,"&lt;&gt;"&amp;"",операции!$AB:$AB,"&lt;="&amp;X$9,операции!$L:$L,AA$9,операции!$O:$O,$F1422)+SUMIFS(операции!$AF:$AF,операции!$T:$T,"&lt;="&amp;X$9,операции!$X:$X,"&gt;"&amp;X$9,операции!$AB:$AB,"&lt;&gt;"&amp;"",операции!$AB:$AB,"&lt;="&amp;X$9,операции!$L:$L,AA$9,операции!$O:$O,$F1422))/AA1483)</f>
        <v>0</v>
      </c>
      <c r="AB1484" s="265"/>
      <c r="AC1484" s="37"/>
      <c r="AD1484" s="37"/>
      <c r="AE1484" s="37"/>
      <c r="AF1484" s="37"/>
      <c r="AG1484" s="37"/>
      <c r="AH1484" s="37"/>
      <c r="AI1484" s="37"/>
      <c r="AJ1484" s="37"/>
      <c r="AK1484" s="37"/>
      <c r="AL1484" s="37"/>
      <c r="AM1484" s="37"/>
      <c r="AN1484" s="37"/>
      <c r="AO1484" s="37"/>
      <c r="AP1484" s="37"/>
    </row>
    <row r="1485" spans="1:42" s="192" customFormat="1" ht="11.25">
      <c r="A1485" s="37"/>
      <c r="B1485" s="37"/>
      <c r="C1485" s="37"/>
      <c r="D1485" s="191"/>
      <c r="E1485" s="191" t="s">
        <v>283</v>
      </c>
      <c r="F1485" s="191" t="str">
        <f t="shared" si="2522"/>
        <v>ОдеждаКомп</v>
      </c>
      <c r="G1485" s="191" t="s">
        <v>219</v>
      </c>
      <c r="H1485" s="315"/>
      <c r="I1485" s="329">
        <f>IF(I1483=0,0,I$9-I1484)</f>
        <v>161.3880757581137</v>
      </c>
      <c r="J1485" s="317"/>
      <c r="K1485" s="329">
        <f>IF(K1483=0,0,I$9-K1484)</f>
        <v>161.3880757581137</v>
      </c>
      <c r="L1485" s="330">
        <f>IF(L1483=0,0,I$9-L1484)</f>
        <v>0</v>
      </c>
      <c r="M1485" s="274"/>
      <c r="N1485" s="156">
        <f>IF(N1483=0,0,N$9-N1484)</f>
        <v>86.898073444855982</v>
      </c>
      <c r="O1485" s="196"/>
      <c r="P1485" s="156">
        <f>IF(P1483=0,0,N$9-P1484)</f>
        <v>86.898073444855982</v>
      </c>
      <c r="Q1485" s="245">
        <f>IF(Q1483=0,0,N$9-Q1484)</f>
        <v>0</v>
      </c>
      <c r="R1485" s="238"/>
      <c r="S1485" s="156">
        <f>IF(S1483=0,0,S$9-S1484)</f>
        <v>124.20361183577188</v>
      </c>
      <c r="T1485" s="196"/>
      <c r="U1485" s="156">
        <f>IF(U1483=0,0,S$9-U1484)</f>
        <v>124.20361183577188</v>
      </c>
      <c r="V1485" s="245">
        <f>IF(V1483=0,0,S$9-V1484)</f>
        <v>0</v>
      </c>
      <c r="W1485" s="238"/>
      <c r="X1485" s="156">
        <f>IF(X1483=0,0,X$9-X1484)</f>
        <v>161.3880757581137</v>
      </c>
      <c r="Y1485" s="196"/>
      <c r="Z1485" s="156">
        <f>IF(Z1483=0,0,X$9-Z1484)</f>
        <v>161.3880757581137</v>
      </c>
      <c r="AA1485" s="245">
        <f>IF(AA1483=0,0,X$9-AA1484)</f>
        <v>0</v>
      </c>
      <c r="AB1485" s="265"/>
      <c r="AC1485" s="37"/>
      <c r="AD1485" s="37"/>
      <c r="AE1485" s="37"/>
      <c r="AF1485" s="37"/>
      <c r="AG1485" s="37"/>
      <c r="AH1485" s="37"/>
      <c r="AI1485" s="37"/>
      <c r="AJ1485" s="37"/>
      <c r="AK1485" s="37"/>
      <c r="AL1485" s="37"/>
      <c r="AM1485" s="37"/>
      <c r="AN1485" s="37"/>
      <c r="AO1485" s="37"/>
      <c r="AP1485" s="37"/>
    </row>
    <row r="1486" spans="1:42" s="192" customFormat="1" ht="11.25">
      <c r="A1486" s="37"/>
      <c r="B1486" s="37"/>
      <c r="C1486" s="37"/>
      <c r="D1486" s="191"/>
      <c r="E1486" s="191" t="s">
        <v>259</v>
      </c>
      <c r="F1486" s="191" t="str">
        <f t="shared" si="2522"/>
        <v>ОдеждаКомп</v>
      </c>
      <c r="G1486" s="191" t="s">
        <v>262</v>
      </c>
      <c r="H1486" s="315"/>
      <c r="I1486" s="316">
        <f>IF(I1483=0,0,(SUMIFS(операции!$AH:$AH,операции!$T:$T,"&lt;="&amp;I$9,операции!$X:$X,"",операции!$AB:$AB,"&lt;&gt;"&amp;"",операции!$AB:$AB,"&lt;="&amp;I$9,операции!$O:$O,$F1422)+SUMIFS(операции!$AH:$AH,операции!$T:$T,"&lt;="&amp;I$9,операции!$X:$X,"&gt;"&amp;I$9,операции!$AB:$AB,"&lt;&gt;"&amp;"",операции!$AB:$AB,"&lt;="&amp;I$9,операции!$O:$O,$F1422))/I1483)</f>
        <v>42228.628759039806</v>
      </c>
      <c r="J1486" s="317"/>
      <c r="K1486" s="316">
        <f>IF(K1483=0,0,(SUMIFS(операции!$AH:$AH,операции!$T:$T,"&lt;="&amp;I$9,операции!$X:$X,"",операции!$AB:$AB,"&lt;&gt;"&amp;"",операции!$AB:$AB,"&lt;="&amp;I$9,операции!$L:$L,K$9,операции!$O:$O,$F1422)+SUMIFS(операции!$AH:$AH,операции!$T:$T,"&lt;="&amp;I$9,операции!$X:$X,"&gt;"&amp;I$9,операции!$AB:$AB,"&lt;&gt;"&amp;"",операции!$AB:$AB,"&lt;="&amp;I$9,операции!$L:$L,K$9,операции!$O:$O,$F1422))/K1483)</f>
        <v>42228.628759039806</v>
      </c>
      <c r="L1486" s="318">
        <f>IF(L1483=0,0,(SUMIFS(операции!$AH:$AH,операции!$T:$T,"&lt;="&amp;I$9,операции!$X:$X,"",операции!$AB:$AB,"&lt;&gt;"&amp;"",операции!$AB:$AB,"&lt;="&amp;I$9,операции!$L:$L,L$9,операции!$O:$O,$F1422)+SUMIFS(операции!$AH:$AH,операции!$T:$T,"&lt;="&amp;I$9,операции!$X:$X,"&gt;"&amp;I$9,операции!$AB:$AB,"&lt;&gt;"&amp;"",операции!$AB:$AB,"&lt;="&amp;I$9,операции!$L:$L,L$9,операции!$O:$O,$F1422))/L1483)</f>
        <v>0</v>
      </c>
      <c r="M1486" s="274"/>
      <c r="N1486" s="193">
        <f>IF(N1483=0,0,(SUMIFS(операции!$AH:$AH,операции!$T:$T,"&lt;="&amp;N$9,операции!$X:$X,"",операции!$AB:$AB,"&lt;&gt;"&amp;"",операции!$AB:$AB,"&lt;="&amp;N$9,операции!$O:$O,$F1422)+SUMIFS(операции!$AH:$AH,операции!$T:$T,"&lt;="&amp;N$9,операции!$X:$X,"&gt;"&amp;N$9,операции!$AB:$AB,"&lt;&gt;"&amp;"",операции!$AB:$AB,"&lt;="&amp;N$9,операции!$O:$O,$F1422))/N1483)</f>
        <v>42247.213414593331</v>
      </c>
      <c r="O1486" s="196"/>
      <c r="P1486" s="193">
        <f>IF(P1483=0,0,(SUMIFS(операции!$AH:$AH,операции!$T:$T,"&lt;="&amp;N$9,операции!$X:$X,"",операции!$AB:$AB,"&lt;&gt;"&amp;"",операции!$AB:$AB,"&lt;="&amp;N$9,операции!$L:$L,P$9,операции!$O:$O,$F1422)+SUMIFS(операции!$AH:$AH,операции!$T:$T,"&lt;="&amp;N$9,операции!$X:$X,"&gt;"&amp;N$9,операции!$AB:$AB,"&lt;&gt;"&amp;"",операции!$AB:$AB,"&lt;="&amp;N$9,операции!$L:$L,P$9,операции!$O:$O,$F1422))/P1483)</f>
        <v>42247.213414593331</v>
      </c>
      <c r="Q1486" s="237">
        <f>IF(Q1483=0,0,(SUMIFS(операции!$AH:$AH,операции!$T:$T,"&lt;="&amp;N$9,операции!$X:$X,"",операции!$AB:$AB,"&lt;&gt;"&amp;"",операции!$AB:$AB,"&lt;="&amp;N$9,операции!$L:$L,Q$9,операции!$O:$O,$F1422)+SUMIFS(операции!$AH:$AH,операции!$T:$T,"&lt;="&amp;N$9,операции!$X:$X,"&gt;"&amp;N$9,операции!$AB:$AB,"&lt;&gt;"&amp;"",операции!$AB:$AB,"&lt;="&amp;N$9,операции!$L:$L,Q$9,операции!$O:$O,$F1422))/Q1483)</f>
        <v>0</v>
      </c>
      <c r="R1486" s="238"/>
      <c r="S1486" s="193">
        <f>IF(S1483=0,0,(SUMIFS(операции!$AH:$AH,операции!$T:$T,"&lt;="&amp;S$9,операции!$X:$X,"",операции!$AB:$AB,"&lt;&gt;"&amp;"",операции!$AB:$AB,"&lt;="&amp;S$9,операции!$O:$O,$F1422)+SUMIFS(операции!$AH:$AH,операции!$T:$T,"&lt;="&amp;S$9,операции!$X:$X,"&gt;"&amp;S$9,операции!$AB:$AB,"&lt;&gt;"&amp;"",операции!$AB:$AB,"&lt;="&amp;S$9,операции!$O:$O,$F1422))/S1483)</f>
        <v>42236.905280357641</v>
      </c>
      <c r="T1486" s="196"/>
      <c r="U1486" s="193">
        <f>IF(U1483=0,0,(SUMIFS(операции!$AH:$AH,операции!$T:$T,"&lt;="&amp;S$9,операции!$X:$X,"",операции!$AB:$AB,"&lt;&gt;"&amp;"",операции!$AB:$AB,"&lt;="&amp;S$9,операции!$L:$L,U$9,операции!$O:$O,$F1422)+SUMIFS(операции!$AH:$AH,операции!$T:$T,"&lt;="&amp;S$9,операции!$X:$X,"&gt;"&amp;S$9,операции!$AB:$AB,"&lt;&gt;"&amp;"",операции!$AB:$AB,"&lt;="&amp;S$9,операции!$L:$L,U$9,операции!$O:$O,$F1422))/U1483)</f>
        <v>42236.905280357641</v>
      </c>
      <c r="V1486" s="237">
        <f>IF(V1483=0,0,(SUMIFS(операции!$AH:$AH,операции!$T:$T,"&lt;="&amp;S$9,операции!$X:$X,"",операции!$AB:$AB,"&lt;&gt;"&amp;"",операции!$AB:$AB,"&lt;="&amp;S$9,операции!$L:$L,V$9,операции!$O:$O,$F1422)+SUMIFS(операции!$AH:$AH,операции!$T:$T,"&lt;="&amp;S$9,операции!$X:$X,"&gt;"&amp;S$9,операции!$AB:$AB,"&lt;&gt;"&amp;"",операции!$AB:$AB,"&lt;="&amp;S$9,операции!$L:$L,V$9,операции!$O:$O,$F1422))/V1483)</f>
        <v>0</v>
      </c>
      <c r="W1486" s="238"/>
      <c r="X1486" s="193">
        <f>IF(X1483=0,0,(SUMIFS(операции!$AH:$AH,операции!$T:$T,"&lt;="&amp;X$9,операции!$X:$X,"",операции!$AB:$AB,"&lt;&gt;"&amp;"",операции!$AB:$AB,"&lt;="&amp;X$9,операции!$O:$O,$F1422)+SUMIFS(операции!$AH:$AH,операции!$T:$T,"&lt;="&amp;X$9,операции!$X:$X,"&gt;"&amp;X$9,операции!$AB:$AB,"&lt;&gt;"&amp;"",операции!$AB:$AB,"&lt;="&amp;X$9,операции!$O:$O,$F1422))/X1483)</f>
        <v>42228.628759039806</v>
      </c>
      <c r="Y1486" s="196"/>
      <c r="Z1486" s="193">
        <f>IF(Z1483=0,0,(SUMIFS(операции!$AH:$AH,операции!$T:$T,"&lt;="&amp;X$9,операции!$X:$X,"",операции!$AB:$AB,"&lt;&gt;"&amp;"",операции!$AB:$AB,"&lt;="&amp;X$9,операции!$L:$L,Z$9,операции!$O:$O,$F1422)+SUMIFS(операции!$AH:$AH,операции!$T:$T,"&lt;="&amp;X$9,операции!$X:$X,"&gt;"&amp;X$9,операции!$AB:$AB,"&lt;&gt;"&amp;"",операции!$AB:$AB,"&lt;="&amp;X$9,операции!$L:$L,Z$9,операции!$O:$O,$F1422))/Z1483)</f>
        <v>42228.628759039806</v>
      </c>
      <c r="AA1486" s="237">
        <f>IF(AA1483=0,0,(SUMIFS(операции!$AH:$AH,операции!$T:$T,"&lt;="&amp;X$9,операции!$X:$X,"",операции!$AB:$AB,"&lt;&gt;"&amp;"",операции!$AB:$AB,"&lt;="&amp;X$9,операции!$L:$L,AA$9,операции!$O:$O,$F1422)+SUMIFS(операции!$AH:$AH,операции!$T:$T,"&lt;="&amp;X$9,операции!$X:$X,"&gt;"&amp;X$9,операции!$AB:$AB,"&lt;&gt;"&amp;"",операции!$AB:$AB,"&lt;="&amp;X$9,операции!$L:$L,AA$9,операции!$O:$O,$F1422))/AA1483)</f>
        <v>0</v>
      </c>
      <c r="AB1486" s="265"/>
      <c r="AC1486" s="37"/>
      <c r="AD1486" s="37"/>
      <c r="AE1486" s="37"/>
      <c r="AF1486" s="37"/>
      <c r="AG1486" s="37"/>
      <c r="AH1486" s="37"/>
      <c r="AI1486" s="37"/>
      <c r="AJ1486" s="37"/>
      <c r="AK1486" s="37"/>
      <c r="AL1486" s="37"/>
      <c r="AM1486" s="37"/>
      <c r="AN1486" s="37"/>
      <c r="AO1486" s="37"/>
      <c r="AP1486" s="37"/>
    </row>
    <row r="1487" spans="1:42" s="192" customFormat="1" ht="11.25">
      <c r="A1487" s="37"/>
      <c r="B1487" s="37"/>
      <c r="C1487" s="37"/>
      <c r="D1487" s="191"/>
      <c r="E1487" s="191" t="s">
        <v>284</v>
      </c>
      <c r="F1487" s="191" t="str">
        <f t="shared" si="2522"/>
        <v>ОдеждаКомп</v>
      </c>
      <c r="G1487" s="191" t="s">
        <v>219</v>
      </c>
      <c r="H1487" s="315"/>
      <c r="I1487" s="329">
        <f>I1486-I1484</f>
        <v>21.016834797919728</v>
      </c>
      <c r="J1487" s="317"/>
      <c r="K1487" s="329">
        <f>K1486-K1484</f>
        <v>21.016834797919728</v>
      </c>
      <c r="L1487" s="330">
        <f>L1486-L1484</f>
        <v>0</v>
      </c>
      <c r="M1487" s="274"/>
      <c r="N1487" s="156">
        <f>N1486-N1484</f>
        <v>26.111488038186508</v>
      </c>
      <c r="O1487" s="196"/>
      <c r="P1487" s="156">
        <f>P1486-P1484</f>
        <v>26.111488038186508</v>
      </c>
      <c r="Q1487" s="245">
        <f>Q1486-Q1484</f>
        <v>0</v>
      </c>
      <c r="R1487" s="238"/>
      <c r="S1487" s="156">
        <f>S1486-S1484</f>
        <v>23.10889219341334</v>
      </c>
      <c r="T1487" s="196"/>
      <c r="U1487" s="156">
        <f>U1486-U1484</f>
        <v>23.10889219341334</v>
      </c>
      <c r="V1487" s="245">
        <f>V1486-V1484</f>
        <v>0</v>
      </c>
      <c r="W1487" s="238"/>
      <c r="X1487" s="156">
        <f>X1486-X1484</f>
        <v>21.016834797919728</v>
      </c>
      <c r="Y1487" s="196"/>
      <c r="Z1487" s="156">
        <f>Z1486-Z1484</f>
        <v>21.016834797919728</v>
      </c>
      <c r="AA1487" s="245">
        <f>AA1486-AA1484</f>
        <v>0</v>
      </c>
      <c r="AB1487" s="265"/>
      <c r="AC1487" s="37"/>
      <c r="AD1487" s="37"/>
      <c r="AE1487" s="37"/>
      <c r="AF1487" s="37"/>
      <c r="AG1487" s="37"/>
      <c r="AH1487" s="37"/>
      <c r="AI1487" s="37"/>
      <c r="AJ1487" s="37"/>
      <c r="AK1487" s="37"/>
      <c r="AL1487" s="37"/>
      <c r="AM1487" s="37"/>
      <c r="AN1487" s="37"/>
      <c r="AO1487" s="37"/>
      <c r="AP1487" s="37"/>
    </row>
    <row r="1488" spans="1:42" s="192" customFormat="1" ht="11.25">
      <c r="A1488" s="37"/>
      <c r="B1488" s="37"/>
      <c r="C1488" s="37"/>
      <c r="D1488" s="191"/>
      <c r="E1488" s="191" t="s">
        <v>285</v>
      </c>
      <c r="F1488" s="191" t="str">
        <f t="shared" si="2522"/>
        <v>ОдеждаКомп</v>
      </c>
      <c r="G1488" s="191" t="s">
        <v>219</v>
      </c>
      <c r="H1488" s="315"/>
      <c r="I1488" s="329">
        <f>I1485-I1487</f>
        <v>140.37124096019397</v>
      </c>
      <c r="J1488" s="317"/>
      <c r="K1488" s="329">
        <f>K1485-K1487</f>
        <v>140.37124096019397</v>
      </c>
      <c r="L1488" s="330">
        <f>L1485-L1487</f>
        <v>0</v>
      </c>
      <c r="M1488" s="274"/>
      <c r="N1488" s="156">
        <f>N1485-N1487</f>
        <v>60.786585406669474</v>
      </c>
      <c r="O1488" s="196"/>
      <c r="P1488" s="156">
        <f>P1485-P1487</f>
        <v>60.786585406669474</v>
      </c>
      <c r="Q1488" s="245">
        <f>Q1485-Q1487</f>
        <v>0</v>
      </c>
      <c r="R1488" s="238"/>
      <c r="S1488" s="156">
        <f>S1485-S1487</f>
        <v>101.09471964235854</v>
      </c>
      <c r="T1488" s="196"/>
      <c r="U1488" s="156">
        <f>U1485-U1487</f>
        <v>101.09471964235854</v>
      </c>
      <c r="V1488" s="245">
        <f>V1485-V1487</f>
        <v>0</v>
      </c>
      <c r="W1488" s="238"/>
      <c r="X1488" s="156">
        <f>X1485-X1487</f>
        <v>140.37124096019397</v>
      </c>
      <c r="Y1488" s="196"/>
      <c r="Z1488" s="156">
        <f>Z1485-Z1487</f>
        <v>140.37124096019397</v>
      </c>
      <c r="AA1488" s="245">
        <f>AA1485-AA1487</f>
        <v>0</v>
      </c>
      <c r="AB1488" s="265"/>
      <c r="AC1488" s="37"/>
      <c r="AD1488" s="37"/>
      <c r="AE1488" s="37"/>
      <c r="AF1488" s="37"/>
      <c r="AG1488" s="37"/>
      <c r="AH1488" s="37"/>
      <c r="AI1488" s="37"/>
      <c r="AJ1488" s="37"/>
      <c r="AK1488" s="37"/>
      <c r="AL1488" s="37"/>
      <c r="AM1488" s="37"/>
      <c r="AN1488" s="37"/>
      <c r="AO1488" s="37"/>
      <c r="AP1488" s="37"/>
    </row>
    <row r="1489" spans="1:42" s="5" customFormat="1">
      <c r="A1489" s="1"/>
      <c r="B1489" s="1"/>
      <c r="C1489" s="1"/>
      <c r="D1489" s="168"/>
      <c r="E1489" s="168" t="s">
        <v>286</v>
      </c>
      <c r="F1489" s="168" t="str">
        <f t="shared" si="2522"/>
        <v>ОдеждаКомп</v>
      </c>
      <c r="G1489" s="168" t="s">
        <v>261</v>
      </c>
      <c r="H1489" s="326"/>
      <c r="I1489" s="327">
        <f>SUMIFS(операции!$V:$V,операции!$T:$T,"&lt;="&amp;I$9,операции!$X:$X,"",операции!$AB:$AB,"",операции!$O:$O,$F1422)+SUMIFS(операции!$V:$V,операции!$T:$T,"&lt;="&amp;I$9,операции!$X:$X,"&gt;"&amp;I$9,операции!$AB:$AB,"",операции!$O:$O,$F1422)+SUMIFS(операции!$V:$V,операции!$T:$T,"&lt;="&amp;I$9,операции!$X:$X,"",операции!$AB:$AB,"&gt;"&amp;I$9,операции!$O:$O,$F1422)+SUMIFS(операции!$V:$V,операции!$T:$T,"&lt;="&amp;I$9,операции!$X:$X,"&gt;"&amp;I$9,операции!$AB:$AB,"&gt;"&amp;I$9,операции!$O:$O,$F1422)</f>
        <v>0</v>
      </c>
      <c r="J1489" s="313">
        <f>I1489-K1489-L1489</f>
        <v>0</v>
      </c>
      <c r="K1489" s="327">
        <f>SUMIFS(операции!$V:$V,операции!$T:$T,"&lt;="&amp;I$9,операции!$X:$X,"",операции!$AB:$AB,"",операции!$L:$L,K$9,операции!$O:$O,$F1422)+SUMIFS(операции!$V:$V,операции!$T:$T,"&lt;="&amp;I$9,операции!$X:$X,"&gt;"&amp;I$9,операции!$AB:$AB,"",операции!$L:$L,K$9,операции!$O:$O,$F1422)+SUMIFS(операции!$V:$V,операции!$T:$T,"&lt;="&amp;I$9,операции!$X:$X,"",операции!$AB:$AB,"&gt;"&amp;I$9,операции!$L:$L,K$9,операции!$O:$O,$F1422)+SUMIFS(операции!$V:$V,операции!$T:$T,"&lt;="&amp;I$9,операции!$X:$X,"&gt;"&amp;I$9,операции!$AB:$AB,"&gt;"&amp;I$9,операции!$L:$L,K$9,операции!$O:$O,$F1422)</f>
        <v>0</v>
      </c>
      <c r="L1489" s="328">
        <f>SUMIFS(операции!$V:$V,операции!$T:$T,"&lt;="&amp;I$9,операции!$X:$X,"",операции!$AB:$AB,"",операции!$L:$L,L$9,операции!$O:$O,$F1422)+SUMIFS(операции!$V:$V,операции!$T:$T,"&lt;="&amp;I$9,операции!$X:$X,"&gt;"&amp;I$9,операции!$AB:$AB,"",операции!$L:$L,L$9,операции!$O:$O,$F1422)+SUMIFS(операции!$V:$V,операции!$T:$T,"&lt;="&amp;I$9,операции!$X:$X,"",операции!$AB:$AB,"&gt;"&amp;I$9,операции!$L:$L,L$9,операции!$O:$O,$F1422)+SUMIFS(операции!$V:$V,операции!$T:$T,"&lt;="&amp;I$9,операции!$X:$X,"&gt;"&amp;I$9,операции!$AB:$AB,"&gt;"&amp;I$9,операции!$L:$L,L$9,операции!$O:$O,$F1422)</f>
        <v>0</v>
      </c>
      <c r="M1489" s="277"/>
      <c r="N1489" s="169">
        <f>SUMIFS(операции!$V:$V,операции!$T:$T,"&lt;="&amp;N$9,операции!$X:$X,"",операции!$AB:$AB,"",операции!$O:$O,$F1422)+SUMIFS(операции!$V:$V,операции!$T:$T,"&lt;="&amp;N$9,операции!$X:$X,"&gt;"&amp;N$9,операции!$AB:$AB,"",операции!$O:$O,$F1422)+SUMIFS(операции!$V:$V,операции!$T:$T,"&lt;="&amp;N$9,операции!$X:$X,"",операции!$AB:$AB,"&gt;"&amp;N$9,операции!$O:$O,$F1422)+SUMIFS(операции!$V:$V,операции!$T:$T,"&lt;="&amp;N$9,операции!$X:$X,"&gt;"&amp;N$9,операции!$AB:$AB,"&gt;"&amp;N$9,операции!$O:$O,$F1422)</f>
        <v>1369.79</v>
      </c>
      <c r="O1489" s="170">
        <f>N1489-P1489-Q1489</f>
        <v>0</v>
      </c>
      <c r="P1489" s="169">
        <f>SUMIFS(операции!$V:$V,операции!$T:$T,"&lt;="&amp;N$9,операции!$X:$X,"",операции!$AB:$AB,"",операции!$L:$L,P$9,операции!$O:$O,$F1422)+SUMIFS(операции!$V:$V,операции!$T:$T,"&lt;="&amp;N$9,операции!$X:$X,"&gt;"&amp;N$9,операции!$AB:$AB,"",операции!$L:$L,P$9,операции!$O:$O,$F1422)+SUMIFS(операции!$V:$V,операции!$T:$T,"&lt;="&amp;N$9,операции!$X:$X,"",операции!$AB:$AB,"&gt;"&amp;N$9,операции!$L:$L,P$9,операции!$O:$O,$F1422)+SUMIFS(операции!$V:$V,операции!$T:$T,"&lt;="&amp;N$9,операции!$X:$X,"&gt;"&amp;N$9,операции!$AB:$AB,"&gt;"&amp;N$9,операции!$L:$L,P$9,операции!$O:$O,$F1422)</f>
        <v>1369.79</v>
      </c>
      <c r="Q1489" s="243">
        <f>SUMIFS(операции!$V:$V,операции!$T:$T,"&lt;="&amp;N$9,операции!$X:$X,"",операции!$AB:$AB,"",операции!$L:$L,Q$9,операции!$O:$O,$F1422)+SUMIFS(операции!$V:$V,операции!$T:$T,"&lt;="&amp;N$9,операции!$X:$X,"&gt;"&amp;N$9,операции!$AB:$AB,"",операции!$L:$L,Q$9,операции!$O:$O,$F1422)+SUMIFS(операции!$V:$V,операции!$T:$T,"&lt;="&amp;N$9,операции!$X:$X,"",операции!$AB:$AB,"&gt;"&amp;N$9,операции!$L:$L,Q$9,операции!$O:$O,$F1422)+SUMIFS(операции!$V:$V,операции!$T:$T,"&lt;="&amp;N$9,операции!$X:$X,"&gt;"&amp;N$9,операции!$AB:$AB,"&gt;"&amp;N$9,операции!$L:$L,Q$9,операции!$O:$O,$F1422)</f>
        <v>0</v>
      </c>
      <c r="R1489" s="244"/>
      <c r="S1489" s="169">
        <f>SUMIFS(операции!$V:$V,операции!$T:$T,"&lt;="&amp;S$9,операции!$X:$X,"",операции!$AB:$AB,"",операции!$O:$O,$F1422)+SUMIFS(операции!$V:$V,операции!$T:$T,"&lt;="&amp;S$9,операции!$X:$X,"&gt;"&amp;S$9,операции!$AB:$AB,"",операции!$O:$O,$F1422)+SUMIFS(операции!$V:$V,операции!$T:$T,"&lt;="&amp;S$9,операции!$X:$X,"",операции!$AB:$AB,"&gt;"&amp;S$9,операции!$O:$O,$F1422)+SUMIFS(операции!$V:$V,операции!$T:$T,"&lt;="&amp;S$9,операции!$X:$X,"&gt;"&amp;S$9,операции!$AB:$AB,"&gt;"&amp;S$9,операции!$O:$O,$F1422)</f>
        <v>1369.79</v>
      </c>
      <c r="T1489" s="170">
        <f>S1489-U1489-V1489</f>
        <v>0</v>
      </c>
      <c r="U1489" s="169">
        <f>SUMIFS(операции!$V:$V,операции!$T:$T,"&lt;="&amp;S$9,операции!$X:$X,"",операции!$AB:$AB,"",операции!$L:$L,U$9,операции!$O:$O,$F1422)+SUMIFS(операции!$V:$V,операции!$T:$T,"&lt;="&amp;S$9,операции!$X:$X,"&gt;"&amp;S$9,операции!$AB:$AB,"",операции!$L:$L,U$9,операции!$O:$O,$F1422)+SUMIFS(операции!$V:$V,операции!$T:$T,"&lt;="&amp;S$9,операции!$X:$X,"",операции!$AB:$AB,"&gt;"&amp;S$9,операции!$L:$L,U$9,операции!$O:$O,$F1422)+SUMIFS(операции!$V:$V,операции!$T:$T,"&lt;="&amp;S$9,операции!$X:$X,"&gt;"&amp;S$9,операции!$AB:$AB,"&gt;"&amp;S$9,операции!$L:$L,U$9,операции!$O:$O,$F1422)</f>
        <v>1369.79</v>
      </c>
      <c r="V1489" s="243">
        <f>SUMIFS(операции!$V:$V,операции!$T:$T,"&lt;="&amp;S$9,операции!$X:$X,"",операции!$AB:$AB,"",операции!$L:$L,V$9,операции!$O:$O,$F1422)+SUMIFS(операции!$V:$V,операции!$T:$T,"&lt;="&amp;S$9,операции!$X:$X,"&gt;"&amp;S$9,операции!$AB:$AB,"",операции!$L:$L,V$9,операции!$O:$O,$F1422)+SUMIFS(операции!$V:$V,операции!$T:$T,"&lt;="&amp;S$9,операции!$X:$X,"",операции!$AB:$AB,"&gt;"&amp;S$9,операции!$L:$L,V$9,операции!$O:$O,$F1422)+SUMIFS(операции!$V:$V,операции!$T:$T,"&lt;="&amp;S$9,операции!$X:$X,"&gt;"&amp;S$9,операции!$AB:$AB,"&gt;"&amp;S$9,операции!$L:$L,V$9,операции!$O:$O,$F1422)</f>
        <v>0</v>
      </c>
      <c r="W1489" s="244"/>
      <c r="X1489" s="169">
        <f>SUMIFS(операции!$V:$V,операции!$T:$T,"&lt;="&amp;X$9,операции!$X:$X,"",операции!$AB:$AB,"",операции!$O:$O,$F1422)+SUMIFS(операции!$V:$V,операции!$T:$T,"&lt;="&amp;X$9,операции!$X:$X,"&gt;"&amp;X$9,операции!$AB:$AB,"",операции!$O:$O,$F1422)+SUMIFS(операции!$V:$V,операции!$T:$T,"&lt;="&amp;X$9,операции!$X:$X,"",операции!$AB:$AB,"&gt;"&amp;X$9,операции!$O:$O,$F1422)+SUMIFS(операции!$V:$V,операции!$T:$T,"&lt;="&amp;X$9,операции!$X:$X,"&gt;"&amp;X$9,операции!$AB:$AB,"&gt;"&amp;X$9,операции!$O:$O,$F1422)</f>
        <v>0</v>
      </c>
      <c r="Y1489" s="170">
        <f>X1489-Z1489-AA1489</f>
        <v>0</v>
      </c>
      <c r="Z1489" s="169">
        <f>SUMIFS(операции!$V:$V,операции!$T:$T,"&lt;="&amp;X$9,операции!$X:$X,"",операции!$AB:$AB,"",операции!$L:$L,Z$9,операции!$O:$O,$F1422)+SUMIFS(операции!$V:$V,операции!$T:$T,"&lt;="&amp;X$9,операции!$X:$X,"&gt;"&amp;X$9,операции!$AB:$AB,"",операции!$L:$L,Z$9,операции!$O:$O,$F1422)+SUMIFS(операции!$V:$V,операции!$T:$T,"&lt;="&amp;X$9,операции!$X:$X,"",операции!$AB:$AB,"&gt;"&amp;X$9,операции!$L:$L,Z$9,операции!$O:$O,$F1422)+SUMIFS(операции!$V:$V,операции!$T:$T,"&lt;="&amp;X$9,операции!$X:$X,"&gt;"&amp;X$9,операции!$AB:$AB,"&gt;"&amp;X$9,операции!$L:$L,Z$9,операции!$O:$O,$F1422)</f>
        <v>0</v>
      </c>
      <c r="AA1489" s="243">
        <f>SUMIFS(операции!$V:$V,операции!$T:$T,"&lt;="&amp;X$9,операции!$X:$X,"",операции!$AB:$AB,"",операции!$L:$L,AA$9,операции!$O:$O,$F1422)+SUMIFS(операции!$V:$V,операции!$T:$T,"&lt;="&amp;X$9,операции!$X:$X,"&gt;"&amp;X$9,операции!$AB:$AB,"",операции!$L:$L,AA$9,операции!$O:$O,$F1422)+SUMIFS(операции!$V:$V,операции!$T:$T,"&lt;="&amp;X$9,операции!$X:$X,"",операции!$AB:$AB,"&gt;"&amp;X$9,операции!$L:$L,AA$9,операции!$O:$O,$F1422)+SUMIFS(операции!$V:$V,операции!$T:$T,"&lt;="&amp;X$9,операции!$X:$X,"&gt;"&amp;X$9,операции!$AB:$AB,"&gt;"&amp;X$9,операции!$L:$L,AA$9,операции!$O:$O,$F1422)</f>
        <v>0</v>
      </c>
      <c r="AB1489" s="266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</row>
    <row r="1490" spans="1:42" s="192" customFormat="1" ht="11.25">
      <c r="A1490" s="37"/>
      <c r="B1490" s="37"/>
      <c r="C1490" s="37"/>
      <c r="D1490" s="191"/>
      <c r="E1490" s="191" t="s">
        <v>255</v>
      </c>
      <c r="F1490" s="191" t="str">
        <f t="shared" si="2522"/>
        <v>ОдеждаКомп</v>
      </c>
      <c r="G1490" s="191" t="s">
        <v>262</v>
      </c>
      <c r="H1490" s="315"/>
      <c r="I1490" s="316">
        <f>IF(I1489=0,0,(SUMIFS(операции!$AF:$AF,операции!$T:$T,"&lt;="&amp;I$9,операции!$X:$X,"",операции!$AB:$AB,"",операции!$O:$O,$F1422)+SUMIFS(операции!$AF:$AF,операции!$T:$T,"&lt;="&amp;I$9,операции!$X:$X,"&gt;"&amp;I$9,операции!$AB:$AB,"",операции!$O:$O,$F1422)+SUMIFS(операции!$AF:$AF,операции!$T:$T,"&lt;="&amp;I$9,операции!$X:$X,"",операции!$AB:$AB,"&gt;"&amp;I$9,операции!$O:$O,$F1422)+SUMIFS(операции!$AF:$AF,операции!$T:$T,"&lt;="&amp;I$9,операции!$X:$X,"&gt;"&amp;I$9,операции!$AB:$AB,"&gt;"&amp;I$9,операции!$O:$O,$F1422))/I1489)</f>
        <v>0</v>
      </c>
      <c r="J1490" s="317"/>
      <c r="K1490" s="316">
        <f>IF(K1489=0,0,(SUMIFS(операции!$AF:$AF,операции!$T:$T,"&lt;="&amp;I$9,операции!$X:$X,"",операции!$AB:$AB,"",операции!$L:$L,K$9,операции!$O:$O,$F1422)+SUMIFS(операции!$AF:$AF,операции!$T:$T,"&lt;="&amp;I$9,операции!$X:$X,"&gt;"&amp;I$9,операции!$AB:$AB,"",операции!$L:$L,K$9,операции!$O:$O,$F1422)+SUMIFS(операции!$AF:$AF,операции!$T:$T,"&lt;="&amp;I$9,операции!$X:$X,"",операции!$AB:$AB,"&gt;"&amp;I$9,операции!$L:$L,K$9,операции!$O:$O,$F1422)+SUMIFS(операции!$AF:$AF,операции!$T:$T,"&lt;="&amp;I$9,операции!$X:$X,"&gt;"&amp;I$9,операции!$AB:$AB,"&gt;"&amp;I$9,операции!$L:$L,K$9,операции!$O:$O,$F1422))/K1489)</f>
        <v>0</v>
      </c>
      <c r="L1490" s="318">
        <f>IF(L1489=0,0,(SUMIFS(операции!$AF:$AF,операции!$T:$T,"&lt;="&amp;I$9,операции!$X:$X,"",операции!$AB:$AB,"",операции!$L:$L,L$9,операции!$O:$O,$F1422)+SUMIFS(операции!$AF:$AF,операции!$T:$T,"&lt;="&amp;I$9,операции!$X:$X,"&gt;"&amp;I$9,операции!$AB:$AB,"",операции!$L:$L,L$9,операции!$O:$O,$F1422)+SUMIFS(операции!$AF:$AF,операции!$T:$T,"&lt;="&amp;I$9,операции!$X:$X,"",операции!$AB:$AB,"&gt;"&amp;I$9,операции!$L:$L,L$9,операции!$O:$O,$F1422)+SUMIFS(операции!$AF:$AF,операции!$T:$T,"&lt;="&amp;I$9,операции!$X:$X,"&gt;"&amp;I$9,операции!$AB:$AB,"&gt;"&amp;I$9,операции!$L:$L,L$9,операции!$O:$O,$F1422))/L1489)</f>
        <v>0</v>
      </c>
      <c r="M1490" s="274"/>
      <c r="N1490" s="193">
        <f>IF(N1489=0,0,(SUMIFS(операции!$AF:$AF,операции!$T:$T,"&lt;="&amp;N$9,операции!$X:$X,"",операции!$AB:$AB,"",операции!$O:$O,$F1422)+SUMIFS(операции!$AF:$AF,операции!$T:$T,"&lt;="&amp;N$9,операции!$X:$X,"&gt;"&amp;N$9,операции!$AB:$AB,"",операции!$O:$O,$F1422)+SUMIFS(операции!$AF:$AF,операции!$T:$T,"&lt;="&amp;N$9,операции!$X:$X,"",операции!$AB:$AB,"&gt;"&amp;N$9,операции!$O:$O,$F1422)+SUMIFS(операции!$AF:$AF,операции!$T:$T,"&lt;="&amp;N$9,операции!$X:$X,"&gt;"&amp;N$9,операции!$AB:$AB,"&gt;"&amp;N$9,операции!$O:$O,$F1422))/N1489)</f>
        <v>42157</v>
      </c>
      <c r="O1490" s="196"/>
      <c r="P1490" s="193">
        <f>IF(P1489=0,0,(SUMIFS(операции!$AF:$AF,операции!$T:$T,"&lt;="&amp;N$9,операции!$X:$X,"",операции!$AB:$AB,"",операции!$L:$L,P$9,операции!$O:$O,$F1422)+SUMIFS(операции!$AF:$AF,операции!$T:$T,"&lt;="&amp;N$9,операции!$X:$X,"&gt;"&amp;N$9,операции!$AB:$AB,"",операции!$L:$L,P$9,операции!$O:$O,$F1422)+SUMIFS(операции!$AF:$AF,операции!$T:$T,"&lt;="&amp;N$9,операции!$X:$X,"",операции!$AB:$AB,"&gt;"&amp;N$9,операции!$L:$L,P$9,операции!$O:$O,$F1422)+SUMIFS(операции!$AF:$AF,операции!$T:$T,"&lt;="&amp;N$9,операции!$X:$X,"&gt;"&amp;N$9,операции!$AB:$AB,"&gt;"&amp;N$9,операции!$L:$L,P$9,операции!$O:$O,$F1422))/P1489)</f>
        <v>42157</v>
      </c>
      <c r="Q1490" s="237">
        <f>IF(Q1489=0,0,(SUMIFS(операции!$AF:$AF,операции!$T:$T,"&lt;="&amp;N$9,операции!$X:$X,"",операции!$AB:$AB,"",операции!$L:$L,Q$9,операции!$O:$O,$F1422)+SUMIFS(операции!$AF:$AF,операции!$T:$T,"&lt;="&amp;N$9,операции!$X:$X,"&gt;"&amp;N$9,операции!$AB:$AB,"",операции!$L:$L,Q$9,операции!$O:$O,$F1422)+SUMIFS(операции!$AF:$AF,операции!$T:$T,"&lt;="&amp;N$9,операции!$X:$X,"",операции!$AB:$AB,"&gt;"&amp;N$9,операции!$L:$L,Q$9,операции!$O:$O,$F1422)+SUMIFS(операции!$AF:$AF,операции!$T:$T,"&lt;="&amp;N$9,операции!$X:$X,"&gt;"&amp;N$9,операции!$AB:$AB,"&gt;"&amp;N$9,операции!$L:$L,Q$9,операции!$O:$O,$F1422))/Q1489)</f>
        <v>0</v>
      </c>
      <c r="R1490" s="238"/>
      <c r="S1490" s="193">
        <f>IF(S1489=0,0,(SUMIFS(операции!$AF:$AF,операции!$T:$T,"&lt;="&amp;S$9,операции!$X:$X,"",операции!$AB:$AB,"",операции!$O:$O,$F1422)+SUMIFS(операции!$AF:$AF,операции!$T:$T,"&lt;="&amp;S$9,операции!$X:$X,"&gt;"&amp;S$9,операции!$AB:$AB,"",операции!$O:$O,$F1422)+SUMIFS(операции!$AF:$AF,операции!$T:$T,"&lt;="&amp;S$9,операции!$X:$X,"",операции!$AB:$AB,"&gt;"&amp;S$9,операции!$O:$O,$F1422)+SUMIFS(операции!$AF:$AF,операции!$T:$T,"&lt;="&amp;S$9,операции!$X:$X,"&gt;"&amp;S$9,операции!$AB:$AB,"&gt;"&amp;S$9,операции!$O:$O,$F1422))/S1489)</f>
        <v>42157</v>
      </c>
      <c r="T1490" s="196"/>
      <c r="U1490" s="193">
        <f>IF(U1489=0,0,(SUMIFS(операции!$AF:$AF,операции!$T:$T,"&lt;="&amp;S$9,операции!$X:$X,"",операции!$AB:$AB,"",операции!$L:$L,U$9,операции!$O:$O,$F1422)+SUMIFS(операции!$AF:$AF,операции!$T:$T,"&lt;="&amp;S$9,операции!$X:$X,"&gt;"&amp;S$9,операции!$AB:$AB,"",операции!$L:$L,U$9,операции!$O:$O,$F1422)+SUMIFS(операции!$AF:$AF,операции!$T:$T,"&lt;="&amp;S$9,операции!$X:$X,"",операции!$AB:$AB,"&gt;"&amp;S$9,операции!$L:$L,U$9,операции!$O:$O,$F1422)+SUMIFS(операции!$AF:$AF,операции!$T:$T,"&lt;="&amp;S$9,операции!$X:$X,"&gt;"&amp;S$9,операции!$AB:$AB,"&gt;"&amp;S$9,операции!$L:$L,U$9,операции!$O:$O,$F1422))/U1489)</f>
        <v>42157</v>
      </c>
      <c r="V1490" s="237">
        <f>IF(V1489=0,0,(SUMIFS(операции!$AF:$AF,операции!$T:$T,"&lt;="&amp;S$9,операции!$X:$X,"",операции!$AB:$AB,"",операции!$L:$L,V$9,операции!$O:$O,$F1422)+SUMIFS(операции!$AF:$AF,операции!$T:$T,"&lt;="&amp;S$9,операции!$X:$X,"&gt;"&amp;S$9,операции!$AB:$AB,"",операции!$L:$L,V$9,операции!$O:$O,$F1422)+SUMIFS(операции!$AF:$AF,операции!$T:$T,"&lt;="&amp;S$9,операции!$X:$X,"",операции!$AB:$AB,"&gt;"&amp;S$9,операции!$L:$L,V$9,операции!$O:$O,$F1422)+SUMIFS(операции!$AF:$AF,операции!$T:$T,"&lt;="&amp;S$9,операции!$X:$X,"&gt;"&amp;S$9,операции!$AB:$AB,"&gt;"&amp;S$9,операции!$L:$L,V$9,операции!$O:$O,$F1422))/V1489)</f>
        <v>0</v>
      </c>
      <c r="W1490" s="238"/>
      <c r="X1490" s="193">
        <f>IF(X1489=0,0,(SUMIFS(операции!$AF:$AF,операции!$T:$T,"&lt;="&amp;X$9,операции!$X:$X,"",операции!$AB:$AB,"",операции!$O:$O,$F1422)+SUMIFS(операции!$AF:$AF,операции!$T:$T,"&lt;="&amp;X$9,операции!$X:$X,"&gt;"&amp;X$9,операции!$AB:$AB,"",операции!$O:$O,$F1422)+SUMIFS(операции!$AF:$AF,операции!$T:$T,"&lt;="&amp;X$9,операции!$X:$X,"",операции!$AB:$AB,"&gt;"&amp;X$9,операции!$O:$O,$F1422)+SUMIFS(операции!$AF:$AF,операции!$T:$T,"&lt;="&amp;X$9,операции!$X:$X,"&gt;"&amp;X$9,операции!$AB:$AB,"&gt;"&amp;X$9,операции!$O:$O,$F1422))/X1489)</f>
        <v>0</v>
      </c>
      <c r="Y1490" s="196"/>
      <c r="Z1490" s="193">
        <f>IF(Z1489=0,0,(SUMIFS(операции!$AF:$AF,операции!$T:$T,"&lt;="&amp;X$9,операции!$X:$X,"",операции!$AB:$AB,"",операции!$L:$L,Z$9,операции!$O:$O,$F1422)+SUMIFS(операции!$AF:$AF,операции!$T:$T,"&lt;="&amp;X$9,операции!$X:$X,"&gt;"&amp;X$9,операции!$AB:$AB,"",операции!$L:$L,Z$9,операции!$O:$O,$F1422)+SUMIFS(операции!$AF:$AF,операции!$T:$T,"&lt;="&amp;X$9,операции!$X:$X,"",операции!$AB:$AB,"&gt;"&amp;X$9,операции!$L:$L,Z$9,операции!$O:$O,$F1422)+SUMIFS(операции!$AF:$AF,операции!$T:$T,"&lt;="&amp;X$9,операции!$X:$X,"&gt;"&amp;X$9,операции!$AB:$AB,"&gt;"&amp;X$9,операции!$L:$L,Z$9,операции!$O:$O,$F1422))/Z1489)</f>
        <v>0</v>
      </c>
      <c r="AA1490" s="237">
        <f>IF(AA1489=0,0,(SUMIFS(операции!$AF:$AF,операции!$T:$T,"&lt;="&amp;X$9,операции!$X:$X,"",операции!$AB:$AB,"",операции!$L:$L,AA$9,операции!$O:$O,$F1422)+SUMIFS(операции!$AF:$AF,операции!$T:$T,"&lt;="&amp;X$9,операции!$X:$X,"&gt;"&amp;X$9,операции!$AB:$AB,"",операции!$L:$L,AA$9,операции!$O:$O,$F1422)+SUMIFS(операции!$AF:$AF,операции!$T:$T,"&lt;="&amp;X$9,операции!$X:$X,"",операции!$AB:$AB,"&gt;"&amp;X$9,операции!$L:$L,AA$9,операции!$O:$O,$F1422)+SUMIFS(операции!$AF:$AF,операции!$T:$T,"&lt;="&amp;X$9,операции!$X:$X,"&gt;"&amp;X$9,операции!$AB:$AB,"&gt;"&amp;X$9,операции!$L:$L,AA$9,операции!$O:$O,$F1422))/AA1489)</f>
        <v>0</v>
      </c>
      <c r="AB1490" s="265"/>
      <c r="AC1490" s="37"/>
      <c r="AD1490" s="37"/>
      <c r="AE1490" s="37"/>
      <c r="AF1490" s="37"/>
      <c r="AG1490" s="37"/>
      <c r="AH1490" s="37"/>
      <c r="AI1490" s="37"/>
      <c r="AJ1490" s="37"/>
      <c r="AK1490" s="37"/>
      <c r="AL1490" s="37"/>
      <c r="AM1490" s="37"/>
      <c r="AN1490" s="37"/>
      <c r="AO1490" s="37"/>
      <c r="AP1490" s="37"/>
    </row>
    <row r="1491" spans="1:42" s="192" customFormat="1" ht="11.25">
      <c r="A1491" s="37"/>
      <c r="B1491" s="37"/>
      <c r="C1491" s="37"/>
      <c r="D1491" s="191"/>
      <c r="E1491" s="191" t="s">
        <v>287</v>
      </c>
      <c r="F1491" s="191" t="str">
        <f t="shared" ref="F1491:F1494" si="2655">F1490</f>
        <v>ОдеждаКомп</v>
      </c>
      <c r="G1491" s="191" t="s">
        <v>219</v>
      </c>
      <c r="H1491" s="315"/>
      <c r="I1491" s="329">
        <f>IF(I1489=0,0,I$9-I1490)</f>
        <v>0</v>
      </c>
      <c r="J1491" s="317"/>
      <c r="K1491" s="329">
        <f>IF(K1489=0,0,I$9-K1490)</f>
        <v>0</v>
      </c>
      <c r="L1491" s="330">
        <f>IF(L1489=0,0,I$9-L1490)</f>
        <v>0</v>
      </c>
      <c r="M1491" s="274"/>
      <c r="N1491" s="156">
        <f>IF(N1489=0,0,N$9-N1490)</f>
        <v>151</v>
      </c>
      <c r="O1491" s="196"/>
      <c r="P1491" s="156">
        <f>IF(P1489=0,0,N$9-P1490)</f>
        <v>151</v>
      </c>
      <c r="Q1491" s="245">
        <f>IF(Q1489=0,0,N$9-Q1490)</f>
        <v>0</v>
      </c>
      <c r="R1491" s="238"/>
      <c r="S1491" s="156">
        <f>IF(S1489=0,0,S$9-S1490)</f>
        <v>181</v>
      </c>
      <c r="T1491" s="196"/>
      <c r="U1491" s="156">
        <f>IF(U1489=0,0,S$9-U1490)</f>
        <v>181</v>
      </c>
      <c r="V1491" s="245">
        <f>IF(V1489=0,0,S$9-V1490)</f>
        <v>0</v>
      </c>
      <c r="W1491" s="238"/>
      <c r="X1491" s="156">
        <f>IF(X1489=0,0,X$9-X1490)</f>
        <v>0</v>
      </c>
      <c r="Y1491" s="196"/>
      <c r="Z1491" s="156">
        <f>IF(Z1489=0,0,X$9-Z1490)</f>
        <v>0</v>
      </c>
      <c r="AA1491" s="245">
        <f>IF(AA1489=0,0,X$9-AA1490)</f>
        <v>0</v>
      </c>
      <c r="AB1491" s="265"/>
      <c r="AC1491" s="37"/>
      <c r="AD1491" s="37"/>
      <c r="AE1491" s="37"/>
      <c r="AF1491" s="37"/>
      <c r="AG1491" s="37"/>
      <c r="AH1491" s="37"/>
      <c r="AI1491" s="37"/>
      <c r="AJ1491" s="37"/>
      <c r="AK1491" s="37"/>
      <c r="AL1491" s="37"/>
      <c r="AM1491" s="37"/>
      <c r="AN1491" s="37"/>
      <c r="AO1491" s="37"/>
      <c r="AP1491" s="37"/>
    </row>
    <row r="1492" spans="1:42" s="192" customFormat="1" ht="11.25">
      <c r="A1492" s="37"/>
      <c r="B1492" s="37"/>
      <c r="C1492" s="37"/>
      <c r="D1492" s="191"/>
      <c r="E1492" s="191" t="s">
        <v>311</v>
      </c>
      <c r="F1492" s="191" t="str">
        <f t="shared" si="2655"/>
        <v>ОдеждаКомп</v>
      </c>
      <c r="G1492" s="191" t="s">
        <v>262</v>
      </c>
      <c r="H1492" s="315"/>
      <c r="I1492" s="316">
        <f>I$9</f>
        <v>42369</v>
      </c>
      <c r="J1492" s="317"/>
      <c r="K1492" s="316">
        <f>I$9</f>
        <v>42369</v>
      </c>
      <c r="L1492" s="318">
        <f>I$9</f>
        <v>42369</v>
      </c>
      <c r="M1492" s="274"/>
      <c r="N1492" s="193">
        <f>N$9</f>
        <v>42308</v>
      </c>
      <c r="O1492" s="196"/>
      <c r="P1492" s="193">
        <f>N$9</f>
        <v>42308</v>
      </c>
      <c r="Q1492" s="237">
        <f>N$9</f>
        <v>42308</v>
      </c>
      <c r="R1492" s="238"/>
      <c r="S1492" s="193">
        <f>S$9</f>
        <v>42338</v>
      </c>
      <c r="T1492" s="196"/>
      <c r="U1492" s="193">
        <f>S$9</f>
        <v>42338</v>
      </c>
      <c r="V1492" s="237">
        <f>S$9</f>
        <v>42338</v>
      </c>
      <c r="W1492" s="238"/>
      <c r="X1492" s="193">
        <f>X$9</f>
        <v>42369</v>
      </c>
      <c r="Y1492" s="196"/>
      <c r="Z1492" s="193">
        <f>X$9</f>
        <v>42369</v>
      </c>
      <c r="AA1492" s="237">
        <f>X$9</f>
        <v>42369</v>
      </c>
      <c r="AB1492" s="265"/>
      <c r="AC1492" s="37"/>
      <c r="AD1492" s="37"/>
      <c r="AE1492" s="37"/>
      <c r="AF1492" s="37"/>
      <c r="AG1492" s="37"/>
      <c r="AH1492" s="37"/>
      <c r="AI1492" s="37"/>
      <c r="AJ1492" s="37"/>
      <c r="AK1492" s="37"/>
      <c r="AL1492" s="37"/>
      <c r="AM1492" s="37"/>
      <c r="AN1492" s="37"/>
      <c r="AO1492" s="37"/>
      <c r="AP1492" s="37"/>
    </row>
    <row r="1493" spans="1:42" s="192" customFormat="1" ht="11.25">
      <c r="A1493" s="37"/>
      <c r="B1493" s="37"/>
      <c r="C1493" s="37"/>
      <c r="D1493" s="191"/>
      <c r="E1493" s="191" t="s">
        <v>288</v>
      </c>
      <c r="F1493" s="191" t="str">
        <f t="shared" si="2655"/>
        <v>ОдеждаКомп</v>
      </c>
      <c r="G1493" s="191" t="s">
        <v>219</v>
      </c>
      <c r="H1493" s="315"/>
      <c r="I1493" s="329">
        <f>IF(I1489=0,0,I1492-I1490)</f>
        <v>0</v>
      </c>
      <c r="J1493" s="317"/>
      <c r="K1493" s="329">
        <f>IF(K1489=0,0,K1492-K1490)</f>
        <v>0</v>
      </c>
      <c r="L1493" s="330">
        <f>IF(L1489=0,0,L1492-L1490)</f>
        <v>0</v>
      </c>
      <c r="M1493" s="274"/>
      <c r="N1493" s="156">
        <f>IF(N1489=0,0,N1492-N1490)</f>
        <v>151</v>
      </c>
      <c r="O1493" s="196"/>
      <c r="P1493" s="156">
        <f>IF(P1489=0,0,P1492-P1490)</f>
        <v>151</v>
      </c>
      <c r="Q1493" s="245">
        <f>IF(Q1489=0,0,Q1492-Q1490)</f>
        <v>0</v>
      </c>
      <c r="R1493" s="238"/>
      <c r="S1493" s="156">
        <f>IF(S1489=0,0,S1492-S1490)</f>
        <v>181</v>
      </c>
      <c r="T1493" s="196"/>
      <c r="U1493" s="156">
        <f>IF(U1489=0,0,U1492-U1490)</f>
        <v>181</v>
      </c>
      <c r="V1493" s="245">
        <f>IF(V1489=0,0,V1492-V1490)</f>
        <v>0</v>
      </c>
      <c r="W1493" s="238"/>
      <c r="X1493" s="156">
        <f>IF(X1489=0,0,X1492-X1490)</f>
        <v>0</v>
      </c>
      <c r="Y1493" s="196"/>
      <c r="Z1493" s="156">
        <f>IF(Z1489=0,0,Z1492-Z1490)</f>
        <v>0</v>
      </c>
      <c r="AA1493" s="245">
        <f>IF(AA1489=0,0,AA1492-AA1490)</f>
        <v>0</v>
      </c>
      <c r="AB1493" s="265"/>
      <c r="AC1493" s="37"/>
      <c r="AD1493" s="37"/>
      <c r="AE1493" s="37"/>
      <c r="AF1493" s="37"/>
      <c r="AG1493" s="37"/>
      <c r="AH1493" s="37"/>
      <c r="AI1493" s="37"/>
      <c r="AJ1493" s="37"/>
      <c r="AK1493" s="37"/>
      <c r="AL1493" s="37"/>
      <c r="AM1493" s="37"/>
      <c r="AN1493" s="37"/>
      <c r="AO1493" s="37"/>
      <c r="AP1493" s="37"/>
    </row>
    <row r="1494" spans="1:42" s="192" customFormat="1" ht="12" thickBot="1">
      <c r="A1494" s="37"/>
      <c r="B1494" s="37"/>
      <c r="C1494" s="37"/>
      <c r="D1494" s="297"/>
      <c r="E1494" s="297" t="s">
        <v>289</v>
      </c>
      <c r="F1494" s="297" t="str">
        <f t="shared" si="2655"/>
        <v>ОдеждаКомп</v>
      </c>
      <c r="G1494" s="297" t="s">
        <v>219</v>
      </c>
      <c r="H1494" s="377"/>
      <c r="I1494" s="378">
        <f>I1491-I1493</f>
        <v>0</v>
      </c>
      <c r="J1494" s="379"/>
      <c r="K1494" s="378">
        <f>K1491-K1493</f>
        <v>0</v>
      </c>
      <c r="L1494" s="380">
        <f>L1491-L1493</f>
        <v>0</v>
      </c>
      <c r="M1494" s="300"/>
      <c r="N1494" s="298">
        <f>N1491-N1493</f>
        <v>0</v>
      </c>
      <c r="O1494" s="299"/>
      <c r="P1494" s="298">
        <f>P1491-P1493</f>
        <v>0</v>
      </c>
      <c r="Q1494" s="301">
        <f>Q1491-Q1493</f>
        <v>0</v>
      </c>
      <c r="R1494" s="302"/>
      <c r="S1494" s="298">
        <f>S1491-S1493</f>
        <v>0</v>
      </c>
      <c r="T1494" s="299"/>
      <c r="U1494" s="298">
        <f>U1491-U1493</f>
        <v>0</v>
      </c>
      <c r="V1494" s="301">
        <f>V1491-V1493</f>
        <v>0</v>
      </c>
      <c r="W1494" s="302"/>
      <c r="X1494" s="298">
        <f>X1491-X1493</f>
        <v>0</v>
      </c>
      <c r="Y1494" s="299"/>
      <c r="Z1494" s="298">
        <f>Z1491-Z1493</f>
        <v>0</v>
      </c>
      <c r="AA1494" s="301">
        <f>AA1491-AA1493</f>
        <v>0</v>
      </c>
      <c r="AB1494" s="265"/>
      <c r="AC1494" s="37"/>
      <c r="AD1494" s="37"/>
      <c r="AE1494" s="37"/>
      <c r="AF1494" s="37"/>
      <c r="AG1494" s="37"/>
      <c r="AH1494" s="37"/>
      <c r="AI1494" s="37"/>
      <c r="AJ1494" s="37"/>
      <c r="AK1494" s="37"/>
      <c r="AL1494" s="37"/>
      <c r="AM1494" s="37"/>
      <c r="AN1494" s="37"/>
      <c r="AO1494" s="37"/>
      <c r="AP1494" s="37"/>
    </row>
    <row r="1495" spans="1:42" s="111" customFormat="1" ht="11.25">
      <c r="A1495" s="108"/>
      <c r="B1495" s="108"/>
      <c r="C1495" s="108" t="s">
        <v>271</v>
      </c>
      <c r="D1495" s="291"/>
      <c r="E1495" s="291"/>
      <c r="F1495" s="291" t="str">
        <f>F1496</f>
        <v>Позитив</v>
      </c>
      <c r="G1495" s="291"/>
      <c r="H1495" s="373"/>
      <c r="I1495" s="374">
        <f>I1496-K1496-L1496</f>
        <v>0</v>
      </c>
      <c r="J1495" s="375">
        <f>N1495+N1513+N1551+SUM(O:O)+S1495+S1513+S1551+SUM(T:T)+X1495+X1513+X1551+SUM(Y:Y)</f>
        <v>3.6740885889230412E-9</v>
      </c>
      <c r="K1495" s="373"/>
      <c r="L1495" s="376"/>
      <c r="M1495" s="293"/>
      <c r="N1495" s="292">
        <f>N1496-P1496-Q1496</f>
        <v>0</v>
      </c>
      <c r="O1495" s="294"/>
      <c r="P1495" s="291"/>
      <c r="Q1495" s="295"/>
      <c r="R1495" s="296"/>
      <c r="S1495" s="292">
        <f>S1496-U1496-V1496</f>
        <v>-1.8189894035458565E-11</v>
      </c>
      <c r="T1495" s="294"/>
      <c r="U1495" s="291"/>
      <c r="V1495" s="295"/>
      <c r="W1495" s="296"/>
      <c r="X1495" s="292">
        <f>X1496-Z1496-AA1496</f>
        <v>0</v>
      </c>
      <c r="Y1495" s="294"/>
      <c r="Z1495" s="291"/>
      <c r="AA1495" s="295"/>
      <c r="AB1495" s="263"/>
      <c r="AC1495" s="108"/>
      <c r="AD1495" s="108"/>
      <c r="AE1495" s="108"/>
      <c r="AF1495" s="108"/>
      <c r="AG1495" s="108"/>
      <c r="AH1495" s="108"/>
      <c r="AI1495" s="108"/>
      <c r="AJ1495" s="108"/>
      <c r="AK1495" s="108"/>
      <c r="AL1495" s="108"/>
      <c r="AM1495" s="108"/>
      <c r="AN1495" s="108"/>
      <c r="AO1495" s="108"/>
      <c r="AP1495" s="108"/>
    </row>
    <row r="1496" spans="1:42" s="93" customFormat="1" ht="15">
      <c r="A1496" s="92"/>
      <c r="B1496" s="92"/>
      <c r="C1496" s="92"/>
      <c r="D1496" s="151" t="s">
        <v>256</v>
      </c>
      <c r="E1496" s="151"/>
      <c r="F1496" s="286" t="str">
        <f>микс!$H$37</f>
        <v>Позитив</v>
      </c>
      <c r="G1496" s="151" t="s">
        <v>261</v>
      </c>
      <c r="H1496" s="311"/>
      <c r="I1496" s="312">
        <f>SUMIFS(операции!$V:$V,операции!$T:$T,"&lt;"&amp;I$8,операции!$X:$X,"",операции!$O:$O,$F1496)+SUMIFS(операции!$V:$V,операции!$T:$T,"&lt;"&amp;I$8,операции!$X:$X,"&gt;="&amp;I$8,операции!$O:$O,$F1496)</f>
        <v>97111.849999999991</v>
      </c>
      <c r="J1496" s="313">
        <f>I1496-I1501-I1507</f>
        <v>0</v>
      </c>
      <c r="K1496" s="312">
        <f>SUMIFS(операции!$V:$V,операции!$T:$T,"&lt;"&amp;I$8,операции!$X:$X,"",операции!$L:$L,K$9,операции!$O:$O,$F1496)+SUMIFS(операции!$V:$V,операции!$T:$T,"&lt;"&amp;I$8,операции!$X:$X,"&gt;="&amp;I$8,операции!$L:$L,K$9,операции!$O:$O,$F1496)</f>
        <v>97111.849999999991</v>
      </c>
      <c r="L1496" s="314">
        <f>SUMIFS(операции!$V:$V,операции!$T:$T,"&lt;"&amp;I$8,операции!$X:$X,"",операции!$L:$L,L$9,операции!$O:$O,$F1496)+SUMIFS(операции!$V:$V,операции!$T:$T,"&lt;"&amp;I$8,операции!$X:$X,"&gt;="&amp;I$8,операции!$L:$L,L$9,операции!$O:$O,$F1496)</f>
        <v>0</v>
      </c>
      <c r="M1496" s="273"/>
      <c r="N1496" s="152">
        <f>SUMIFS(операции!$V:$V,операции!$T:$T,"&lt;"&amp;N$8,операции!$X:$X,"",операции!$O:$O,$F1496)+SUMIFS(операции!$V:$V,операции!$T:$T,"&lt;"&amp;N$8,операции!$X:$X,"&gt;="&amp;N$8,операции!$O:$O,$F1496)</f>
        <v>97111.849999999991</v>
      </c>
      <c r="O1496" s="170">
        <f>N1496-N1501-N1507</f>
        <v>0</v>
      </c>
      <c r="P1496" s="152">
        <f>SUMIFS(операции!$V:$V,операции!$T:$T,"&lt;"&amp;N$8,операции!$X:$X,"",операции!$L:$L,P$9,операции!$O:$O,$F1496)+SUMIFS(операции!$V:$V,операции!$T:$T,"&lt;"&amp;N$8,операции!$X:$X,"&gt;="&amp;N$8,операции!$L:$L,P$9,операции!$O:$O,$F1496)</f>
        <v>97111.849999999991</v>
      </c>
      <c r="Q1496" s="235">
        <f>SUMIFS(операции!$V:$V,операции!$T:$T,"&lt;"&amp;N$8,операции!$X:$X,"",операции!$L:$L,Q$9,операции!$O:$O,$F1496)+SUMIFS(операции!$V:$V,операции!$T:$T,"&lt;"&amp;N$8,операции!$X:$X,"&gt;="&amp;N$8,операции!$L:$L,Q$9,операции!$O:$O,$F1496)</f>
        <v>0</v>
      </c>
      <c r="R1496" s="236"/>
      <c r="S1496" s="152">
        <f>SUMIFS(операции!$V:$V,операции!$T:$T,"&lt;"&amp;S$8,операции!$X:$X,"",операции!$O:$O,$F1496)+SUMIFS(операции!$V:$V,операции!$T:$T,"&lt;"&amp;S$8,операции!$X:$X,"&gt;="&amp;S$8,операции!$O:$O,$F1496)</f>
        <v>116265.05999999997</v>
      </c>
      <c r="T1496" s="170">
        <f>S1496-S1501-S1507</f>
        <v>0</v>
      </c>
      <c r="U1496" s="152">
        <f>SUMIFS(операции!$V:$V,операции!$T:$T,"&lt;"&amp;S$8,операции!$X:$X,"",операции!$L:$L,U$9,операции!$O:$O,$F1496)+SUMIFS(операции!$V:$V,операции!$T:$T,"&lt;"&amp;S$8,операции!$X:$X,"&gt;="&amp;S$8,операции!$L:$L,U$9,операции!$O:$O,$F1496)</f>
        <v>106680.82999999999</v>
      </c>
      <c r="V1496" s="235">
        <f>SUMIFS(операции!$V:$V,операции!$T:$T,"&lt;"&amp;S$8,операции!$X:$X,"",операции!$L:$L,V$9,операции!$O:$O,$F1496)+SUMIFS(операции!$V:$V,операции!$T:$T,"&lt;"&amp;S$8,операции!$X:$X,"&gt;="&amp;S$8,операции!$L:$L,V$9,операции!$O:$O,$F1496)</f>
        <v>9584.23</v>
      </c>
      <c r="W1496" s="236"/>
      <c r="X1496" s="152">
        <f>SUMIFS(операции!$V:$V,операции!$T:$T,"&lt;"&amp;X$8,операции!$X:$X,"",операции!$O:$O,$F1496)+SUMIFS(операции!$V:$V,операции!$T:$T,"&lt;"&amp;X$8,операции!$X:$X,"&gt;="&amp;X$8,операции!$O:$O,$F1496)</f>
        <v>117154.9</v>
      </c>
      <c r="Y1496" s="170">
        <f>X1496-X1501-X1507</f>
        <v>0</v>
      </c>
      <c r="Z1496" s="152">
        <f>SUMIFS(операции!$V:$V,операции!$T:$T,"&lt;"&amp;X$8,операции!$X:$X,"",операции!$L:$L,Z$9,операции!$O:$O,$F1496)+SUMIFS(операции!$V:$V,операции!$T:$T,"&lt;"&amp;X$8,операции!$X:$X,"&gt;="&amp;X$8,операции!$L:$L,Z$9,операции!$O:$O,$F1496)</f>
        <v>82922.89999999998</v>
      </c>
      <c r="AA1496" s="235">
        <f>SUMIFS(операции!$V:$V,операции!$T:$T,"&lt;"&amp;X$8,операции!$X:$X,"",операции!$L:$L,AA$9,операции!$O:$O,$F1496)+SUMIFS(операции!$V:$V,операции!$T:$T,"&lt;"&amp;X$8,операции!$X:$X,"&gt;="&amp;X$8,операции!$L:$L,AA$9,операции!$O:$O,$F1496)</f>
        <v>34232</v>
      </c>
      <c r="AB1496" s="264"/>
      <c r="AC1496" s="92"/>
      <c r="AD1496" s="92"/>
      <c r="AE1496" s="92"/>
      <c r="AF1496" s="92"/>
      <c r="AG1496" s="92"/>
      <c r="AH1496" s="92"/>
      <c r="AI1496" s="92"/>
      <c r="AJ1496" s="92"/>
      <c r="AK1496" s="92"/>
      <c r="AL1496" s="92"/>
      <c r="AM1496" s="92"/>
      <c r="AN1496" s="92"/>
      <c r="AO1496" s="92"/>
      <c r="AP1496" s="92"/>
    </row>
    <row r="1497" spans="1:42" s="192" customFormat="1" ht="11.25">
      <c r="A1497" s="37"/>
      <c r="B1497" s="37"/>
      <c r="C1497" s="37"/>
      <c r="D1497" s="191" t="s">
        <v>255</v>
      </c>
      <c r="E1497" s="191"/>
      <c r="F1497" s="191" t="str">
        <f>F1496</f>
        <v>Позитив</v>
      </c>
      <c r="G1497" s="191" t="s">
        <v>262</v>
      </c>
      <c r="H1497" s="315"/>
      <c r="I1497" s="316">
        <f>IF(I1496=0,0,(SUMIFS(операции!$AF:$AF,операции!$T:$T,"&lt;"&amp;I$8,операции!$X:$X,"",операции!$O:$O,$F1496)+SUMIFS(операции!$AF:$AF,операции!$T:$T,"&lt;"&amp;I$8,операции!$X:$X,"&gt;="&amp;I$8,операции!$O:$O,$F1496))/I1496)</f>
        <v>42160.284809114441</v>
      </c>
      <c r="J1497" s="317"/>
      <c r="K1497" s="316">
        <f>IF(K1496=0,0,(SUMIFS(операции!$AF:$AF,операции!$T:$T,"&lt;"&amp;I$8,операции!$X:$X,"",операции!$L:$L,K$9,операции!$O:$O,$F1496)+SUMIFS(операции!$AF:$AF,операции!$T:$T,"&lt;"&amp;I$8,операции!$X:$X,"&gt;="&amp;I$8,операции!$L:$L,K$9,операции!$O:$O,$F1496))/K1496)</f>
        <v>42160.284809114441</v>
      </c>
      <c r="L1497" s="318">
        <f>IF(L1496=0,0,(SUMIFS(операции!$AF:$AF,операции!$T:$T,"&lt;"&amp;I$8,операции!$X:$X,"",операции!$L:$L,L$9,операции!$O:$O,$F1496)+SUMIFS(операции!$AF:$AF,операции!$T:$T,"&lt;"&amp;I$8,операции!$X:$X,"&gt;="&amp;I$8,операции!$L:$L,L$9,операции!$O:$O,$F1496))/L1496)</f>
        <v>0</v>
      </c>
      <c r="M1497" s="274"/>
      <c r="N1497" s="193">
        <f>IF(N1496=0,0,(SUMIFS(операции!$AF:$AF,операции!$T:$T,"&lt;"&amp;N$8,операции!$X:$X,"",операции!$O:$O,$F1496)+SUMIFS(операции!$AF:$AF,операции!$T:$T,"&lt;"&amp;N$8,операции!$X:$X,"&gt;="&amp;N$8,операции!$O:$O,$F1496))/N1496)</f>
        <v>42160.284809114441</v>
      </c>
      <c r="O1497" s="196"/>
      <c r="P1497" s="193">
        <f>IF(P1496=0,0,(SUMIFS(операции!$AF:$AF,операции!$T:$T,"&lt;"&amp;N$8,операции!$X:$X,"",операции!$L:$L,P$9,операции!$O:$O,$F1496)+SUMIFS(операции!$AF:$AF,операции!$T:$T,"&lt;"&amp;N$8,операции!$X:$X,"&gt;="&amp;N$8,операции!$L:$L,P$9,операции!$O:$O,$F1496))/P1496)</f>
        <v>42160.284809114441</v>
      </c>
      <c r="Q1497" s="237">
        <f>IF(Q1496=0,0,(SUMIFS(операции!$AF:$AF,операции!$T:$T,"&lt;"&amp;N$8,операции!$X:$X,"",операции!$L:$L,Q$9,операции!$O:$O,$F1496)+SUMIFS(операции!$AF:$AF,операции!$T:$T,"&lt;"&amp;N$8,операции!$X:$X,"&gt;="&amp;N$8,операции!$L:$L,Q$9,операции!$O:$O,$F1496))/Q1496)</f>
        <v>0</v>
      </c>
      <c r="R1497" s="238"/>
      <c r="S1497" s="193">
        <f>IF(S1496=0,0,(SUMIFS(операции!$AF:$AF,операции!$T:$T,"&lt;"&amp;S$8,операции!$X:$X,"",операции!$O:$O,$F1496)+SUMIFS(операции!$AF:$AF,операции!$T:$T,"&lt;"&amp;S$8,операции!$X:$X,"&gt;="&amp;S$8,операции!$O:$O,$F1496))/S1496)</f>
        <v>42200.727324959029</v>
      </c>
      <c r="T1497" s="196"/>
      <c r="U1497" s="193">
        <f>IF(U1496=0,0,(SUMIFS(операции!$AF:$AF,операции!$T:$T,"&lt;"&amp;S$8,операции!$X:$X,"",операции!$L:$L,U$9,операции!$O:$O,$F1496)+SUMIFS(операции!$AF:$AF,операции!$T:$T,"&lt;"&amp;S$8,операции!$X:$X,"&gt;="&amp;S$8,операции!$L:$L,U$9,операции!$O:$O,$F1496))/U1496)</f>
        <v>42191.42882437267</v>
      </c>
      <c r="V1497" s="237">
        <f>IF(V1496=0,0,(SUMIFS(операции!$AF:$AF,операции!$T:$T,"&lt;"&amp;S$8,операции!$X:$X,"",операции!$L:$L,V$9,операции!$O:$O,$F1496)+SUMIFS(операции!$AF:$AF,операции!$T:$T,"&lt;"&amp;S$8,операции!$X:$X,"&gt;="&amp;S$8,операции!$L:$L,V$9,операции!$O:$O,$F1496))/V1496)</f>
        <v>42304.227737648202</v>
      </c>
      <c r="W1497" s="238"/>
      <c r="X1497" s="193">
        <f>IF(X1496=0,0,(SUMIFS(операции!$AF:$AF,операции!$T:$T,"&lt;"&amp;X$8,операции!$X:$X,"",операции!$O:$O,$F1496)+SUMIFS(операции!$AF:$AF,операции!$T:$T,"&lt;"&amp;X$8,операции!$X:$X,"&gt;="&amp;X$8,операции!$O:$O,$F1496))/X1496)</f>
        <v>42231.80209978413</v>
      </c>
      <c r="Y1497" s="196"/>
      <c r="Z1497" s="193">
        <f>IF(Z1496=0,0,(SUMIFS(операции!$AF:$AF,операции!$T:$T,"&lt;"&amp;X$8,операции!$X:$X,"",операции!$L:$L,Z$9,операции!$O:$O,$F1496)+SUMIFS(операции!$AF:$AF,операции!$T:$T,"&lt;"&amp;X$8,операции!$X:$X,"&gt;="&amp;X$8,операции!$L:$L,Z$9,операции!$O:$O,$F1496))/Z1496)</f>
        <v>42189.16371496897</v>
      </c>
      <c r="AA1497" s="237">
        <f>IF(AA1496=0,0,(SUMIFS(операции!$AF:$AF,операции!$T:$T,"&lt;"&amp;X$8,операции!$X:$X,"",операции!$L:$L,AA$9,операции!$O:$O,$F1496)+SUMIFS(операции!$AF:$AF,операции!$T:$T,"&lt;"&amp;X$8,операции!$X:$X,"&gt;="&amp;X$8,операции!$L:$L,AA$9,операции!$O:$O,$F1496))/AA1496)</f>
        <v>42335.08845524655</v>
      </c>
      <c r="AB1497" s="265"/>
      <c r="AC1497" s="37"/>
      <c r="AD1497" s="37"/>
      <c r="AE1497" s="37"/>
      <c r="AF1497" s="37"/>
      <c r="AG1497" s="37"/>
      <c r="AH1497" s="37"/>
      <c r="AI1497" s="37"/>
      <c r="AJ1497" s="37"/>
      <c r="AK1497" s="37"/>
      <c r="AL1497" s="37"/>
      <c r="AM1497" s="37"/>
      <c r="AN1497" s="37"/>
      <c r="AO1497" s="37"/>
      <c r="AP1497" s="37"/>
    </row>
    <row r="1498" spans="1:42" s="50" customFormat="1" ht="11.25">
      <c r="A1498" s="48"/>
      <c r="B1498" s="48"/>
      <c r="C1498" s="48"/>
      <c r="D1498" s="154" t="s">
        <v>257</v>
      </c>
      <c r="E1498" s="154"/>
      <c r="F1498" s="154" t="str">
        <f t="shared" ref="F1498:F1564" si="2656">F1497</f>
        <v>Позитив</v>
      </c>
      <c r="G1498" s="154" t="s">
        <v>219</v>
      </c>
      <c r="H1498" s="319"/>
      <c r="I1498" s="320">
        <f>IF(I1496=0,0,I$8-I1497)</f>
        <v>117.71519088555942</v>
      </c>
      <c r="J1498" s="321">
        <f>I1498-IF(I1496=0,0,(I1501*I1503+I1507*I1509)/I1496)</f>
        <v>-5.3574922276311554E-12</v>
      </c>
      <c r="K1498" s="320">
        <f>IF(K1496=0,0,I$8-K1497)</f>
        <v>117.71519088555942</v>
      </c>
      <c r="L1498" s="322">
        <f>IF(L1496=0,0,I$8-L1497)</f>
        <v>0</v>
      </c>
      <c r="M1498" s="275"/>
      <c r="N1498" s="155">
        <f>IF(N1496=0,0,N$8-N1497)</f>
        <v>117.71519088555942</v>
      </c>
      <c r="O1498" s="173">
        <f>N1498-IF(N1496=0,0,(N1501*N1503+N1507*N1509)/N1496)</f>
        <v>-5.3574922276311554E-12</v>
      </c>
      <c r="P1498" s="155">
        <f>IF(P1496=0,0,N$8-P1497)</f>
        <v>117.71519088555942</v>
      </c>
      <c r="Q1498" s="239">
        <f>IF(Q1496=0,0,N$8-Q1497)</f>
        <v>0</v>
      </c>
      <c r="R1498" s="240"/>
      <c r="S1498" s="155">
        <f>IF(S1496=0,0,S$8-S1497)</f>
        <v>108.27267504097108</v>
      </c>
      <c r="T1498" s="173">
        <f>S1498-IF(S1496=0,0,(S1501*S1503+S1507*S1509)/S1496)</f>
        <v>-4.0927261579781771E-12</v>
      </c>
      <c r="U1498" s="155">
        <f>IF(U1496=0,0,S$8-U1497)</f>
        <v>117.57117562733038</v>
      </c>
      <c r="V1498" s="239">
        <f>IF(V1496=0,0,S$8-V1497)</f>
        <v>4.7722623517984175</v>
      </c>
      <c r="W1498" s="240"/>
      <c r="X1498" s="155">
        <f>IF(X1496=0,0,X$8-X1497)</f>
        <v>107.19790021586959</v>
      </c>
      <c r="Y1498" s="173">
        <f>X1498-IF(X1496=0,0,(X1501*X1503+X1507*X1509)/X1496)</f>
        <v>4.1069370126933791E-12</v>
      </c>
      <c r="Z1498" s="155">
        <f>IF(Z1496=0,0,X$8-Z1497)</f>
        <v>149.83628503102955</v>
      </c>
      <c r="AA1498" s="239">
        <f>IF(AA1496=0,0,X$8-AA1497)</f>
        <v>3.9115447534495615</v>
      </c>
      <c r="AB1498" s="230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</row>
    <row r="1499" spans="1:42" s="93" customFormat="1" ht="15">
      <c r="A1499" s="92"/>
      <c r="B1499" s="92"/>
      <c r="C1499" s="92"/>
      <c r="D1499" s="198" t="s">
        <v>267</v>
      </c>
      <c r="E1499" s="198"/>
      <c r="F1499" s="198" t="str">
        <f t="shared" si="2656"/>
        <v>Позитив</v>
      </c>
      <c r="G1499" s="198" t="s">
        <v>219</v>
      </c>
      <c r="H1499" s="323"/>
      <c r="I1499" s="324">
        <f>IF(I1496=0,0,(I1501*I1505+I1507*I1511)/I1496)</f>
        <v>73.507040489913408</v>
      </c>
      <c r="J1499" s="321"/>
      <c r="K1499" s="324">
        <f t="shared" ref="K1499" si="2657">IF(K1496=0,0,(K1501*K1505+K1507*K1511)/K1496)</f>
        <v>73.507040489913408</v>
      </c>
      <c r="L1499" s="325">
        <f>IF(L1496=0,0,(L1501*L1505+L1507*L1511)/L1496)</f>
        <v>0</v>
      </c>
      <c r="M1499" s="276"/>
      <c r="N1499" s="199">
        <f>IF(N1496=0,0,(N1501*N1505+N1507*N1511)/N1496)</f>
        <v>73.507040489913408</v>
      </c>
      <c r="O1499" s="173"/>
      <c r="P1499" s="199">
        <f t="shared" ref="P1499" si="2658">IF(P1496=0,0,(P1501*P1505+P1507*P1511)/P1496)</f>
        <v>73.507040489913408</v>
      </c>
      <c r="Q1499" s="241">
        <f>IF(Q1496=0,0,(Q1501*Q1505+Q1507*Q1511)/Q1496)</f>
        <v>0</v>
      </c>
      <c r="R1499" s="242"/>
      <c r="S1499" s="199">
        <f>IF(S1496=0,0,(S1501*S1505+S1507*S1511)/S1496)</f>
        <v>60.730175084411307</v>
      </c>
      <c r="T1499" s="173"/>
      <c r="U1499" s="199">
        <f t="shared" ref="U1499" si="2659">IF(U1496=0,0,(U1501*U1505+U1507*U1511)/U1496)</f>
        <v>65.757446675285223</v>
      </c>
      <c r="V1499" s="241">
        <f>IF(V1496=0,0,(V1501*V1505+V1507*V1511)/V1496)</f>
        <v>4.7722623517984175</v>
      </c>
      <c r="W1499" s="242"/>
      <c r="X1499" s="199">
        <f>IF(X1496=0,0,(X1501*X1505+X1507*X1511)/X1496)</f>
        <v>48.525193824585955</v>
      </c>
      <c r="Y1499" s="173"/>
      <c r="Z1499" s="199">
        <f t="shared" ref="Z1499" si="2660">IF(Z1496=0,0,(Z1501*Z1505+Z1507*Z1511)/Z1496)</f>
        <v>66.942475842018041</v>
      </c>
      <c r="AA1499" s="241">
        <f>IF(AA1496=0,0,(AA1501*AA1505+AA1507*AA1511)/AA1496)</f>
        <v>3.9115447534495615</v>
      </c>
      <c r="AB1499" s="264"/>
      <c r="AC1499" s="92"/>
      <c r="AD1499" s="92"/>
      <c r="AE1499" s="92"/>
      <c r="AF1499" s="92"/>
      <c r="AG1499" s="92"/>
      <c r="AH1499" s="92"/>
      <c r="AI1499" s="92"/>
      <c r="AJ1499" s="92"/>
      <c r="AK1499" s="92"/>
      <c r="AL1499" s="92"/>
      <c r="AM1499" s="92"/>
      <c r="AN1499" s="92"/>
      <c r="AO1499" s="92"/>
      <c r="AP1499" s="92"/>
    </row>
    <row r="1500" spans="1:42" s="50" customFormat="1" ht="11.25">
      <c r="A1500" s="48"/>
      <c r="B1500" s="48"/>
      <c r="C1500" s="48"/>
      <c r="D1500" s="154" t="s">
        <v>270</v>
      </c>
      <c r="E1500" s="154"/>
      <c r="F1500" s="154" t="str">
        <f t="shared" si="2656"/>
        <v>Позитив</v>
      </c>
      <c r="G1500" s="154" t="s">
        <v>219</v>
      </c>
      <c r="H1500" s="319"/>
      <c r="I1500" s="320">
        <f>I1498-I1499</f>
        <v>44.208150395646015</v>
      </c>
      <c r="J1500" s="321"/>
      <c r="K1500" s="320">
        <f t="shared" ref="K1500" si="2661">K1498-K1499</f>
        <v>44.208150395646015</v>
      </c>
      <c r="L1500" s="322">
        <f t="shared" ref="L1500" si="2662">L1498-L1499</f>
        <v>0</v>
      </c>
      <c r="M1500" s="275"/>
      <c r="N1500" s="155">
        <f>N1498-N1499</f>
        <v>44.208150395646015</v>
      </c>
      <c r="O1500" s="173"/>
      <c r="P1500" s="155">
        <f t="shared" ref="P1500" si="2663">P1498-P1499</f>
        <v>44.208150395646015</v>
      </c>
      <c r="Q1500" s="239">
        <f t="shared" ref="Q1500" si="2664">Q1498-Q1499</f>
        <v>0</v>
      </c>
      <c r="R1500" s="240"/>
      <c r="S1500" s="155">
        <f>S1498-S1499</f>
        <v>47.542499956559773</v>
      </c>
      <c r="T1500" s="173"/>
      <c r="U1500" s="155">
        <f t="shared" ref="U1500" si="2665">U1498-U1499</f>
        <v>51.813728952045153</v>
      </c>
      <c r="V1500" s="239">
        <f t="shared" ref="V1500" si="2666">V1498-V1499</f>
        <v>0</v>
      </c>
      <c r="W1500" s="240"/>
      <c r="X1500" s="155">
        <f>X1498-X1499</f>
        <v>58.67270639128364</v>
      </c>
      <c r="Y1500" s="173"/>
      <c r="Z1500" s="155">
        <f t="shared" ref="Z1500" si="2667">Z1498-Z1499</f>
        <v>82.893809189011506</v>
      </c>
      <c r="AA1500" s="239">
        <f t="shared" ref="AA1500" si="2668">AA1498-AA1499</f>
        <v>0</v>
      </c>
      <c r="AB1500" s="230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</row>
    <row r="1501" spans="1:42" s="5" customFormat="1">
      <c r="A1501" s="1"/>
      <c r="B1501" s="1"/>
      <c r="C1501" s="1"/>
      <c r="D1501" s="168"/>
      <c r="E1501" s="168" t="s">
        <v>258</v>
      </c>
      <c r="F1501" s="168" t="str">
        <f t="shared" si="2656"/>
        <v>Позитив</v>
      </c>
      <c r="G1501" s="168" t="s">
        <v>261</v>
      </c>
      <c r="H1501" s="326"/>
      <c r="I1501" s="327">
        <f>SUMIFS(операции!$V:$V,операции!$T:$T,"&lt;"&amp;I$8,операции!$X:$X,"",операции!$AB:$AB,"&lt;&gt;"&amp;"",операции!$AB:$AB,"&lt;"&amp;I$8,операции!$O:$O,$F1496)+SUMIFS(операции!$V:$V,операции!$T:$T,"&lt;"&amp;I$8,операции!$X:$X,"&gt;="&amp;I$8,операции!$AB:$AB,"&lt;&gt;"&amp;"",операции!$AB:$AB,"&lt;"&amp;I$8,операции!$O:$O,$F1496)</f>
        <v>46935.57</v>
      </c>
      <c r="J1501" s="313">
        <f>I1501-K1501-L1501</f>
        <v>0</v>
      </c>
      <c r="K1501" s="327">
        <f>SUMIFS(операции!$V:$V,операции!$T:$T,"&lt;"&amp;I$8,операции!$X:$X,"",операции!$AB:$AB,"&lt;&gt;"&amp;"",операции!$AB:$AB,"&lt;"&amp;I$8,операции!$L:$L,K$9,операции!$O:$O,$F1496)+SUMIFS(операции!$V:$V,операции!$T:$T,"&lt;"&amp;I$8,операции!$X:$X,"&gt;="&amp;I$8,операции!$AB:$AB,"&lt;&gt;"&amp;"",операции!$AB:$AB,"&lt;"&amp;I$8,операции!$L:$L,K$9,операции!$O:$O,$F1496)</f>
        <v>46935.57</v>
      </c>
      <c r="L1501" s="328">
        <f>SUMIFS(операции!$V:$V,операции!$T:$T,"&lt;"&amp;I$8,операции!$X:$X,"",операции!$AB:$AB,"&lt;&gt;"&amp;"",операции!$AB:$AB,"&lt;"&amp;I$8,операции!$L:$L,L$9,операции!$O:$O,$F1496)+SUMIFS(операции!$V:$V,операции!$T:$T,"&lt;"&amp;I$8,операции!$X:$X,"&gt;="&amp;I$8,операции!$AB:$AB,"&lt;&gt;"&amp;"",операции!$AB:$AB,"&lt;"&amp;I$8,операции!$L:$L,L$9,операции!$O:$O,$F1496)</f>
        <v>0</v>
      </c>
      <c r="M1501" s="277"/>
      <c r="N1501" s="169">
        <f>SUMIFS(операции!$V:$V,операции!$T:$T,"&lt;"&amp;N$8,операции!$X:$X,"",операции!$AB:$AB,"&lt;&gt;"&amp;"",операции!$AB:$AB,"&lt;"&amp;N$8,операции!$O:$O,$F1496)+SUMIFS(операции!$V:$V,операции!$T:$T,"&lt;"&amp;N$8,операции!$X:$X,"&gt;="&amp;N$8,операции!$AB:$AB,"&lt;&gt;"&amp;"",операции!$AB:$AB,"&lt;"&amp;N$8,операции!$O:$O,$F1496)</f>
        <v>46935.57</v>
      </c>
      <c r="O1501" s="170">
        <f>N1501-P1501-Q1501</f>
        <v>0</v>
      </c>
      <c r="P1501" s="169">
        <f>SUMIFS(операции!$V:$V,операции!$T:$T,"&lt;"&amp;N$8,операции!$X:$X,"",операции!$AB:$AB,"&lt;&gt;"&amp;"",операции!$AB:$AB,"&lt;"&amp;N$8,операции!$L:$L,P$9,операции!$O:$O,$F1496)+SUMIFS(операции!$V:$V,операции!$T:$T,"&lt;"&amp;N$8,операции!$X:$X,"&gt;="&amp;N$8,операции!$AB:$AB,"&lt;&gt;"&amp;"",операции!$AB:$AB,"&lt;"&amp;N$8,операции!$L:$L,P$9,операции!$O:$O,$F1496)</f>
        <v>46935.57</v>
      </c>
      <c r="Q1501" s="243">
        <f>SUMIFS(операции!$V:$V,операции!$T:$T,"&lt;"&amp;N$8,операции!$X:$X,"",операции!$AB:$AB,"&lt;&gt;"&amp;"",операции!$AB:$AB,"&lt;"&amp;N$8,операции!$L:$L,Q$9,операции!$O:$O,$F1496)+SUMIFS(операции!$V:$V,операции!$T:$T,"&lt;"&amp;N$8,операции!$X:$X,"&gt;="&amp;N$8,операции!$AB:$AB,"&lt;&gt;"&amp;"",операции!$AB:$AB,"&lt;"&amp;N$8,операции!$L:$L,Q$9,операции!$O:$O,$F1496)</f>
        <v>0</v>
      </c>
      <c r="R1501" s="244"/>
      <c r="S1501" s="169">
        <f>SUMIFS(операции!$V:$V,операции!$T:$T,"&lt;"&amp;S$8,операции!$X:$X,"",операции!$AB:$AB,"&lt;&gt;"&amp;"",операции!$AB:$AB,"&lt;"&amp;S$8,операции!$O:$O,$F1496)+SUMIFS(операции!$V:$V,операции!$T:$T,"&lt;"&amp;S$8,операции!$X:$X,"&gt;="&amp;S$8,операции!$AB:$AB,"&lt;&gt;"&amp;"",операции!$AB:$AB,"&lt;"&amp;S$8,операции!$O:$O,$F1496)</f>
        <v>59889.329999999994</v>
      </c>
      <c r="T1501" s="170">
        <f>S1501-U1501-V1501</f>
        <v>0</v>
      </c>
      <c r="U1501" s="169">
        <f>SUMIFS(операции!$V:$V,операции!$T:$T,"&lt;"&amp;S$8,операции!$X:$X,"",операции!$AB:$AB,"&lt;&gt;"&amp;"",операции!$AB:$AB,"&lt;"&amp;S$8,операции!$L:$L,U$9,операции!$O:$O,$F1496)+SUMIFS(операции!$V:$V,операции!$T:$T,"&lt;"&amp;S$8,операции!$X:$X,"&gt;="&amp;S$8,операции!$AB:$AB,"&lt;&gt;"&amp;"",операции!$AB:$AB,"&lt;"&amp;S$8,операции!$L:$L,U$9,операции!$O:$O,$F1496)</f>
        <v>59889.329999999994</v>
      </c>
      <c r="V1501" s="243">
        <f>SUMIFS(операции!$V:$V,операции!$T:$T,"&lt;"&amp;S$8,операции!$X:$X,"",операции!$AB:$AB,"&lt;&gt;"&amp;"",операции!$AB:$AB,"&lt;"&amp;S$8,операции!$L:$L,V$9,операции!$O:$O,$F1496)+SUMIFS(операции!$V:$V,операции!$T:$T,"&lt;"&amp;S$8,операции!$X:$X,"&gt;="&amp;S$8,операции!$AB:$AB,"&lt;&gt;"&amp;"",операции!$AB:$AB,"&lt;"&amp;S$8,операции!$L:$L,V$9,операции!$O:$O,$F1496)</f>
        <v>0</v>
      </c>
      <c r="W1501" s="244"/>
      <c r="X1501" s="169">
        <f>SUMIFS(операции!$V:$V,операции!$T:$T,"&lt;"&amp;X$8,операции!$X:$X,"",операции!$AB:$AB,"&lt;&gt;"&amp;"",операции!$AB:$AB,"&lt;"&amp;X$8,операции!$O:$O,$F1496)+SUMIFS(операции!$V:$V,операции!$T:$T,"&lt;"&amp;X$8,операции!$X:$X,"&gt;="&amp;X$8,операции!$AB:$AB,"&lt;&gt;"&amp;"",операции!$AB:$AB,"&lt;"&amp;X$8,операции!$O:$O,$F1496)</f>
        <v>64649.51999999999</v>
      </c>
      <c r="Y1501" s="170">
        <f>X1501-Z1501-AA1501</f>
        <v>0</v>
      </c>
      <c r="Z1501" s="169">
        <f>SUMIFS(операции!$V:$V,операции!$T:$T,"&lt;"&amp;X$8,операции!$X:$X,"",операции!$AB:$AB,"&lt;&gt;"&amp;"",операции!$AB:$AB,"&lt;"&amp;X$8,операции!$L:$L,Z$9,операции!$O:$O,$F1496)+SUMIFS(операции!$V:$V,операции!$T:$T,"&lt;"&amp;X$8,операции!$X:$X,"&gt;="&amp;X$8,операции!$AB:$AB,"&lt;&gt;"&amp;"",операции!$AB:$AB,"&lt;"&amp;X$8,операции!$L:$L,Z$9,операции!$O:$O,$F1496)</f>
        <v>64649.51999999999</v>
      </c>
      <c r="AA1501" s="243">
        <f>SUMIFS(операции!$V:$V,операции!$T:$T,"&lt;"&amp;X$8,операции!$X:$X,"",операции!$AB:$AB,"&lt;&gt;"&amp;"",операции!$AB:$AB,"&lt;"&amp;X$8,операции!$L:$L,AA$9,операции!$O:$O,$F1496)+SUMIFS(операции!$V:$V,операции!$T:$T,"&lt;"&amp;X$8,операции!$X:$X,"&gt;="&amp;X$8,операции!$AB:$AB,"&lt;&gt;"&amp;"",операции!$AB:$AB,"&lt;"&amp;X$8,операции!$L:$L,AA$9,операции!$O:$O,$F1496)</f>
        <v>0</v>
      </c>
      <c r="AB1501" s="266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</row>
    <row r="1502" spans="1:42" s="192" customFormat="1" ht="11.25">
      <c r="A1502" s="37"/>
      <c r="B1502" s="37"/>
      <c r="C1502" s="37"/>
      <c r="D1502" s="191"/>
      <c r="E1502" s="191" t="s">
        <v>255</v>
      </c>
      <c r="F1502" s="191" t="str">
        <f t="shared" si="2656"/>
        <v>Позитив</v>
      </c>
      <c r="G1502" s="191" t="s">
        <v>262</v>
      </c>
      <c r="H1502" s="315"/>
      <c r="I1502" s="316">
        <f>IF(I1501=0,0,(SUMIFS(операции!$AF:$AF,операции!$T:$T,"&lt;"&amp;I$8,операции!$X:$X,"",операции!$AB:$AB,"&lt;&gt;"&amp;"",операции!$AB:$AB,"&lt;"&amp;I$8,операции!$O:$O,$F1496)+SUMIFS(операции!$AF:$AF,операции!$T:$T,"&lt;"&amp;I$8,операции!$X:$X,"&gt;="&amp;I$8,операции!$AB:$AB,"&lt;&gt;"&amp;"",операции!$AB:$AB,"&lt;"&amp;I$8,операции!$O:$O,$F1496))/I1501)</f>
        <v>42156.744732193511</v>
      </c>
      <c r="J1502" s="317"/>
      <c r="K1502" s="316">
        <f>IF(K1501=0,0,(SUMIFS(операции!$AF:$AF,операции!$T:$T,"&lt;"&amp;I$8,операции!$X:$X,"",операции!$AB:$AB,"&lt;&gt;"&amp;"",операции!$AB:$AB,"&lt;"&amp;I$8,операции!$L:$L,K$9,операции!$O:$O,$F1496)+SUMIFS(операции!$AF:$AF,операции!$T:$T,"&lt;"&amp;I$8,операции!$X:$X,"&gt;="&amp;I$8,операции!$AB:$AB,"&lt;&gt;"&amp;"",операции!$AB:$AB,"&lt;"&amp;I$8,операции!$L:$L,K$9,операции!$O:$O,$F1496))/K1501)</f>
        <v>42156.744732193511</v>
      </c>
      <c r="L1502" s="318">
        <f>IF(L1501=0,0,(SUMIFS(операции!$AF:$AF,операции!$T:$T,"&lt;"&amp;I$8,операции!$X:$X,"",операции!$AB:$AB,"&lt;&gt;"&amp;"",операции!$AB:$AB,"&lt;"&amp;I$8,операции!$L:$L,L$9,операции!$O:$O,$F1496)+SUMIFS(операции!$AF:$AF,операции!$T:$T,"&lt;"&amp;I$8,операции!$X:$X,"&gt;="&amp;I$8,операции!$AB:$AB,"&lt;&gt;"&amp;"",операции!$AB:$AB,"&lt;"&amp;I$8,операции!$L:$L,L$9,операции!$O:$O,$F1496))/L1501)</f>
        <v>0</v>
      </c>
      <c r="M1502" s="274"/>
      <c r="N1502" s="193">
        <f>IF(N1501=0,0,(SUMIFS(операции!$AF:$AF,операции!$T:$T,"&lt;"&amp;N$8,операции!$X:$X,"",операции!$AB:$AB,"&lt;&gt;"&amp;"",операции!$AB:$AB,"&lt;"&amp;N$8,операции!$O:$O,$F1496)+SUMIFS(операции!$AF:$AF,операции!$T:$T,"&lt;"&amp;N$8,операции!$X:$X,"&gt;="&amp;N$8,операции!$AB:$AB,"&lt;&gt;"&amp;"",операции!$AB:$AB,"&lt;"&amp;N$8,операции!$O:$O,$F1496))/N1501)</f>
        <v>42156.744732193511</v>
      </c>
      <c r="O1502" s="196"/>
      <c r="P1502" s="193">
        <f>IF(P1501=0,0,(SUMIFS(операции!$AF:$AF,операции!$T:$T,"&lt;"&amp;N$8,операции!$X:$X,"",операции!$AB:$AB,"&lt;&gt;"&amp;"",операции!$AB:$AB,"&lt;"&amp;N$8,операции!$L:$L,P$9,операции!$O:$O,$F1496)+SUMIFS(операции!$AF:$AF,операции!$T:$T,"&lt;"&amp;N$8,операции!$X:$X,"&gt;="&amp;N$8,операции!$AB:$AB,"&lt;&gt;"&amp;"",операции!$AB:$AB,"&lt;"&amp;N$8,операции!$L:$L,P$9,операции!$O:$O,$F1496))/P1501)</f>
        <v>42156.744732193511</v>
      </c>
      <c r="Q1502" s="237">
        <f>IF(Q1501=0,0,(SUMIFS(операции!$AF:$AF,операции!$T:$T,"&lt;"&amp;N$8,операции!$X:$X,"",операции!$AB:$AB,"&lt;&gt;"&amp;"",операции!$AB:$AB,"&lt;"&amp;N$8,операции!$L:$L,Q$9,операции!$O:$O,$F1496)+SUMIFS(операции!$AF:$AF,операции!$T:$T,"&lt;"&amp;N$8,операции!$X:$X,"&gt;="&amp;N$8,операции!$AB:$AB,"&lt;&gt;"&amp;"",операции!$AB:$AB,"&lt;"&amp;N$8,операции!$L:$L,Q$9,операции!$O:$O,$F1496))/Q1501)</f>
        <v>0</v>
      </c>
      <c r="R1502" s="238"/>
      <c r="S1502" s="193">
        <f>IF(S1501=0,0,(SUMIFS(операции!$AF:$AF,операции!$T:$T,"&lt;"&amp;S$8,операции!$X:$X,"",операции!$AB:$AB,"&lt;&gt;"&amp;"",операции!$AB:$AB,"&lt;"&amp;S$8,операции!$O:$O,$F1496)+SUMIFS(операции!$AF:$AF,операции!$T:$T,"&lt;"&amp;S$8,операции!$X:$X,"&gt;="&amp;S$8,операции!$AB:$AB,"&lt;&gt;"&amp;"",операции!$AB:$AB,"&lt;"&amp;S$8,операции!$O:$O,$F1496))/S1501)</f>
        <v>42191.191511075514</v>
      </c>
      <c r="T1502" s="196"/>
      <c r="U1502" s="193">
        <f>IF(U1501=0,0,(SUMIFS(операции!$AF:$AF,операции!$T:$T,"&lt;"&amp;S$8,операции!$X:$X,"",операции!$AB:$AB,"&lt;&gt;"&amp;"",операции!$AB:$AB,"&lt;"&amp;S$8,операции!$L:$L,U$9,операции!$O:$O,$F1496)+SUMIFS(операции!$AF:$AF,операции!$T:$T,"&lt;"&amp;S$8,операции!$X:$X,"&gt;="&amp;S$8,операции!$AB:$AB,"&lt;&gt;"&amp;"",операции!$AB:$AB,"&lt;"&amp;S$8,операции!$L:$L,U$9,операции!$O:$O,$F1496))/U1501)</f>
        <v>42191.191511075514</v>
      </c>
      <c r="V1502" s="237">
        <f>IF(V1501=0,0,(SUMIFS(операции!$AF:$AF,операции!$T:$T,"&lt;"&amp;S$8,операции!$X:$X,"",операции!$AB:$AB,"&lt;&gt;"&amp;"",операции!$AB:$AB,"&lt;"&amp;S$8,операции!$L:$L,V$9,операции!$O:$O,$F1496)+SUMIFS(операции!$AF:$AF,операции!$T:$T,"&lt;"&amp;S$8,операции!$X:$X,"&gt;="&amp;S$8,операции!$AB:$AB,"&lt;&gt;"&amp;"",операции!$AB:$AB,"&lt;"&amp;S$8,операции!$L:$L,V$9,операции!$O:$O,$F1496))/V1501)</f>
        <v>0</v>
      </c>
      <c r="W1502" s="238"/>
      <c r="X1502" s="193">
        <f>IF(X1501=0,0,(SUMIFS(операции!$AF:$AF,операции!$T:$T,"&lt;"&amp;X$8,операции!$X:$X,"",операции!$AB:$AB,"&lt;&gt;"&amp;"",операции!$AB:$AB,"&lt;"&amp;X$8,операции!$O:$O,$F1496)+SUMIFS(операции!$AF:$AF,операции!$T:$T,"&lt;"&amp;X$8,операции!$X:$X,"&gt;="&amp;X$8,операции!$AB:$AB,"&lt;&gt;"&amp;"",операции!$AB:$AB,"&lt;"&amp;X$8,операции!$O:$O,$F1496))/X1501)</f>
        <v>42206.621952026871</v>
      </c>
      <c r="Y1502" s="196"/>
      <c r="Z1502" s="193">
        <f>IF(Z1501=0,0,(SUMIFS(операции!$AF:$AF,операции!$T:$T,"&lt;"&amp;X$8,операции!$X:$X,"",операции!$AB:$AB,"&lt;&gt;"&amp;"",операции!$AB:$AB,"&lt;"&amp;X$8,операции!$L:$L,Z$9,операции!$O:$O,$F1496)+SUMIFS(операции!$AF:$AF,операции!$T:$T,"&lt;"&amp;X$8,операции!$X:$X,"&gt;="&amp;X$8,операции!$AB:$AB,"&lt;&gt;"&amp;"",операции!$AB:$AB,"&lt;"&amp;X$8,операции!$L:$L,Z$9,операции!$O:$O,$F1496))/Z1501)</f>
        <v>42206.621952026871</v>
      </c>
      <c r="AA1502" s="237">
        <f>IF(AA1501=0,0,(SUMIFS(операции!$AF:$AF,операции!$T:$T,"&lt;"&amp;X$8,операции!$X:$X,"",операции!$AB:$AB,"&lt;&gt;"&amp;"",операции!$AB:$AB,"&lt;"&amp;X$8,операции!$L:$L,AA$9,операции!$O:$O,$F1496)+SUMIFS(операции!$AF:$AF,операции!$T:$T,"&lt;"&amp;X$8,операции!$X:$X,"&gt;="&amp;X$8,операции!$AB:$AB,"&lt;&gt;"&amp;"",операции!$AB:$AB,"&lt;"&amp;X$8,операции!$L:$L,AA$9,операции!$O:$O,$F1496))/AA1501)</f>
        <v>0</v>
      </c>
      <c r="AB1502" s="265"/>
      <c r="AC1502" s="37"/>
      <c r="AD1502" s="37"/>
      <c r="AE1502" s="37"/>
      <c r="AF1502" s="37"/>
      <c r="AG1502" s="37"/>
      <c r="AH1502" s="37"/>
      <c r="AI1502" s="37"/>
      <c r="AJ1502" s="37"/>
      <c r="AK1502" s="37"/>
      <c r="AL1502" s="37"/>
      <c r="AM1502" s="37"/>
      <c r="AN1502" s="37"/>
      <c r="AO1502" s="37"/>
      <c r="AP1502" s="37"/>
    </row>
    <row r="1503" spans="1:42" s="192" customFormat="1" ht="11.25">
      <c r="A1503" s="37"/>
      <c r="B1503" s="37"/>
      <c r="C1503" s="37"/>
      <c r="D1503" s="191"/>
      <c r="E1503" s="191" t="s">
        <v>260</v>
      </c>
      <c r="F1503" s="191" t="str">
        <f t="shared" si="2656"/>
        <v>Позитив</v>
      </c>
      <c r="G1503" s="191" t="s">
        <v>219</v>
      </c>
      <c r="H1503" s="315"/>
      <c r="I1503" s="329">
        <f>IF(I1501=0,0,I$8-I1502)</f>
        <v>121.25526780648943</v>
      </c>
      <c r="J1503" s="317"/>
      <c r="K1503" s="329">
        <f>IF(K1501=0,0,I$8-K1502)</f>
        <v>121.25526780648943</v>
      </c>
      <c r="L1503" s="330">
        <f>IF(L1501=0,0,I$8-L1502)</f>
        <v>0</v>
      </c>
      <c r="M1503" s="274"/>
      <c r="N1503" s="156">
        <f>IF(N1501=0,0,N$8-N1502)</f>
        <v>121.25526780648943</v>
      </c>
      <c r="O1503" s="196"/>
      <c r="P1503" s="156">
        <f>IF(P1501=0,0,N$8-P1502)</f>
        <v>121.25526780648943</v>
      </c>
      <c r="Q1503" s="245">
        <f>IF(Q1501=0,0,N$8-Q1502)</f>
        <v>0</v>
      </c>
      <c r="R1503" s="238"/>
      <c r="S1503" s="156">
        <f>IF(S1501=0,0,S$8-S1502)</f>
        <v>117.80848892448557</v>
      </c>
      <c r="T1503" s="196"/>
      <c r="U1503" s="156">
        <f>IF(U1501=0,0,S$8-U1502)</f>
        <v>117.80848892448557</v>
      </c>
      <c r="V1503" s="245">
        <f>IF(V1501=0,0,S$8-V1502)</f>
        <v>0</v>
      </c>
      <c r="W1503" s="238"/>
      <c r="X1503" s="156">
        <f>IF(X1501=0,0,X$8-X1502)</f>
        <v>132.37804797312856</v>
      </c>
      <c r="Y1503" s="196"/>
      <c r="Z1503" s="156">
        <f>IF(Z1501=0,0,X$8-Z1502)</f>
        <v>132.37804797312856</v>
      </c>
      <c r="AA1503" s="245">
        <f>IF(AA1501=0,0,X$8-AA1502)</f>
        <v>0</v>
      </c>
      <c r="AB1503" s="265"/>
      <c r="AC1503" s="37"/>
      <c r="AD1503" s="37"/>
      <c r="AE1503" s="37"/>
      <c r="AF1503" s="37"/>
      <c r="AG1503" s="37"/>
      <c r="AH1503" s="37"/>
      <c r="AI1503" s="37"/>
      <c r="AJ1503" s="37"/>
      <c r="AK1503" s="37"/>
      <c r="AL1503" s="37"/>
      <c r="AM1503" s="37"/>
      <c r="AN1503" s="37"/>
      <c r="AO1503" s="37"/>
      <c r="AP1503" s="37"/>
    </row>
    <row r="1504" spans="1:42" s="192" customFormat="1" ht="11.25">
      <c r="A1504" s="37"/>
      <c r="B1504" s="37"/>
      <c r="C1504" s="37"/>
      <c r="D1504" s="191"/>
      <c r="E1504" s="191" t="s">
        <v>259</v>
      </c>
      <c r="F1504" s="191" t="str">
        <f t="shared" si="2656"/>
        <v>Позитив</v>
      </c>
      <c r="G1504" s="191" t="s">
        <v>262</v>
      </c>
      <c r="H1504" s="315"/>
      <c r="I1504" s="316">
        <f>IF(I1501=0,0,(SUMIFS(операции!$AH:$AH,операции!$T:$T,"&lt;"&amp;I$8,операции!$X:$X,"",операции!$AB:$AB,"&lt;&gt;"&amp;"",операции!$AB:$AB,"&lt;"&amp;I$8,операции!$O:$O,$F1496)+SUMIFS(операции!$AH:$AH,операции!$T:$T,"&lt;"&amp;I$8,операции!$X:$X,"&gt;="&amp;I$8,операции!$AB:$AB,"&lt;&gt;"&amp;"",операции!$AB:$AB,"&lt;"&amp;I$8,операции!$O:$O,$F1496))/I1501)</f>
        <v>42186.531306427089</v>
      </c>
      <c r="J1504" s="317"/>
      <c r="K1504" s="316">
        <f>IF(K1501=0,0,(SUMIFS(операции!$AH:$AH,операции!$T:$T,"&lt;"&amp;I$8,операции!$X:$X,"",операции!$AB:$AB,"&lt;&gt;"&amp;"",операции!$AB:$AB,"&lt;"&amp;I$8,операции!$L:$L,K$9,операции!$O:$O,$F1496)+SUMIFS(операции!$AH:$AH,операции!$T:$T,"&lt;"&amp;I$8,операции!$X:$X,"&gt;="&amp;I$8,операции!$AB:$AB,"&lt;&gt;"&amp;"",операции!$AB:$AB,"&lt;"&amp;I$8,операции!$L:$L,K$9,операции!$O:$O,$F1496))/K1501)</f>
        <v>42186.531306427089</v>
      </c>
      <c r="L1504" s="318">
        <f>IF(L1501=0,0,(SUMIFS(операции!$AH:$AH,операции!$T:$T,"&lt;"&amp;I$8,операции!$X:$X,"",операции!$AB:$AB,"&lt;&gt;"&amp;"",операции!$AB:$AB,"&lt;"&amp;I$8,операции!$L:$L,L$9,операции!$O:$O,$F1496)+SUMIFS(операции!$AH:$AH,операции!$T:$T,"&lt;"&amp;I$8,операции!$X:$X,"&gt;="&amp;I$8,операции!$AB:$AB,"&lt;&gt;"&amp;"",операции!$AB:$AB,"&lt;"&amp;I$8,операции!$L:$L,L$9,операции!$O:$O,$F1496))/L1501)</f>
        <v>0</v>
      </c>
      <c r="M1504" s="274"/>
      <c r="N1504" s="193">
        <f>IF(N1501=0,0,(SUMIFS(операции!$AH:$AH,операции!$T:$T,"&lt;"&amp;N$8,операции!$X:$X,"",операции!$AB:$AB,"&lt;&gt;"&amp;"",операции!$AB:$AB,"&lt;"&amp;N$8,операции!$O:$O,$F1496)+SUMIFS(операции!$AH:$AH,операции!$T:$T,"&lt;"&amp;N$8,операции!$X:$X,"&gt;="&amp;N$8,операции!$AB:$AB,"&lt;&gt;"&amp;"",операции!$AB:$AB,"&lt;"&amp;N$8,операции!$O:$O,$F1496))/N1501)</f>
        <v>42186.531306427089</v>
      </c>
      <c r="O1504" s="196"/>
      <c r="P1504" s="193">
        <f>IF(P1501=0,0,(SUMIFS(операции!$AH:$AH,операции!$T:$T,"&lt;"&amp;N$8,операции!$X:$X,"",операции!$AB:$AB,"&lt;&gt;"&amp;"",операции!$AB:$AB,"&lt;"&amp;N$8,операции!$L:$L,P$9,операции!$O:$O,$F1496)+SUMIFS(операции!$AH:$AH,операции!$T:$T,"&lt;"&amp;N$8,операции!$X:$X,"&gt;="&amp;N$8,операции!$AB:$AB,"&lt;&gt;"&amp;"",операции!$AB:$AB,"&lt;"&amp;N$8,операции!$L:$L,P$9,операции!$O:$O,$F1496))/P1501)</f>
        <v>42186.531306427089</v>
      </c>
      <c r="Q1504" s="237">
        <f>IF(Q1501=0,0,(SUMIFS(операции!$AH:$AH,операции!$T:$T,"&lt;"&amp;N$8,операции!$X:$X,"",операции!$AB:$AB,"&lt;&gt;"&amp;"",операции!$AB:$AB,"&lt;"&amp;N$8,операции!$L:$L,Q$9,операции!$O:$O,$F1496)+SUMIFS(операции!$AH:$AH,операции!$T:$T,"&lt;"&amp;N$8,операции!$X:$X,"&gt;="&amp;N$8,операции!$AB:$AB,"&lt;&gt;"&amp;"",операции!$AB:$AB,"&lt;"&amp;N$8,операции!$L:$L,Q$9,операции!$O:$O,$F1496))/Q1501)</f>
        <v>0</v>
      </c>
      <c r="R1504" s="238"/>
      <c r="S1504" s="193">
        <f>IF(S1501=0,0,(SUMIFS(операции!$AH:$AH,операции!$T:$T,"&lt;"&amp;S$8,операции!$X:$X,"",операции!$AB:$AB,"&lt;&gt;"&amp;"",операции!$AB:$AB,"&lt;"&amp;S$8,операции!$O:$O,$F1496)+SUMIFS(операции!$AH:$AH,операции!$T:$T,"&lt;"&amp;S$8,операции!$X:$X,"&gt;="&amp;S$8,операции!$AB:$AB,"&lt;&gt;"&amp;"",операции!$AB:$AB,"&lt;"&amp;S$8,операции!$O:$O,$F1496))/S1501)</f>
        <v>42216.704233625591</v>
      </c>
      <c r="T1504" s="196"/>
      <c r="U1504" s="193">
        <f>IF(U1501=0,0,(SUMIFS(операции!$AH:$AH,операции!$T:$T,"&lt;"&amp;S$8,операции!$X:$X,"",операции!$AB:$AB,"&lt;&gt;"&amp;"",операции!$AB:$AB,"&lt;"&amp;S$8,операции!$L:$L,U$9,операции!$O:$O,$F1496)+SUMIFS(операции!$AH:$AH,операции!$T:$T,"&lt;"&amp;S$8,операции!$X:$X,"&gt;="&amp;S$8,операции!$AB:$AB,"&lt;&gt;"&amp;"",операции!$AB:$AB,"&lt;"&amp;S$8,операции!$L:$L,U$9,операции!$O:$O,$F1496))/U1501)</f>
        <v>42216.704233625591</v>
      </c>
      <c r="V1504" s="237">
        <f>IF(V1501=0,0,(SUMIFS(операции!$AH:$AH,операции!$T:$T,"&lt;"&amp;S$8,операции!$X:$X,"",операции!$AB:$AB,"&lt;&gt;"&amp;"",операции!$AB:$AB,"&lt;"&amp;S$8,операции!$L:$L,V$9,операции!$O:$O,$F1496)+SUMIFS(операции!$AH:$AH,операции!$T:$T,"&lt;"&amp;S$8,операции!$X:$X,"&gt;="&amp;S$8,операции!$AB:$AB,"&lt;&gt;"&amp;"",операции!$AB:$AB,"&lt;"&amp;S$8,операции!$L:$L,V$9,операции!$O:$O,$F1496))/V1501)</f>
        <v>0</v>
      </c>
      <c r="W1504" s="238"/>
      <c r="X1504" s="193">
        <f>IF(X1501=0,0,(SUMIFS(операции!$AH:$AH,операции!$T:$T,"&lt;"&amp;X$8,операции!$X:$X,"",операции!$AB:$AB,"&lt;&gt;"&amp;"",операции!$AB:$AB,"&lt;"&amp;X$8,операции!$O:$O,$F1496)+SUMIFS(операции!$AH:$AH,операции!$T:$T,"&lt;"&amp;X$8,операции!$X:$X,"&gt;="&amp;X$8,операции!$AB:$AB,"&lt;&gt;"&amp;"",операции!$AB:$AB,"&lt;"&amp;X$8,операции!$O:$O,$F1496))/X1501)</f>
        <v>42232.676007957991</v>
      </c>
      <c r="Y1504" s="196"/>
      <c r="Z1504" s="193">
        <f>IF(Z1501=0,0,(SUMIFS(операции!$AH:$AH,операции!$T:$T,"&lt;"&amp;X$8,операции!$X:$X,"",операции!$AB:$AB,"&lt;&gt;"&amp;"",операции!$AB:$AB,"&lt;"&amp;X$8,операции!$L:$L,Z$9,операции!$O:$O,$F1496)+SUMIFS(операции!$AH:$AH,операции!$T:$T,"&lt;"&amp;X$8,операции!$X:$X,"&gt;="&amp;X$8,операции!$AB:$AB,"&lt;&gt;"&amp;"",операции!$AB:$AB,"&lt;"&amp;X$8,операции!$L:$L,Z$9,операции!$O:$O,$F1496))/Z1501)</f>
        <v>42232.676007957991</v>
      </c>
      <c r="AA1504" s="237">
        <f>IF(AA1501=0,0,(SUMIFS(операции!$AH:$AH,операции!$T:$T,"&lt;"&amp;X$8,операции!$X:$X,"",операции!$AB:$AB,"&lt;&gt;"&amp;"",операции!$AB:$AB,"&lt;"&amp;X$8,операции!$L:$L,AA$9,операции!$O:$O,$F1496)+SUMIFS(операции!$AH:$AH,операции!$T:$T,"&lt;"&amp;X$8,операции!$X:$X,"&gt;="&amp;X$8,операции!$AB:$AB,"&lt;&gt;"&amp;"",операции!$AB:$AB,"&lt;"&amp;X$8,операции!$L:$L,AA$9,операции!$O:$O,$F1496))/AA1501)</f>
        <v>0</v>
      </c>
      <c r="AB1504" s="265"/>
      <c r="AC1504" s="37"/>
      <c r="AD1504" s="37"/>
      <c r="AE1504" s="37"/>
      <c r="AF1504" s="37"/>
      <c r="AG1504" s="37"/>
      <c r="AH1504" s="37"/>
      <c r="AI1504" s="37"/>
      <c r="AJ1504" s="37"/>
      <c r="AK1504" s="37"/>
      <c r="AL1504" s="37"/>
      <c r="AM1504" s="37"/>
      <c r="AN1504" s="37"/>
      <c r="AO1504" s="37"/>
      <c r="AP1504" s="37"/>
    </row>
    <row r="1505" spans="1:42" s="192" customFormat="1" ht="11.25">
      <c r="A1505" s="37"/>
      <c r="B1505" s="37"/>
      <c r="C1505" s="37"/>
      <c r="D1505" s="191"/>
      <c r="E1505" s="191" t="s">
        <v>265</v>
      </c>
      <c r="F1505" s="191" t="str">
        <f t="shared" si="2656"/>
        <v>Позитив</v>
      </c>
      <c r="G1505" s="191" t="s">
        <v>219</v>
      </c>
      <c r="H1505" s="315"/>
      <c r="I1505" s="329">
        <f>I1504-I1502</f>
        <v>29.786574233577994</v>
      </c>
      <c r="J1505" s="317"/>
      <c r="K1505" s="329">
        <f t="shared" ref="K1505" si="2669">K1504-K1502</f>
        <v>29.786574233577994</v>
      </c>
      <c r="L1505" s="330">
        <f>L1504-L1502</f>
        <v>0</v>
      </c>
      <c r="M1505" s="274"/>
      <c r="N1505" s="156">
        <f>N1504-N1502</f>
        <v>29.786574233577994</v>
      </c>
      <c r="O1505" s="196"/>
      <c r="P1505" s="156">
        <f t="shared" ref="P1505" si="2670">P1504-P1502</f>
        <v>29.786574233577994</v>
      </c>
      <c r="Q1505" s="245">
        <f>Q1504-Q1502</f>
        <v>0</v>
      </c>
      <c r="R1505" s="238"/>
      <c r="S1505" s="156">
        <f>S1504-S1502</f>
        <v>25.512722550076433</v>
      </c>
      <c r="T1505" s="196"/>
      <c r="U1505" s="156">
        <f t="shared" ref="U1505" si="2671">U1504-U1502</f>
        <v>25.512722550076433</v>
      </c>
      <c r="V1505" s="245">
        <f>V1504-V1502</f>
        <v>0</v>
      </c>
      <c r="W1505" s="238"/>
      <c r="X1505" s="156">
        <f>X1504-X1502</f>
        <v>26.054055931119365</v>
      </c>
      <c r="Y1505" s="196"/>
      <c r="Z1505" s="156">
        <f t="shared" ref="Z1505" si="2672">Z1504-Z1502</f>
        <v>26.054055931119365</v>
      </c>
      <c r="AA1505" s="245">
        <f>AA1504-AA1502</f>
        <v>0</v>
      </c>
      <c r="AB1505" s="265"/>
      <c r="AC1505" s="37"/>
      <c r="AD1505" s="37"/>
      <c r="AE1505" s="37"/>
      <c r="AF1505" s="37"/>
      <c r="AG1505" s="37"/>
      <c r="AH1505" s="37"/>
      <c r="AI1505" s="37"/>
      <c r="AJ1505" s="37"/>
      <c r="AK1505" s="37"/>
      <c r="AL1505" s="37"/>
      <c r="AM1505" s="37"/>
      <c r="AN1505" s="37"/>
      <c r="AO1505" s="37"/>
      <c r="AP1505" s="37"/>
    </row>
    <row r="1506" spans="1:42" s="192" customFormat="1" ht="11.25">
      <c r="A1506" s="37"/>
      <c r="B1506" s="37"/>
      <c r="C1506" s="37"/>
      <c r="D1506" s="191"/>
      <c r="E1506" s="191" t="s">
        <v>268</v>
      </c>
      <c r="F1506" s="191" t="str">
        <f t="shared" si="2656"/>
        <v>Позитив</v>
      </c>
      <c r="G1506" s="191" t="s">
        <v>219</v>
      </c>
      <c r="H1506" s="315"/>
      <c r="I1506" s="329">
        <f>I1503-I1505</f>
        <v>91.468693572911434</v>
      </c>
      <c r="J1506" s="317"/>
      <c r="K1506" s="329">
        <f t="shared" ref="K1506" si="2673">K1503-K1505</f>
        <v>91.468693572911434</v>
      </c>
      <c r="L1506" s="330">
        <f t="shared" ref="L1506" si="2674">L1503-L1505</f>
        <v>0</v>
      </c>
      <c r="M1506" s="274"/>
      <c r="N1506" s="156">
        <f>N1503-N1505</f>
        <v>91.468693572911434</v>
      </c>
      <c r="O1506" s="196"/>
      <c r="P1506" s="156">
        <f t="shared" ref="P1506" si="2675">P1503-P1505</f>
        <v>91.468693572911434</v>
      </c>
      <c r="Q1506" s="245">
        <f t="shared" ref="Q1506" si="2676">Q1503-Q1505</f>
        <v>0</v>
      </c>
      <c r="R1506" s="238"/>
      <c r="S1506" s="156">
        <f>S1503-S1505</f>
        <v>92.295766374409141</v>
      </c>
      <c r="T1506" s="196"/>
      <c r="U1506" s="156">
        <f t="shared" ref="U1506" si="2677">U1503-U1505</f>
        <v>92.295766374409141</v>
      </c>
      <c r="V1506" s="245">
        <f t="shared" ref="V1506" si="2678">V1503-V1505</f>
        <v>0</v>
      </c>
      <c r="W1506" s="238"/>
      <c r="X1506" s="156">
        <f>X1503-X1505</f>
        <v>106.32399204200919</v>
      </c>
      <c r="Y1506" s="196"/>
      <c r="Z1506" s="156">
        <f t="shared" ref="Z1506" si="2679">Z1503-Z1505</f>
        <v>106.32399204200919</v>
      </c>
      <c r="AA1506" s="245">
        <f t="shared" ref="AA1506" si="2680">AA1503-AA1505</f>
        <v>0</v>
      </c>
      <c r="AB1506" s="265"/>
      <c r="AC1506" s="37"/>
      <c r="AD1506" s="37"/>
      <c r="AE1506" s="37"/>
      <c r="AF1506" s="37"/>
      <c r="AG1506" s="37"/>
      <c r="AH1506" s="37"/>
      <c r="AI1506" s="37"/>
      <c r="AJ1506" s="37"/>
      <c r="AK1506" s="37"/>
      <c r="AL1506" s="37"/>
      <c r="AM1506" s="37"/>
      <c r="AN1506" s="37"/>
      <c r="AO1506" s="37"/>
      <c r="AP1506" s="37"/>
    </row>
    <row r="1507" spans="1:42" s="5" customFormat="1">
      <c r="A1507" s="1"/>
      <c r="B1507" s="1"/>
      <c r="C1507" s="1"/>
      <c r="D1507" s="168"/>
      <c r="E1507" s="168" t="s">
        <v>276</v>
      </c>
      <c r="F1507" s="168" t="str">
        <f t="shared" si="2656"/>
        <v>Позитив</v>
      </c>
      <c r="G1507" s="168" t="s">
        <v>261</v>
      </c>
      <c r="H1507" s="326"/>
      <c r="I1507" s="327">
        <f>SUMIFS(операции!$V:$V,операции!$T:$T,"&lt;"&amp;I$8,операции!$X:$X,"",операции!$AB:$AB,"",операции!$O:$O,$F1496)+SUMIFS(операции!$V:$V,операции!$T:$T,"&lt;"&amp;I$8,операции!$X:$X,"&gt;="&amp;I$8,операции!$AB:$AB,"",операции!$O:$O,$F1496)+SUMIFS(операции!$V:$V,операции!$T:$T,"&lt;"&amp;I$8,операции!$X:$X,"",операции!$AB:$AB,"&gt;="&amp;I$8,операции!$O:$O,$F1496)+SUMIFS(операции!$V:$V,операции!$T:$T,"&lt;"&amp;I$8,операции!$X:$X,"&gt;="&amp;I$8,операции!$AB:$AB,"&gt;="&amp;I$8,операции!$O:$O,$F1496)</f>
        <v>50176.28</v>
      </c>
      <c r="J1507" s="313">
        <f>I1507-K1507-L1507</f>
        <v>0</v>
      </c>
      <c r="K1507" s="327">
        <f>SUMIFS(операции!$V:$V,операции!$T:$T,"&lt;"&amp;I$8,операции!$X:$X,"",операции!$AB:$AB,"",операции!$L:$L,K$9,операции!$O:$O,$F1496)+SUMIFS(операции!$V:$V,операции!$T:$T,"&lt;"&amp;I$8,операции!$X:$X,"&gt;="&amp;I$8,операции!$AB:$AB,"",операции!$L:$L,K$9,операции!$O:$O,$F1496)+SUMIFS(операции!$V:$V,операции!$T:$T,"&lt;"&amp;I$8,операции!$X:$X,"",операции!$AB:$AB,"&gt;="&amp;I$8,операции!$L:$L,K$9,операции!$O:$O,$F1496)+SUMIFS(операции!$V:$V,операции!$T:$T,"&lt;"&amp;I$8,операции!$X:$X,"&gt;="&amp;I$8,операции!$AB:$AB,"&gt;="&amp;I$8,операции!$L:$L,K$9,операции!$O:$O,$F1496)</f>
        <v>50176.28</v>
      </c>
      <c r="L1507" s="328">
        <f>SUMIFS(операции!$V:$V,операции!$T:$T,"&lt;"&amp;I$8,операции!$X:$X,"",операции!$AB:$AB,"",операции!$L:$L,L$9,операции!$O:$O,$F1496)+SUMIFS(операции!$V:$V,операции!$T:$T,"&lt;"&amp;I$8,операции!$X:$X,"&gt;="&amp;I$8,операции!$AB:$AB,"",операции!$L:$L,L$9,операции!$O:$O,$F1496)+SUMIFS(операции!$V:$V,операции!$T:$T,"&lt;"&amp;I$8,операции!$X:$X,"",операции!$AB:$AB,"&gt;="&amp;I$8,операции!$L:$L,L$9,операции!$O:$O,$F1496)+SUMIFS(операции!$V:$V,операции!$T:$T,"&lt;"&amp;I$8,операции!$X:$X,"&gt;="&amp;I$8,операции!$AB:$AB,"&gt;="&amp;I$8,операции!$L:$L,L$9,операции!$O:$O,$F1496)</f>
        <v>0</v>
      </c>
      <c r="M1507" s="277"/>
      <c r="N1507" s="169">
        <f>SUMIFS(операции!$V:$V,операции!$T:$T,"&lt;"&amp;N$8,операции!$X:$X,"",операции!$AB:$AB,"",операции!$O:$O,$F1496)+SUMIFS(операции!$V:$V,операции!$T:$T,"&lt;"&amp;N$8,операции!$X:$X,"&gt;="&amp;N$8,операции!$AB:$AB,"",операции!$O:$O,$F1496)+SUMIFS(операции!$V:$V,операции!$T:$T,"&lt;"&amp;N$8,операции!$X:$X,"",операции!$AB:$AB,"&gt;="&amp;N$8,операции!$O:$O,$F1496)+SUMIFS(операции!$V:$V,операции!$T:$T,"&lt;"&amp;N$8,операции!$X:$X,"&gt;="&amp;N$8,операции!$AB:$AB,"&gt;="&amp;N$8,операции!$O:$O,$F1496)</f>
        <v>50176.28</v>
      </c>
      <c r="O1507" s="170">
        <f>N1507-P1507-Q1507</f>
        <v>0</v>
      </c>
      <c r="P1507" s="169">
        <f>SUMIFS(операции!$V:$V,операции!$T:$T,"&lt;"&amp;N$8,операции!$X:$X,"",операции!$AB:$AB,"",операции!$L:$L,P$9,операции!$O:$O,$F1496)+SUMIFS(операции!$V:$V,операции!$T:$T,"&lt;"&amp;N$8,операции!$X:$X,"&gt;="&amp;N$8,операции!$AB:$AB,"",операции!$L:$L,P$9,операции!$O:$O,$F1496)+SUMIFS(операции!$V:$V,операции!$T:$T,"&lt;"&amp;N$8,операции!$X:$X,"",операции!$AB:$AB,"&gt;="&amp;N$8,операции!$L:$L,P$9,операции!$O:$O,$F1496)+SUMIFS(операции!$V:$V,операции!$T:$T,"&lt;"&amp;N$8,операции!$X:$X,"&gt;="&amp;N$8,операции!$AB:$AB,"&gt;="&amp;N$8,операции!$L:$L,P$9,операции!$O:$O,$F1496)</f>
        <v>50176.28</v>
      </c>
      <c r="Q1507" s="243">
        <f>SUMIFS(операции!$V:$V,операции!$T:$T,"&lt;"&amp;N$8,операции!$X:$X,"",операции!$AB:$AB,"",операции!$L:$L,Q$9,операции!$O:$O,$F1496)+SUMIFS(операции!$V:$V,операции!$T:$T,"&lt;"&amp;N$8,операции!$X:$X,"&gt;="&amp;N$8,операции!$AB:$AB,"",операции!$L:$L,Q$9,операции!$O:$O,$F1496)+SUMIFS(операции!$V:$V,операции!$T:$T,"&lt;"&amp;N$8,операции!$X:$X,"",операции!$AB:$AB,"&gt;="&amp;N$8,операции!$L:$L,Q$9,операции!$O:$O,$F1496)+SUMIFS(операции!$V:$V,операции!$T:$T,"&lt;"&amp;N$8,операции!$X:$X,"&gt;="&amp;N$8,операции!$AB:$AB,"&gt;="&amp;N$8,операции!$L:$L,Q$9,операции!$O:$O,$F1496)</f>
        <v>0</v>
      </c>
      <c r="R1507" s="244"/>
      <c r="S1507" s="169">
        <f>SUMIFS(операции!$V:$V,операции!$T:$T,"&lt;"&amp;S$8,операции!$X:$X,"",операции!$AB:$AB,"",операции!$O:$O,$F1496)+SUMIFS(операции!$V:$V,операции!$T:$T,"&lt;"&amp;S$8,операции!$X:$X,"&gt;="&amp;S$8,операции!$AB:$AB,"",операции!$O:$O,$F1496)+SUMIFS(операции!$V:$V,операции!$T:$T,"&lt;"&amp;S$8,операции!$X:$X,"",операции!$AB:$AB,"&gt;="&amp;S$8,операции!$O:$O,$F1496)+SUMIFS(операции!$V:$V,операции!$T:$T,"&lt;"&amp;S$8,операции!$X:$X,"&gt;="&amp;S$8,операции!$AB:$AB,"&gt;="&amp;S$8,операции!$O:$O,$F1496)</f>
        <v>56375.729999999996</v>
      </c>
      <c r="T1507" s="170">
        <f>S1507-U1507-V1507</f>
        <v>0</v>
      </c>
      <c r="U1507" s="169">
        <f>SUMIFS(операции!$V:$V,операции!$T:$T,"&lt;"&amp;S$8,операции!$X:$X,"",операции!$AB:$AB,"",операции!$L:$L,U$9,операции!$O:$O,$F1496)+SUMIFS(операции!$V:$V,операции!$T:$T,"&lt;"&amp;S$8,операции!$X:$X,"&gt;="&amp;S$8,операции!$AB:$AB,"",операции!$L:$L,U$9,операции!$O:$O,$F1496)+SUMIFS(операции!$V:$V,операции!$T:$T,"&lt;"&amp;S$8,операции!$X:$X,"",операции!$AB:$AB,"&gt;="&amp;S$8,операции!$L:$L,U$9,операции!$O:$O,$F1496)+SUMIFS(операции!$V:$V,операции!$T:$T,"&lt;"&amp;S$8,операции!$X:$X,"&gt;="&amp;S$8,операции!$AB:$AB,"&gt;="&amp;S$8,операции!$L:$L,U$9,операции!$O:$O,$F1496)</f>
        <v>46791.5</v>
      </c>
      <c r="V1507" s="243">
        <f>SUMIFS(операции!$V:$V,операции!$T:$T,"&lt;"&amp;S$8,операции!$X:$X,"",операции!$AB:$AB,"",операции!$L:$L,V$9,операции!$O:$O,$F1496)+SUMIFS(операции!$V:$V,операции!$T:$T,"&lt;"&amp;S$8,операции!$X:$X,"&gt;="&amp;S$8,операции!$AB:$AB,"",операции!$L:$L,V$9,операции!$O:$O,$F1496)+SUMIFS(операции!$V:$V,операции!$T:$T,"&lt;"&amp;S$8,операции!$X:$X,"",операции!$AB:$AB,"&gt;="&amp;S$8,операции!$L:$L,V$9,операции!$O:$O,$F1496)+SUMIFS(операции!$V:$V,операции!$T:$T,"&lt;"&amp;S$8,операции!$X:$X,"&gt;="&amp;S$8,операции!$AB:$AB,"&gt;="&amp;S$8,операции!$L:$L,V$9,операции!$O:$O,$F1496)</f>
        <v>9584.23</v>
      </c>
      <c r="W1507" s="244"/>
      <c r="X1507" s="169">
        <f>SUMIFS(операции!$V:$V,операции!$T:$T,"&lt;"&amp;X$8,операции!$X:$X,"",операции!$AB:$AB,"",операции!$O:$O,$F1496)+SUMIFS(операции!$V:$V,операции!$T:$T,"&lt;"&amp;X$8,операции!$X:$X,"&gt;="&amp;X$8,операции!$AB:$AB,"",операции!$O:$O,$F1496)+SUMIFS(операции!$V:$V,операции!$T:$T,"&lt;"&amp;X$8,операции!$X:$X,"",операции!$AB:$AB,"&gt;="&amp;X$8,операции!$O:$O,$F1496)+SUMIFS(операции!$V:$V,операции!$T:$T,"&lt;"&amp;X$8,операции!$X:$X,"&gt;="&amp;X$8,операции!$AB:$AB,"&gt;="&amp;X$8,операции!$O:$O,$F1496)</f>
        <v>52505.380000000005</v>
      </c>
      <c r="Y1507" s="170">
        <f>X1507-Z1507-AA1507</f>
        <v>0</v>
      </c>
      <c r="Z1507" s="169">
        <f>SUMIFS(операции!$V:$V,операции!$T:$T,"&lt;"&amp;X$8,операции!$X:$X,"",операции!$AB:$AB,"",операции!$L:$L,Z$9,операции!$O:$O,$F1496)+SUMIFS(операции!$V:$V,операции!$T:$T,"&lt;"&amp;X$8,операции!$X:$X,"&gt;="&amp;X$8,операции!$AB:$AB,"",операции!$L:$L,Z$9,операции!$O:$O,$F1496)+SUMIFS(операции!$V:$V,операции!$T:$T,"&lt;"&amp;X$8,операции!$X:$X,"",операции!$AB:$AB,"&gt;="&amp;X$8,операции!$L:$L,Z$9,операции!$O:$O,$F1496)+SUMIFS(операции!$V:$V,операции!$T:$T,"&lt;"&amp;X$8,операции!$X:$X,"&gt;="&amp;X$8,операции!$AB:$AB,"&gt;="&amp;X$8,операции!$L:$L,Z$9,операции!$O:$O,$F1496)</f>
        <v>18273.38</v>
      </c>
      <c r="AA1507" s="243">
        <f>SUMIFS(операции!$V:$V,операции!$T:$T,"&lt;"&amp;X$8,операции!$X:$X,"",операции!$AB:$AB,"",операции!$L:$L,AA$9,операции!$O:$O,$F1496)+SUMIFS(операции!$V:$V,операции!$T:$T,"&lt;"&amp;X$8,операции!$X:$X,"&gt;="&amp;X$8,операции!$AB:$AB,"",операции!$L:$L,AA$9,операции!$O:$O,$F1496)+SUMIFS(операции!$V:$V,операции!$T:$T,"&lt;"&amp;X$8,операции!$X:$X,"",операции!$AB:$AB,"&gt;="&amp;X$8,операции!$L:$L,AA$9,операции!$O:$O,$F1496)+SUMIFS(операции!$V:$V,операции!$T:$T,"&lt;"&amp;X$8,операции!$X:$X,"&gt;="&amp;X$8,операции!$AB:$AB,"&gt;="&amp;X$8,операции!$L:$L,AA$9,операции!$O:$O,$F1496)</f>
        <v>34232</v>
      </c>
      <c r="AB1507" s="266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</row>
    <row r="1508" spans="1:42" s="192" customFormat="1" ht="11.25">
      <c r="A1508" s="37"/>
      <c r="B1508" s="37"/>
      <c r="C1508" s="37"/>
      <c r="D1508" s="191"/>
      <c r="E1508" s="191" t="s">
        <v>255</v>
      </c>
      <c r="F1508" s="191" t="str">
        <f t="shared" si="2656"/>
        <v>Позитив</v>
      </c>
      <c r="G1508" s="191" t="s">
        <v>262</v>
      </c>
      <c r="H1508" s="315"/>
      <c r="I1508" s="316">
        <f>IF(I1507=0,0,(SUMIFS(операции!$AF:$AF,операции!$T:$T,"&lt;"&amp;I$8,операции!$X:$X,"",операции!$AB:$AB,"",операции!$O:$O,$F1496)+SUMIFS(операции!$AF:$AF,операции!$T:$T,"&lt;"&amp;I$8,операции!$X:$X,"&gt;="&amp;I$8,операции!$AB:$AB,"",операции!$O:$O,$F1496)+SUMIFS(операции!$AF:$AF,операции!$T:$T,"&lt;"&amp;I$8,операции!$X:$X,"",операции!$AB:$AB,"&gt;="&amp;I$8,операции!$O:$O,$F1496)+SUMIFS(операции!$AF:$AF,операции!$T:$T,"&lt;"&amp;I$8,операции!$X:$X,"&gt;="&amp;I$8,операции!$AB:$AB,"&gt;="&amp;I$8,операции!$O:$O,$F1496))/I1507)</f>
        <v>42163.596244879052</v>
      </c>
      <c r="J1508" s="317"/>
      <c r="K1508" s="316">
        <f>IF(K1507=0,0,(SUMIFS(операции!$AF:$AF,операции!$T:$T,"&lt;"&amp;I$8,операции!$X:$X,"",операции!$AB:$AB,"",операции!$L:$L,K$9,операции!$O:$O,$F1496)+SUMIFS(операции!$AF:$AF,операции!$T:$T,"&lt;"&amp;I$8,операции!$X:$X,"&gt;="&amp;I$8,операции!$AB:$AB,"",операции!$L:$L,K$9,операции!$O:$O,$F1496)+SUMIFS(операции!$AF:$AF,операции!$T:$T,"&lt;"&amp;I$8,операции!$X:$X,"",операции!$AB:$AB,"&gt;="&amp;I$8,операции!$L:$L,K$9,операции!$O:$O,$F1496)+SUMIFS(операции!$AF:$AF,операции!$T:$T,"&lt;"&amp;I$8,операции!$X:$X,"&gt;="&amp;I$8,операции!$AB:$AB,"&gt;="&amp;I$8,операции!$L:$L,K$9,операции!$O:$O,$F1496))/K1507)</f>
        <v>42163.596244879052</v>
      </c>
      <c r="L1508" s="318">
        <f>IF(L1507=0,0,(SUMIFS(операции!$AF:$AF,операции!$T:$T,"&lt;"&amp;I$8,операции!$X:$X,"",операции!$AB:$AB,"",операции!$L:$L,L$9,операции!$O:$O,$F1496)+SUMIFS(операции!$AF:$AF,операции!$T:$T,"&lt;"&amp;I$8,операции!$X:$X,"&gt;="&amp;I$8,операции!$AB:$AB,"",операции!$L:$L,L$9,операции!$O:$O,$F1496)+SUMIFS(операции!$AF:$AF,операции!$T:$T,"&lt;"&amp;I$8,операции!$X:$X,"",операции!$AB:$AB,"&gt;="&amp;I$8,операции!$L:$L,L$9,операции!$O:$O,$F1496)+SUMIFS(операции!$AF:$AF,операции!$T:$T,"&lt;"&amp;I$8,операции!$X:$X,"&gt;="&amp;I$8,операции!$AB:$AB,"&gt;="&amp;I$8,операции!$L:$L,L$9,операции!$O:$O,$F1496))/L1507)</f>
        <v>0</v>
      </c>
      <c r="M1508" s="274"/>
      <c r="N1508" s="193">
        <f>IF(N1507=0,0,(SUMIFS(операции!$AF:$AF,операции!$T:$T,"&lt;"&amp;N$8,операции!$X:$X,"",операции!$AB:$AB,"",операции!$O:$O,$F1496)+SUMIFS(операции!$AF:$AF,операции!$T:$T,"&lt;"&amp;N$8,операции!$X:$X,"&gt;="&amp;N$8,операции!$AB:$AB,"",операции!$O:$O,$F1496)+SUMIFS(операции!$AF:$AF,операции!$T:$T,"&lt;"&amp;N$8,операции!$X:$X,"",операции!$AB:$AB,"&gt;="&amp;N$8,операции!$O:$O,$F1496)+SUMIFS(операции!$AF:$AF,операции!$T:$T,"&lt;"&amp;N$8,операции!$X:$X,"&gt;="&amp;N$8,операции!$AB:$AB,"&gt;="&amp;N$8,операции!$O:$O,$F1496))/N1507)</f>
        <v>42163.596244879052</v>
      </c>
      <c r="O1508" s="196"/>
      <c r="P1508" s="193">
        <f>IF(P1507=0,0,(SUMIFS(операции!$AF:$AF,операции!$T:$T,"&lt;"&amp;N$8,операции!$X:$X,"",операции!$AB:$AB,"",операции!$L:$L,P$9,операции!$O:$O,$F1496)+SUMIFS(операции!$AF:$AF,операции!$T:$T,"&lt;"&amp;N$8,операции!$X:$X,"&gt;="&amp;N$8,операции!$AB:$AB,"",операции!$L:$L,P$9,операции!$O:$O,$F1496)+SUMIFS(операции!$AF:$AF,операции!$T:$T,"&lt;"&amp;N$8,операции!$X:$X,"",операции!$AB:$AB,"&gt;="&amp;N$8,операции!$L:$L,P$9,операции!$O:$O,$F1496)+SUMIFS(операции!$AF:$AF,операции!$T:$T,"&lt;"&amp;N$8,операции!$X:$X,"&gt;="&amp;N$8,операции!$AB:$AB,"&gt;="&amp;N$8,операции!$L:$L,P$9,операции!$O:$O,$F1496))/P1507)</f>
        <v>42163.596244879052</v>
      </c>
      <c r="Q1508" s="237">
        <f>IF(Q1507=0,0,(SUMIFS(операции!$AF:$AF,операции!$T:$T,"&lt;"&amp;N$8,операции!$X:$X,"",операции!$AB:$AB,"",операции!$L:$L,Q$9,операции!$O:$O,$F1496)+SUMIFS(операции!$AF:$AF,операции!$T:$T,"&lt;"&amp;N$8,операции!$X:$X,"&gt;="&amp;N$8,операции!$AB:$AB,"",операции!$L:$L,Q$9,операции!$O:$O,$F1496)+SUMIFS(операции!$AF:$AF,операции!$T:$T,"&lt;"&amp;N$8,операции!$X:$X,"",операции!$AB:$AB,"&gt;="&amp;N$8,операции!$L:$L,Q$9,операции!$O:$O,$F1496)+SUMIFS(операции!$AF:$AF,операции!$T:$T,"&lt;"&amp;N$8,операции!$X:$X,"&gt;="&amp;N$8,операции!$AB:$AB,"&gt;="&amp;N$8,операции!$L:$L,Q$9,операции!$O:$O,$F1496))/Q1507)</f>
        <v>0</v>
      </c>
      <c r="R1508" s="238"/>
      <c r="S1508" s="193">
        <f>IF(S1507=0,0,(SUMIFS(операции!$AF:$AF,операции!$T:$T,"&lt;"&amp;S$8,операции!$X:$X,"",операции!$AB:$AB,"",операции!$O:$O,$F1496)+SUMIFS(операции!$AF:$AF,операции!$T:$T,"&lt;"&amp;S$8,операции!$X:$X,"&gt;="&amp;S$8,операции!$AB:$AB,"",операции!$O:$O,$F1496)+SUMIFS(операции!$AF:$AF,операции!$T:$T,"&lt;"&amp;S$8,операции!$X:$X,"",операции!$AB:$AB,"&gt;="&amp;S$8,операции!$O:$O,$F1496)+SUMIFS(операции!$AF:$AF,операции!$T:$T,"&lt;"&amp;S$8,операции!$X:$X,"&gt;="&amp;S$8,операции!$AB:$AB,"&gt;="&amp;S$8,операции!$O:$O,$F1496))/S1507)</f>
        <v>42210.857455504352</v>
      </c>
      <c r="T1508" s="196"/>
      <c r="U1508" s="193">
        <f>IF(U1507=0,0,(SUMIFS(операции!$AF:$AF,операции!$T:$T,"&lt;"&amp;S$8,операции!$X:$X,"",операции!$AB:$AB,"",операции!$L:$L,U$9,операции!$O:$O,$F1496)+SUMIFS(операции!$AF:$AF,операции!$T:$T,"&lt;"&amp;S$8,операции!$X:$X,"&gt;="&amp;S$8,операции!$AB:$AB,"",операции!$L:$L,U$9,операции!$O:$O,$F1496)+SUMIFS(операции!$AF:$AF,операции!$T:$T,"&lt;"&amp;S$8,операции!$X:$X,"",операции!$AB:$AB,"&gt;="&amp;S$8,операции!$L:$L,U$9,операции!$O:$O,$F1496)+SUMIFS(операции!$AF:$AF,операции!$T:$T,"&lt;"&amp;S$8,операции!$X:$X,"&gt;="&amp;S$8,операции!$AB:$AB,"&gt;="&amp;S$8,операции!$L:$L,U$9,операции!$O:$O,$F1496))/U1507)</f>
        <v>42191.732566171202</v>
      </c>
      <c r="V1508" s="237">
        <f>IF(V1507=0,0,(SUMIFS(операции!$AF:$AF,операции!$T:$T,"&lt;"&amp;S$8,операции!$X:$X,"",операции!$AB:$AB,"",операции!$L:$L,V$9,операции!$O:$O,$F1496)+SUMIFS(операции!$AF:$AF,операции!$T:$T,"&lt;"&amp;S$8,операции!$X:$X,"&gt;="&amp;S$8,операции!$AB:$AB,"",операции!$L:$L,V$9,операции!$O:$O,$F1496)+SUMIFS(операции!$AF:$AF,операции!$T:$T,"&lt;"&amp;S$8,операции!$X:$X,"",операции!$AB:$AB,"&gt;="&amp;S$8,операции!$L:$L,V$9,операции!$O:$O,$F1496)+SUMIFS(операции!$AF:$AF,операции!$T:$T,"&lt;"&amp;S$8,операции!$X:$X,"&gt;="&amp;S$8,операции!$AB:$AB,"&gt;="&amp;S$8,операции!$L:$L,V$9,операции!$O:$O,$F1496))/V1507)</f>
        <v>42304.227737648202</v>
      </c>
      <c r="W1508" s="238"/>
      <c r="X1508" s="193">
        <f>IF(X1507=0,0,(SUMIFS(операции!$AF:$AF,операции!$T:$T,"&lt;"&amp;X$8,операции!$X:$X,"",операции!$AB:$AB,"",операции!$O:$O,$F1496)+SUMIFS(операции!$AF:$AF,операции!$T:$T,"&lt;"&amp;X$8,операции!$X:$X,"&gt;="&amp;X$8,операции!$AB:$AB,"",операции!$O:$O,$F1496)+SUMIFS(операции!$AF:$AF,операции!$T:$T,"&lt;"&amp;X$8,операции!$X:$X,"",операции!$AB:$AB,"&gt;="&amp;X$8,операции!$O:$O,$F1496)+SUMIFS(операции!$AF:$AF,операции!$T:$T,"&lt;"&amp;X$8,операции!$X:$X,"&gt;="&amp;X$8,операции!$AB:$AB,"&gt;="&amp;X$8,операции!$O:$O,$F1496))/X1507)</f>
        <v>42262.806245759959</v>
      </c>
      <c r="Y1508" s="196"/>
      <c r="Z1508" s="193">
        <f>IF(Z1507=0,0,(SUMIFS(операции!$AF:$AF,операции!$T:$T,"&lt;"&amp;X$8,операции!$X:$X,"",операции!$AB:$AB,"",операции!$L:$L,Z$9,операции!$O:$O,$F1496)+SUMIFS(операции!$AF:$AF,операции!$T:$T,"&lt;"&amp;X$8,операции!$X:$X,"&gt;="&amp;X$8,операции!$AB:$AB,"",операции!$L:$L,Z$9,операции!$O:$O,$F1496)+SUMIFS(операции!$AF:$AF,операции!$T:$T,"&lt;"&amp;X$8,операции!$X:$X,"",операции!$AB:$AB,"&gt;="&amp;X$8,операции!$L:$L,Z$9,операции!$O:$O,$F1496)+SUMIFS(операции!$AF:$AF,операции!$T:$T,"&lt;"&amp;X$8,операции!$X:$X,"&gt;="&amp;X$8,операции!$AB:$AB,"&gt;="&amp;X$8,операции!$L:$L,Z$9,операции!$O:$O,$F1496))/Z1507)</f>
        <v>42127.39809493372</v>
      </c>
      <c r="AA1508" s="237">
        <f>IF(AA1507=0,0,(SUMIFS(операции!$AF:$AF,операции!$T:$T,"&lt;"&amp;X$8,операции!$X:$X,"",операции!$AB:$AB,"",операции!$L:$L,AA$9,операции!$O:$O,$F1496)+SUMIFS(операции!$AF:$AF,операции!$T:$T,"&lt;"&amp;X$8,операции!$X:$X,"&gt;="&amp;X$8,операции!$AB:$AB,"",операции!$L:$L,AA$9,операции!$O:$O,$F1496)+SUMIFS(операции!$AF:$AF,операции!$T:$T,"&lt;"&amp;X$8,операции!$X:$X,"",операции!$AB:$AB,"&gt;="&amp;X$8,операции!$L:$L,AA$9,операции!$O:$O,$F1496)+SUMIFS(операции!$AF:$AF,операции!$T:$T,"&lt;"&amp;X$8,операции!$X:$X,"&gt;="&amp;X$8,операции!$AB:$AB,"&gt;="&amp;X$8,операции!$L:$L,AA$9,операции!$O:$O,$F1496))/AA1507)</f>
        <v>42335.08845524655</v>
      </c>
      <c r="AB1508" s="265"/>
      <c r="AC1508" s="37"/>
      <c r="AD1508" s="37"/>
      <c r="AE1508" s="37"/>
      <c r="AF1508" s="37"/>
      <c r="AG1508" s="37"/>
      <c r="AH1508" s="37"/>
      <c r="AI1508" s="37"/>
      <c r="AJ1508" s="37"/>
      <c r="AK1508" s="37"/>
      <c r="AL1508" s="37"/>
      <c r="AM1508" s="37"/>
      <c r="AN1508" s="37"/>
      <c r="AO1508" s="37"/>
      <c r="AP1508" s="37"/>
    </row>
    <row r="1509" spans="1:42" s="192" customFormat="1" ht="11.25">
      <c r="A1509" s="37"/>
      <c r="B1509" s="37"/>
      <c r="C1509" s="37"/>
      <c r="D1509" s="191"/>
      <c r="E1509" s="191" t="s">
        <v>263</v>
      </c>
      <c r="F1509" s="191" t="str">
        <f t="shared" si="2656"/>
        <v>Позитив</v>
      </c>
      <c r="G1509" s="191" t="s">
        <v>219</v>
      </c>
      <c r="H1509" s="315"/>
      <c r="I1509" s="329">
        <f>IF(I1507=0,0,I$8-I1508)</f>
        <v>114.40375512094761</v>
      </c>
      <c r="J1509" s="317"/>
      <c r="K1509" s="329">
        <f>IF(K1507=0,0,I$8-K1508)</f>
        <v>114.40375512094761</v>
      </c>
      <c r="L1509" s="330">
        <f>IF(L1507=0,0,I$8-L1508)</f>
        <v>0</v>
      </c>
      <c r="M1509" s="274"/>
      <c r="N1509" s="156">
        <f>IF(N1507=0,0,N$8-N1508)</f>
        <v>114.40375512094761</v>
      </c>
      <c r="O1509" s="196"/>
      <c r="P1509" s="156">
        <f>IF(P1507=0,0,N$8-P1508)</f>
        <v>114.40375512094761</v>
      </c>
      <c r="Q1509" s="245">
        <f>IF(Q1507=0,0,N$8-Q1508)</f>
        <v>0</v>
      </c>
      <c r="R1509" s="238"/>
      <c r="S1509" s="156">
        <f>IF(S1507=0,0,S$8-S1508)</f>
        <v>98.142544495647599</v>
      </c>
      <c r="T1509" s="196"/>
      <c r="U1509" s="156">
        <f>IF(U1507=0,0,S$8-U1508)</f>
        <v>117.26743382879795</v>
      </c>
      <c r="V1509" s="245">
        <f>IF(V1507=0,0,S$8-V1508)</f>
        <v>4.7722623517984175</v>
      </c>
      <c r="W1509" s="238"/>
      <c r="X1509" s="156">
        <f>IF(X1507=0,0,X$8-X1508)</f>
        <v>76.193754240041017</v>
      </c>
      <c r="Y1509" s="196"/>
      <c r="Z1509" s="156">
        <f>IF(Z1507=0,0,X$8-Z1508)</f>
        <v>211.60190506627987</v>
      </c>
      <c r="AA1509" s="245">
        <f>IF(AA1507=0,0,X$8-AA1508)</f>
        <v>3.9115447534495615</v>
      </c>
      <c r="AB1509" s="265"/>
      <c r="AC1509" s="37"/>
      <c r="AD1509" s="37"/>
      <c r="AE1509" s="37"/>
      <c r="AF1509" s="37"/>
      <c r="AG1509" s="37"/>
      <c r="AH1509" s="37"/>
      <c r="AI1509" s="37"/>
      <c r="AJ1509" s="37"/>
      <c r="AK1509" s="37"/>
      <c r="AL1509" s="37"/>
      <c r="AM1509" s="37"/>
      <c r="AN1509" s="37"/>
      <c r="AO1509" s="37"/>
      <c r="AP1509" s="37"/>
    </row>
    <row r="1510" spans="1:42" s="192" customFormat="1" ht="11.25">
      <c r="A1510" s="37"/>
      <c r="B1510" s="37"/>
      <c r="C1510" s="37"/>
      <c r="D1510" s="191"/>
      <c r="E1510" s="191" t="s">
        <v>311</v>
      </c>
      <c r="F1510" s="191" t="str">
        <f t="shared" si="2656"/>
        <v>Позитив</v>
      </c>
      <c r="G1510" s="191" t="s">
        <v>262</v>
      </c>
      <c r="H1510" s="315"/>
      <c r="I1510" s="316">
        <f>I$8</f>
        <v>42278</v>
      </c>
      <c r="J1510" s="317"/>
      <c r="K1510" s="316">
        <f>I$8</f>
        <v>42278</v>
      </c>
      <c r="L1510" s="318">
        <f>I$8</f>
        <v>42278</v>
      </c>
      <c r="M1510" s="274"/>
      <c r="N1510" s="193">
        <f>N$8</f>
        <v>42278</v>
      </c>
      <c r="O1510" s="196"/>
      <c r="P1510" s="193">
        <f>N$8</f>
        <v>42278</v>
      </c>
      <c r="Q1510" s="237">
        <f>N$8</f>
        <v>42278</v>
      </c>
      <c r="R1510" s="238"/>
      <c r="S1510" s="193">
        <f>S$8</f>
        <v>42309</v>
      </c>
      <c r="T1510" s="196"/>
      <c r="U1510" s="193">
        <f>S$8</f>
        <v>42309</v>
      </c>
      <c r="V1510" s="237">
        <f>S$8</f>
        <v>42309</v>
      </c>
      <c r="W1510" s="238"/>
      <c r="X1510" s="193">
        <f>X$8</f>
        <v>42339</v>
      </c>
      <c r="Y1510" s="196"/>
      <c r="Z1510" s="193">
        <f>X$8</f>
        <v>42339</v>
      </c>
      <c r="AA1510" s="237">
        <f>X$8</f>
        <v>42339</v>
      </c>
      <c r="AB1510" s="265"/>
      <c r="AC1510" s="37"/>
      <c r="AD1510" s="37"/>
      <c r="AE1510" s="37"/>
      <c r="AF1510" s="37"/>
      <c r="AG1510" s="37"/>
      <c r="AH1510" s="37"/>
      <c r="AI1510" s="37"/>
      <c r="AJ1510" s="37"/>
      <c r="AK1510" s="37"/>
      <c r="AL1510" s="37"/>
      <c r="AM1510" s="37"/>
      <c r="AN1510" s="37"/>
      <c r="AO1510" s="37"/>
      <c r="AP1510" s="37"/>
    </row>
    <row r="1511" spans="1:42" s="192" customFormat="1" ht="11.25">
      <c r="A1511" s="37"/>
      <c r="B1511" s="37"/>
      <c r="C1511" s="37"/>
      <c r="D1511" s="191"/>
      <c r="E1511" s="191" t="s">
        <v>264</v>
      </c>
      <c r="F1511" s="191" t="str">
        <f t="shared" si="2656"/>
        <v>Позитив</v>
      </c>
      <c r="G1511" s="191" t="s">
        <v>219</v>
      </c>
      <c r="H1511" s="315"/>
      <c r="I1511" s="329">
        <f>IF(I1507=0,0,I1510-I1508)</f>
        <v>114.40375512094761</v>
      </c>
      <c r="J1511" s="317"/>
      <c r="K1511" s="329">
        <f>IF(K1507=0,0,K1510-K1508)</f>
        <v>114.40375512094761</v>
      </c>
      <c r="L1511" s="330">
        <f>IF(L1507=0,0,L1510-L1508)</f>
        <v>0</v>
      </c>
      <c r="M1511" s="274"/>
      <c r="N1511" s="156">
        <f>IF(N1507=0,0,N1510-N1508)</f>
        <v>114.40375512094761</v>
      </c>
      <c r="O1511" s="196"/>
      <c r="P1511" s="156">
        <f>IF(P1507=0,0,P1510-P1508)</f>
        <v>114.40375512094761</v>
      </c>
      <c r="Q1511" s="245">
        <f>IF(Q1507=0,0,Q1510-Q1508)</f>
        <v>0</v>
      </c>
      <c r="R1511" s="238"/>
      <c r="S1511" s="156">
        <f>IF(S1507=0,0,S1510-S1508)</f>
        <v>98.142544495647599</v>
      </c>
      <c r="T1511" s="196"/>
      <c r="U1511" s="156">
        <f>IF(U1507=0,0,U1510-U1508)</f>
        <v>117.26743382879795</v>
      </c>
      <c r="V1511" s="245">
        <f>IF(V1507=0,0,V1510-V1508)</f>
        <v>4.7722623517984175</v>
      </c>
      <c r="W1511" s="238"/>
      <c r="X1511" s="156">
        <f>IF(X1507=0,0,X1510-X1508)</f>
        <v>76.193754240041017</v>
      </c>
      <c r="Y1511" s="196"/>
      <c r="Z1511" s="156">
        <f>IF(Z1507=0,0,Z1510-Z1508)</f>
        <v>211.60190506627987</v>
      </c>
      <c r="AA1511" s="245">
        <f>IF(AA1507=0,0,AA1510-AA1508)</f>
        <v>3.9115447534495615</v>
      </c>
      <c r="AB1511" s="265"/>
      <c r="AC1511" s="37"/>
      <c r="AD1511" s="37"/>
      <c r="AE1511" s="37"/>
      <c r="AF1511" s="37"/>
      <c r="AG1511" s="37"/>
      <c r="AH1511" s="37"/>
      <c r="AI1511" s="37"/>
      <c r="AJ1511" s="37"/>
      <c r="AK1511" s="37"/>
      <c r="AL1511" s="37"/>
      <c r="AM1511" s="37"/>
      <c r="AN1511" s="37"/>
      <c r="AO1511" s="37"/>
      <c r="AP1511" s="37"/>
    </row>
    <row r="1512" spans="1:42" s="192" customFormat="1" ht="11.25">
      <c r="A1512" s="37"/>
      <c r="B1512" s="37"/>
      <c r="C1512" s="37"/>
      <c r="D1512" s="207"/>
      <c r="E1512" s="207" t="s">
        <v>269</v>
      </c>
      <c r="F1512" s="207" t="str">
        <f t="shared" si="2656"/>
        <v>Позитив</v>
      </c>
      <c r="G1512" s="207" t="s">
        <v>219</v>
      </c>
      <c r="H1512" s="331"/>
      <c r="I1512" s="332">
        <f>I1509-I1511</f>
        <v>0</v>
      </c>
      <c r="J1512" s="333"/>
      <c r="K1512" s="332">
        <f t="shared" ref="K1512" si="2681">K1509-K1511</f>
        <v>0</v>
      </c>
      <c r="L1512" s="334">
        <f>L1509-L1511</f>
        <v>0</v>
      </c>
      <c r="M1512" s="278"/>
      <c r="N1512" s="162">
        <f>N1509-N1511</f>
        <v>0</v>
      </c>
      <c r="O1512" s="208"/>
      <c r="P1512" s="162">
        <f t="shared" ref="P1512" si="2682">P1509-P1511</f>
        <v>0</v>
      </c>
      <c r="Q1512" s="246">
        <f>Q1509-Q1511</f>
        <v>0</v>
      </c>
      <c r="R1512" s="247"/>
      <c r="S1512" s="162">
        <f>S1509-S1511</f>
        <v>0</v>
      </c>
      <c r="T1512" s="208"/>
      <c r="U1512" s="162">
        <f t="shared" ref="U1512" si="2683">U1509-U1511</f>
        <v>0</v>
      </c>
      <c r="V1512" s="246">
        <f>V1509-V1511</f>
        <v>0</v>
      </c>
      <c r="W1512" s="247"/>
      <c r="X1512" s="162">
        <f>X1509-X1511</f>
        <v>0</v>
      </c>
      <c r="Y1512" s="208"/>
      <c r="Z1512" s="162">
        <f t="shared" ref="Z1512" si="2684">Z1509-Z1511</f>
        <v>0</v>
      </c>
      <c r="AA1512" s="246">
        <f>AA1509-AA1511</f>
        <v>0</v>
      </c>
      <c r="AB1512" s="265"/>
      <c r="AC1512" s="37"/>
      <c r="AD1512" s="37"/>
      <c r="AE1512" s="37"/>
      <c r="AF1512" s="37"/>
      <c r="AG1512" s="37"/>
      <c r="AH1512" s="37"/>
      <c r="AI1512" s="37"/>
      <c r="AJ1512" s="37"/>
      <c r="AK1512" s="37"/>
      <c r="AL1512" s="37"/>
      <c r="AM1512" s="37"/>
      <c r="AN1512" s="37"/>
      <c r="AO1512" s="37"/>
      <c r="AP1512" s="37"/>
    </row>
    <row r="1513" spans="1:42" s="111" customFormat="1" ht="11.25">
      <c r="A1513" s="108"/>
      <c r="B1513" s="108"/>
      <c r="C1513" s="108" t="s">
        <v>272</v>
      </c>
      <c r="D1513" s="109"/>
      <c r="E1513" s="109"/>
      <c r="F1513" s="109" t="str">
        <f t="shared" si="2656"/>
        <v>Позитив</v>
      </c>
      <c r="G1513" s="109"/>
      <c r="H1513" s="307"/>
      <c r="I1513" s="308">
        <f>I1514-K1514-L1514</f>
        <v>0</v>
      </c>
      <c r="J1513" s="335"/>
      <c r="K1513" s="308"/>
      <c r="L1513" s="336"/>
      <c r="M1513" s="272"/>
      <c r="N1513" s="110">
        <f>N1514-P1514-Q1514</f>
        <v>0</v>
      </c>
      <c r="O1513" s="105"/>
      <c r="P1513" s="110"/>
      <c r="Q1513" s="248"/>
      <c r="R1513" s="234"/>
      <c r="S1513" s="110">
        <f>S1514-U1514-V1514</f>
        <v>0</v>
      </c>
      <c r="T1513" s="105"/>
      <c r="U1513" s="110"/>
      <c r="V1513" s="248"/>
      <c r="W1513" s="234"/>
      <c r="X1513" s="110">
        <f>X1514-Z1514-AA1514</f>
        <v>0</v>
      </c>
      <c r="Y1513" s="105"/>
      <c r="Z1513" s="110"/>
      <c r="AA1513" s="248"/>
      <c r="AB1513" s="263"/>
      <c r="AC1513" s="108"/>
      <c r="AD1513" s="108"/>
      <c r="AE1513" s="108"/>
      <c r="AF1513" s="108"/>
      <c r="AG1513" s="108"/>
      <c r="AH1513" s="108"/>
      <c r="AI1513" s="108"/>
      <c r="AJ1513" s="108"/>
      <c r="AK1513" s="108"/>
      <c r="AL1513" s="108"/>
      <c r="AM1513" s="108"/>
      <c r="AN1513" s="108"/>
      <c r="AO1513" s="108"/>
      <c r="AP1513" s="108"/>
    </row>
    <row r="1514" spans="1:42" s="5" customFormat="1">
      <c r="A1514" s="1"/>
      <c r="B1514" s="1"/>
      <c r="C1514" s="1"/>
      <c r="D1514" s="168" t="s">
        <v>273</v>
      </c>
      <c r="E1514" s="168"/>
      <c r="F1514" s="168" t="str">
        <f t="shared" si="2656"/>
        <v>Позитив</v>
      </c>
      <c r="G1514" s="168" t="s">
        <v>261</v>
      </c>
      <c r="H1514" s="326"/>
      <c r="I1514" s="327">
        <f>SUMIFS(операции!$V:$V,операции!$T:$T,"&gt;="&amp;I$8,операции!$T:$T,"&lt;="&amp;I$9,операции!$O:$O,$F1496)</f>
        <v>163534.86000000004</v>
      </c>
      <c r="J1514" s="313"/>
      <c r="K1514" s="327">
        <f>SUMIFS(операции!$V:$V,операции!$T:$T,"&gt;="&amp;I$8,операции!$T:$T,"&lt;="&amp;I$9,операции!$L:$L,K$9,операции!$O:$O,$F1496)</f>
        <v>43017.55</v>
      </c>
      <c r="L1514" s="328">
        <f>SUMIFS(операции!$V:$V,операции!$T:$T,"&gt;="&amp;I$8,операции!$T:$T,"&lt;="&amp;I$9,операции!$L:$L,L$9,операции!$O:$O,$F1496)</f>
        <v>120517.31000000003</v>
      </c>
      <c r="M1514" s="277"/>
      <c r="N1514" s="169">
        <f>SUMIFS(операции!$V:$V,операции!$T:$T,"&gt;="&amp;N$8,операции!$T:$T,"&lt;="&amp;N$9,операции!$O:$O,$F1496)</f>
        <v>62150.240000000005</v>
      </c>
      <c r="O1514" s="170"/>
      <c r="P1514" s="169">
        <f>SUMIFS(операции!$V:$V,операции!$T:$T,"&gt;="&amp;N$8,операции!$T:$T,"&lt;="&amp;N$9,операции!$L:$L,P$9,операции!$O:$O,$F1496)</f>
        <v>35005.550000000003</v>
      </c>
      <c r="Q1514" s="243">
        <f>SUMIFS(операции!$V:$V,операции!$T:$T,"&gt;="&amp;N$8,операции!$T:$T,"&lt;="&amp;N$9,операции!$L:$L,Q$9,операции!$O:$O,$F1496)</f>
        <v>27144.69</v>
      </c>
      <c r="R1514" s="244"/>
      <c r="S1514" s="169">
        <f>SUMIFS(операции!$V:$V,операции!$T:$T,"&gt;="&amp;S$8,операции!$T:$T,"&lt;="&amp;S$9,операции!$O:$O,$F1496)</f>
        <v>101384.62</v>
      </c>
      <c r="T1514" s="170"/>
      <c r="U1514" s="169">
        <f>SUMIFS(операции!$V:$V,операции!$T:$T,"&gt;="&amp;S$8,операции!$T:$T,"&lt;="&amp;S$9,операции!$L:$L,U$9,операции!$O:$O,$F1496)</f>
        <v>8012</v>
      </c>
      <c r="V1514" s="243">
        <f>SUMIFS(операции!$V:$V,операции!$T:$T,"&gt;="&amp;S$8,операции!$T:$T,"&lt;="&amp;S$9,операции!$L:$L,V$9,операции!$O:$O,$F1496)</f>
        <v>93372.62</v>
      </c>
      <c r="W1514" s="244"/>
      <c r="X1514" s="169">
        <f>SUMIFS(операции!$V:$V,операции!$T:$T,"&gt;="&amp;X$8,операции!$T:$T,"&lt;="&amp;X$9,операции!$O:$O,$F1496)</f>
        <v>0</v>
      </c>
      <c r="Y1514" s="170"/>
      <c r="Z1514" s="169">
        <f>SUMIFS(операции!$V:$V,операции!$T:$T,"&gt;="&amp;X$8,операции!$T:$T,"&lt;="&amp;X$9,операции!$L:$L,Z$9,операции!$O:$O,$F1496)</f>
        <v>0</v>
      </c>
      <c r="AA1514" s="243">
        <f>SUMIFS(операции!$V:$V,операции!$T:$T,"&gt;="&amp;X$8,операции!$T:$T,"&lt;="&amp;X$9,операции!$L:$L,AA$9,операции!$O:$O,$F1496)</f>
        <v>0</v>
      </c>
      <c r="AB1514" s="266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</row>
    <row r="1515" spans="1:42" s="192" customFormat="1" ht="11.25">
      <c r="A1515" s="37"/>
      <c r="B1515" s="37"/>
      <c r="C1515" s="37"/>
      <c r="D1515" s="207" t="s">
        <v>255</v>
      </c>
      <c r="E1515" s="207"/>
      <c r="F1515" s="207" t="str">
        <f t="shared" si="2656"/>
        <v>Позитив</v>
      </c>
      <c r="G1515" s="207" t="s">
        <v>262</v>
      </c>
      <c r="H1515" s="331"/>
      <c r="I1515" s="337">
        <f>IF(I1514=0,0,SUMIFS(операции!$AF:$AF,операции!$T:$T,"&gt;="&amp;I$8,операции!$T:$T,"&lt;="&amp;I$9,операции!$O:$O,$F1496)/I1514)</f>
        <v>42313.343646914167</v>
      </c>
      <c r="J1515" s="333"/>
      <c r="K1515" s="337">
        <f>IF(K1514=0,0,SUMIFS(операции!$AF:$AF,операции!$T:$T,"&gt;="&amp;I$8,операции!$T:$T,"&lt;="&amp;I$9,операции!$L:$L,K$9,операции!$O:$O,$F1496)/K1514)</f>
        <v>42293.167620192224</v>
      </c>
      <c r="L1515" s="338">
        <f>IF(L1514=0,0,SUMIFS(операции!$AF:$AF,операции!$T:$T,"&gt;="&amp;I$8,операции!$T:$T,"&lt;="&amp;I$9,операции!$L:$L,L$9,операции!$O:$O,$F1496)/L1514)</f>
        <v>42320.545294862612</v>
      </c>
      <c r="M1515" s="278"/>
      <c r="N1515" s="217">
        <f>IF(N1514=0,0,SUMIFS(операции!$AF:$AF,операции!$T:$T,"&gt;="&amp;N$8,операции!$T:$T,"&lt;="&amp;N$9,операции!$O:$O,$F1496)/N1514)</f>
        <v>42293.985574150633</v>
      </c>
      <c r="O1515" s="208"/>
      <c r="P1515" s="217">
        <f>IF(P1514=0,0,SUMIFS(операции!$AF:$AF,операции!$T:$T,"&gt;="&amp;N$8,операции!$T:$T,"&lt;="&amp;N$9,операции!$L:$L,P$9,операции!$O:$O,$F1496)/P1514)</f>
        <v>42287.941790944576</v>
      </c>
      <c r="Q1515" s="249">
        <f>IF(Q1514=0,0,SUMIFS(операции!$AF:$AF,операции!$T:$T,"&gt;="&amp;N$8,операции!$T:$T,"&lt;="&amp;N$9,операции!$L:$L,Q$9,операции!$O:$O,$F1496)/Q1514)</f>
        <v>42301.77958304184</v>
      </c>
      <c r="R1515" s="247"/>
      <c r="S1515" s="217">
        <f>IF(S1514=0,0,SUMIFS(операции!$AF:$AF,операции!$T:$T,"&gt;="&amp;S$8,операции!$T:$T,"&lt;="&amp;S$9,операции!$O:$O,$F1496)/S1514)</f>
        <v>42325.210425802252</v>
      </c>
      <c r="T1515" s="208"/>
      <c r="U1515" s="217">
        <f>IF(U1514=0,0,SUMIFS(операции!$AF:$AF,операции!$T:$T,"&gt;="&amp;S$8,операции!$T:$T,"&lt;="&amp;S$9,операции!$L:$L,U$9,операции!$O:$O,$F1496)/U1514)</f>
        <v>42316</v>
      </c>
      <c r="V1515" s="249">
        <f>IF(V1514=0,0,SUMIFS(операции!$AF:$AF,операции!$T:$T,"&gt;="&amp;S$8,операции!$T:$T,"&lt;="&amp;S$9,операции!$L:$L,V$9,операции!$O:$O,$F1496)/V1514)</f>
        <v>42326.000742401782</v>
      </c>
      <c r="W1515" s="247"/>
      <c r="X1515" s="217">
        <f>IF(X1514=0,0,SUMIFS(операции!$AF:$AF,операции!$T:$T,"&gt;="&amp;X$8,операции!$T:$T,"&lt;="&amp;X$9,операции!$O:$O,$F1496)/X1514)</f>
        <v>0</v>
      </c>
      <c r="Y1515" s="208"/>
      <c r="Z1515" s="217">
        <f>IF(Z1514=0,0,SUMIFS(операции!$AF:$AF,операции!$T:$T,"&gt;="&amp;X$8,операции!$T:$T,"&lt;="&amp;X$9,операции!$L:$L,Z$9,операции!$O:$O,$F1496)/Z1514)</f>
        <v>0</v>
      </c>
      <c r="AA1515" s="249">
        <f>IF(AA1514=0,0,SUMIFS(операции!$AF:$AF,операции!$T:$T,"&gt;="&amp;X$8,операции!$T:$T,"&lt;="&amp;X$9,операции!$L:$L,AA$9,операции!$O:$O,$F1496)/AA1514)</f>
        <v>0</v>
      </c>
      <c r="AB1515" s="265"/>
      <c r="AC1515" s="37"/>
      <c r="AD1515" s="37"/>
      <c r="AE1515" s="37"/>
      <c r="AF1515" s="37"/>
      <c r="AG1515" s="37"/>
      <c r="AH1515" s="37"/>
      <c r="AI1515" s="37"/>
      <c r="AJ1515" s="37"/>
      <c r="AK1515" s="37"/>
      <c r="AL1515" s="37"/>
      <c r="AM1515" s="37"/>
      <c r="AN1515" s="37"/>
      <c r="AO1515" s="37"/>
      <c r="AP1515" s="37"/>
    </row>
    <row r="1516" spans="1:42" s="93" customFormat="1" ht="15">
      <c r="A1516" s="92"/>
      <c r="B1516" s="92"/>
      <c r="C1516" s="92"/>
      <c r="D1516" s="212" t="s">
        <v>274</v>
      </c>
      <c r="E1516" s="212"/>
      <c r="F1516" s="212" t="str">
        <f t="shared" si="2656"/>
        <v>Позитив</v>
      </c>
      <c r="G1516" s="212" t="s">
        <v>261</v>
      </c>
      <c r="H1516" s="339"/>
      <c r="I1516" s="340">
        <f>SUMIFS(операции!$Z:$Z,операции!$X:$X,"&gt;="&amp;I$8,операции!$X:$X,"&lt;="&amp;I$9,операции!$O:$O,$F1496)</f>
        <v>225992</v>
      </c>
      <c r="J1516" s="341">
        <f>I1516-I1529-I1539</f>
        <v>0</v>
      </c>
      <c r="K1516" s="340">
        <f>SUMIFS(операции!$Z:$Z,операции!$X:$X,"&gt;="&amp;I$8,операции!$X:$X,"&lt;="&amp;I$9,операции!$L:$L,K$9,операции!$O:$O,$F1496)</f>
        <v>94473</v>
      </c>
      <c r="L1516" s="342">
        <f>SUMIFS(операции!$Z:$Z,операции!$X:$X,"&gt;="&amp;I$8,операции!$X:$X,"&lt;="&amp;I$9,операции!$L:$L,L$9,операции!$O:$O,$F1496)</f>
        <v>131519</v>
      </c>
      <c r="M1516" s="279"/>
      <c r="N1516" s="213">
        <f>SUMIFS(операции!$Z:$Z,операции!$X:$X,"&gt;="&amp;N$8,операции!$X:$X,"&lt;="&amp;N$9,операции!$O:$O,$F1496)</f>
        <v>45779</v>
      </c>
      <c r="O1516" s="216">
        <f>N1516-N1529-N1539</f>
        <v>0</v>
      </c>
      <c r="P1516" s="213">
        <f>SUMIFS(операции!$Z:$Z,операции!$X:$X,"&gt;="&amp;N$8,операции!$X:$X,"&lt;="&amp;N$9,операции!$L:$L,P$9,операции!$O:$O,$F1496)</f>
        <v>27079</v>
      </c>
      <c r="Q1516" s="250">
        <f>SUMIFS(операции!$Z:$Z,операции!$X:$X,"&gt;="&amp;N$8,операции!$X:$X,"&lt;="&amp;N$9,операции!$L:$L,Q$9,операции!$O:$O,$F1496)</f>
        <v>18700</v>
      </c>
      <c r="R1516" s="251"/>
      <c r="S1516" s="213">
        <f>SUMIFS(операции!$Z:$Z,операции!$X:$X,"&gt;="&amp;S$8,операции!$X:$X,"&lt;="&amp;S$9,операции!$O:$O,$F1496)</f>
        <v>109306</v>
      </c>
      <c r="T1516" s="216">
        <f>S1516-S1529-S1539</f>
        <v>0</v>
      </c>
      <c r="U1516" s="213">
        <f>SUMIFS(операции!$Z:$Z,операции!$X:$X,"&gt;="&amp;S$8,операции!$X:$X,"&lt;="&amp;S$9,операции!$L:$L,U$9,операции!$O:$O,$F1496)</f>
        <v>33460</v>
      </c>
      <c r="V1516" s="250">
        <f>SUMIFS(операции!$Z:$Z,операции!$X:$X,"&gt;="&amp;S$8,операции!$X:$X,"&lt;="&amp;S$9,операции!$L:$L,V$9,операции!$O:$O,$F1496)</f>
        <v>75846</v>
      </c>
      <c r="W1516" s="251"/>
      <c r="X1516" s="213">
        <f>SUMIFS(операции!$Z:$Z,операции!$X:$X,"&gt;="&amp;X$8,операции!$X:$X,"&lt;="&amp;X$9,операции!$O:$O,$F1496)</f>
        <v>70907</v>
      </c>
      <c r="Y1516" s="216">
        <f>X1516-X1529-X1539</f>
        <v>0</v>
      </c>
      <c r="Z1516" s="213">
        <f>SUMIFS(операции!$Z:$Z,операции!$X:$X,"&gt;="&amp;X$8,операции!$X:$X,"&lt;="&amp;X$9,операции!$L:$L,Z$9,операции!$O:$O,$F1496)</f>
        <v>33934</v>
      </c>
      <c r="AA1516" s="250">
        <f>SUMIFS(операции!$Z:$Z,операции!$X:$X,"&gt;="&amp;X$8,операции!$X:$X,"&lt;="&amp;X$9,операции!$L:$L,AA$9,операции!$O:$O,$F1496)</f>
        <v>36973</v>
      </c>
      <c r="AB1516" s="264"/>
      <c r="AC1516" s="92"/>
      <c r="AD1516" s="92"/>
      <c r="AE1516" s="92"/>
      <c r="AF1516" s="92"/>
      <c r="AG1516" s="92"/>
      <c r="AH1516" s="92"/>
      <c r="AI1516" s="92"/>
      <c r="AJ1516" s="92"/>
      <c r="AK1516" s="92"/>
      <c r="AL1516" s="92"/>
      <c r="AM1516" s="92"/>
      <c r="AN1516" s="92"/>
      <c r="AO1516" s="92"/>
      <c r="AP1516" s="92"/>
    </row>
    <row r="1517" spans="1:42" s="407" customFormat="1" ht="11.25">
      <c r="A1517" s="404"/>
      <c r="B1517" s="404"/>
      <c r="C1517" s="404"/>
      <c r="D1517" s="405" t="s">
        <v>332</v>
      </c>
      <c r="E1517" s="405"/>
      <c r="F1517" s="405" t="str">
        <f>F1515</f>
        <v>Позитив</v>
      </c>
      <c r="G1517" s="405" t="s">
        <v>218</v>
      </c>
      <c r="H1517" s="408"/>
      <c r="I1517" s="408">
        <f>IF(I$31=0,0,I1516/I$31)</f>
        <v>6.0917963780023378E-2</v>
      </c>
      <c r="J1517" s="409"/>
      <c r="K1517" s="408">
        <f t="shared" ref="K1517" si="2685">IF(K$31=0,0,K1516/K$31)</f>
        <v>7.2566930440273028E-2</v>
      </c>
      <c r="L1517" s="410">
        <f t="shared" ref="L1517" si="2686">IF(L$31=0,0,L1516/L$31)</f>
        <v>5.4619747813656867E-2</v>
      </c>
      <c r="M1517" s="411"/>
      <c r="N1517" s="412">
        <f t="shared" ref="N1517" si="2687">IF(N$31=0,0,N1516/N$31)</f>
        <v>5.906944876342414E-2</v>
      </c>
      <c r="O1517" s="413"/>
      <c r="P1517" s="412">
        <f t="shared" ref="P1517" si="2688">IF(P$31=0,0,P1516/P$31)</f>
        <v>5.4106490620928878E-2</v>
      </c>
      <c r="Q1517" s="414">
        <f t="shared" ref="Q1517" si="2689">IF(Q$31=0,0,Q1516/Q$31)</f>
        <v>6.8117161517810637E-2</v>
      </c>
      <c r="R1517" s="415"/>
      <c r="S1517" s="412">
        <f t="shared" ref="S1517" si="2690">IF(S$31=0,0,S1516/S$31)</f>
        <v>6.1591428386286097E-2</v>
      </c>
      <c r="T1517" s="413"/>
      <c r="U1517" s="412">
        <f t="shared" ref="U1517" si="2691">IF(U$31=0,0,U1516/U$31)</f>
        <v>5.3131773467459564E-2</v>
      </c>
      <c r="V1517" s="414">
        <f t="shared" ref="V1517" si="2692">IF(V$31=0,0,V1516/V$31)</f>
        <v>6.6244519363460097E-2</v>
      </c>
      <c r="W1517" s="415"/>
      <c r="X1517" s="412">
        <f t="shared" ref="X1517" si="2693">IF(X$31=0,0,X1516/X$31)</f>
        <v>6.1122614169047254E-2</v>
      </c>
      <c r="Y1517" s="413"/>
      <c r="Z1517" s="412">
        <f t="shared" ref="Z1517" si="2694">IF(Z$31=0,0,Z1516/Z$31)</f>
        <v>0.19770104227961524</v>
      </c>
      <c r="AA1517" s="414">
        <f t="shared" ref="AA1517" si="2695">IF(AA$31=0,0,AA1516/AA$31)</f>
        <v>3.7405595714437467E-2</v>
      </c>
      <c r="AB1517" s="406"/>
      <c r="AC1517" s="404"/>
      <c r="AD1517" s="404"/>
      <c r="AE1517" s="404"/>
      <c r="AF1517" s="404"/>
      <c r="AG1517" s="404"/>
      <c r="AH1517" s="404"/>
      <c r="AI1517" s="404"/>
      <c r="AJ1517" s="404"/>
      <c r="AK1517" s="404"/>
      <c r="AL1517" s="404"/>
      <c r="AM1517" s="404"/>
      <c r="AN1517" s="404"/>
      <c r="AO1517" s="404"/>
      <c r="AP1517" s="404"/>
    </row>
    <row r="1518" spans="1:42" s="192" customFormat="1" ht="11.25">
      <c r="A1518" s="37"/>
      <c r="B1518" s="37"/>
      <c r="C1518" s="37"/>
      <c r="D1518" s="191" t="s">
        <v>331</v>
      </c>
      <c r="E1518" s="191"/>
      <c r="F1518" s="191" t="str">
        <f>F1516</f>
        <v>Позитив</v>
      </c>
      <c r="G1518" s="191" t="s">
        <v>334</v>
      </c>
      <c r="H1518" s="315"/>
      <c r="I1518" s="329">
        <f>SUMIFS(операции!$R:$R,операции!$X:$X,"&gt;="&amp;I$8,операции!$X:$X,"&lt;="&amp;I$9,операции!$O:$O,$F1496)</f>
        <v>61</v>
      </c>
      <c r="J1518" s="317">
        <f>I1518-K1518-L1518</f>
        <v>0</v>
      </c>
      <c r="K1518" s="329">
        <f>SUMIFS(операции!$R:$R,операции!$X:$X,"&gt;="&amp;I$8,операции!$X:$X,"&lt;="&amp;I$9,операции!$L:$L,K$9,операции!$O:$O,$F1496)</f>
        <v>25</v>
      </c>
      <c r="L1518" s="330">
        <f>SUMIFS(операции!$R:$R,операции!$X:$X,"&gt;="&amp;I$8,операции!$X:$X,"&lt;="&amp;I$9,операции!$L:$L,L$9,операции!$O:$O,$F1496)</f>
        <v>36</v>
      </c>
      <c r="M1518" s="402"/>
      <c r="N1518" s="156">
        <f>SUMIFS(операции!$R:$R,операции!$X:$X,"&gt;="&amp;N$8,операции!$X:$X,"&lt;="&amp;N$9,операции!$O:$O,$F1496)</f>
        <v>13</v>
      </c>
      <c r="O1518" s="196">
        <f t="shared" ref="O1518" si="2696">N1518-P1518-Q1518</f>
        <v>0</v>
      </c>
      <c r="P1518" s="156">
        <f>SUMIFS(операции!$R:$R,операции!$X:$X,"&gt;="&amp;N$8,операции!$X:$X,"&lt;="&amp;N$9,операции!$L:$L,P$9,операции!$O:$O,$F1496)</f>
        <v>8</v>
      </c>
      <c r="Q1518" s="245">
        <f>SUMIFS(операции!$R:$R,операции!$X:$X,"&gt;="&amp;N$8,операции!$X:$X,"&lt;="&amp;N$9,операции!$L:$L,Q$9,операции!$O:$O,$F1496)</f>
        <v>5</v>
      </c>
      <c r="R1518" s="403"/>
      <c r="S1518" s="156">
        <f>SUMIFS(операции!$R:$R,операции!$X:$X,"&gt;="&amp;S$8,операции!$X:$X,"&lt;="&amp;S$9,операции!$O:$O,$F1496)</f>
        <v>30</v>
      </c>
      <c r="T1518" s="196">
        <f t="shared" ref="T1518" si="2697">S1518-U1518-V1518</f>
        <v>0</v>
      </c>
      <c r="U1518" s="156">
        <f>SUMIFS(операции!$R:$R,операции!$X:$X,"&gt;="&amp;S$8,операции!$X:$X,"&lt;="&amp;S$9,операции!$L:$L,U$9,операции!$O:$O,$F1496)</f>
        <v>9</v>
      </c>
      <c r="V1518" s="245">
        <f>SUMIFS(операции!$R:$R,операции!$X:$X,"&gt;="&amp;S$8,операции!$X:$X,"&lt;="&amp;S$9,операции!$L:$L,V$9,операции!$O:$O,$F1496)</f>
        <v>21</v>
      </c>
      <c r="W1518" s="403"/>
      <c r="X1518" s="156">
        <f>SUMIFS(операции!$R:$R,операции!$X:$X,"&gt;="&amp;X$8,операции!$X:$X,"&lt;="&amp;X$9,операции!$O:$O,$F1496)</f>
        <v>18</v>
      </c>
      <c r="Y1518" s="196">
        <f t="shared" ref="Y1518" si="2698">X1518-Z1518-AA1518</f>
        <v>0</v>
      </c>
      <c r="Z1518" s="156">
        <f>SUMIFS(операции!$R:$R,операции!$X:$X,"&gt;="&amp;X$8,операции!$X:$X,"&lt;="&amp;X$9,операции!$L:$L,Z$9,операции!$O:$O,$F1496)</f>
        <v>8</v>
      </c>
      <c r="AA1518" s="245">
        <f>SUMIFS(операции!$R:$R,операции!$X:$X,"&gt;="&amp;X$8,операции!$X:$X,"&lt;="&amp;X$9,операции!$L:$L,AA$9,операции!$O:$O,$F1496)</f>
        <v>10</v>
      </c>
      <c r="AB1518" s="265"/>
      <c r="AC1518" s="37"/>
      <c r="AD1518" s="37"/>
      <c r="AE1518" s="37"/>
      <c r="AF1518" s="37"/>
      <c r="AG1518" s="37"/>
      <c r="AH1518" s="37"/>
      <c r="AI1518" s="37"/>
      <c r="AJ1518" s="37"/>
      <c r="AK1518" s="37"/>
      <c r="AL1518" s="37"/>
      <c r="AM1518" s="37"/>
      <c r="AN1518" s="37"/>
      <c r="AO1518" s="37"/>
      <c r="AP1518" s="37"/>
    </row>
    <row r="1519" spans="1:42" s="192" customFormat="1" ht="11.25">
      <c r="A1519" s="37"/>
      <c r="B1519" s="37"/>
      <c r="C1519" s="37"/>
      <c r="D1519" s="191" t="s">
        <v>333</v>
      </c>
      <c r="E1519" s="191"/>
      <c r="F1519" s="191" t="str">
        <f t="shared" si="2656"/>
        <v>Позитив</v>
      </c>
      <c r="G1519" s="191" t="s">
        <v>261</v>
      </c>
      <c r="H1519" s="315"/>
      <c r="I1519" s="329">
        <f>IF(I1518=0,0,I1516/I1518)</f>
        <v>3704.7868852459014</v>
      </c>
      <c r="J1519" s="317"/>
      <c r="K1519" s="329">
        <f t="shared" ref="K1519" si="2699">IF(K1518=0,0,K1516/K1518)</f>
        <v>3778.92</v>
      </c>
      <c r="L1519" s="330">
        <f t="shared" ref="L1519" si="2700">IF(L1518=0,0,L1516/L1518)</f>
        <v>3653.3055555555557</v>
      </c>
      <c r="M1519" s="402"/>
      <c r="N1519" s="156">
        <f>IF(N1518=0,0,N1516/N1518)</f>
        <v>3521.4615384615386</v>
      </c>
      <c r="O1519" s="196"/>
      <c r="P1519" s="156">
        <f>IF(P1518=0,0,P1516/P1518)</f>
        <v>3384.875</v>
      </c>
      <c r="Q1519" s="245">
        <f>IF(Q1518=0,0,Q1516/Q1518)</f>
        <v>3740</v>
      </c>
      <c r="R1519" s="403"/>
      <c r="S1519" s="156">
        <f>IF(S1518=0,0,S1516/S1518)</f>
        <v>3643.5333333333333</v>
      </c>
      <c r="T1519" s="196"/>
      <c r="U1519" s="156">
        <f>IF(U1518=0,0,U1516/U1518)</f>
        <v>3717.7777777777778</v>
      </c>
      <c r="V1519" s="245">
        <f>IF(V1518=0,0,V1516/V1518)</f>
        <v>3611.7142857142858</v>
      </c>
      <c r="W1519" s="403"/>
      <c r="X1519" s="156">
        <f>IF(X1518=0,0,X1516/X1518)</f>
        <v>3939.2777777777778</v>
      </c>
      <c r="Y1519" s="196"/>
      <c r="Z1519" s="156">
        <f>IF(Z1518=0,0,Z1516/Z1518)</f>
        <v>4241.75</v>
      </c>
      <c r="AA1519" s="245">
        <f>IF(AA1518=0,0,AA1516/AA1518)</f>
        <v>3697.3</v>
      </c>
      <c r="AB1519" s="265"/>
      <c r="AC1519" s="37"/>
      <c r="AD1519" s="37"/>
      <c r="AE1519" s="37"/>
      <c r="AF1519" s="37"/>
      <c r="AG1519" s="37"/>
      <c r="AH1519" s="37"/>
      <c r="AI1519" s="37"/>
      <c r="AJ1519" s="37"/>
      <c r="AK1519" s="37"/>
      <c r="AL1519" s="37"/>
      <c r="AM1519" s="37"/>
      <c r="AN1519" s="37"/>
      <c r="AO1519" s="37"/>
      <c r="AP1519" s="37"/>
    </row>
    <row r="1520" spans="1:42" s="192" customFormat="1" ht="11.25">
      <c r="A1520" s="37"/>
      <c r="B1520" s="37"/>
      <c r="C1520" s="37"/>
      <c r="D1520" s="191" t="s">
        <v>290</v>
      </c>
      <c r="E1520" s="191"/>
      <c r="F1520" s="191" t="str">
        <f>F1516</f>
        <v>Позитив</v>
      </c>
      <c r="G1520" s="191" t="s">
        <v>262</v>
      </c>
      <c r="H1520" s="315"/>
      <c r="I1520" s="316">
        <f>IF(I1516=0,0,SUMIFS(операции!$AG:$AG,операции!$X:$X,"&gt;="&amp;I$8,операции!$X:$X,"&lt;="&amp;I$9,операции!$O:$O,$F1496)/I1516)</f>
        <v>42327.262686289781</v>
      </c>
      <c r="J1520" s="317"/>
      <c r="K1520" s="316">
        <f>IF(K1516=0,0,SUMIFS(операции!$AG:$AG,операции!$X:$X,"&gt;="&amp;I$8,операции!$X:$X,"&lt;="&amp;I$9,операции!$L:$L,K$9,операции!$O:$O,$F1496)/K1516)</f>
        <v>42326.754543626223</v>
      </c>
      <c r="L1520" s="318">
        <f>IF(L1516=0,0,SUMIFS(операции!$AG:$AG,операции!$X:$X,"&gt;="&amp;I$8,операции!$X:$X,"&lt;="&amp;I$9,операции!$L:$L,L$9,операции!$O:$O,$F1496)/L1516)</f>
        <v>42327.627696378469</v>
      </c>
      <c r="M1520" s="274"/>
      <c r="N1520" s="193">
        <f>IF(N1516=0,0,SUMIFS(операции!$AG:$AG,операции!$X:$X,"&gt;="&amp;N$8,операции!$X:$X,"&lt;="&amp;N$9,операции!$O:$O,$F1496)/N1516)</f>
        <v>42301.664737106534</v>
      </c>
      <c r="O1520" s="196"/>
      <c r="P1520" s="193">
        <f>IF(P1516=0,0,SUMIFS(операции!$AG:$AG,операции!$X:$X,"&gt;="&amp;N$8,операции!$X:$X,"&lt;="&amp;N$9,операции!$L:$L,P$9,операции!$O:$O,$F1496)/P1516)</f>
        <v>42299.939805753536</v>
      </c>
      <c r="Q1520" s="237">
        <f>IF(Q1516=0,0,SUMIFS(операции!$AG:$AG,операции!$X:$X,"&gt;="&amp;N$8,операции!$X:$X,"&lt;="&amp;N$9,операции!$L:$L,Q$9,операции!$O:$O,$F1496)/Q1516)</f>
        <v>42304.16256684492</v>
      </c>
      <c r="R1520" s="238"/>
      <c r="S1520" s="193">
        <f>IF(S1516=0,0,SUMIFS(операции!$AG:$AG,операции!$X:$X,"&gt;="&amp;S$8,операции!$X:$X,"&lt;="&amp;S$9,операции!$O:$O,$F1496)/S1516)</f>
        <v>42327.0988692295</v>
      </c>
      <c r="T1520" s="196"/>
      <c r="U1520" s="193">
        <f>IF(U1516=0,0,SUMIFS(операции!$AG:$AG,операции!$X:$X,"&gt;="&amp;S$8,операции!$X:$X,"&lt;="&amp;S$9,операции!$L:$L,U$9,операции!$O:$O,$F1496)/U1516)</f>
        <v>42331.125283921101</v>
      </c>
      <c r="V1520" s="237">
        <f>IF(V1516=0,0,SUMIFS(операции!$AG:$AG,операции!$X:$X,"&gt;="&amp;S$8,операции!$X:$X,"&lt;="&amp;S$9,операции!$L:$L,V$9,операции!$O:$O,$F1496)/V1516)</f>
        <v>42325.322587875431</v>
      </c>
      <c r="W1520" s="238"/>
      <c r="X1520" s="193">
        <f>IF(X1516=0,0,SUMIFS(операции!$AG:$AG,операции!$X:$X,"&gt;="&amp;X$8,операции!$X:$X,"&lt;="&amp;X$9,операции!$O:$O,$F1496)/X1516)</f>
        <v>42344.041773026642</v>
      </c>
      <c r="Y1520" s="196"/>
      <c r="Z1520" s="193">
        <f>IF(Z1516=0,0,SUMIFS(операции!$AG:$AG,операции!$X:$X,"&gt;="&amp;X$8,операции!$X:$X,"&lt;="&amp;X$9,операции!$L:$L,Z$9,операции!$O:$O,$F1496)/Z1516)</f>
        <v>42343.84275358048</v>
      </c>
      <c r="AA1520" s="237">
        <f>IF(AA1516=0,0,SUMIFS(операции!$AG:$AG,операции!$X:$X,"&gt;="&amp;X$8,операции!$X:$X,"&lt;="&amp;X$9,операции!$L:$L,AA$9,операции!$O:$O,$F1496)/AA1516)</f>
        <v>42344.224434046468</v>
      </c>
      <c r="AB1520" s="265"/>
      <c r="AC1520" s="37"/>
      <c r="AD1520" s="37"/>
      <c r="AE1520" s="37"/>
      <c r="AF1520" s="37"/>
      <c r="AG1520" s="37"/>
      <c r="AH1520" s="37"/>
      <c r="AI1520" s="37"/>
      <c r="AJ1520" s="37"/>
      <c r="AK1520" s="37"/>
      <c r="AL1520" s="37"/>
      <c r="AM1520" s="37"/>
      <c r="AN1520" s="37"/>
      <c r="AO1520" s="37"/>
      <c r="AP1520" s="37"/>
    </row>
    <row r="1521" spans="1:42" s="93" customFormat="1" ht="15">
      <c r="A1521" s="92"/>
      <c r="B1521" s="92"/>
      <c r="C1521" s="92"/>
      <c r="D1521" s="151" t="s">
        <v>275</v>
      </c>
      <c r="E1521" s="151"/>
      <c r="F1521" s="151" t="str">
        <f t="shared" si="2656"/>
        <v>Позитив</v>
      </c>
      <c r="G1521" s="151" t="s">
        <v>261</v>
      </c>
      <c r="H1521" s="311"/>
      <c r="I1521" s="312">
        <f>SUMIFS(операции!$V:$V,операции!$X:$X,"&gt;="&amp;I$8,операции!$X:$X,"&lt;="&amp;I$9,операции!$O:$O,$F1496)</f>
        <v>207314.92000000004</v>
      </c>
      <c r="J1521" s="313">
        <f>I1521-I1531-I1541</f>
        <v>0</v>
      </c>
      <c r="K1521" s="312">
        <f>SUMIFS(операции!$V:$V,операции!$X:$X,"&gt;="&amp;I$8,операции!$X:$X,"&lt;="&amp;I$9,операции!$L:$L,K$9,операции!$O:$O,$F1496)</f>
        <v>86797.61000000003</v>
      </c>
      <c r="L1521" s="314">
        <f>SUMIFS(операции!$V:$V,операции!$X:$X,"&gt;="&amp;I$8,операции!$X:$X,"&lt;="&amp;I$9,операции!$L:$L,L$9,операции!$O:$O,$F1496)</f>
        <v>120517.31000000003</v>
      </c>
      <c r="M1521" s="273"/>
      <c r="N1521" s="152">
        <f>SUMIFS(операции!$V:$V,операции!$X:$X,"&gt;="&amp;N$8,операции!$X:$X,"&lt;="&amp;N$9,операции!$O:$O,$F1496)</f>
        <v>42997.03</v>
      </c>
      <c r="O1521" s="170">
        <f>N1521-N1531-N1541</f>
        <v>0</v>
      </c>
      <c r="P1521" s="152">
        <f>SUMIFS(операции!$V:$V,операции!$X:$X,"&gt;="&amp;N$8,операции!$X:$X,"&lt;="&amp;N$9,операции!$L:$L,P$9,операции!$O:$O,$F1496)</f>
        <v>25436.570000000003</v>
      </c>
      <c r="Q1521" s="235">
        <f>SUMIFS(операции!$V:$V,операции!$X:$X,"&gt;="&amp;N$8,операции!$X:$X,"&lt;="&amp;N$9,операции!$L:$L,Q$9,операции!$O:$O,$F1496)</f>
        <v>17560.46</v>
      </c>
      <c r="R1521" s="236"/>
      <c r="S1521" s="152">
        <f>SUMIFS(операции!$V:$V,операции!$X:$X,"&gt;="&amp;S$8,операции!$X:$X,"&lt;="&amp;S$9,операции!$O:$O,$F1496)</f>
        <v>100494.78000000003</v>
      </c>
      <c r="T1521" s="170">
        <f>S1521-S1531-S1541</f>
        <v>0</v>
      </c>
      <c r="U1521" s="152">
        <f>SUMIFS(операции!$V:$V,операции!$X:$X,"&gt;="&amp;S$8,операции!$X:$X,"&lt;="&amp;S$9,операции!$L:$L,U$9,операции!$O:$O,$F1496)</f>
        <v>31769.93</v>
      </c>
      <c r="V1521" s="235">
        <f>SUMIFS(операции!$V:$V,операции!$X:$X,"&gt;="&amp;S$8,операции!$X:$X,"&lt;="&amp;S$9,операции!$L:$L,V$9,операции!$O:$O,$F1496)</f>
        <v>68724.850000000006</v>
      </c>
      <c r="W1521" s="236"/>
      <c r="X1521" s="152">
        <f>SUMIFS(операции!$V:$V,операции!$X:$X,"&gt;="&amp;X$8,операции!$X:$X,"&lt;="&amp;X$9,операции!$O:$O,$F1496)</f>
        <v>63823.11</v>
      </c>
      <c r="Y1521" s="170">
        <f>X1521-X1531-X1541</f>
        <v>0</v>
      </c>
      <c r="Z1521" s="152">
        <f>SUMIFS(операции!$V:$V,операции!$X:$X,"&gt;="&amp;X$8,операции!$X:$X,"&lt;="&amp;X$9,операции!$L:$L,Z$9,операции!$O:$O,$F1496)</f>
        <v>29591.109999999997</v>
      </c>
      <c r="AA1521" s="235">
        <f>SUMIFS(операции!$V:$V,операции!$X:$X,"&gt;="&amp;X$8,операции!$X:$X,"&lt;="&amp;X$9,операции!$L:$L,AA$9,операции!$O:$O,$F1496)</f>
        <v>34232</v>
      </c>
      <c r="AB1521" s="264"/>
      <c r="AC1521" s="92"/>
      <c r="AD1521" s="92"/>
      <c r="AE1521" s="92"/>
      <c r="AF1521" s="92"/>
      <c r="AG1521" s="92"/>
      <c r="AH1521" s="92"/>
      <c r="AI1521" s="92"/>
      <c r="AJ1521" s="92"/>
      <c r="AK1521" s="92"/>
      <c r="AL1521" s="92"/>
      <c r="AM1521" s="92"/>
      <c r="AN1521" s="92"/>
      <c r="AO1521" s="92"/>
      <c r="AP1521" s="92"/>
    </row>
    <row r="1522" spans="1:42" s="192" customFormat="1" ht="11.25">
      <c r="A1522" s="37"/>
      <c r="B1522" s="37"/>
      <c r="C1522" s="37"/>
      <c r="D1522" s="191" t="s">
        <v>291</v>
      </c>
      <c r="E1522" s="191"/>
      <c r="F1522" s="191" t="str">
        <f t="shared" si="2656"/>
        <v>Позитив</v>
      </c>
      <c r="G1522" s="191" t="s">
        <v>262</v>
      </c>
      <c r="H1522" s="315"/>
      <c r="I1522" s="316">
        <f>IF(I1521=0,0,SUMIFS(операции!$AF:$AF,операции!$X:$X,"&gt;="&amp;I$8,операции!$X:$X,"&lt;="&amp;I$9,операции!$O:$O,$F1496)/I1521)</f>
        <v>42271.203375087505</v>
      </c>
      <c r="J1522" s="317"/>
      <c r="K1522" s="316">
        <f>IF(K1521=0,0,SUMIFS(операции!$AF:$AF,операции!$X:$X,"&gt;="&amp;I$8,операции!$X:$X,"&lt;="&amp;I$9,операции!$L:$L,K$9,операции!$O:$O,$F1496)/K1521)</f>
        <v>42202.692785434985</v>
      </c>
      <c r="L1522" s="318">
        <f>IF(L1521=0,0,SUMIFS(операции!$AF:$AF,операции!$X:$X,"&gt;="&amp;I$8,операции!$X:$X,"&lt;="&amp;I$9,операции!$L:$L,L$9,операции!$O:$O,$F1496)/L1521)</f>
        <v>42320.545294862612</v>
      </c>
      <c r="M1522" s="274"/>
      <c r="N1522" s="193">
        <f>IF(N1521=0,0,SUMIFS(операции!$AF:$AF,операции!$X:$X,"&gt;="&amp;N$8,операции!$X:$X,"&lt;="&amp;N$9,операции!$O:$O,$F1496)/N1521)</f>
        <v>42244.185560025886</v>
      </c>
      <c r="O1522" s="196"/>
      <c r="P1522" s="193">
        <f>IF(P1521=0,0,SUMIFS(операции!$AF:$AF,операции!$X:$X,"&gt;="&amp;N$8,операции!$X:$X,"&lt;="&amp;N$9,операции!$L:$L,P$9,операции!$O:$O,$F1496)/P1521)</f>
        <v>42205.347231564629</v>
      </c>
      <c r="Q1522" s="237">
        <f>IF(Q1521=0,0,SUMIFS(операции!$AF:$AF,операции!$X:$X,"&gt;="&amp;N$8,операции!$X:$X,"&lt;="&amp;N$9,операции!$L:$L,Q$9,операции!$O:$O,$F1496)/Q1521)</f>
        <v>42300.443417769231</v>
      </c>
      <c r="R1522" s="238"/>
      <c r="S1522" s="193">
        <f>IF(S1521=0,0,SUMIFS(операции!$AF:$AF,операции!$X:$X,"&gt;="&amp;S$8,операции!$X:$X,"&lt;="&amp;S$9,операции!$O:$O,$F1496)/S1521)</f>
        <v>42290.086292044209</v>
      </c>
      <c r="T1522" s="196"/>
      <c r="U1522" s="193">
        <f>IF(U1521=0,0,SUMIFS(операции!$AF:$AF,операции!$X:$X,"&gt;="&amp;S$8,операции!$X:$X,"&lt;="&amp;S$9,операции!$L:$L,U$9,операции!$O:$O,$F1496)/U1521)</f>
        <v>42228.756375918987</v>
      </c>
      <c r="V1522" s="237">
        <f>IF(V1521=0,0,SUMIFS(операции!$AF:$AF,операции!$X:$X,"&gt;="&amp;S$8,операции!$X:$X,"&lt;="&amp;S$9,операции!$L:$L,V$9,операции!$O:$O,$F1496)/V1521)</f>
        <v>42318.437712850588</v>
      </c>
      <c r="W1522" s="238"/>
      <c r="X1522" s="193">
        <f>IF(X1521=0,0,SUMIFS(операции!$AF:$AF,операции!$X:$X,"&gt;="&amp;X$8,операции!$X:$X,"&lt;="&amp;X$9,операции!$O:$O,$F1496)/X1521)</f>
        <v>42259.672304593114</v>
      </c>
      <c r="Y1522" s="196"/>
      <c r="Z1522" s="193">
        <f>IF(Z1521=0,0,SUMIFS(операции!$AF:$AF,операции!$X:$X,"&gt;="&amp;X$8,операции!$X:$X,"&lt;="&amp;X$9,операции!$L:$L,Z$9,операции!$O:$O,$F1496)/Z1521)</f>
        <v>42172.428342836756</v>
      </c>
      <c r="AA1522" s="237">
        <f>IF(AA1521=0,0,SUMIFS(операции!$AF:$AF,операции!$X:$X,"&gt;="&amp;X$8,операции!$X:$X,"&lt;="&amp;X$9,операции!$L:$L,AA$9,операции!$O:$O,$F1496)/AA1521)</f>
        <v>42335.08845524655</v>
      </c>
      <c r="AB1522" s="265"/>
      <c r="AC1522" s="37"/>
      <c r="AD1522" s="37"/>
      <c r="AE1522" s="37"/>
      <c r="AF1522" s="37"/>
      <c r="AG1522" s="37"/>
      <c r="AH1522" s="37"/>
      <c r="AI1522" s="37"/>
      <c r="AJ1522" s="37"/>
      <c r="AK1522" s="37"/>
      <c r="AL1522" s="37"/>
      <c r="AM1522" s="37"/>
      <c r="AN1522" s="37"/>
      <c r="AO1522" s="37"/>
      <c r="AP1522" s="37"/>
    </row>
    <row r="1523" spans="1:42" s="192" customFormat="1" ht="11.25">
      <c r="A1523" s="37"/>
      <c r="B1523" s="37"/>
      <c r="C1523" s="37"/>
      <c r="D1523" s="191" t="s">
        <v>308</v>
      </c>
      <c r="E1523" s="191"/>
      <c r="F1523" s="191" t="str">
        <f t="shared" si="2656"/>
        <v>Позитив</v>
      </c>
      <c r="G1523" s="191" t="s">
        <v>262</v>
      </c>
      <c r="H1523" s="315"/>
      <c r="I1523" s="316">
        <f>IF(I1521=0,0,(I1531*I1533+I1541*I1543)/I1521)</f>
        <v>42333.826733840462</v>
      </c>
      <c r="J1523" s="317"/>
      <c r="K1523" s="316">
        <f t="shared" ref="K1523:L1523" si="2701">IF(K1521=0,0,(K1531*K1533+K1541*K1543)/K1521)</f>
        <v>42311.971324786457</v>
      </c>
      <c r="L1523" s="318">
        <f t="shared" si="2701"/>
        <v>42349.567188646994</v>
      </c>
      <c r="M1523" s="274"/>
      <c r="N1523" s="193">
        <f>IF(N1521=0,0,(N1531*N1533+N1541*N1543)/N1521)</f>
        <v>42304.658594558743</v>
      </c>
      <c r="O1523" s="196"/>
      <c r="P1523" s="193">
        <f t="shared" ref="P1523:Q1523" si="2702">IF(P1521=0,0,(P1531*P1533+P1541*P1543)/P1521)</f>
        <v>42287.850795527847</v>
      </c>
      <c r="Q1523" s="237">
        <f t="shared" si="2702"/>
        <v>42329.004924700159</v>
      </c>
      <c r="R1523" s="238"/>
      <c r="S1523" s="193">
        <f>IF(S1521=0,0,(S1531*S1533+S1541*S1543)/S1521)</f>
        <v>42332.798944382965</v>
      </c>
      <c r="T1523" s="196"/>
      <c r="U1523" s="193">
        <f t="shared" ref="U1523:V1523" si="2703">IF(U1521=0,0,(U1531*U1533+U1541*U1543)/U1521)</f>
        <v>42314.254664394917</v>
      </c>
      <c r="V1523" s="237">
        <f t="shared" si="2703"/>
        <v>42341.371541880413</v>
      </c>
      <c r="W1523" s="238"/>
      <c r="X1523" s="193">
        <f>IF(X1521=0,0,(X1531*X1533+X1541*X1543)/X1521)</f>
        <v>42331.273625807327</v>
      </c>
      <c r="Y1523" s="196"/>
      <c r="Z1523" s="193">
        <f t="shared" ref="Z1523:AA1523" si="2704">IF(Z1521=0,0,(Z1531*Z1533+Z1541*Z1543)/Z1521)</f>
        <v>42296.233397800897</v>
      </c>
      <c r="AA1523" s="237">
        <f t="shared" si="2704"/>
        <v>42361.563390979201</v>
      </c>
      <c r="AB1523" s="265"/>
      <c r="AC1523" s="37"/>
      <c r="AD1523" s="37"/>
      <c r="AE1523" s="37"/>
      <c r="AF1523" s="37"/>
      <c r="AG1523" s="37"/>
      <c r="AH1523" s="37"/>
      <c r="AI1523" s="37"/>
      <c r="AJ1523" s="37"/>
      <c r="AK1523" s="37"/>
      <c r="AL1523" s="37"/>
      <c r="AM1523" s="37"/>
      <c r="AN1523" s="37"/>
      <c r="AO1523" s="37"/>
      <c r="AP1523" s="37"/>
    </row>
    <row r="1524" spans="1:42" s="93" customFormat="1" ht="15">
      <c r="A1524" s="92"/>
      <c r="B1524" s="92"/>
      <c r="C1524" s="92"/>
      <c r="D1524" s="151" t="s">
        <v>278</v>
      </c>
      <c r="E1524" s="151"/>
      <c r="F1524" s="151" t="str">
        <f t="shared" si="2656"/>
        <v>Позитив</v>
      </c>
      <c r="G1524" s="151" t="s">
        <v>261</v>
      </c>
      <c r="H1524" s="311"/>
      <c r="I1524" s="312">
        <f>I1516-I1521</f>
        <v>18677.079999999958</v>
      </c>
      <c r="J1524" s="313">
        <f>I1524-K1524-L1524</f>
        <v>1.4551915228366852E-11</v>
      </c>
      <c r="K1524" s="312">
        <f t="shared" ref="K1524:L1524" si="2705">K1516-K1521</f>
        <v>7675.3899999999703</v>
      </c>
      <c r="L1524" s="314">
        <f t="shared" si="2705"/>
        <v>11001.689999999973</v>
      </c>
      <c r="M1524" s="273"/>
      <c r="N1524" s="152">
        <f>N1516-N1521</f>
        <v>2781.9700000000012</v>
      </c>
      <c r="O1524" s="170">
        <f>N1524-P1524-Q1524</f>
        <v>3.637978807091713E-12</v>
      </c>
      <c r="P1524" s="152">
        <f t="shared" ref="P1524:Q1524" si="2706">P1516-P1521</f>
        <v>1642.4299999999967</v>
      </c>
      <c r="Q1524" s="235">
        <f t="shared" si="2706"/>
        <v>1139.5400000000009</v>
      </c>
      <c r="R1524" s="236"/>
      <c r="S1524" s="152">
        <f>S1516-S1521</f>
        <v>8811.2199999999721</v>
      </c>
      <c r="T1524" s="170">
        <f>S1524-U1524-V1524</f>
        <v>-2.1827872842550278E-11</v>
      </c>
      <c r="U1524" s="152">
        <f t="shared" ref="U1524:V1524" si="2707">U1516-U1521</f>
        <v>1690.0699999999997</v>
      </c>
      <c r="V1524" s="235">
        <f t="shared" si="2707"/>
        <v>7121.1499999999942</v>
      </c>
      <c r="W1524" s="236"/>
      <c r="X1524" s="152">
        <f>X1516-X1521</f>
        <v>7083.8899999999994</v>
      </c>
      <c r="Y1524" s="170">
        <f>X1524-Z1524-AA1524</f>
        <v>-3.637978807091713E-12</v>
      </c>
      <c r="Z1524" s="152">
        <f t="shared" ref="Z1524:AA1524" si="2708">Z1516-Z1521</f>
        <v>4342.8900000000031</v>
      </c>
      <c r="AA1524" s="235">
        <f t="shared" si="2708"/>
        <v>2741</v>
      </c>
      <c r="AB1524" s="264"/>
      <c r="AC1524" s="92"/>
      <c r="AD1524" s="92"/>
      <c r="AE1524" s="92"/>
      <c r="AF1524" s="92"/>
      <c r="AG1524" s="92"/>
      <c r="AH1524" s="92"/>
      <c r="AI1524" s="92"/>
      <c r="AJ1524" s="92"/>
      <c r="AK1524" s="92"/>
      <c r="AL1524" s="92"/>
      <c r="AM1524" s="92"/>
      <c r="AN1524" s="92"/>
      <c r="AO1524" s="92"/>
      <c r="AP1524" s="92"/>
    </row>
    <row r="1525" spans="1:42" s="211" customFormat="1">
      <c r="A1525" s="210"/>
      <c r="B1525" s="210"/>
      <c r="C1525" s="210"/>
      <c r="D1525" s="218" t="s">
        <v>277</v>
      </c>
      <c r="E1525" s="218"/>
      <c r="F1525" s="218" t="str">
        <f t="shared" si="2656"/>
        <v>Позитив</v>
      </c>
      <c r="G1525" s="218" t="s">
        <v>218</v>
      </c>
      <c r="H1525" s="343"/>
      <c r="I1525" s="344">
        <f>IF(I1516=0,0,(I1524/I1516))</f>
        <v>8.2644872384862997E-2</v>
      </c>
      <c r="J1525" s="345"/>
      <c r="K1525" s="344">
        <f t="shared" ref="K1525" si="2709">IF(K1516=0,0,(K1524/K1516))</f>
        <v>8.1244270849872138E-2</v>
      </c>
      <c r="L1525" s="346">
        <f t="shared" ref="L1525" si="2710">IF(L1516=0,0,(L1524/L1516))</f>
        <v>8.3650955375268773E-2</v>
      </c>
      <c r="M1525" s="280"/>
      <c r="N1525" s="219">
        <f>IF(N1516=0,0,(N1524/N1516))</f>
        <v>6.0769566831953538E-2</v>
      </c>
      <c r="O1525" s="220"/>
      <c r="P1525" s="219">
        <f t="shared" ref="P1525" si="2711">IF(P1516=0,0,(P1524/P1516))</f>
        <v>6.0653273754569838E-2</v>
      </c>
      <c r="Q1525" s="252">
        <f t="shared" ref="Q1525" si="2712">IF(Q1516=0,0,(Q1524/Q1516))</f>
        <v>6.0937967914438548E-2</v>
      </c>
      <c r="R1525" s="253"/>
      <c r="S1525" s="219">
        <f>IF(S1516=0,0,(S1524/S1516))</f>
        <v>8.0610579474136565E-2</v>
      </c>
      <c r="T1525" s="220"/>
      <c r="U1525" s="219">
        <f t="shared" ref="U1525" si="2713">IF(U1516=0,0,(U1524/U1516))</f>
        <v>5.0510161386730416E-2</v>
      </c>
      <c r="V1525" s="252">
        <f t="shared" ref="V1525" si="2714">IF(V1516=0,0,(V1524/V1516))</f>
        <v>9.3889592068137989E-2</v>
      </c>
      <c r="W1525" s="253"/>
      <c r="X1525" s="219">
        <f>IF(X1516=0,0,(X1524/X1516))</f>
        <v>9.9903958706474671E-2</v>
      </c>
      <c r="Y1525" s="220"/>
      <c r="Z1525" s="219">
        <f t="shared" ref="Z1525" si="2715">IF(Z1516=0,0,(Z1524/Z1516))</f>
        <v>0.12798049154240593</v>
      </c>
      <c r="AA1525" s="252">
        <f t="shared" ref="AA1525" si="2716">IF(AA1516=0,0,(AA1524/AA1516))</f>
        <v>7.413517972574582E-2</v>
      </c>
      <c r="AB1525" s="267"/>
      <c r="AC1525" s="210"/>
      <c r="AD1525" s="210"/>
      <c r="AE1525" s="210"/>
      <c r="AF1525" s="210"/>
      <c r="AG1525" s="210"/>
      <c r="AH1525" s="210"/>
      <c r="AI1525" s="210"/>
      <c r="AJ1525" s="210"/>
      <c r="AK1525" s="210"/>
      <c r="AL1525" s="210"/>
      <c r="AM1525" s="210"/>
      <c r="AN1525" s="210"/>
      <c r="AO1525" s="210"/>
      <c r="AP1525" s="210"/>
    </row>
    <row r="1526" spans="1:42" s="93" customFormat="1" ht="15">
      <c r="A1526" s="92"/>
      <c r="B1526" s="92"/>
      <c r="C1526" s="92"/>
      <c r="D1526" s="198" t="s">
        <v>220</v>
      </c>
      <c r="E1526" s="198"/>
      <c r="F1526" s="198" t="str">
        <f t="shared" si="2656"/>
        <v>Позитив</v>
      </c>
      <c r="G1526" s="198" t="s">
        <v>219</v>
      </c>
      <c r="H1526" s="323"/>
      <c r="I1526" s="324">
        <f>I1520-I1522</f>
        <v>56.059311202276149</v>
      </c>
      <c r="J1526" s="321">
        <f>I1526-SUMIFS(ПОбТЗ!$I:$I,ПОбТЗ!$E:$E,$D1526,ПОбТЗ!$F:$F,$F1526)</f>
        <v>0</v>
      </c>
      <c r="K1526" s="324">
        <f t="shared" ref="K1526:L1526" si="2717">K1520-K1522</f>
        <v>124.06175819123746</v>
      </c>
      <c r="L1526" s="325">
        <f t="shared" si="2717"/>
        <v>7.0824015158577822</v>
      </c>
      <c r="M1526" s="276"/>
      <c r="N1526" s="199">
        <f>N1520-N1522</f>
        <v>57.479177080647787</v>
      </c>
      <c r="O1526" s="173">
        <f>N1526-SUMIFS(ПОбТЗ_3!$J:$J,ПОбТЗ_3!$D:$D,$D1526,ПОбТЗ_3!$E:$E,$F1526)</f>
        <v>0</v>
      </c>
      <c r="P1526" s="199">
        <f t="shared" ref="P1526:Q1526" si="2718">P1520-P1522</f>
        <v>94.592574188907747</v>
      </c>
      <c r="Q1526" s="241">
        <f t="shared" si="2718"/>
        <v>3.7191490756886196</v>
      </c>
      <c r="R1526" s="242"/>
      <c r="S1526" s="199">
        <f>S1520-S1522</f>
        <v>37.012577185290866</v>
      </c>
      <c r="T1526" s="173">
        <f>S1526-SUMIFS(ПОбТЗ_3!$K:$K,ПОбТЗ_3!$D:$D,$D1526,ПОбТЗ_3!$E:$E,$F1526)</f>
        <v>0</v>
      </c>
      <c r="U1526" s="199">
        <f t="shared" ref="U1526:V1526" si="2719">U1520-U1522</f>
        <v>102.36890800211404</v>
      </c>
      <c r="V1526" s="241">
        <f t="shared" si="2719"/>
        <v>6.8848750248434953</v>
      </c>
      <c r="W1526" s="242"/>
      <c r="X1526" s="199">
        <f>X1520-X1522</f>
        <v>84.3694684335278</v>
      </c>
      <c r="Y1526" s="173">
        <f>X1526-SUMIFS(ПОбТЗ_3!$L:$L,ПОбТЗ_3!$D:$D,$D1526,ПОбТЗ_3!$E:$E,$F1526)</f>
        <v>0</v>
      </c>
      <c r="Z1526" s="199">
        <f t="shared" ref="Z1526:AA1526" si="2720">Z1520-Z1522</f>
        <v>171.41441074372415</v>
      </c>
      <c r="AA1526" s="241">
        <f t="shared" si="2720"/>
        <v>9.1359787999172113</v>
      </c>
      <c r="AB1526" s="264"/>
      <c r="AC1526" s="92"/>
      <c r="AD1526" s="92"/>
      <c r="AE1526" s="92"/>
      <c r="AF1526" s="92"/>
      <c r="AG1526" s="92"/>
      <c r="AH1526" s="92"/>
      <c r="AI1526" s="92"/>
      <c r="AJ1526" s="92"/>
      <c r="AK1526" s="92"/>
      <c r="AL1526" s="92"/>
      <c r="AM1526" s="92"/>
      <c r="AN1526" s="92"/>
      <c r="AO1526" s="92"/>
      <c r="AP1526" s="92"/>
    </row>
    <row r="1527" spans="1:42" s="5" customFormat="1">
      <c r="A1527" s="1"/>
      <c r="B1527" s="1"/>
      <c r="C1527" s="1"/>
      <c r="D1527" s="227" t="s">
        <v>309</v>
      </c>
      <c r="E1527" s="227"/>
      <c r="F1527" s="227" t="str">
        <f t="shared" si="2656"/>
        <v>Позитив</v>
      </c>
      <c r="G1527" s="227" t="s">
        <v>219</v>
      </c>
      <c r="H1527" s="347"/>
      <c r="I1527" s="348">
        <f>I1523-I1522</f>
        <v>62.623358752956847</v>
      </c>
      <c r="J1527" s="321"/>
      <c r="K1527" s="348">
        <f t="shared" ref="K1527:L1527" si="2721">K1523-K1522</f>
        <v>109.27853935147141</v>
      </c>
      <c r="L1527" s="349">
        <f t="shared" si="2721"/>
        <v>29.021893784381973</v>
      </c>
      <c r="M1527" s="281"/>
      <c r="N1527" s="228">
        <f>N1523-N1522</f>
        <v>60.473034532857127</v>
      </c>
      <c r="O1527" s="173"/>
      <c r="P1527" s="228">
        <f t="shared" ref="P1527:Q1527" si="2722">P1523-P1522</f>
        <v>82.503563963218767</v>
      </c>
      <c r="Q1527" s="254">
        <f t="shared" si="2722"/>
        <v>28.561506930927862</v>
      </c>
      <c r="R1527" s="255"/>
      <c r="S1527" s="228">
        <f>S1523-S1522</f>
        <v>42.712652338756016</v>
      </c>
      <c r="T1527" s="173"/>
      <c r="U1527" s="228">
        <f t="shared" ref="U1527:V1527" si="2723">U1523-U1522</f>
        <v>85.498288475930167</v>
      </c>
      <c r="V1527" s="254">
        <f t="shared" si="2723"/>
        <v>22.933829029825574</v>
      </c>
      <c r="W1527" s="255"/>
      <c r="X1527" s="228">
        <f>X1523-X1522</f>
        <v>71.601321214213385</v>
      </c>
      <c r="Y1527" s="173"/>
      <c r="Z1527" s="228">
        <f t="shared" ref="Z1527:AA1527" si="2724">Z1523-Z1522</f>
        <v>123.80505496414116</v>
      </c>
      <c r="AA1527" s="254">
        <f t="shared" si="2724"/>
        <v>26.47493573265092</v>
      </c>
      <c r="AB1527" s="266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</row>
    <row r="1528" spans="1:42" s="5" customFormat="1">
      <c r="A1528" s="1"/>
      <c r="B1528" s="1"/>
      <c r="C1528" s="1"/>
      <c r="D1528" s="225" t="s">
        <v>310</v>
      </c>
      <c r="E1528" s="225"/>
      <c r="F1528" s="225" t="str">
        <f t="shared" si="2656"/>
        <v>Позитив</v>
      </c>
      <c r="G1528" s="225" t="s">
        <v>219</v>
      </c>
      <c r="H1528" s="350"/>
      <c r="I1528" s="351">
        <f>I1526-I1527</f>
        <v>-6.5640475506806979</v>
      </c>
      <c r="J1528" s="352"/>
      <c r="K1528" s="351">
        <f t="shared" ref="K1528" si="2725">K1526-K1527</f>
        <v>14.78321883976605</v>
      </c>
      <c r="L1528" s="353">
        <f t="shared" ref="L1528" si="2726">L1526-L1527</f>
        <v>-21.939492268524191</v>
      </c>
      <c r="M1528" s="282"/>
      <c r="N1528" s="226">
        <f>N1526-N1527</f>
        <v>-2.9938574522093404</v>
      </c>
      <c r="O1528" s="181"/>
      <c r="P1528" s="226">
        <f t="shared" ref="P1528" si="2727">P1526-P1527</f>
        <v>12.08901022568898</v>
      </c>
      <c r="Q1528" s="256">
        <f t="shared" ref="Q1528" si="2728">Q1526-Q1527</f>
        <v>-24.842357855239243</v>
      </c>
      <c r="R1528" s="257"/>
      <c r="S1528" s="226">
        <f>S1526-S1527</f>
        <v>-5.7000751534651499</v>
      </c>
      <c r="T1528" s="181"/>
      <c r="U1528" s="226">
        <f t="shared" ref="U1528" si="2729">U1526-U1527</f>
        <v>16.870619526183873</v>
      </c>
      <c r="V1528" s="256">
        <f t="shared" ref="V1528" si="2730">V1526-V1527</f>
        <v>-16.048954004982079</v>
      </c>
      <c r="W1528" s="257"/>
      <c r="X1528" s="226">
        <f>X1526-X1527</f>
        <v>12.768147219314415</v>
      </c>
      <c r="Y1528" s="181"/>
      <c r="Z1528" s="226">
        <f t="shared" ref="Z1528" si="2731">Z1526-Z1527</f>
        <v>47.609355779582984</v>
      </c>
      <c r="AA1528" s="256">
        <f t="shared" ref="AA1528" si="2732">AA1526-AA1527</f>
        <v>-17.338956932733709</v>
      </c>
      <c r="AB1528" s="266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</row>
    <row r="1529" spans="1:42" s="5" customFormat="1">
      <c r="A1529" s="1"/>
      <c r="B1529" s="1"/>
      <c r="C1529" s="1"/>
      <c r="D1529" s="223"/>
      <c r="E1529" s="223" t="s">
        <v>293</v>
      </c>
      <c r="F1529" s="223" t="str">
        <f t="shared" si="2656"/>
        <v>Позитив</v>
      </c>
      <c r="G1529" s="223" t="s">
        <v>261</v>
      </c>
      <c r="H1529" s="354"/>
      <c r="I1529" s="355">
        <f>SUMIFS(операции!$Z:$Z,операции!$X:$X,"&gt;="&amp;I$8,операции!$X:$X,"&lt;="&amp;I$9,операции!$AB:$AB,"&lt;&gt;"&amp;"",операции!$O:$O,$F1496)</f>
        <v>157647</v>
      </c>
      <c r="J1529" s="341">
        <f>I1529-K1529-L1529</f>
        <v>0</v>
      </c>
      <c r="K1529" s="355">
        <f>SUMIFS(операции!$Z:$Z,операции!$X:$X,"&gt;="&amp;I$8,операции!$X:$X,"&lt;="&amp;I$9,операции!$AB:$AB,"&lt;&gt;"&amp;"",операции!$L:$L,K$9,операции!$O:$O,$F1496)</f>
        <v>58660</v>
      </c>
      <c r="L1529" s="356">
        <f>SUMIFS(операции!$Z:$Z,операции!$X:$X,"&gt;="&amp;I$8,операции!$X:$X,"&lt;="&amp;I$9,операции!$AB:$AB,"&lt;&gt;"&amp;"",операции!$L:$L,L$9,операции!$O:$O,$F1496)</f>
        <v>98987</v>
      </c>
      <c r="M1529" s="283"/>
      <c r="N1529" s="224">
        <f>SUMIFS(операции!$Z:$Z,операции!$X:$X,"&gt;="&amp;N$8,операции!$X:$X,"&lt;="&amp;N$9,операции!$AB:$AB,"&lt;&gt;"&amp;"",операции!$O:$O,$F1496)</f>
        <v>32891</v>
      </c>
      <c r="O1529" s="216">
        <f>N1529-P1529-Q1529</f>
        <v>0</v>
      </c>
      <c r="P1529" s="224">
        <f>SUMIFS(операции!$Z:$Z,операции!$X:$X,"&gt;="&amp;N$8,операции!$X:$X,"&lt;="&amp;N$9,операции!$AB:$AB,"&lt;&gt;"&amp;"",операции!$L:$L,P$9,операции!$O:$O,$F1496)</f>
        <v>14191</v>
      </c>
      <c r="Q1529" s="258">
        <f>SUMIFS(операции!$Z:$Z,операции!$X:$X,"&gt;="&amp;N$8,операции!$X:$X,"&lt;="&amp;N$9,операции!$AB:$AB,"&lt;&gt;"&amp;"",операции!$L:$L,Q$9,операции!$O:$O,$F1496)</f>
        <v>18700</v>
      </c>
      <c r="R1529" s="259"/>
      <c r="S1529" s="224">
        <f>SUMIFS(операции!$Z:$Z,операции!$X:$X,"&gt;="&amp;S$8,операции!$X:$X,"&lt;="&amp;S$9,операции!$AB:$AB,"&lt;&gt;"&amp;"",операции!$O:$O,$F1496)</f>
        <v>80431</v>
      </c>
      <c r="T1529" s="216">
        <f>S1529-U1529-V1529</f>
        <v>0</v>
      </c>
      <c r="U1529" s="224">
        <f>SUMIFS(операции!$Z:$Z,операции!$X:$X,"&gt;="&amp;S$8,операции!$X:$X,"&lt;="&amp;S$9,операции!$AB:$AB,"&lt;&gt;"&amp;"",операции!$L:$L,U$9,операции!$O:$O,$F1496)</f>
        <v>23019</v>
      </c>
      <c r="V1529" s="258">
        <f>SUMIFS(операции!$Z:$Z,операции!$X:$X,"&gt;="&amp;S$8,операции!$X:$X,"&lt;="&amp;S$9,операции!$AB:$AB,"&lt;&gt;"&amp;"",операции!$L:$L,V$9,операции!$O:$O,$F1496)</f>
        <v>57412</v>
      </c>
      <c r="W1529" s="259"/>
      <c r="X1529" s="224">
        <f>SUMIFS(операции!$Z:$Z,операции!$X:$X,"&gt;="&amp;X$8,операции!$X:$X,"&lt;="&amp;X$9,операции!$AB:$AB,"&lt;&gt;"&amp;"",операции!$O:$O,$F1496)</f>
        <v>44325</v>
      </c>
      <c r="Y1529" s="216">
        <f>X1529-Z1529-AA1529</f>
        <v>0</v>
      </c>
      <c r="Z1529" s="224">
        <f>SUMIFS(операции!$Z:$Z,операции!$X:$X,"&gt;="&amp;X$8,операции!$X:$X,"&lt;="&amp;X$9,операции!$AB:$AB,"&lt;&gt;"&amp;"",операции!$L:$L,Z$9,операции!$O:$O,$F1496)</f>
        <v>21450</v>
      </c>
      <c r="AA1529" s="258">
        <f>SUMIFS(операции!$Z:$Z,операции!$X:$X,"&gt;="&amp;X$8,операции!$X:$X,"&lt;="&amp;X$9,операции!$AB:$AB,"&lt;&gt;"&amp;"",операции!$L:$L,AA$9,операции!$O:$O,$F1496)</f>
        <v>22875</v>
      </c>
      <c r="AB1529" s="266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</row>
    <row r="1530" spans="1:42" s="192" customFormat="1" ht="11.25">
      <c r="A1530" s="37"/>
      <c r="B1530" s="37"/>
      <c r="C1530" s="37"/>
      <c r="D1530" s="191"/>
      <c r="E1530" s="191" t="s">
        <v>295</v>
      </c>
      <c r="F1530" s="191" t="str">
        <f t="shared" si="2656"/>
        <v>Позитив</v>
      </c>
      <c r="G1530" s="191" t="s">
        <v>262</v>
      </c>
      <c r="H1530" s="315"/>
      <c r="I1530" s="316">
        <f>IF(I1529=0,0,SUMIFS(операции!$AG:$AG,операции!$X:$X,"&gt;="&amp;I$8,операции!$X:$X,"&lt;="&amp;I$9,операции!$AB:$AB,"&lt;&gt;"&amp;"",операции!$O:$O,$F1496)/I1529)</f>
        <v>42325.714304744142</v>
      </c>
      <c r="J1530" s="317"/>
      <c r="K1530" s="316">
        <f>IF(K1529=0,0,SUMIFS(операции!$AG:$AG,операции!$X:$X,"&gt;="&amp;I$8,операции!$X:$X,"&lt;="&amp;I$9,операции!$AB:$AB,"&lt;&gt;"&amp;"",операции!$L:$L,K$9,операции!$O:$O,$F1496)/K1529)</f>
        <v>42327.77884418684</v>
      </c>
      <c r="L1530" s="318">
        <f>IF(L1529=0,0,SUMIFS(операции!$AG:$AG,операции!$X:$X,"&gt;="&amp;I$8,операции!$X:$X,"&lt;="&amp;I$9,операции!$AB:$AB,"&lt;&gt;"&amp;"",операции!$L:$L,L$9,операции!$O:$O,$F1496)/L1529)</f>
        <v>42324.490852334144</v>
      </c>
      <c r="M1530" s="274"/>
      <c r="N1530" s="193">
        <f>IF(N1529=0,0,SUMIFS(операции!$AG:$AG,операции!$X:$X,"&gt;="&amp;N$8,операции!$X:$X,"&lt;="&amp;N$9,операции!$AB:$AB,"&lt;&gt;"&amp;"",операции!$O:$O,$F1496)/N1529)</f>
        <v>42301.434161320729</v>
      </c>
      <c r="O1530" s="196"/>
      <c r="P1530" s="193">
        <f>IF(P1529=0,0,SUMIFS(операции!$AG:$AG,операции!$X:$X,"&gt;="&amp;N$8,операции!$X:$X,"&lt;="&amp;N$9,операции!$AB:$AB,"&lt;&gt;"&amp;"",операции!$L:$L,P$9,операции!$O:$O,$F1496)/P1529)</f>
        <v>42297.838841519275</v>
      </c>
      <c r="Q1530" s="237">
        <f>IF(Q1529=0,0,SUMIFS(операции!$AG:$AG,операции!$X:$X,"&gt;="&amp;N$8,операции!$X:$X,"&lt;="&amp;N$9,операции!$AB:$AB,"&lt;&gt;"&amp;"",операции!$L:$L,Q$9,операции!$O:$O,$F1496)/Q1529)</f>
        <v>42304.16256684492</v>
      </c>
      <c r="R1530" s="238"/>
      <c r="S1530" s="193">
        <f>IF(S1529=0,0,SUMIFS(операции!$AG:$AG,операции!$X:$X,"&gt;="&amp;S$8,операции!$X:$X,"&lt;="&amp;S$9,операции!$AB:$AB,"&lt;&gt;"&amp;"",операции!$O:$O,$F1496)/S1529)</f>
        <v>42325.366997799356</v>
      </c>
      <c r="T1530" s="196"/>
      <c r="U1530" s="193">
        <f>IF(U1529=0,0,SUMIFS(операции!$AG:$AG,операции!$X:$X,"&gt;="&amp;S$8,операции!$X:$X,"&lt;="&amp;S$9,операции!$AB:$AB,"&lt;&gt;"&amp;"",операции!$L:$L,U$9,операции!$O:$O,$F1496)/U1529)</f>
        <v>42331.235587992531</v>
      </c>
      <c r="V1530" s="237">
        <f>IF(V1529=0,0,SUMIFS(операции!$AG:$AG,операции!$X:$X,"&gt;="&amp;S$8,операции!$X:$X,"&lt;="&amp;S$9,операции!$AB:$AB,"&lt;&gt;"&amp;"",операции!$L:$L,V$9,операции!$O:$O,$F1496)/V1529)</f>
        <v>42323.014021458926</v>
      </c>
      <c r="W1530" s="238"/>
      <c r="X1530" s="193">
        <f>IF(X1529=0,0,SUMIFS(операции!$AG:$AG,операции!$X:$X,"&gt;="&amp;X$8,операции!$X:$X,"&lt;="&amp;X$9,операции!$AB:$AB,"&lt;&gt;"&amp;"",операции!$O:$O,$F1496)/X1529)</f>
        <v>42344.361398759167</v>
      </c>
      <c r="Y1530" s="196"/>
      <c r="Z1530" s="193">
        <f>IF(Z1529=0,0,SUMIFS(операции!$AG:$AG,операции!$X:$X,"&gt;="&amp;X$8,операции!$X:$X,"&lt;="&amp;X$9,операции!$AB:$AB,"&lt;&gt;"&amp;"",операции!$L:$L,Z$9,операции!$O:$O,$F1496)/Z1529)</f>
        <v>42343.877109557106</v>
      </c>
      <c r="AA1530" s="237">
        <f>IF(AA1529=0,0,SUMIFS(операции!$AG:$AG,операции!$X:$X,"&gt;="&amp;X$8,операции!$X:$X,"&lt;="&amp;X$9,операции!$AB:$AB,"&lt;&gt;"&amp;"",операции!$L:$L,AA$9,операции!$O:$O,$F1496)/AA1529)</f>
        <v>42344.815519125681</v>
      </c>
      <c r="AB1530" s="265"/>
      <c r="AC1530" s="37"/>
      <c r="AD1530" s="37"/>
      <c r="AE1530" s="37"/>
      <c r="AF1530" s="37"/>
      <c r="AG1530" s="37"/>
      <c r="AH1530" s="37"/>
      <c r="AI1530" s="37"/>
      <c r="AJ1530" s="37"/>
      <c r="AK1530" s="37"/>
      <c r="AL1530" s="37"/>
      <c r="AM1530" s="37"/>
      <c r="AN1530" s="37"/>
      <c r="AO1530" s="37"/>
      <c r="AP1530" s="37"/>
    </row>
    <row r="1531" spans="1:42" s="93" customFormat="1" ht="15">
      <c r="A1531" s="92"/>
      <c r="B1531" s="92"/>
      <c r="C1531" s="92"/>
      <c r="D1531" s="151"/>
      <c r="E1531" s="151" t="s">
        <v>292</v>
      </c>
      <c r="F1531" s="151" t="str">
        <f t="shared" si="2656"/>
        <v>Позитив</v>
      </c>
      <c r="G1531" s="151" t="s">
        <v>261</v>
      </c>
      <c r="H1531" s="311"/>
      <c r="I1531" s="312">
        <f>SUMIFS(операции!$V:$V,операции!$X:$X,"&gt;="&amp;I$8,операции!$X:$X,"&lt;="&amp;I$9,операции!$AB:$AB,"&lt;&gt;"&amp;"",операции!$O:$O,$F1496)</f>
        <v>145719.99000000002</v>
      </c>
      <c r="J1531" s="313">
        <f>I1531-K1531-L1531</f>
        <v>0</v>
      </c>
      <c r="K1531" s="312">
        <f>SUMIFS(операции!$V:$V,операции!$X:$X,"&gt;="&amp;I$8,операции!$X:$X,"&lt;="&amp;I$9,операции!$AB:$AB,"&lt;&gt;"&amp;"",операции!$L:$L,K$9,операции!$O:$O,$F1496)</f>
        <v>55100.789999999994</v>
      </c>
      <c r="L1531" s="314">
        <f>SUMIFS(операции!$V:$V,операции!$X:$X,"&gt;="&amp;I$8,операции!$X:$X,"&lt;="&amp;I$9,операции!$AB:$AB,"&lt;&gt;"&amp;"",операции!$L:$L,L$9,операции!$O:$O,$F1496)</f>
        <v>90619.200000000012</v>
      </c>
      <c r="M1531" s="273"/>
      <c r="N1531" s="152">
        <f>SUMIFS(операции!$V:$V,операции!$X:$X,"&gt;="&amp;N$8,операции!$X:$X,"&lt;="&amp;N$9,операции!$AB:$AB,"&lt;&gt;"&amp;"",операции!$O:$O,$F1496)</f>
        <v>31307.419999999995</v>
      </c>
      <c r="O1531" s="170">
        <f>N1531-P1531-Q1531</f>
        <v>0</v>
      </c>
      <c r="P1531" s="152">
        <f>SUMIFS(операции!$V:$V,операции!$X:$X,"&gt;="&amp;N$8,операции!$X:$X,"&lt;="&amp;N$9,операции!$AB:$AB,"&lt;&gt;"&amp;"",операции!$L:$L,P$9,операции!$O:$O,$F1496)</f>
        <v>13746.960000000001</v>
      </c>
      <c r="Q1531" s="235">
        <f>SUMIFS(операции!$V:$V,операции!$X:$X,"&gt;="&amp;N$8,операции!$X:$X,"&lt;="&amp;N$9,операции!$AB:$AB,"&lt;&gt;"&amp;"",операции!$L:$L,Q$9,операции!$O:$O,$F1496)</f>
        <v>17560.46</v>
      </c>
      <c r="R1531" s="236"/>
      <c r="S1531" s="152">
        <f>SUMIFS(операции!$V:$V,операции!$X:$X,"&gt;="&amp;S$8,операции!$X:$X,"&lt;="&amp;S$9,операции!$AB:$AB,"&lt;&gt;"&amp;"",операции!$O:$O,$F1496)</f>
        <v>74452.460000000006</v>
      </c>
      <c r="T1531" s="170">
        <f>S1531-U1531-V1531</f>
        <v>0</v>
      </c>
      <c r="U1531" s="152">
        <f>SUMIFS(операции!$V:$V,операции!$X:$X,"&gt;="&amp;S$8,операции!$X:$X,"&lt;="&amp;S$9,операции!$AB:$AB,"&lt;&gt;"&amp;"",операции!$L:$L,U$9,операции!$O:$O,$F1496)</f>
        <v>22297.72</v>
      </c>
      <c r="V1531" s="235">
        <f>SUMIFS(операции!$V:$V,операции!$X:$X,"&gt;="&amp;S$8,операции!$X:$X,"&lt;="&amp;S$9,операции!$AB:$AB,"&lt;&gt;"&amp;"",операции!$L:$L,V$9,операции!$O:$O,$F1496)</f>
        <v>52154.74</v>
      </c>
      <c r="W1531" s="236"/>
      <c r="X1531" s="152">
        <f>SUMIFS(операции!$V:$V,операции!$X:$X,"&gt;="&amp;X$8,операции!$X:$X,"&lt;="&amp;X$9,операции!$AB:$AB,"&lt;&gt;"&amp;"",операции!$O:$O,$F1496)</f>
        <v>39960.11</v>
      </c>
      <c r="Y1531" s="170">
        <f>X1531-Z1531-AA1531</f>
        <v>0</v>
      </c>
      <c r="Z1531" s="152">
        <f>SUMIFS(операции!$V:$V,операции!$X:$X,"&gt;="&amp;X$8,операции!$X:$X,"&lt;="&amp;X$9,операции!$AB:$AB,"&lt;&gt;"&amp;"",операции!$L:$L,Z$9,операции!$O:$O,$F1496)</f>
        <v>19056.11</v>
      </c>
      <c r="AA1531" s="235">
        <f>SUMIFS(операции!$V:$V,операции!$X:$X,"&gt;="&amp;X$8,операции!$X:$X,"&lt;="&amp;X$9,операции!$AB:$AB,"&lt;&gt;"&amp;"",операции!$L:$L,AA$9,операции!$O:$O,$F1496)</f>
        <v>20904</v>
      </c>
      <c r="AB1531" s="264"/>
      <c r="AC1531" s="92"/>
      <c r="AD1531" s="92"/>
      <c r="AE1531" s="92"/>
      <c r="AF1531" s="92"/>
      <c r="AG1531" s="92"/>
      <c r="AH1531" s="92"/>
      <c r="AI1531" s="92"/>
      <c r="AJ1531" s="92"/>
      <c r="AK1531" s="92"/>
      <c r="AL1531" s="92"/>
      <c r="AM1531" s="92"/>
      <c r="AN1531" s="92"/>
      <c r="AO1531" s="92"/>
      <c r="AP1531" s="92"/>
    </row>
    <row r="1532" spans="1:42" s="192" customFormat="1" ht="11.25">
      <c r="A1532" s="37"/>
      <c r="B1532" s="37"/>
      <c r="C1532" s="37"/>
      <c r="D1532" s="191"/>
      <c r="E1532" s="191" t="s">
        <v>294</v>
      </c>
      <c r="F1532" s="191" t="str">
        <f t="shared" si="2656"/>
        <v>Позитив</v>
      </c>
      <c r="G1532" s="191" t="s">
        <v>262</v>
      </c>
      <c r="H1532" s="315"/>
      <c r="I1532" s="316">
        <f>IF(I1531=0,0,SUMIFS(операции!$AF:$AF,операции!$X:$X,"&gt;="&amp;I$8,операции!$X:$X,"&lt;="&amp;I$9,операции!$AB:$AB,"&lt;&gt;"&amp;"",операции!$O:$O,$F1496)/I1531)</f>
        <v>42291.837487567755</v>
      </c>
      <c r="J1532" s="317"/>
      <c r="K1532" s="316">
        <f>IF(K1531=0,0,SUMIFS(операции!$AF:$AF,операции!$X:$X,"&gt;="&amp;I$8,операции!$X:$X,"&lt;="&amp;I$9,операции!$AB:$AB,"&lt;&gt;"&amp;"",операции!$L:$L,K$9,операции!$O:$O,$F1496)/K1531)</f>
        <v>42249.654159042002</v>
      </c>
      <c r="L1532" s="318">
        <f>IF(L1531=0,0,SUMIFS(операции!$AF:$AF,операции!$X:$X,"&gt;="&amp;I$8,операции!$X:$X,"&lt;="&amp;I$9,операции!$AB:$AB,"&lt;&gt;"&amp;"",операции!$L:$L,L$9,операции!$O:$O,$F1496)/L1531)</f>
        <v>42317.486960599956</v>
      </c>
      <c r="M1532" s="274"/>
      <c r="N1532" s="193">
        <f>IF(N1531=0,0,SUMIFS(операции!$AF:$AF,операции!$X:$X,"&gt;="&amp;N$8,операции!$X:$X,"&lt;="&amp;N$9,операции!$AB:$AB,"&lt;&gt;"&amp;"",операции!$O:$O,$F1496)/N1531)</f>
        <v>42275.186795654197</v>
      </c>
      <c r="O1532" s="196"/>
      <c r="P1532" s="193">
        <f>IF(P1531=0,0,SUMIFS(операции!$AF:$AF,операции!$X:$X,"&gt;="&amp;N$8,операции!$X:$X,"&lt;="&amp;N$9,операции!$AB:$AB,"&lt;&gt;"&amp;"",операции!$L:$L,P$9,операции!$O:$O,$F1496)/P1531)</f>
        <v>42242.923815156224</v>
      </c>
      <c r="Q1532" s="237">
        <f>IF(Q1531=0,0,SUMIFS(операции!$AF:$AF,операции!$X:$X,"&gt;="&amp;N$8,операции!$X:$X,"&lt;="&amp;N$9,операции!$AB:$AB,"&lt;&gt;"&amp;"",операции!$L:$L,Q$9,операции!$O:$O,$F1496)/Q1531)</f>
        <v>42300.443417769231</v>
      </c>
      <c r="R1532" s="238"/>
      <c r="S1532" s="193">
        <f>IF(S1531=0,0,SUMIFS(операции!$AF:$AF,операции!$X:$X,"&gt;="&amp;S$8,операции!$X:$X,"&lt;="&amp;S$9,операции!$AB:$AB,"&lt;&gt;"&amp;"",операции!$O:$O,$F1496)/S1531)</f>
        <v>42300.997781940307</v>
      </c>
      <c r="T1532" s="196"/>
      <c r="U1532" s="193">
        <f>IF(U1531=0,0,SUMIFS(операции!$AF:$AF,операции!$X:$X,"&gt;="&amp;S$8,операции!$X:$X,"&lt;="&amp;S$9,операции!$AB:$AB,"&lt;&gt;"&amp;"",операции!$L:$L,U$9,операции!$O:$O,$F1496)/U1531)</f>
        <v>42265.881155562085</v>
      </c>
      <c r="V1532" s="237">
        <f>IF(V1531=0,0,SUMIFS(операции!$AF:$AF,операции!$X:$X,"&gt;="&amp;S$8,операции!$X:$X,"&lt;="&amp;S$9,операции!$AB:$AB,"&lt;&gt;"&amp;"",операции!$L:$L,V$9,операции!$O:$O,$F1496)/V1531)</f>
        <v>42316.011195914318</v>
      </c>
      <c r="W1532" s="238"/>
      <c r="X1532" s="193">
        <f>IF(X1531=0,0,SUMIFS(операции!$AF:$AF,операции!$X:$X,"&gt;="&amp;X$8,операции!$X:$X,"&lt;="&amp;X$9,операции!$AB:$AB,"&lt;&gt;"&amp;"",операции!$O:$O,$F1496)/X1531)</f>
        <v>42287.815570577754</v>
      </c>
      <c r="Y1532" s="196"/>
      <c r="Z1532" s="193">
        <f>IF(Z1531=0,0,SUMIFS(операции!$AF:$AF,операции!$X:$X,"&gt;="&amp;X$8,операции!$X:$X,"&lt;="&amp;X$9,операции!$AB:$AB,"&lt;&gt;"&amp;"",операции!$L:$L,Z$9,операции!$O:$O,$F1496)/Z1531)</f>
        <v>42235.522037813593</v>
      </c>
      <c r="AA1532" s="237">
        <f>IF(AA1531=0,0,SUMIFS(операции!$AF:$AF,операции!$X:$X,"&gt;="&amp;X$8,операции!$X:$X,"&lt;="&amp;X$9,операции!$AB:$AB,"&lt;&gt;"&amp;"",операции!$L:$L,AA$9,операции!$O:$O,$F1496)/AA1531)</f>
        <v>42335.486414083432</v>
      </c>
      <c r="AB1532" s="265"/>
      <c r="AC1532" s="37"/>
      <c r="AD1532" s="37"/>
      <c r="AE1532" s="37"/>
      <c r="AF1532" s="37"/>
      <c r="AG1532" s="37"/>
      <c r="AH1532" s="37"/>
      <c r="AI1532" s="37"/>
      <c r="AJ1532" s="37"/>
      <c r="AK1532" s="37"/>
      <c r="AL1532" s="37"/>
      <c r="AM1532" s="37"/>
      <c r="AN1532" s="37"/>
      <c r="AO1532" s="37"/>
      <c r="AP1532" s="37"/>
    </row>
    <row r="1533" spans="1:42" s="192" customFormat="1" ht="11.25">
      <c r="A1533" s="37"/>
      <c r="B1533" s="37"/>
      <c r="C1533" s="37"/>
      <c r="D1533" s="191"/>
      <c r="E1533" s="191" t="s">
        <v>299</v>
      </c>
      <c r="F1533" s="191" t="str">
        <f t="shared" si="2656"/>
        <v>Позитив</v>
      </c>
      <c r="G1533" s="191" t="s">
        <v>262</v>
      </c>
      <c r="H1533" s="315"/>
      <c r="I1533" s="316">
        <f>IF(I1531=0,0,SUMIFS(операции!$AH:$AH,операции!$X:$X,"&gt;="&amp;I$8,операции!$X:$X,"&lt;="&amp;I$9,операции!$AB:$AB,"&lt;&gt;"&amp;"",операции!$O:$O,$F1496)/I1531)</f>
        <v>42318.959213831942</v>
      </c>
      <c r="J1533" s="317"/>
      <c r="K1533" s="316">
        <f>IF(K1531=0,0,SUMIFS(операции!$AH:$AH,операции!$X:$X,"&gt;="&amp;I$8,операции!$X:$X,"&lt;="&amp;I$9,операции!$AB:$AB,"&lt;&gt;"&amp;"",операции!$L:$L,K$9,операции!$O:$O,$F1496)/K1531)</f>
        <v>42279.165485649115</v>
      </c>
      <c r="L1533" s="318">
        <f>IF(L1531=0,0,SUMIFS(операции!$AH:$AH,операции!$X:$X,"&gt;="&amp;I$8,операции!$X:$X,"&lt;="&amp;I$9,операции!$AB:$AB,"&lt;&gt;"&amp;"",операции!$L:$L,L$9,операции!$O:$O,$F1496)/L1531)</f>
        <v>42343.1556960335</v>
      </c>
      <c r="M1533" s="274"/>
      <c r="N1533" s="193">
        <f>IF(N1531=0,0,SUMIFS(операции!$AH:$AH,операции!$X:$X,"&gt;="&amp;N$8,операции!$X:$X,"&lt;="&amp;N$9,операции!$AB:$AB,"&lt;&gt;"&amp;"",операции!$O:$O,$F1496)/N1531)</f>
        <v>42303.410975736748</v>
      </c>
      <c r="O1533" s="196"/>
      <c r="P1533" s="193">
        <f>IF(P1531=0,0,SUMIFS(операции!$AH:$AH,операции!$X:$X,"&gt;="&amp;N$8,операции!$X:$X,"&lt;="&amp;N$9,операции!$AB:$AB,"&lt;&gt;"&amp;"",операции!$L:$L,P$9,операции!$O:$O,$F1496)/P1531)</f>
        <v>42270.717091633342</v>
      </c>
      <c r="Q1533" s="237">
        <f>IF(Q1531=0,0,SUMIFS(операции!$AH:$AH,операции!$X:$X,"&gt;="&amp;N$8,операции!$X:$X,"&lt;="&amp;N$9,операции!$AB:$AB,"&lt;&gt;"&amp;"",операции!$L:$L,Q$9,операции!$O:$O,$F1496)/Q1531)</f>
        <v>42329.004924700159</v>
      </c>
      <c r="R1533" s="238"/>
      <c r="S1533" s="193">
        <f>IF(S1531=0,0,SUMIFS(операции!$AH:$AH,операции!$X:$X,"&gt;="&amp;S$8,операции!$X:$X,"&lt;="&amp;S$9,операции!$AB:$AB,"&lt;&gt;"&amp;"",операции!$O:$O,$F1496)/S1531)</f>
        <v>42330.979695499642</v>
      </c>
      <c r="T1533" s="196"/>
      <c r="U1533" s="193">
        <f>IF(U1531=0,0,SUMIFS(операции!$AH:$AH,операции!$X:$X,"&gt;="&amp;S$8,операции!$X:$X,"&lt;="&amp;S$9,операции!$AB:$AB,"&lt;&gt;"&amp;"",операции!$L:$L,U$9,операции!$O:$O,$F1496)/U1531)</f>
        <v>42304.167498291303</v>
      </c>
      <c r="V1533" s="237">
        <f>IF(V1531=0,0,SUMIFS(операции!$AH:$AH,операции!$X:$X,"&gt;="&amp;S$8,операции!$X:$X,"&lt;="&amp;S$9,операции!$AB:$AB,"&lt;&gt;"&amp;"",операции!$L:$L,V$9,операции!$O:$O,$F1496)/V1531)</f>
        <v>42342.442716232501</v>
      </c>
      <c r="W1533" s="238"/>
      <c r="X1533" s="193">
        <f>IF(X1531=0,0,SUMIFS(операции!$AH:$AH,операции!$X:$X,"&gt;="&amp;X$8,операции!$X:$X,"&lt;="&amp;X$9,операции!$AB:$AB,"&lt;&gt;"&amp;"",операции!$O:$O,$F1496)/X1531)</f>
        <v>42308.744546999493</v>
      </c>
      <c r="Y1533" s="196"/>
      <c r="Z1533" s="193">
        <f>IF(Z1531=0,0,SUMIFS(операции!$AH:$AH,операции!$X:$X,"&gt;="&amp;X$8,операции!$X:$X,"&lt;="&amp;X$9,операции!$AB:$AB,"&lt;&gt;"&amp;"",операции!$L:$L,Z$9,операции!$O:$O,$F1496)/Z1531)</f>
        <v>42256.005032506633</v>
      </c>
      <c r="AA1533" s="237">
        <f>IF(AA1531=0,0,SUMIFS(операции!$AH:$AH,операции!$X:$X,"&gt;="&amp;X$8,операции!$X:$X,"&lt;="&amp;X$9,операции!$AB:$AB,"&lt;&gt;"&amp;"",операции!$L:$L,AA$9,операции!$O:$O,$F1496)/AA1531)</f>
        <v>42356.821947952543</v>
      </c>
      <c r="AB1533" s="265"/>
      <c r="AC1533" s="37"/>
      <c r="AD1533" s="37"/>
      <c r="AE1533" s="37"/>
      <c r="AF1533" s="37"/>
      <c r="AG1533" s="37"/>
      <c r="AH1533" s="37"/>
      <c r="AI1533" s="37"/>
      <c r="AJ1533" s="37"/>
      <c r="AK1533" s="37"/>
      <c r="AL1533" s="37"/>
      <c r="AM1533" s="37"/>
      <c r="AN1533" s="37"/>
      <c r="AO1533" s="37"/>
      <c r="AP1533" s="37"/>
    </row>
    <row r="1534" spans="1:42" s="5" customFormat="1">
      <c r="A1534" s="1"/>
      <c r="B1534" s="1"/>
      <c r="C1534" s="1"/>
      <c r="D1534" s="168"/>
      <c r="E1534" s="168" t="s">
        <v>296</v>
      </c>
      <c r="F1534" s="168" t="str">
        <f t="shared" si="2656"/>
        <v>Позитив</v>
      </c>
      <c r="G1534" s="168" t="s">
        <v>261</v>
      </c>
      <c r="H1534" s="326"/>
      <c r="I1534" s="327">
        <f>I1529-I1531</f>
        <v>11927.00999999998</v>
      </c>
      <c r="J1534" s="313">
        <f>I1534-K1534-L1534</f>
        <v>-1.4551915228366852E-11</v>
      </c>
      <c r="K1534" s="327">
        <f t="shared" ref="K1534:L1534" si="2733">K1529-K1531</f>
        <v>3559.2100000000064</v>
      </c>
      <c r="L1534" s="328">
        <f t="shared" si="2733"/>
        <v>8367.7999999999884</v>
      </c>
      <c r="M1534" s="277"/>
      <c r="N1534" s="169">
        <f>N1529-N1531</f>
        <v>1583.5800000000054</v>
      </c>
      <c r="O1534" s="170">
        <f>N1534-P1534-Q1534</f>
        <v>5.4569682106375694E-12</v>
      </c>
      <c r="P1534" s="169">
        <f t="shared" ref="P1534:Q1534" si="2734">P1529-P1531</f>
        <v>444.03999999999905</v>
      </c>
      <c r="Q1534" s="243">
        <f t="shared" si="2734"/>
        <v>1139.5400000000009</v>
      </c>
      <c r="R1534" s="244"/>
      <c r="S1534" s="169">
        <f>S1529-S1531</f>
        <v>5978.5399999999936</v>
      </c>
      <c r="T1534" s="170">
        <f>S1534-U1534-V1534</f>
        <v>-7.2759576141834259E-12</v>
      </c>
      <c r="U1534" s="169">
        <f t="shared" ref="U1534:V1534" si="2735">U1529-U1531</f>
        <v>721.27999999999884</v>
      </c>
      <c r="V1534" s="243">
        <f t="shared" si="2735"/>
        <v>5257.260000000002</v>
      </c>
      <c r="W1534" s="244"/>
      <c r="X1534" s="169">
        <f>X1529-X1531</f>
        <v>4364.8899999999994</v>
      </c>
      <c r="Y1534" s="170">
        <f>X1534-Z1534-AA1534</f>
        <v>0</v>
      </c>
      <c r="Z1534" s="169">
        <f t="shared" ref="Z1534:AA1534" si="2736">Z1529-Z1531</f>
        <v>2393.8899999999994</v>
      </c>
      <c r="AA1534" s="243">
        <f t="shared" si="2736"/>
        <v>1971</v>
      </c>
      <c r="AB1534" s="266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</row>
    <row r="1535" spans="1:42" s="211" customFormat="1">
      <c r="A1535" s="210"/>
      <c r="B1535" s="210"/>
      <c r="C1535" s="210"/>
      <c r="D1535" s="218"/>
      <c r="E1535" s="218" t="s">
        <v>297</v>
      </c>
      <c r="F1535" s="218" t="str">
        <f t="shared" si="2656"/>
        <v>Позитив</v>
      </c>
      <c r="G1535" s="218" t="s">
        <v>218</v>
      </c>
      <c r="H1535" s="343"/>
      <c r="I1535" s="344">
        <f>IF(I1529=0,0,(I1534/I1529))</f>
        <v>7.5656434946430831E-2</v>
      </c>
      <c r="J1535" s="345"/>
      <c r="K1535" s="344">
        <f t="shared" ref="K1535" si="2737">IF(K1529=0,0,(K1534/K1529))</f>
        <v>6.0675247187180467E-2</v>
      </c>
      <c r="L1535" s="346">
        <f t="shared" ref="L1535" si="2738">IF(L1529=0,0,(L1534/L1529))</f>
        <v>8.4534332791174477E-2</v>
      </c>
      <c r="M1535" s="280"/>
      <c r="N1535" s="219">
        <f>IF(N1529=0,0,(N1534/N1529))</f>
        <v>4.8146301419841456E-2</v>
      </c>
      <c r="O1535" s="220"/>
      <c r="P1535" s="219">
        <f t="shared" ref="P1535" si="2739">IF(P1529=0,0,(P1534/P1529))</f>
        <v>3.1290254386582977E-2</v>
      </c>
      <c r="Q1535" s="252">
        <f t="shared" ref="Q1535" si="2740">IF(Q1529=0,0,(Q1534/Q1529))</f>
        <v>6.0937967914438548E-2</v>
      </c>
      <c r="R1535" s="253"/>
      <c r="S1535" s="219">
        <f>IF(S1529=0,0,(S1534/S1529))</f>
        <v>7.4331290174186493E-2</v>
      </c>
      <c r="T1535" s="220"/>
      <c r="U1535" s="219">
        <f t="shared" ref="U1535" si="2741">IF(U1529=0,0,(U1534/U1529))</f>
        <v>3.1334115296059728E-2</v>
      </c>
      <c r="V1535" s="252">
        <f t="shared" ref="V1535" si="2742">IF(V1529=0,0,(V1534/V1529))</f>
        <v>9.1570751759214142E-2</v>
      </c>
      <c r="W1535" s="253"/>
      <c r="X1535" s="219">
        <f>IF(X1529=0,0,(X1534/X1529))</f>
        <v>9.8474675690919333E-2</v>
      </c>
      <c r="Y1535" s="220"/>
      <c r="Z1535" s="219">
        <f t="shared" ref="Z1535" si="2743">IF(Z1529=0,0,(Z1534/Z1529))</f>
        <v>0.11160326340326338</v>
      </c>
      <c r="AA1535" s="252">
        <f t="shared" ref="AA1535" si="2744">IF(AA1529=0,0,(AA1534/AA1529))</f>
        <v>8.6163934426229508E-2</v>
      </c>
      <c r="AB1535" s="267"/>
      <c r="AC1535" s="210"/>
      <c r="AD1535" s="210"/>
      <c r="AE1535" s="210"/>
      <c r="AF1535" s="210"/>
      <c r="AG1535" s="210"/>
      <c r="AH1535" s="210"/>
      <c r="AI1535" s="210"/>
      <c r="AJ1535" s="210"/>
      <c r="AK1535" s="210"/>
      <c r="AL1535" s="210"/>
      <c r="AM1535" s="210"/>
      <c r="AN1535" s="210"/>
      <c r="AO1535" s="210"/>
      <c r="AP1535" s="210"/>
    </row>
    <row r="1536" spans="1:42" s="5" customFormat="1">
      <c r="A1536" s="1"/>
      <c r="B1536" s="1"/>
      <c r="C1536" s="1"/>
      <c r="D1536" s="227"/>
      <c r="E1536" s="227" t="s">
        <v>298</v>
      </c>
      <c r="F1536" s="227" t="str">
        <f t="shared" si="2656"/>
        <v>Позитив</v>
      </c>
      <c r="G1536" s="227" t="s">
        <v>219</v>
      </c>
      <c r="H1536" s="347"/>
      <c r="I1536" s="348">
        <f>I1530-I1532</f>
        <v>33.876817176387704</v>
      </c>
      <c r="J1536" s="321"/>
      <c r="K1536" s="348">
        <f t="shared" ref="K1536:L1536" si="2745">K1530-K1532</f>
        <v>78.124685144837713</v>
      </c>
      <c r="L1536" s="349">
        <f t="shared" si="2745"/>
        <v>7.0038917341880733</v>
      </c>
      <c r="M1536" s="281"/>
      <c r="N1536" s="228">
        <f>N1530-N1532</f>
        <v>26.24736566653155</v>
      </c>
      <c r="O1536" s="173"/>
      <c r="P1536" s="228">
        <f t="shared" ref="P1536:Q1536" si="2746">P1530-P1532</f>
        <v>54.915026363050856</v>
      </c>
      <c r="Q1536" s="254">
        <f t="shared" si="2746"/>
        <v>3.7191490756886196</v>
      </c>
      <c r="R1536" s="255"/>
      <c r="S1536" s="228">
        <f>S1530-S1532</f>
        <v>24.369215859049291</v>
      </c>
      <c r="T1536" s="173"/>
      <c r="U1536" s="228">
        <f t="shared" ref="U1536:V1536" si="2747">U1530-U1532</f>
        <v>65.35443243044574</v>
      </c>
      <c r="V1536" s="254">
        <f t="shared" si="2747"/>
        <v>7.0028255446086405</v>
      </c>
      <c r="W1536" s="255"/>
      <c r="X1536" s="228">
        <f>X1530-X1532</f>
        <v>56.545828181413526</v>
      </c>
      <c r="Y1536" s="173"/>
      <c r="Z1536" s="228">
        <f t="shared" ref="Z1536:AA1536" si="2748">Z1530-Z1532</f>
        <v>108.35507174351369</v>
      </c>
      <c r="AA1536" s="254">
        <f t="shared" si="2748"/>
        <v>9.3291050422485569</v>
      </c>
      <c r="AB1536" s="266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</row>
    <row r="1537" spans="1:42" s="5" customFormat="1">
      <c r="A1537" s="1"/>
      <c r="B1537" s="1"/>
      <c r="C1537" s="1"/>
      <c r="D1537" s="227"/>
      <c r="E1537" s="227" t="s">
        <v>300</v>
      </c>
      <c r="F1537" s="227" t="str">
        <f t="shared" si="2656"/>
        <v>Позитив</v>
      </c>
      <c r="G1537" s="227" t="s">
        <v>219</v>
      </c>
      <c r="H1537" s="347"/>
      <c r="I1537" s="348">
        <f>I1533-I1532</f>
        <v>27.1217262641876</v>
      </c>
      <c r="J1537" s="321"/>
      <c r="K1537" s="348">
        <f t="shared" ref="K1537:L1537" si="2749">K1533-K1532</f>
        <v>29.511326607113006</v>
      </c>
      <c r="L1537" s="349">
        <f t="shared" si="2749"/>
        <v>25.668735433544498</v>
      </c>
      <c r="M1537" s="281"/>
      <c r="N1537" s="228">
        <f>N1533-N1532</f>
        <v>28.224180082550447</v>
      </c>
      <c r="O1537" s="173"/>
      <c r="P1537" s="228">
        <f t="shared" ref="P1537:Q1537" si="2750">P1533-P1532</f>
        <v>27.793276477117615</v>
      </c>
      <c r="Q1537" s="254">
        <f t="shared" si="2750"/>
        <v>28.561506930927862</v>
      </c>
      <c r="R1537" s="255"/>
      <c r="S1537" s="228">
        <f>S1533-S1532</f>
        <v>29.981913559335226</v>
      </c>
      <c r="T1537" s="173"/>
      <c r="U1537" s="228">
        <f t="shared" ref="U1537:V1537" si="2751">U1533-U1532</f>
        <v>38.286342729217722</v>
      </c>
      <c r="V1537" s="254">
        <f t="shared" si="2751"/>
        <v>26.431520318183175</v>
      </c>
      <c r="W1537" s="255"/>
      <c r="X1537" s="228">
        <f>X1533-X1532</f>
        <v>20.928976421739208</v>
      </c>
      <c r="Y1537" s="173"/>
      <c r="Z1537" s="228">
        <f t="shared" ref="Z1537:AA1537" si="2752">Z1533-Z1532</f>
        <v>20.482994693040382</v>
      </c>
      <c r="AA1537" s="254">
        <f t="shared" si="2752"/>
        <v>21.335533869110805</v>
      </c>
      <c r="AB1537" s="266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</row>
    <row r="1538" spans="1:42" s="93" customFormat="1" ht="15">
      <c r="A1538" s="92"/>
      <c r="B1538" s="92"/>
      <c r="C1538" s="92"/>
      <c r="D1538" s="221"/>
      <c r="E1538" s="221" t="s">
        <v>301</v>
      </c>
      <c r="F1538" s="221" t="str">
        <f t="shared" si="2656"/>
        <v>Позитив</v>
      </c>
      <c r="G1538" s="221" t="s">
        <v>219</v>
      </c>
      <c r="H1538" s="357"/>
      <c r="I1538" s="358">
        <f>I1536-I1537</f>
        <v>6.755090912200103</v>
      </c>
      <c r="J1538" s="352"/>
      <c r="K1538" s="358">
        <f t="shared" ref="K1538" si="2753">K1536-K1537</f>
        <v>48.613358537724707</v>
      </c>
      <c r="L1538" s="359">
        <f t="shared" ref="L1538" si="2754">L1536-L1537</f>
        <v>-18.664843699356425</v>
      </c>
      <c r="M1538" s="284"/>
      <c r="N1538" s="222">
        <f>N1536-N1537</f>
        <v>-1.9768144160188967</v>
      </c>
      <c r="O1538" s="181"/>
      <c r="P1538" s="222">
        <f t="shared" ref="P1538" si="2755">P1536-P1537</f>
        <v>27.121749885933241</v>
      </c>
      <c r="Q1538" s="260">
        <f t="shared" ref="Q1538" si="2756">Q1536-Q1537</f>
        <v>-24.842357855239243</v>
      </c>
      <c r="R1538" s="261"/>
      <c r="S1538" s="222">
        <f>S1536-S1537</f>
        <v>-5.6126977002859348</v>
      </c>
      <c r="T1538" s="181"/>
      <c r="U1538" s="222">
        <f t="shared" ref="U1538" si="2757">U1536-U1537</f>
        <v>27.068089701228018</v>
      </c>
      <c r="V1538" s="260">
        <f t="shared" ref="V1538" si="2758">V1536-V1537</f>
        <v>-19.428694773574534</v>
      </c>
      <c r="W1538" s="261"/>
      <c r="X1538" s="222">
        <f>X1536-X1537</f>
        <v>35.616851759674319</v>
      </c>
      <c r="Y1538" s="181"/>
      <c r="Z1538" s="222">
        <f t="shared" ref="Z1538" si="2759">Z1536-Z1537</f>
        <v>87.872077050473308</v>
      </c>
      <c r="AA1538" s="260">
        <f t="shared" ref="AA1538" si="2760">AA1536-AA1537</f>
        <v>-12.006428826862248</v>
      </c>
      <c r="AB1538" s="264"/>
      <c r="AC1538" s="92"/>
      <c r="AD1538" s="92"/>
      <c r="AE1538" s="92"/>
      <c r="AF1538" s="92"/>
      <c r="AG1538" s="92"/>
      <c r="AH1538" s="92"/>
      <c r="AI1538" s="92"/>
      <c r="AJ1538" s="92"/>
      <c r="AK1538" s="92"/>
      <c r="AL1538" s="92"/>
      <c r="AM1538" s="92"/>
      <c r="AN1538" s="92"/>
      <c r="AO1538" s="92"/>
      <c r="AP1538" s="92"/>
    </row>
    <row r="1539" spans="1:42" s="5" customFormat="1">
      <c r="A1539" s="1"/>
      <c r="B1539" s="1"/>
      <c r="C1539" s="1"/>
      <c r="D1539" s="223"/>
      <c r="E1539" s="223" t="s">
        <v>302</v>
      </c>
      <c r="F1539" s="223" t="str">
        <f t="shared" si="2656"/>
        <v>Позитив</v>
      </c>
      <c r="G1539" s="223" t="s">
        <v>261</v>
      </c>
      <c r="H1539" s="354"/>
      <c r="I1539" s="355">
        <f>SUMIFS(операции!$Z:$Z,операции!$X:$X,"&gt;="&amp;I$8,операции!$X:$X,"&lt;="&amp;I$9,операции!$AB:$AB,"",операции!$O:$O,$F1496)</f>
        <v>68345</v>
      </c>
      <c r="J1539" s="341">
        <f>I1539-K1539-L1539</f>
        <v>0</v>
      </c>
      <c r="K1539" s="355">
        <f>SUMIFS(операции!$Z:$Z,операции!$X:$X,"&gt;="&amp;I$8,операции!$X:$X,"&lt;="&amp;I$9,операции!$AB:$AB,"",операции!$L:$L,K$9,операции!$O:$O,$F1496)</f>
        <v>35813</v>
      </c>
      <c r="L1539" s="356">
        <f>SUMIFS(операции!$Z:$Z,операции!$X:$X,"&gt;="&amp;I$8,операции!$X:$X,"&lt;="&amp;I$9,операции!$AB:$AB,"",операции!$L:$L,L$9,операции!$O:$O,$F1496)</f>
        <v>32532</v>
      </c>
      <c r="M1539" s="283"/>
      <c r="N1539" s="224">
        <f>SUMIFS(операции!$Z:$Z,операции!$X:$X,"&gt;="&amp;N$8,операции!$X:$X,"&lt;="&amp;N$9,операции!$AB:$AB,"",операции!$O:$O,$F1496)</f>
        <v>12888</v>
      </c>
      <c r="O1539" s="216">
        <f>N1539-P1539-Q1539</f>
        <v>0</v>
      </c>
      <c r="P1539" s="224">
        <f>SUMIFS(операции!$Z:$Z,операции!$X:$X,"&gt;="&amp;N$8,операции!$X:$X,"&lt;="&amp;N$9,операции!$AB:$AB,"",операции!$L:$L,P$9,операции!$O:$O,$F1496)</f>
        <v>12888</v>
      </c>
      <c r="Q1539" s="258">
        <f>SUMIFS(операции!$Z:$Z,операции!$X:$X,"&gt;="&amp;N$8,операции!$X:$X,"&lt;="&amp;N$9,операции!$AB:$AB,"",операции!$L:$L,Q$9,операции!$O:$O,$F1496)</f>
        <v>0</v>
      </c>
      <c r="R1539" s="259"/>
      <c r="S1539" s="224">
        <f>SUMIFS(операции!$Z:$Z,операции!$X:$X,"&gt;="&amp;S$8,операции!$X:$X,"&lt;="&amp;S$9,операции!$AB:$AB,"",операции!$O:$O,$F1496)</f>
        <v>28875</v>
      </c>
      <c r="T1539" s="216">
        <f>S1539-U1539-V1539</f>
        <v>0</v>
      </c>
      <c r="U1539" s="224">
        <f>SUMIFS(операции!$Z:$Z,операции!$X:$X,"&gt;="&amp;S$8,операции!$X:$X,"&lt;="&amp;S$9,операции!$AB:$AB,"",операции!$L:$L,U$9,операции!$O:$O,$F1496)</f>
        <v>10441</v>
      </c>
      <c r="V1539" s="258">
        <f>SUMIFS(операции!$Z:$Z,операции!$X:$X,"&gt;="&amp;S$8,операции!$X:$X,"&lt;="&amp;S$9,операции!$AB:$AB,"",операции!$L:$L,V$9,операции!$O:$O,$F1496)</f>
        <v>18434</v>
      </c>
      <c r="W1539" s="259"/>
      <c r="X1539" s="224">
        <f>SUMIFS(операции!$Z:$Z,операции!$X:$X,"&gt;="&amp;X$8,операции!$X:$X,"&lt;="&amp;X$9,операции!$AB:$AB,"",операции!$O:$O,$F1496)</f>
        <v>26582</v>
      </c>
      <c r="Y1539" s="216">
        <f>X1539-Z1539-AA1539</f>
        <v>0</v>
      </c>
      <c r="Z1539" s="224">
        <f>SUMIFS(операции!$Z:$Z,операции!$X:$X,"&gt;="&amp;X$8,операции!$X:$X,"&lt;="&amp;X$9,операции!$AB:$AB,"",операции!$L:$L,Z$9,операции!$O:$O,$F1496)</f>
        <v>12484</v>
      </c>
      <c r="AA1539" s="258">
        <f>SUMIFS(операции!$Z:$Z,операции!$X:$X,"&gt;="&amp;X$8,операции!$X:$X,"&lt;="&amp;X$9,операции!$AB:$AB,"",операции!$L:$L,AA$9,операции!$O:$O,$F1496)</f>
        <v>14098</v>
      </c>
      <c r="AB1539" s="266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</row>
    <row r="1540" spans="1:42" s="192" customFormat="1" ht="11.25">
      <c r="A1540" s="37"/>
      <c r="B1540" s="37"/>
      <c r="C1540" s="37"/>
      <c r="D1540" s="191"/>
      <c r="E1540" s="191" t="s">
        <v>303</v>
      </c>
      <c r="F1540" s="191" t="str">
        <f t="shared" si="2656"/>
        <v>Позитив</v>
      </c>
      <c r="G1540" s="191" t="s">
        <v>262</v>
      </c>
      <c r="H1540" s="315"/>
      <c r="I1540" s="316">
        <f>IF(I1539=0,0,SUMIFS(операции!$AG:$AG,операции!$X:$X,"&gt;="&amp;I$8,операции!$X:$X,"&lt;="&amp;I$9,операции!$AB:$AB,"",операции!$O:$O,$F1496)/I1539)</f>
        <v>42330.834238056916</v>
      </c>
      <c r="J1540" s="317"/>
      <c r="K1540" s="316">
        <f>IF(K1539=0,0,SUMIFS(операции!$AG:$AG,операции!$X:$X,"&gt;="&amp;I$8,операции!$X:$X,"&lt;="&amp;I$9,операции!$AB:$AB,"",операции!$L:$L,K$9,операции!$O:$O,$F1496)/K1539)</f>
        <v>42325.076787758633</v>
      </c>
      <c r="L1540" s="318">
        <f>IF(L1539=0,0,SUMIFS(операции!$AG:$AG,операции!$X:$X,"&gt;="&amp;I$8,операции!$X:$X,"&lt;="&amp;I$9,операции!$AB:$AB,"",операции!$L:$L,L$9,операции!$O:$O,$F1496)/L1539)</f>
        <v>42337.172353375136</v>
      </c>
      <c r="M1540" s="274"/>
      <c r="N1540" s="193">
        <f>IF(N1539=0,0,SUMIFS(операции!$AG:$AG,операции!$X:$X,"&gt;="&amp;N$8,операции!$X:$X,"&lt;="&amp;N$9,операции!$AB:$AB,"",операции!$O:$O,$F1496)/N1539)</f>
        <v>42302.25318125388</v>
      </c>
      <c r="O1540" s="196"/>
      <c r="P1540" s="193">
        <f>IF(P1539=0,0,SUMIFS(операции!$AG:$AG,операции!$X:$X,"&gt;="&amp;N$8,операции!$X:$X,"&lt;="&amp;N$9,операции!$AB:$AB,"",операции!$L:$L,P$9,операции!$O:$O,$F1496)/P1539)</f>
        <v>42302.25318125388</v>
      </c>
      <c r="Q1540" s="237">
        <f>IF(Q1539=0,0,SUMIFS(операции!$AG:$AG,операции!$X:$X,"&gt;="&amp;N$8,операции!$X:$X,"&lt;="&amp;N$9,операции!$AB:$AB,"",операции!$L:$L,Q$9,операции!$O:$O,$F1496)/Q1539)</f>
        <v>0</v>
      </c>
      <c r="R1540" s="238"/>
      <c r="S1540" s="193">
        <f>IF(S1539=0,0,SUMIFS(операции!$AG:$AG,операции!$X:$X,"&gt;="&amp;S$8,операции!$X:$X,"&lt;="&amp;S$9,операции!$AB:$AB,"",операции!$O:$O,$F1496)/S1539)</f>
        <v>42331.922978354982</v>
      </c>
      <c r="T1540" s="196"/>
      <c r="U1540" s="193">
        <f>IF(U1539=0,0,SUMIFS(операции!$AG:$AG,операции!$X:$X,"&gt;="&amp;S$8,операции!$X:$X,"&lt;="&amp;S$9,операции!$AB:$AB,"",операции!$L:$L,U$9,операции!$O:$O,$F1496)/U1539)</f>
        <v>42330.882099415765</v>
      </c>
      <c r="V1540" s="237">
        <f>IF(V1539=0,0,SUMIFS(операции!$AG:$AG,операции!$X:$X,"&gt;="&amp;S$8,операции!$X:$X,"&lt;="&amp;S$9,операции!$AB:$AB,"",операции!$L:$L,V$9,операции!$O:$O,$F1496)/V1539)</f>
        <v>42332.512531192362</v>
      </c>
      <c r="W1540" s="238"/>
      <c r="X1540" s="193">
        <f>IF(X1539=0,0,SUMIFS(операции!$AG:$AG,операции!$X:$X,"&gt;="&amp;X$8,операции!$X:$X,"&lt;="&amp;X$9,операции!$AB:$AB,"",операции!$O:$O,$F1496)/X1539)</f>
        <v>42343.508802949364</v>
      </c>
      <c r="Y1540" s="196"/>
      <c r="Z1540" s="193">
        <f>IF(Z1539=0,0,SUMIFS(операции!$AG:$AG,операции!$X:$X,"&gt;="&amp;X$8,операции!$X:$X,"&lt;="&amp;X$9,операции!$AB:$AB,"",операции!$L:$L,Z$9,операции!$O:$O,$F1496)/Z1539)</f>
        <v>42343.783723165652</v>
      </c>
      <c r="AA1540" s="237">
        <f>IF(AA1539=0,0,SUMIFS(операции!$AG:$AG,операции!$X:$X,"&gt;="&amp;X$8,операции!$X:$X,"&lt;="&amp;X$9,операции!$AB:$AB,"",операции!$L:$L,AA$9,операции!$O:$O,$F1496)/AA1539)</f>
        <v>42343.265356788193</v>
      </c>
      <c r="AB1540" s="265"/>
      <c r="AC1540" s="37"/>
      <c r="AD1540" s="37"/>
      <c r="AE1540" s="37"/>
      <c r="AF1540" s="37"/>
      <c r="AG1540" s="37"/>
      <c r="AH1540" s="37"/>
      <c r="AI1540" s="37"/>
      <c r="AJ1540" s="37"/>
      <c r="AK1540" s="37"/>
      <c r="AL1540" s="37"/>
      <c r="AM1540" s="37"/>
      <c r="AN1540" s="37"/>
      <c r="AO1540" s="37"/>
      <c r="AP1540" s="37"/>
    </row>
    <row r="1541" spans="1:42" s="5" customFormat="1">
      <c r="A1541" s="1"/>
      <c r="B1541" s="1"/>
      <c r="C1541" s="1"/>
      <c r="D1541" s="168"/>
      <c r="E1541" s="168" t="s">
        <v>304</v>
      </c>
      <c r="F1541" s="168" t="str">
        <f t="shared" si="2656"/>
        <v>Позитив</v>
      </c>
      <c r="G1541" s="168" t="s">
        <v>261</v>
      </c>
      <c r="H1541" s="326"/>
      <c r="I1541" s="327">
        <f>SUMIFS(операции!$V:$V,операции!$X:$X,"&gt;="&amp;I$8,операции!$X:$X,"&lt;="&amp;I$9,операции!$AB:$AB,"",операции!$O:$O,$F1496)</f>
        <v>61594.929999999993</v>
      </c>
      <c r="J1541" s="313">
        <f>I1541-K1541-L1541</f>
        <v>0</v>
      </c>
      <c r="K1541" s="327">
        <f>SUMIFS(операции!$V:$V,операции!$X:$X,"&gt;="&amp;I$8,операции!$X:$X,"&lt;="&amp;I$9,операции!$AB:$AB,"",операции!$L:$L,K$9,операции!$O:$O,$F1496)</f>
        <v>31696.82</v>
      </c>
      <c r="L1541" s="328">
        <f>SUMIFS(операции!$V:$V,операции!$X:$X,"&gt;="&amp;I$8,операции!$X:$X,"&lt;="&amp;I$9,операции!$AB:$AB,"",операции!$L:$L,L$9,операции!$O:$O,$F1496)</f>
        <v>29898.11</v>
      </c>
      <c r="M1541" s="277"/>
      <c r="N1541" s="169">
        <f>SUMIFS(операции!$V:$V,операции!$X:$X,"&gt;="&amp;N$8,операции!$X:$X,"&lt;="&amp;N$9,операции!$AB:$AB,"",операции!$O:$O,$F1496)</f>
        <v>11689.61</v>
      </c>
      <c r="O1541" s="170">
        <f>N1541-P1541-Q1541</f>
        <v>0</v>
      </c>
      <c r="P1541" s="169">
        <f>SUMIFS(операции!$V:$V,операции!$X:$X,"&gt;="&amp;N$8,операции!$X:$X,"&lt;="&amp;N$9,операции!$AB:$AB,"",операции!$L:$L,P$9,операции!$O:$O,$F1496)</f>
        <v>11689.61</v>
      </c>
      <c r="Q1541" s="243">
        <f>SUMIFS(операции!$V:$V,операции!$X:$X,"&gt;="&amp;N$8,операции!$X:$X,"&lt;="&amp;N$9,операции!$AB:$AB,"",операции!$L:$L,Q$9,операции!$O:$O,$F1496)</f>
        <v>0</v>
      </c>
      <c r="R1541" s="244"/>
      <c r="S1541" s="169">
        <f>SUMIFS(операции!$V:$V,операции!$X:$X,"&gt;="&amp;S$8,операции!$X:$X,"&lt;="&amp;S$9,операции!$AB:$AB,"",операции!$O:$O,$F1496)</f>
        <v>26042.32</v>
      </c>
      <c r="T1541" s="170">
        <f>S1541-U1541-V1541</f>
        <v>0</v>
      </c>
      <c r="U1541" s="169">
        <f>SUMIFS(операции!$V:$V,операции!$X:$X,"&gt;="&amp;S$8,операции!$X:$X,"&lt;="&amp;S$9,операции!$AB:$AB,"",операции!$L:$L,U$9,операции!$O:$O,$F1496)</f>
        <v>9472.2099999999991</v>
      </c>
      <c r="V1541" s="243">
        <f>SUMIFS(операции!$V:$V,операции!$X:$X,"&gt;="&amp;S$8,операции!$X:$X,"&lt;="&amp;S$9,операции!$AB:$AB,"",операции!$L:$L,V$9,операции!$O:$O,$F1496)</f>
        <v>16570.11</v>
      </c>
      <c r="W1541" s="244"/>
      <c r="X1541" s="169">
        <f>SUMIFS(операции!$V:$V,операции!$X:$X,"&gt;="&amp;X$8,операции!$X:$X,"&lt;="&amp;X$9,операции!$AB:$AB,"",операции!$O:$O,$F1496)</f>
        <v>23863</v>
      </c>
      <c r="Y1541" s="170">
        <f>X1541-Z1541-AA1541</f>
        <v>0</v>
      </c>
      <c r="Z1541" s="169">
        <f>SUMIFS(операции!$V:$V,операции!$X:$X,"&gt;="&amp;X$8,операции!$X:$X,"&lt;="&amp;X$9,операции!$AB:$AB,"",операции!$L:$L,Z$9,операции!$O:$O,$F1496)</f>
        <v>10535</v>
      </c>
      <c r="AA1541" s="243">
        <f>SUMIFS(операции!$V:$V,операции!$X:$X,"&gt;="&amp;X$8,операции!$X:$X,"&lt;="&amp;X$9,операции!$AB:$AB,"",операции!$L:$L,AA$9,операции!$O:$O,$F1496)</f>
        <v>13328</v>
      </c>
      <c r="AB1541" s="266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</row>
    <row r="1542" spans="1:42" s="192" customFormat="1" ht="11.25">
      <c r="A1542" s="37"/>
      <c r="B1542" s="37"/>
      <c r="C1542" s="37"/>
      <c r="D1542" s="191"/>
      <c r="E1542" s="191" t="s">
        <v>305</v>
      </c>
      <c r="F1542" s="191" t="str">
        <f t="shared" si="2656"/>
        <v>Позитив</v>
      </c>
      <c r="G1542" s="191" t="s">
        <v>262</v>
      </c>
      <c r="H1542" s="315"/>
      <c r="I1542" s="316">
        <f>IF(I1541=0,0,SUMIFS(операции!$AF:$AF,операции!$X:$X,"&gt;="&amp;I$8,операции!$X:$X,"&lt;="&amp;I$9,операции!$AB:$AB,"",операции!$O:$O,$F1496)/I1541)</f>
        <v>42222.38762573478</v>
      </c>
      <c r="J1542" s="317"/>
      <c r="K1542" s="316">
        <f>IF(K1541=0,0,SUMIFS(операции!$AF:$AF,операции!$X:$X,"&gt;="&amp;I$8,операции!$X:$X,"&lt;="&amp;I$9,операции!$AB:$AB,"",операции!$L:$L,K$9,операции!$O:$O,$F1496)/K1541)</f>
        <v>42121.056558670549</v>
      </c>
      <c r="L1542" s="318">
        <f>IF(L1541=0,0,SUMIFS(операции!$AF:$AF,операции!$X:$X,"&gt;="&amp;I$8,операции!$X:$X,"&lt;="&amp;I$9,операции!$AB:$AB,"",операции!$L:$L,L$9,операции!$O:$O,$F1496)/L1541)</f>
        <v>42329.814904353487</v>
      </c>
      <c r="M1542" s="274"/>
      <c r="N1542" s="193">
        <f>IF(N1541=0,0,SUMIFS(операции!$AF:$AF,операции!$X:$X,"&gt;="&amp;N$8,операции!$X:$X,"&lt;="&amp;N$9,операции!$AB:$AB,"",операции!$O:$O,$F1496)/N1541)</f>
        <v>42161.157237923246</v>
      </c>
      <c r="O1542" s="196"/>
      <c r="P1542" s="193">
        <f>IF(P1541=0,0,SUMIFS(операции!$AF:$AF,операции!$X:$X,"&gt;="&amp;N$8,операции!$X:$X,"&lt;="&amp;N$9,операции!$AB:$AB,"",операции!$L:$L,P$9,операции!$O:$O,$F1496)/P1541)</f>
        <v>42161.157237923246</v>
      </c>
      <c r="Q1542" s="237">
        <f>IF(Q1541=0,0,SUMIFS(операции!$AF:$AF,операции!$X:$X,"&gt;="&amp;N$8,операции!$X:$X,"&lt;="&amp;N$9,операции!$AB:$AB,"",операции!$L:$L,Q$9,операции!$O:$O,$F1496)/Q1541)</f>
        <v>0</v>
      </c>
      <c r="R1542" s="238"/>
      <c r="S1542" s="193">
        <f>IF(S1541=0,0,SUMIFS(операции!$AF:$AF,операции!$X:$X,"&gt;="&amp;S$8,операции!$X:$X,"&lt;="&amp;S$9,операции!$AB:$AB,"",операции!$O:$O,$F1496)/S1541)</f>
        <v>42258.891403684458</v>
      </c>
      <c r="T1542" s="196"/>
      <c r="U1542" s="193">
        <f>IF(U1541=0,0,SUMIFS(операции!$AF:$AF,операции!$X:$X,"&gt;="&amp;S$8,операции!$X:$X,"&lt;="&amp;S$9,операции!$AB:$AB,"",операции!$L:$L,U$9,операции!$O:$O,$F1496)/U1541)</f>
        <v>42141.364105103246</v>
      </c>
      <c r="V1542" s="237">
        <f>IF(V1541=0,0,SUMIFS(операции!$AF:$AF,операции!$X:$X,"&gt;="&amp;S$8,операции!$X:$X,"&lt;="&amp;S$9,операции!$AB:$AB,"",операции!$L:$L,V$9,операции!$O:$O,$F1496)/V1541)</f>
        <v>42326.075221588748</v>
      </c>
      <c r="W1542" s="238"/>
      <c r="X1542" s="193">
        <f>IF(X1541=0,0,SUMIFS(операции!$AF:$AF,операции!$X:$X,"&gt;="&amp;X$8,операции!$X:$X,"&lt;="&amp;X$9,операции!$AB:$AB,"",операции!$O:$O,$F1496)/X1541)</f>
        <v>42212.544617189786</v>
      </c>
      <c r="Y1542" s="196"/>
      <c r="Z1542" s="193">
        <f>IF(Z1541=0,0,SUMIFS(операции!$AF:$AF,операции!$X:$X,"&gt;="&amp;X$8,операции!$X:$X,"&lt;="&amp;X$9,операции!$AB:$AB,"",операции!$L:$L,Z$9,операции!$O:$O,$F1496)/Z1541)</f>
        <v>42058.302059800655</v>
      </c>
      <c r="AA1542" s="237">
        <f>IF(AA1541=0,0,SUMIFS(операции!$AF:$AF,операции!$X:$X,"&gt;="&amp;X$8,операции!$X:$X,"&lt;="&amp;X$9,операции!$AB:$AB,"",операции!$L:$L,AA$9,операции!$O:$O,$F1496)/AA1541)</f>
        <v>42334.464285714283</v>
      </c>
      <c r="AB1542" s="265"/>
      <c r="AC1542" s="37"/>
      <c r="AD1542" s="37"/>
      <c r="AE1542" s="37"/>
      <c r="AF1542" s="37"/>
      <c r="AG1542" s="37"/>
      <c r="AH1542" s="37"/>
      <c r="AI1542" s="37"/>
      <c r="AJ1542" s="37"/>
      <c r="AK1542" s="37"/>
      <c r="AL1542" s="37"/>
      <c r="AM1542" s="37"/>
      <c r="AN1542" s="37"/>
      <c r="AO1542" s="37"/>
      <c r="AP1542" s="37"/>
    </row>
    <row r="1543" spans="1:42" s="192" customFormat="1" ht="11.25">
      <c r="A1543" s="37"/>
      <c r="B1543" s="37"/>
      <c r="C1543" s="37"/>
      <c r="D1543" s="191"/>
      <c r="E1543" s="191" t="s">
        <v>307</v>
      </c>
      <c r="F1543" s="191" t="str">
        <f t="shared" si="2656"/>
        <v>Позитив</v>
      </c>
      <c r="G1543" s="191" t="s">
        <v>262</v>
      </c>
      <c r="H1543" s="315"/>
      <c r="I1543" s="316">
        <f>I$9</f>
        <v>42369</v>
      </c>
      <c r="J1543" s="317"/>
      <c r="K1543" s="316">
        <f>I$9</f>
        <v>42369</v>
      </c>
      <c r="L1543" s="318">
        <f>I$9</f>
        <v>42369</v>
      </c>
      <c r="M1543" s="274"/>
      <c r="N1543" s="193">
        <f>N$9</f>
        <v>42308</v>
      </c>
      <c r="O1543" s="196"/>
      <c r="P1543" s="193">
        <f>N$9</f>
        <v>42308</v>
      </c>
      <c r="Q1543" s="237">
        <f>N$9</f>
        <v>42308</v>
      </c>
      <c r="R1543" s="238"/>
      <c r="S1543" s="193">
        <f>S$9</f>
        <v>42338</v>
      </c>
      <c r="T1543" s="196"/>
      <c r="U1543" s="193">
        <f>S$9</f>
        <v>42338</v>
      </c>
      <c r="V1543" s="237">
        <f>S$9</f>
        <v>42338</v>
      </c>
      <c r="W1543" s="238"/>
      <c r="X1543" s="193">
        <f>X$9</f>
        <v>42369</v>
      </c>
      <c r="Y1543" s="196"/>
      <c r="Z1543" s="193">
        <f>X$9</f>
        <v>42369</v>
      </c>
      <c r="AA1543" s="237">
        <f>X$9</f>
        <v>42369</v>
      </c>
      <c r="AB1543" s="265"/>
      <c r="AC1543" s="37"/>
      <c r="AD1543" s="37"/>
      <c r="AE1543" s="37"/>
      <c r="AF1543" s="37"/>
      <c r="AG1543" s="37"/>
      <c r="AH1543" s="37"/>
      <c r="AI1543" s="37"/>
      <c r="AJ1543" s="37"/>
      <c r="AK1543" s="37"/>
      <c r="AL1543" s="37"/>
      <c r="AM1543" s="37"/>
      <c r="AN1543" s="37"/>
      <c r="AO1543" s="37"/>
      <c r="AP1543" s="37"/>
    </row>
    <row r="1544" spans="1:42" s="5" customFormat="1">
      <c r="A1544" s="1"/>
      <c r="B1544" s="1"/>
      <c r="C1544" s="1"/>
      <c r="D1544" s="168"/>
      <c r="E1544" s="168" t="s">
        <v>380</v>
      </c>
      <c r="F1544" s="168" t="str">
        <f t="shared" si="2656"/>
        <v>Позитив</v>
      </c>
      <c r="G1544" s="168" t="s">
        <v>261</v>
      </c>
      <c r="H1544" s="326"/>
      <c r="I1544" s="327">
        <f>I1539-I1541</f>
        <v>6750.070000000007</v>
      </c>
      <c r="J1544" s="313">
        <f>I1544-K1544-L1544</f>
        <v>7.2759576141834259E-12</v>
      </c>
      <c r="K1544" s="327">
        <f t="shared" ref="K1544:L1544" si="2761">K1539-K1541</f>
        <v>4116.18</v>
      </c>
      <c r="L1544" s="328">
        <f t="shared" si="2761"/>
        <v>2633.8899999999994</v>
      </c>
      <c r="M1544" s="277"/>
      <c r="N1544" s="169">
        <f>N1539-N1541</f>
        <v>1198.3899999999994</v>
      </c>
      <c r="O1544" s="170">
        <f>N1544-P1544-Q1544</f>
        <v>0</v>
      </c>
      <c r="P1544" s="169">
        <f t="shared" ref="P1544:Q1544" si="2762">P1539-P1541</f>
        <v>1198.3899999999994</v>
      </c>
      <c r="Q1544" s="243">
        <f t="shared" si="2762"/>
        <v>0</v>
      </c>
      <c r="R1544" s="244"/>
      <c r="S1544" s="169">
        <f>S1539-S1541</f>
        <v>2832.6800000000003</v>
      </c>
      <c r="T1544" s="170">
        <f>S1544-U1544-V1544</f>
        <v>0</v>
      </c>
      <c r="U1544" s="169">
        <f t="shared" ref="U1544:V1544" si="2763">U1539-U1541</f>
        <v>968.79000000000087</v>
      </c>
      <c r="V1544" s="243">
        <f t="shared" si="2763"/>
        <v>1863.8899999999994</v>
      </c>
      <c r="W1544" s="244"/>
      <c r="X1544" s="169">
        <f>X1539-X1541</f>
        <v>2719</v>
      </c>
      <c r="Y1544" s="170">
        <f>X1544-Z1544-AA1544</f>
        <v>0</v>
      </c>
      <c r="Z1544" s="169">
        <f t="shared" ref="Z1544:AA1544" si="2764">Z1539-Z1541</f>
        <v>1949</v>
      </c>
      <c r="AA1544" s="243">
        <f t="shared" si="2764"/>
        <v>770</v>
      </c>
      <c r="AB1544" s="266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</row>
    <row r="1545" spans="1:42" s="211" customFormat="1">
      <c r="A1545" s="210"/>
      <c r="B1545" s="210"/>
      <c r="C1545" s="210"/>
      <c r="D1545" s="218"/>
      <c r="E1545" s="218" t="s">
        <v>381</v>
      </c>
      <c r="F1545" s="218" t="str">
        <f t="shared" si="2656"/>
        <v>Позитив</v>
      </c>
      <c r="G1545" s="218" t="s">
        <v>218</v>
      </c>
      <c r="H1545" s="343"/>
      <c r="I1545" s="344">
        <f>IF(I1539=0,0,(I1544/I1539))</f>
        <v>9.8764649937815599E-2</v>
      </c>
      <c r="J1545" s="345"/>
      <c r="K1545" s="344">
        <f t="shared" ref="K1545" si="2765">IF(K1539=0,0,(K1544/K1539))</f>
        <v>0.11493535866863988</v>
      </c>
      <c r="L1545" s="346">
        <f t="shared" ref="L1545" si="2766">IF(L1539=0,0,(L1544/L1539))</f>
        <v>8.0963051764416552E-2</v>
      </c>
      <c r="M1545" s="280"/>
      <c r="N1545" s="219">
        <f>IF(N1539=0,0,(N1544/N1539))</f>
        <v>9.2984947237740492E-2</v>
      </c>
      <c r="O1545" s="220"/>
      <c r="P1545" s="219">
        <f t="shared" ref="P1545" si="2767">IF(P1539=0,0,(P1544/P1539))</f>
        <v>9.2984947237740492E-2</v>
      </c>
      <c r="Q1545" s="252">
        <f t="shared" ref="Q1545" si="2768">IF(Q1539=0,0,(Q1544/Q1539))</f>
        <v>0</v>
      </c>
      <c r="R1545" s="253"/>
      <c r="S1545" s="219">
        <f>IF(S1539=0,0,(S1544/S1539))</f>
        <v>9.8101471861471876E-2</v>
      </c>
      <c r="T1545" s="220"/>
      <c r="U1545" s="219">
        <f t="shared" ref="U1545" si="2769">IF(U1539=0,0,(U1544/U1539))</f>
        <v>9.2787089359256864E-2</v>
      </c>
      <c r="V1545" s="252">
        <f t="shared" ref="V1545" si="2770">IF(V1539=0,0,(V1544/V1539))</f>
        <v>0.10111153303677983</v>
      </c>
      <c r="W1545" s="253"/>
      <c r="X1545" s="219">
        <f>IF(X1539=0,0,(X1544/X1539))</f>
        <v>0.10228726205703108</v>
      </c>
      <c r="Y1545" s="220"/>
      <c r="Z1545" s="219">
        <f t="shared" ref="Z1545" si="2771">IF(Z1539=0,0,(Z1544/Z1539))</f>
        <v>0.15611983338673502</v>
      </c>
      <c r="AA1545" s="252">
        <f t="shared" ref="AA1545" si="2772">IF(AA1539=0,0,(AA1544/AA1539))</f>
        <v>5.461767626613704E-2</v>
      </c>
      <c r="AB1545" s="267"/>
      <c r="AC1545" s="210"/>
      <c r="AD1545" s="210"/>
      <c r="AE1545" s="210"/>
      <c r="AF1545" s="210"/>
      <c r="AG1545" s="210"/>
      <c r="AH1545" s="210"/>
      <c r="AI1545" s="210"/>
      <c r="AJ1545" s="210"/>
      <c r="AK1545" s="210"/>
      <c r="AL1545" s="210"/>
      <c r="AM1545" s="210"/>
      <c r="AN1545" s="210"/>
      <c r="AO1545" s="210"/>
      <c r="AP1545" s="210"/>
    </row>
    <row r="1546" spans="1:42" s="5" customFormat="1">
      <c r="A1546" s="1"/>
      <c r="B1546" s="1"/>
      <c r="C1546" s="1"/>
      <c r="D1546" s="227"/>
      <c r="E1546" s="227" t="s">
        <v>306</v>
      </c>
      <c r="F1546" s="227" t="str">
        <f t="shared" si="2656"/>
        <v>Позитив</v>
      </c>
      <c r="G1546" s="227" t="s">
        <v>219</v>
      </c>
      <c r="H1546" s="347"/>
      <c r="I1546" s="348">
        <f>I1540-I1542</f>
        <v>108.44661232213548</v>
      </c>
      <c r="J1546" s="321"/>
      <c r="K1546" s="348">
        <f t="shared" ref="K1546:L1546" si="2773">K1540-K1542</f>
        <v>204.02022908808431</v>
      </c>
      <c r="L1546" s="349">
        <f t="shared" si="2773"/>
        <v>7.3574490216487902</v>
      </c>
      <c r="M1546" s="281"/>
      <c r="N1546" s="228">
        <f>N1540-N1542</f>
        <v>141.09594333063433</v>
      </c>
      <c r="O1546" s="173"/>
      <c r="P1546" s="228">
        <f t="shared" ref="P1546:Q1546" si="2774">P1540-P1542</f>
        <v>141.09594333063433</v>
      </c>
      <c r="Q1546" s="254">
        <f t="shared" si="2774"/>
        <v>0</v>
      </c>
      <c r="R1546" s="255"/>
      <c r="S1546" s="228">
        <f>S1540-S1542</f>
        <v>73.031574670523696</v>
      </c>
      <c r="T1546" s="173"/>
      <c r="U1546" s="228">
        <f t="shared" ref="U1546:V1546" si="2775">U1540-U1542</f>
        <v>189.51799431251857</v>
      </c>
      <c r="V1546" s="254">
        <f t="shared" si="2775"/>
        <v>6.437309603614267</v>
      </c>
      <c r="W1546" s="255"/>
      <c r="X1546" s="228">
        <f>X1540-X1542</f>
        <v>130.96418575957796</v>
      </c>
      <c r="Y1546" s="173"/>
      <c r="Z1546" s="228">
        <f t="shared" ref="Z1546:AA1546" si="2776">Z1540-Z1542</f>
        <v>285.48166336499708</v>
      </c>
      <c r="AA1546" s="254">
        <f t="shared" si="2776"/>
        <v>8.8010710739108617</v>
      </c>
      <c r="AB1546" s="266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</row>
    <row r="1547" spans="1:42" s="5" customFormat="1">
      <c r="A1547" s="1"/>
      <c r="B1547" s="1"/>
      <c r="C1547" s="1"/>
      <c r="D1547" s="227"/>
      <c r="E1547" s="227" t="s">
        <v>382</v>
      </c>
      <c r="F1547" s="227" t="str">
        <f t="shared" si="2656"/>
        <v>Позитив</v>
      </c>
      <c r="G1547" s="227" t="s">
        <v>219</v>
      </c>
      <c r="H1547" s="347"/>
      <c r="I1547" s="348">
        <f>I1543-I1542</f>
        <v>146.61237426521984</v>
      </c>
      <c r="J1547" s="321"/>
      <c r="K1547" s="348">
        <f t="shared" ref="K1547:L1547" si="2777">K1543-K1542</f>
        <v>247.94344132945116</v>
      </c>
      <c r="L1547" s="349">
        <f t="shared" si="2777"/>
        <v>39.185095646513219</v>
      </c>
      <c r="M1547" s="281"/>
      <c r="N1547" s="228">
        <f>N1543-N1542</f>
        <v>146.8427620767543</v>
      </c>
      <c r="O1547" s="173"/>
      <c r="P1547" s="228">
        <f t="shared" ref="P1547:Q1547" si="2778">P1543-P1542</f>
        <v>146.8427620767543</v>
      </c>
      <c r="Q1547" s="254">
        <f t="shared" si="2778"/>
        <v>42308</v>
      </c>
      <c r="R1547" s="255"/>
      <c r="S1547" s="228">
        <f>S1543-S1542</f>
        <v>79.108596315541945</v>
      </c>
      <c r="T1547" s="173"/>
      <c r="U1547" s="228">
        <f t="shared" ref="U1547:V1547" si="2779">U1543-U1542</f>
        <v>196.6358948967536</v>
      </c>
      <c r="V1547" s="254">
        <f t="shared" si="2779"/>
        <v>11.924778411252191</v>
      </c>
      <c r="W1547" s="255"/>
      <c r="X1547" s="228">
        <f>X1543-X1542</f>
        <v>156.45538281021436</v>
      </c>
      <c r="Y1547" s="173"/>
      <c r="Z1547" s="228">
        <f t="shared" ref="Z1547:AA1547" si="2780">Z1543-Z1542</f>
        <v>310.69794019934488</v>
      </c>
      <c r="AA1547" s="254">
        <f t="shared" si="2780"/>
        <v>34.535714285717404</v>
      </c>
      <c r="AB1547" s="266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</row>
    <row r="1548" spans="1:42" s="5" customFormat="1">
      <c r="A1548" s="1"/>
      <c r="B1548" s="1"/>
      <c r="C1548" s="1"/>
      <c r="D1548" s="225"/>
      <c r="E1548" s="225" t="s">
        <v>383</v>
      </c>
      <c r="F1548" s="225" t="str">
        <f t="shared" si="2656"/>
        <v>Позитив</v>
      </c>
      <c r="G1548" s="225" t="s">
        <v>219</v>
      </c>
      <c r="H1548" s="350"/>
      <c r="I1548" s="351">
        <f>I1546-I1547</f>
        <v>-38.165761943084362</v>
      </c>
      <c r="J1548" s="352"/>
      <c r="K1548" s="351">
        <f t="shared" ref="K1548" si="2781">K1546-K1547</f>
        <v>-43.923212241366855</v>
      </c>
      <c r="L1548" s="353">
        <f t="shared" ref="L1548" si="2782">L1546-L1547</f>
        <v>-31.827646624864428</v>
      </c>
      <c r="M1548" s="282"/>
      <c r="N1548" s="226">
        <f>N1546-N1547</f>
        <v>-5.7468187461199705</v>
      </c>
      <c r="O1548" s="181"/>
      <c r="P1548" s="226">
        <f t="shared" ref="P1548" si="2783">P1546-P1547</f>
        <v>-5.7468187461199705</v>
      </c>
      <c r="Q1548" s="256">
        <f t="shared" ref="Q1548" si="2784">Q1546-Q1547</f>
        <v>-42308</v>
      </c>
      <c r="R1548" s="257"/>
      <c r="S1548" s="226">
        <f>S1546-S1547</f>
        <v>-6.0770216450182488</v>
      </c>
      <c r="T1548" s="181"/>
      <c r="U1548" s="226">
        <f t="shared" ref="U1548" si="2785">U1546-U1547</f>
        <v>-7.1179005842350307</v>
      </c>
      <c r="V1548" s="256">
        <f t="shared" ref="V1548" si="2786">V1546-V1547</f>
        <v>-5.4874688076379243</v>
      </c>
      <c r="W1548" s="257"/>
      <c r="X1548" s="226">
        <f>X1546-X1547</f>
        <v>-25.491197050636401</v>
      </c>
      <c r="Y1548" s="181"/>
      <c r="Z1548" s="226">
        <f t="shared" ref="Z1548" si="2787">Z1546-Z1547</f>
        <v>-25.216276834347809</v>
      </c>
      <c r="AA1548" s="256">
        <f t="shared" ref="AA1548" si="2788">AA1546-AA1547</f>
        <v>-25.734643211806542</v>
      </c>
      <c r="AB1548" s="266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</row>
    <row r="1549" spans="1:42" s="5" customFormat="1">
      <c r="A1549" s="1"/>
      <c r="B1549" s="1"/>
      <c r="C1549" s="1"/>
      <c r="D1549" s="168" t="s">
        <v>312</v>
      </c>
      <c r="E1549" s="168"/>
      <c r="F1549" s="168" t="str">
        <f t="shared" si="2656"/>
        <v>Позитив</v>
      </c>
      <c r="G1549" s="168" t="s">
        <v>261</v>
      </c>
      <c r="H1549" s="326"/>
      <c r="I1549" s="327">
        <f>SUMIFS(операции!$AC:$AC,операции!$AB:$AB,"&gt;="&amp;I$8,операции!$AB:$AB,"&lt;="&amp;I$9,операции!$O:$O,$F1496)</f>
        <v>148383.83000000002</v>
      </c>
      <c r="J1549" s="313">
        <f>I1549-K1549-L1549</f>
        <v>0</v>
      </c>
      <c r="K1549" s="327">
        <f>SUMIFS(операции!$AC:$AC,операции!$AB:$AB,"&gt;="&amp;I$8,операции!$AB:$AB,"&lt;="&amp;I$9,операции!$L:$L,K$9,операции!$O:$O,$F1496)</f>
        <v>57764.630000000005</v>
      </c>
      <c r="L1549" s="328">
        <f>SUMIFS(операции!$AC:$AC,операции!$AB:$AB,"&gt;="&amp;I$8,операции!$AB:$AB,"&lt;="&amp;I$9,операции!$L:$L,L$9,операции!$O:$O,$F1496)</f>
        <v>90619.200000000012</v>
      </c>
      <c r="M1549" s="277"/>
      <c r="N1549" s="169">
        <f>SUMIFS(операции!$AC:$AC,операции!$AB:$AB,"&gt;="&amp;N$8,операции!$AB:$AB,"&lt;="&amp;N$9,операции!$O:$O,$F1496)</f>
        <v>34743.800000000003</v>
      </c>
      <c r="O1549" s="170">
        <f>N1549-P1549-Q1549</f>
        <v>0</v>
      </c>
      <c r="P1549" s="169">
        <f>SUMIFS(операции!$AC:$AC,операции!$AB:$AB,"&gt;="&amp;N$8,операции!$AB:$AB,"&lt;="&amp;N$9,операции!$L:$L,P$9,операции!$O:$O,$F1496)</f>
        <v>26700.720000000001</v>
      </c>
      <c r="Q1549" s="243">
        <f>SUMIFS(операции!$AC:$AC,операции!$AB:$AB,"&gt;="&amp;N$8,операции!$AB:$AB,"&lt;="&amp;N$9,операции!$L:$L,Q$9,операции!$O:$O,$F1496)</f>
        <v>8043.08</v>
      </c>
      <c r="R1549" s="244"/>
      <c r="S1549" s="169">
        <f>SUMIFS(операции!$AC:$AC,операции!$AB:$AB,"&gt;="&amp;S$8,операции!$AB:$AB,"&lt;="&amp;S$9,операции!$O:$O,$F1496)</f>
        <v>43242.31</v>
      </c>
      <c r="T1549" s="170">
        <f>S1549-U1549-V1549</f>
        <v>0</v>
      </c>
      <c r="U1549" s="169">
        <f>SUMIFS(операции!$AC:$AC,операции!$AB:$AB,"&gt;="&amp;S$8,операции!$AB:$AB,"&lt;="&amp;S$9,операции!$L:$L,U$9,операции!$O:$O,$F1496)</f>
        <v>23263.41</v>
      </c>
      <c r="V1549" s="243">
        <f>SUMIFS(операции!$AC:$AC,операции!$AB:$AB,"&gt;="&amp;S$8,операции!$AB:$AB,"&lt;="&amp;S$9,операции!$L:$L,V$9,операции!$O:$O,$F1496)</f>
        <v>19978.900000000001</v>
      </c>
      <c r="W1549" s="244"/>
      <c r="X1549" s="169">
        <f>SUMIFS(операции!$AC:$AC,операции!$AB:$AB,"&gt;="&amp;X$8,операции!$AB:$AB,"&lt;="&amp;X$9,операции!$O:$O,$F1496)</f>
        <v>70397.72</v>
      </c>
      <c r="Y1549" s="170">
        <f>X1549-Z1549-AA1549</f>
        <v>0</v>
      </c>
      <c r="Z1549" s="169">
        <f>SUMIFS(операции!$AC:$AC,операции!$AB:$AB,"&gt;="&amp;X$8,операции!$AB:$AB,"&lt;="&amp;X$9,операции!$L:$L,Z$9,операции!$O:$O,$F1496)</f>
        <v>7800.5</v>
      </c>
      <c r="AA1549" s="243">
        <f>SUMIFS(операции!$AC:$AC,операции!$AB:$AB,"&gt;="&amp;X$8,операции!$AB:$AB,"&lt;="&amp;X$9,операции!$L:$L,AA$9,операции!$O:$O,$F1496)</f>
        <v>62597.22</v>
      </c>
      <c r="AB1549" s="266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</row>
    <row r="1550" spans="1:42" s="192" customFormat="1" ht="11.25">
      <c r="A1550" s="37"/>
      <c r="B1550" s="37"/>
      <c r="C1550" s="37"/>
      <c r="D1550" s="207" t="s">
        <v>255</v>
      </c>
      <c r="E1550" s="207"/>
      <c r="F1550" s="207" t="str">
        <f t="shared" si="2656"/>
        <v>Позитив</v>
      </c>
      <c r="G1550" s="207" t="s">
        <v>262</v>
      </c>
      <c r="H1550" s="331"/>
      <c r="I1550" s="337">
        <f>IF(I1549=0,0,SUMIFS(операции!$AH:$AH,операции!$AB:$AB,"&gt;="&amp;I$8,операции!$AB:$AB,"&lt;="&amp;I$9,операции!$O:$O,$F1496)/I1549)</f>
        <v>42332.06979783444</v>
      </c>
      <c r="J1550" s="333"/>
      <c r="K1550" s="337">
        <f>IF(K1549=0,0,SUMIFS(операции!$AH:$AH,операции!$AB:$AB,"&gt;="&amp;I$8,операции!$AB:$AB,"&lt;="&amp;I$9,операции!$L:$L,K$9,операции!$O:$O,$F1496)/K1549)</f>
        <v>42314.678615270277</v>
      </c>
      <c r="L1550" s="338">
        <f>IF(L1549=0,0,SUMIFS(операции!$AH:$AH,операции!$AB:$AB,"&gt;="&amp;I$8,операции!$AB:$AB,"&lt;="&amp;I$9,операции!$L:$L,L$9,операции!$O:$O,$F1496)/L1549)</f>
        <v>42343.1556960335</v>
      </c>
      <c r="M1550" s="278"/>
      <c r="N1550" s="217">
        <f>IF(N1549=0,0,SUMIFS(операции!$AH:$AH,операции!$AB:$AB,"&gt;="&amp;N$8,операции!$AB:$AB,"&lt;="&amp;N$9,операции!$O:$O,$F1496)/N1549)</f>
        <v>42299.854557072053</v>
      </c>
      <c r="O1550" s="208"/>
      <c r="P1550" s="217">
        <f>IF(P1549=0,0,SUMIFS(операции!$AH:$AH,операции!$AB:$AB,"&gt;="&amp;N$8,операции!$AB:$AB,"&lt;="&amp;N$9,операции!$L:$L,P$9,операции!$O:$O,$F1496)/P1549)</f>
        <v>42297.552095973435</v>
      </c>
      <c r="Q1550" s="249">
        <f>IF(Q1549=0,0,SUMIFS(операции!$AH:$AH,операции!$AB:$AB,"&gt;="&amp;N$8,операции!$AB:$AB,"&lt;="&amp;N$9,операции!$L:$L,Q$9,операции!$O:$O,$F1496)/Q1549)</f>
        <v>42307.498067904336</v>
      </c>
      <c r="R1550" s="247"/>
      <c r="S1550" s="217">
        <f>IF(S1549=0,0,SUMIFS(операции!$AH:$AH,операции!$AB:$AB,"&gt;="&amp;S$8,операции!$AB:$AB,"&lt;="&amp;S$9,операции!$O:$O,$F1496)/S1549)</f>
        <v>42324.515181543262</v>
      </c>
      <c r="T1550" s="208"/>
      <c r="U1550" s="217">
        <f>IF(U1549=0,0,SUMIFS(операции!$AH:$AH,операции!$AB:$AB,"&gt;="&amp;S$8,операции!$AB:$AB,"&lt;="&amp;S$9,операции!$L:$L,U$9,операции!$O:$O,$F1496)/U1549)</f>
        <v>42322.5283645003</v>
      </c>
      <c r="V1550" s="249">
        <f>IF(V1549=0,0,SUMIFS(операции!$AH:$AH,операции!$AB:$AB,"&gt;="&amp;S$8,операции!$AB:$AB,"&lt;="&amp;S$9,операции!$L:$L,V$9,операции!$O:$O,$F1496)/V1549)</f>
        <v>42326.82862920381</v>
      </c>
      <c r="W1550" s="247"/>
      <c r="X1550" s="217">
        <f>IF(X1549=0,0,SUMIFS(операции!$AH:$AH,операции!$AB:$AB,"&gt;="&amp;X$8,операции!$AB:$AB,"&lt;="&amp;X$9,операции!$O:$O,$F1496)/X1549)</f>
        <v>42352.609652556923</v>
      </c>
      <c r="Y1550" s="208"/>
      <c r="Z1550" s="217">
        <f>IF(Z1549=0,0,SUMIFS(операции!$AH:$AH,операции!$AB:$AB,"&gt;="&amp;X$8,операции!$AB:$AB,"&lt;="&amp;X$9,операции!$L:$L,Z$9,операции!$O:$O,$F1496)/Z1549)</f>
        <v>42349.891545413753</v>
      </c>
      <c r="AA1550" s="249">
        <f>IF(AA1549=0,0,SUMIFS(операции!$AH:$AH,операции!$AB:$AB,"&gt;="&amp;X$8,операции!$AB:$AB,"&lt;="&amp;X$9,операции!$L:$L,AA$9,операции!$O:$O,$F1496)/AA1549)</f>
        <v>42352.948367195851</v>
      </c>
      <c r="AB1550" s="265"/>
      <c r="AC1550" s="37"/>
      <c r="AD1550" s="37"/>
      <c r="AE1550" s="37"/>
      <c r="AF1550" s="37"/>
      <c r="AG1550" s="37"/>
      <c r="AH1550" s="37"/>
      <c r="AI1550" s="37"/>
      <c r="AJ1550" s="37"/>
      <c r="AK1550" s="37"/>
      <c r="AL1550" s="37"/>
      <c r="AM1550" s="37"/>
      <c r="AN1550" s="37"/>
      <c r="AO1550" s="37"/>
      <c r="AP1550" s="37"/>
    </row>
    <row r="1551" spans="1:42" s="111" customFormat="1" ht="11.25">
      <c r="A1551" s="108"/>
      <c r="B1551" s="108"/>
      <c r="C1551" s="209" t="s">
        <v>279</v>
      </c>
      <c r="D1551" s="109"/>
      <c r="E1551" s="109"/>
      <c r="F1551" s="109" t="str">
        <f t="shared" si="2656"/>
        <v>Позитив</v>
      </c>
      <c r="G1551" s="109"/>
      <c r="H1551" s="307"/>
      <c r="I1551" s="308">
        <f>I1552-K1552-L1552+K1551+L1551</f>
        <v>0</v>
      </c>
      <c r="J1551" s="309">
        <f>I1496+I1514-I1521-I1552</f>
        <v>0</v>
      </c>
      <c r="K1551" s="308">
        <f>K1496+K1514-K1521-K1552</f>
        <v>0</v>
      </c>
      <c r="L1551" s="336">
        <f>L1496+L1514-L1521-L1552</f>
        <v>0</v>
      </c>
      <c r="M1551" s="272"/>
      <c r="N1551" s="110">
        <f>N1552-P1552-Q1552</f>
        <v>-1.8189894035458565E-11</v>
      </c>
      <c r="O1551" s="215">
        <f>N1496+N1514-N1521-N1552</f>
        <v>0</v>
      </c>
      <c r="P1551" s="110">
        <f>P1496+P1514-P1521-P1552</f>
        <v>0</v>
      </c>
      <c r="Q1551" s="248">
        <f>Q1496+Q1514-Q1521-Q1552</f>
        <v>0</v>
      </c>
      <c r="R1551" s="234"/>
      <c r="S1551" s="110">
        <f>S1552-U1552-V1552</f>
        <v>0</v>
      </c>
      <c r="T1551" s="215">
        <f>S1496+S1514-S1521-S1552</f>
        <v>0</v>
      </c>
      <c r="U1551" s="110">
        <f>U1496+U1514-U1521-U1552</f>
        <v>0</v>
      </c>
      <c r="V1551" s="248">
        <f>V1496+V1514-V1521-V1552</f>
        <v>0</v>
      </c>
      <c r="W1551" s="234"/>
      <c r="X1551" s="110">
        <f>X1552-Z1552-AA1552</f>
        <v>0</v>
      </c>
      <c r="Y1551" s="215">
        <f>X1496+X1514-X1521-X1552</f>
        <v>0</v>
      </c>
      <c r="Z1551" s="110">
        <f>Z1496+Z1514-Z1521-Z1552</f>
        <v>0</v>
      </c>
      <c r="AA1551" s="248">
        <f>AA1496+AA1514-AA1521-AA1552</f>
        <v>0</v>
      </c>
      <c r="AB1551" s="263"/>
      <c r="AC1551" s="108"/>
      <c r="AD1551" s="108"/>
      <c r="AE1551" s="108"/>
      <c r="AF1551" s="108"/>
      <c r="AG1551" s="108"/>
      <c r="AH1551" s="108"/>
      <c r="AI1551" s="108"/>
      <c r="AJ1551" s="108"/>
      <c r="AK1551" s="108"/>
      <c r="AL1551" s="108"/>
      <c r="AM1551" s="108"/>
      <c r="AN1551" s="108"/>
      <c r="AO1551" s="108"/>
      <c r="AP1551" s="108"/>
    </row>
    <row r="1552" spans="1:42" s="93" customFormat="1" ht="15">
      <c r="A1552" s="92"/>
      <c r="B1552" s="92"/>
      <c r="C1552" s="214"/>
      <c r="D1552" s="151" t="s">
        <v>238</v>
      </c>
      <c r="E1552" s="151"/>
      <c r="F1552" s="151" t="str">
        <f t="shared" si="2656"/>
        <v>Позитив</v>
      </c>
      <c r="G1552" s="151" t="s">
        <v>261</v>
      </c>
      <c r="H1552" s="311"/>
      <c r="I1552" s="312">
        <f>SUMIFS(операции!$V:$V,операции!$T:$T,"&lt;="&amp;I$9,операции!$X:$X,"",операции!$O:$O,$F1496)+SUMIFS(операции!$V:$V,операции!$T:$T,"&lt;="&amp;I$9,операции!$X:$X,"&gt;"&amp;I$9,операции!$O:$O,$F1496)</f>
        <v>53331.789999999986</v>
      </c>
      <c r="J1552" s="313">
        <f>I1552-I1557-I1563</f>
        <v>0</v>
      </c>
      <c r="K1552" s="312">
        <f>SUMIFS(операции!$V:$V,операции!$T:$T,"&lt;="&amp;I$9,операции!$X:$X,"",операции!$L:$L,K$9,операции!$O:$O,$F1496)+SUMIFS(операции!$V:$V,операции!$T:$T,"&lt;="&amp;I$9,операции!$X:$X,"&gt;"&amp;I$9,операции!$L:$L,K$9,операции!$O:$O,$F1496)</f>
        <v>53331.789999999986</v>
      </c>
      <c r="L1552" s="314">
        <f>SUMIFS(операции!$V:$V,операции!$T:$T,"&lt;="&amp;I$9,операции!$X:$X,"",операции!$L:$L,L$9,операции!$O:$O,$F1496)+SUMIFS(операции!$V:$V,операции!$T:$T,"&lt;="&amp;I$9,операции!$X:$X,"&gt;"&amp;I$9,операции!$L:$L,L$9,операции!$O:$O,$F1496)</f>
        <v>0</v>
      </c>
      <c r="M1552" s="273"/>
      <c r="N1552" s="152">
        <f>SUMIFS(операции!$V:$V,операции!$T:$T,"&lt;="&amp;N$9,операции!$X:$X,"",операции!$O:$O,$F1496)+SUMIFS(операции!$V:$V,операции!$T:$T,"&lt;="&amp;N$9,операции!$X:$X,"&gt;"&amp;N$9,операции!$O:$O,$F1496)</f>
        <v>116265.05999999997</v>
      </c>
      <c r="O1552" s="170">
        <f>N1552-N1557-N1563</f>
        <v>0</v>
      </c>
      <c r="P1552" s="152">
        <f>SUMIFS(операции!$V:$V,операции!$T:$T,"&lt;="&amp;N$9,операции!$X:$X,"",операции!$L:$L,P$9,операции!$O:$O,$F1496)+SUMIFS(операции!$V:$V,операции!$T:$T,"&lt;="&amp;N$9,операции!$X:$X,"&gt;"&amp;N$9,операции!$L:$L,P$9,операции!$O:$O,$F1496)</f>
        <v>106680.82999999999</v>
      </c>
      <c r="Q1552" s="235">
        <f>SUMIFS(операции!$V:$V,операции!$T:$T,"&lt;="&amp;N$9,операции!$X:$X,"",операции!$L:$L,Q$9,операции!$O:$O,$F1496)+SUMIFS(операции!$V:$V,операции!$T:$T,"&lt;="&amp;N$9,операции!$X:$X,"&gt;"&amp;N$9,операции!$L:$L,Q$9,операции!$O:$O,$F1496)</f>
        <v>9584.23</v>
      </c>
      <c r="R1552" s="236"/>
      <c r="S1552" s="152">
        <f>SUMIFS(операции!$V:$V,операции!$T:$T,"&lt;="&amp;S$9,операции!$X:$X,"",операции!$O:$O,$F1496)+SUMIFS(операции!$V:$V,операции!$T:$T,"&lt;="&amp;S$9,операции!$X:$X,"&gt;"&amp;S$9,операции!$O:$O,$F1496)</f>
        <v>117154.9</v>
      </c>
      <c r="T1552" s="170">
        <f>S1552-S1557-S1563</f>
        <v>0</v>
      </c>
      <c r="U1552" s="152">
        <f>SUMIFS(операции!$V:$V,операции!$T:$T,"&lt;="&amp;S$9,операции!$X:$X,"",операции!$L:$L,U$9,операции!$O:$O,$F1496)+SUMIFS(операции!$V:$V,операции!$T:$T,"&lt;="&amp;S$9,операции!$X:$X,"&gt;"&amp;S$9,операции!$L:$L,U$9,операции!$O:$O,$F1496)</f>
        <v>82922.89999999998</v>
      </c>
      <c r="V1552" s="235">
        <f>SUMIFS(операции!$V:$V,операции!$T:$T,"&lt;="&amp;S$9,операции!$X:$X,"",операции!$L:$L,V$9,операции!$O:$O,$F1496)+SUMIFS(операции!$V:$V,операции!$T:$T,"&lt;="&amp;S$9,операции!$X:$X,"&gt;"&amp;S$9,операции!$L:$L,V$9,операции!$O:$O,$F1496)</f>
        <v>34232</v>
      </c>
      <c r="W1552" s="236"/>
      <c r="X1552" s="152">
        <f>SUMIFS(операции!$V:$V,операции!$T:$T,"&lt;="&amp;X$9,операции!$X:$X,"",операции!$O:$O,$F1496)+SUMIFS(операции!$V:$V,операции!$T:$T,"&lt;="&amp;X$9,операции!$X:$X,"&gt;"&amp;X$9,операции!$O:$O,$F1496)</f>
        <v>53331.789999999986</v>
      </c>
      <c r="Y1552" s="170">
        <f>X1552-X1557-X1563</f>
        <v>0</v>
      </c>
      <c r="Z1552" s="152">
        <f>SUMIFS(операции!$V:$V,операции!$T:$T,"&lt;="&amp;X$9,операции!$X:$X,"",операции!$L:$L,Z$9,операции!$O:$O,$F1496)+SUMIFS(операции!$V:$V,операции!$T:$T,"&lt;="&amp;X$9,операции!$X:$X,"&gt;"&amp;X$9,операции!$L:$L,Z$9,операции!$O:$O,$F1496)</f>
        <v>53331.789999999986</v>
      </c>
      <c r="AA1552" s="235">
        <f>SUMIFS(операции!$V:$V,операции!$T:$T,"&lt;="&amp;X$9,операции!$X:$X,"",операции!$L:$L,AA$9,операции!$O:$O,$F1496)+SUMIFS(операции!$V:$V,операции!$T:$T,"&lt;="&amp;X$9,операции!$X:$X,"&gt;"&amp;X$9,операции!$L:$L,AA$9,операции!$O:$O,$F1496)</f>
        <v>0</v>
      </c>
      <c r="AB1552" s="264"/>
      <c r="AC1552" s="92"/>
      <c r="AD1552" s="92"/>
      <c r="AE1552" s="92"/>
      <c r="AF1552" s="92"/>
      <c r="AG1552" s="92"/>
      <c r="AH1552" s="92"/>
      <c r="AI1552" s="92"/>
      <c r="AJ1552" s="92"/>
      <c r="AK1552" s="92"/>
      <c r="AL1552" s="92"/>
      <c r="AM1552" s="92"/>
      <c r="AN1552" s="92"/>
      <c r="AO1552" s="92"/>
      <c r="AP1552" s="92"/>
    </row>
    <row r="1553" spans="1:42" s="192" customFormat="1" ht="11.25">
      <c r="A1553" s="37"/>
      <c r="B1553" s="37"/>
      <c r="C1553" s="37"/>
      <c r="D1553" s="191" t="s">
        <v>255</v>
      </c>
      <c r="E1553" s="191"/>
      <c r="F1553" s="191" t="str">
        <f t="shared" si="2656"/>
        <v>Позитив</v>
      </c>
      <c r="G1553" s="191" t="s">
        <v>262</v>
      </c>
      <c r="H1553" s="315"/>
      <c r="I1553" s="316">
        <f>IF(I1552=0,0,(SUMIFS(операции!$AF:$AF,операции!$T:$T,"&lt;="&amp;I$9,операции!$X:$X,"",операции!$O:$O,$F1496)+SUMIFS(операции!$AF:$AF,операции!$T:$T,"&lt;="&amp;I$9,операции!$X:$X,"&gt;"&amp;I$9,операции!$O:$O,$F1496))/I1552)</f>
        <v>42198.449325627364</v>
      </c>
      <c r="J1553" s="317"/>
      <c r="K1553" s="316">
        <f>IF(K1552=0,0,(SUMIFS(операции!$AF:$AF,операции!$T:$T,"&lt;="&amp;I$9,операции!$X:$X,"",операции!$L:$L,K$9,операции!$O:$O,$F1496)+SUMIFS(операции!$AF:$AF,операции!$T:$T,"&lt;="&amp;I$9,операции!$X:$X,"&gt;"&amp;I$9,операции!$L:$L,K$9,операции!$O:$O,$F1496))/K1552)</f>
        <v>42198.449325627364</v>
      </c>
      <c r="L1553" s="318">
        <f>IF(L1552=0,0,(SUMIFS(операции!$AF:$AF,операции!$T:$T,"&lt;="&amp;I$9,операции!$X:$X,"",операции!$L:$L,L$9,операции!$O:$O,$F1496)+SUMIFS(операции!$AF:$AF,операции!$T:$T,"&lt;="&amp;I$9,операции!$X:$X,"&gt;"&amp;I$9,операции!$L:$L,L$9,операции!$O:$O,$F1496))/L1552)</f>
        <v>0</v>
      </c>
      <c r="M1553" s="274"/>
      <c r="N1553" s="193">
        <f>IF(N1552=0,0,(SUMIFS(операции!$AF:$AF,операции!$T:$T,"&lt;="&amp;N$9,операции!$X:$X,"",операции!$O:$O,$F1496)+SUMIFS(операции!$AF:$AF,операции!$T:$T,"&lt;="&amp;N$9,операции!$X:$X,"&gt;"&amp;N$9,операции!$O:$O,$F1496))/N1552)</f>
        <v>42200.727324959029</v>
      </c>
      <c r="O1553" s="196"/>
      <c r="P1553" s="193">
        <f>IF(P1552=0,0,(SUMIFS(операции!$AF:$AF,операции!$T:$T,"&lt;="&amp;N$9,операции!$X:$X,"",операции!$L:$L,P$9,операции!$O:$O,$F1496)+SUMIFS(операции!$AF:$AF,операции!$T:$T,"&lt;="&amp;N$9,операции!$X:$X,"&gt;"&amp;N$9,операции!$L:$L,P$9,операции!$O:$O,$F1496))/P1552)</f>
        <v>42191.42882437267</v>
      </c>
      <c r="Q1553" s="237">
        <f>IF(Q1552=0,0,(SUMIFS(операции!$AF:$AF,операции!$T:$T,"&lt;="&amp;N$9,операции!$X:$X,"",операции!$L:$L,Q$9,операции!$O:$O,$F1496)+SUMIFS(операции!$AF:$AF,операции!$T:$T,"&lt;="&amp;N$9,операции!$X:$X,"&gt;"&amp;N$9,операции!$L:$L,Q$9,операции!$O:$O,$F1496))/Q1552)</f>
        <v>42304.227737648202</v>
      </c>
      <c r="R1553" s="238"/>
      <c r="S1553" s="193">
        <f>IF(S1552=0,0,(SUMIFS(операции!$AF:$AF,операции!$T:$T,"&lt;="&amp;S$9,операции!$X:$X,"",операции!$O:$O,$F1496)+SUMIFS(операции!$AF:$AF,операции!$T:$T,"&lt;="&amp;S$9,операции!$X:$X,"&gt;"&amp;S$9,операции!$O:$O,$F1496))/S1552)</f>
        <v>42231.80209978413</v>
      </c>
      <c r="T1553" s="196"/>
      <c r="U1553" s="193">
        <f>IF(U1552=0,0,(SUMIFS(операции!$AF:$AF,операции!$T:$T,"&lt;="&amp;S$9,операции!$X:$X,"",операции!$L:$L,U$9,операции!$O:$O,$F1496)+SUMIFS(операции!$AF:$AF,операции!$T:$T,"&lt;="&amp;S$9,операции!$X:$X,"&gt;"&amp;S$9,операции!$L:$L,U$9,операции!$O:$O,$F1496))/U1552)</f>
        <v>42189.16371496897</v>
      </c>
      <c r="V1553" s="237">
        <f>IF(V1552=0,0,(SUMIFS(операции!$AF:$AF,операции!$T:$T,"&lt;="&amp;S$9,операции!$X:$X,"",операции!$L:$L,V$9,операции!$O:$O,$F1496)+SUMIFS(операции!$AF:$AF,операции!$T:$T,"&lt;="&amp;S$9,операции!$X:$X,"&gt;"&amp;S$9,операции!$L:$L,V$9,операции!$O:$O,$F1496))/V1552)</f>
        <v>42335.08845524655</v>
      </c>
      <c r="W1553" s="238"/>
      <c r="X1553" s="193">
        <f>IF(X1552=0,0,(SUMIFS(операции!$AF:$AF,операции!$T:$T,"&lt;="&amp;X$9,операции!$X:$X,"",операции!$O:$O,$F1496)+SUMIFS(операции!$AF:$AF,операции!$T:$T,"&lt;="&amp;X$9,операции!$X:$X,"&gt;"&amp;X$9,операции!$O:$O,$F1496))/X1552)</f>
        <v>42198.449325627364</v>
      </c>
      <c r="Y1553" s="196"/>
      <c r="Z1553" s="193">
        <f>IF(Z1552=0,0,(SUMIFS(операции!$AF:$AF,операции!$T:$T,"&lt;="&amp;X$9,операции!$X:$X,"",операции!$L:$L,Z$9,операции!$O:$O,$F1496)+SUMIFS(операции!$AF:$AF,операции!$T:$T,"&lt;="&amp;X$9,операции!$X:$X,"&gt;"&amp;X$9,операции!$L:$L,Z$9,операции!$O:$O,$F1496))/Z1552)</f>
        <v>42198.449325627364</v>
      </c>
      <c r="AA1553" s="237">
        <f>IF(AA1552=0,0,(SUMIFS(операции!$AF:$AF,операции!$T:$T,"&lt;="&amp;X$9,операции!$X:$X,"",операции!$L:$L,AA$9,операции!$O:$O,$F1496)+SUMIFS(операции!$AF:$AF,операции!$T:$T,"&lt;="&amp;X$9,операции!$X:$X,"&gt;"&amp;X$9,операции!$L:$L,AA$9,операции!$O:$O,$F1496))/AA1552)</f>
        <v>0</v>
      </c>
      <c r="AB1553" s="265"/>
      <c r="AC1553" s="37"/>
      <c r="AD1553" s="37"/>
      <c r="AE1553" s="37"/>
      <c r="AF1553" s="37"/>
      <c r="AG1553" s="37"/>
      <c r="AH1553" s="37"/>
      <c r="AI1553" s="37"/>
      <c r="AJ1553" s="37"/>
      <c r="AK1553" s="37"/>
      <c r="AL1553" s="37"/>
      <c r="AM1553" s="37"/>
      <c r="AN1553" s="37"/>
      <c r="AO1553" s="37"/>
      <c r="AP1553" s="37"/>
    </row>
    <row r="1554" spans="1:42" s="50" customFormat="1" ht="11.25">
      <c r="A1554" s="48"/>
      <c r="B1554" s="48"/>
      <c r="C1554" s="48"/>
      <c r="D1554" s="154" t="s">
        <v>239</v>
      </c>
      <c r="E1554" s="154"/>
      <c r="F1554" s="154" t="str">
        <f t="shared" si="2656"/>
        <v>Позитив</v>
      </c>
      <c r="G1554" s="154" t="s">
        <v>219</v>
      </c>
      <c r="H1554" s="319"/>
      <c r="I1554" s="320">
        <f>IF(I1552=0,0,I$9-I1553)</f>
        <v>170.55067437263642</v>
      </c>
      <c r="J1554" s="321">
        <f>I1554-SUMIFS(ПОбТЗ!$I:$I,ПОбТЗ!$E:$E,$D1554,ПОбТЗ!$F:$F,$F1554)</f>
        <v>0</v>
      </c>
      <c r="K1554" s="320">
        <f>IF(K1552=0,0,I$9-K1553)</f>
        <v>170.55067437263642</v>
      </c>
      <c r="L1554" s="322">
        <f>IF(L1552=0,0,I$9-L1553)</f>
        <v>0</v>
      </c>
      <c r="M1554" s="275"/>
      <c r="N1554" s="155">
        <f>IF(N1552=0,0,N$9-N1553)</f>
        <v>107.27267504097108</v>
      </c>
      <c r="O1554" s="173">
        <f>N1554-SUMIFS(ПОбТЗ_3!$J:$J,ПОбТЗ_3!$D:$D,$D1554,ПОбТЗ_3!$E:$E,$F1554)</f>
        <v>0</v>
      </c>
      <c r="P1554" s="155">
        <f>IF(P1552=0,0,N$9-P1553)</f>
        <v>116.57117562733038</v>
      </c>
      <c r="Q1554" s="239">
        <f>IF(Q1552=0,0,N$9-Q1553)</f>
        <v>3.7722623517984175</v>
      </c>
      <c r="R1554" s="240"/>
      <c r="S1554" s="155">
        <f>IF(S1552=0,0,S$9-S1553)</f>
        <v>106.19790021586959</v>
      </c>
      <c r="T1554" s="173">
        <f>S1554-SUMIFS(ПОбТЗ_3!$K:$K,ПОбТЗ_3!$D:$D,$D1554,ПОбТЗ_3!$E:$E,$F1554)</f>
        <v>0</v>
      </c>
      <c r="U1554" s="155">
        <f>IF(U1552=0,0,S$9-U1553)</f>
        <v>148.83628503102955</v>
      </c>
      <c r="V1554" s="239">
        <f>IF(V1552=0,0,S$9-V1553)</f>
        <v>2.9115447534495615</v>
      </c>
      <c r="W1554" s="240"/>
      <c r="X1554" s="155">
        <f>IF(X1552=0,0,X$9-X1553)</f>
        <v>170.55067437263642</v>
      </c>
      <c r="Y1554" s="173">
        <f>X1554-SUMIFS(ПОбТЗ_3!$L:$L,ПОбТЗ_3!$D:$D,$D1554,ПОбТЗ_3!$E:$E,$F1554)</f>
        <v>0</v>
      </c>
      <c r="Z1554" s="155">
        <f>IF(Z1552=0,0,X$9-Z1553)</f>
        <v>170.55067437263642</v>
      </c>
      <c r="AA1554" s="239">
        <f>IF(AA1552=0,0,X$9-AA1553)</f>
        <v>0</v>
      </c>
      <c r="AB1554" s="230"/>
      <c r="AC1554" s="48"/>
      <c r="AD1554" s="48"/>
      <c r="AE1554" s="48"/>
      <c r="AF1554" s="48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</row>
    <row r="1555" spans="1:42" s="93" customFormat="1" ht="15">
      <c r="A1555" s="92"/>
      <c r="B1555" s="92"/>
      <c r="C1555" s="92"/>
      <c r="D1555" s="198" t="s">
        <v>280</v>
      </c>
      <c r="E1555" s="198"/>
      <c r="F1555" s="198" t="str">
        <f t="shared" si="2656"/>
        <v>Позитив</v>
      </c>
      <c r="G1555" s="198" t="s">
        <v>219</v>
      </c>
      <c r="H1555" s="323"/>
      <c r="I1555" s="324">
        <f>IF(I1552=0,0,(I1557*I1561+I1563*I1567)/I1552)</f>
        <v>43.943745934655631</v>
      </c>
      <c r="J1555" s="321"/>
      <c r="K1555" s="324">
        <f>IF(K1552=0,0,(K1557*K1561+K1563*K1567)/K1552)</f>
        <v>43.943745934655631</v>
      </c>
      <c r="L1555" s="325">
        <f>IF(L1552=0,0,(L1557*L1561+L1563*L1567)/L1552)</f>
        <v>0</v>
      </c>
      <c r="M1555" s="276"/>
      <c r="N1555" s="199">
        <f>IF(N1552=0,0,(N1557*N1561+N1563*N1567)/N1552)</f>
        <v>60.245285384960752</v>
      </c>
      <c r="O1555" s="173"/>
      <c r="P1555" s="199">
        <f>IF(P1552=0,0,(P1557*P1561+P1563*P1567)/P1552)</f>
        <v>65.31883460224455</v>
      </c>
      <c r="Q1555" s="241">
        <f>IF(Q1552=0,0,(Q1557*Q1561+Q1563*Q1567)/Q1552)</f>
        <v>3.7722623517984175</v>
      </c>
      <c r="R1555" s="242"/>
      <c r="S1555" s="199">
        <f>IF(S1552=0,0,(S1557*S1561+S1563*S1567)/S1552)</f>
        <v>48.077023240171641</v>
      </c>
      <c r="T1555" s="173"/>
      <c r="U1555" s="199">
        <f>IF(U1552=0,0,(U1557*U1561+U1563*U1567)/U1552)</f>
        <v>66.72210993585702</v>
      </c>
      <c r="V1555" s="241">
        <f>IF(V1552=0,0,(V1557*V1561+V1563*V1567)/V1552)</f>
        <v>2.9115447534495615</v>
      </c>
      <c r="W1555" s="242"/>
      <c r="X1555" s="199">
        <f>IF(X1552=0,0,(X1557*X1561+X1563*X1567)/X1552)</f>
        <v>43.943745934655631</v>
      </c>
      <c r="Y1555" s="173"/>
      <c r="Z1555" s="199">
        <f>IF(Z1552=0,0,(Z1557*Z1561+Z1563*Z1567)/Z1552)</f>
        <v>43.943745934655631</v>
      </c>
      <c r="AA1555" s="241">
        <f>IF(AA1552=0,0,(AA1557*AA1561+AA1563*AA1567)/AA1552)</f>
        <v>0</v>
      </c>
      <c r="AB1555" s="264"/>
      <c r="AC1555" s="92"/>
      <c r="AD1555" s="92"/>
      <c r="AE1555" s="92"/>
      <c r="AF1555" s="92"/>
      <c r="AG1555" s="92"/>
      <c r="AH1555" s="92"/>
      <c r="AI1555" s="92"/>
      <c r="AJ1555" s="92"/>
      <c r="AK1555" s="92"/>
      <c r="AL1555" s="92"/>
      <c r="AM1555" s="92"/>
      <c r="AN1555" s="92"/>
      <c r="AO1555" s="92"/>
      <c r="AP1555" s="92"/>
    </row>
    <row r="1556" spans="1:42" s="50" customFormat="1" ht="11.25">
      <c r="A1556" s="48"/>
      <c r="B1556" s="48"/>
      <c r="C1556" s="48"/>
      <c r="D1556" s="154" t="s">
        <v>281</v>
      </c>
      <c r="E1556" s="154"/>
      <c r="F1556" s="154" t="str">
        <f t="shared" si="2656"/>
        <v>Позитив</v>
      </c>
      <c r="G1556" s="154" t="s">
        <v>219</v>
      </c>
      <c r="H1556" s="319"/>
      <c r="I1556" s="320">
        <f>I1554-I1555</f>
        <v>126.6069284379808</v>
      </c>
      <c r="J1556" s="321"/>
      <c r="K1556" s="320">
        <f>K1554-K1555</f>
        <v>126.6069284379808</v>
      </c>
      <c r="L1556" s="322">
        <f>L1554-L1555</f>
        <v>0</v>
      </c>
      <c r="M1556" s="275"/>
      <c r="N1556" s="155">
        <f>N1554-N1555</f>
        <v>47.027389656010328</v>
      </c>
      <c r="O1556" s="173"/>
      <c r="P1556" s="155">
        <f>P1554-P1555</f>
        <v>51.252341025085826</v>
      </c>
      <c r="Q1556" s="239">
        <f>Q1554-Q1555</f>
        <v>0</v>
      </c>
      <c r="R1556" s="240"/>
      <c r="S1556" s="155">
        <f>S1554-S1555</f>
        <v>58.120876975697954</v>
      </c>
      <c r="T1556" s="173"/>
      <c r="U1556" s="155">
        <f>U1554-U1555</f>
        <v>82.114175095172527</v>
      </c>
      <c r="V1556" s="239">
        <f>V1554-V1555</f>
        <v>0</v>
      </c>
      <c r="W1556" s="240"/>
      <c r="X1556" s="155">
        <f>X1554-X1555</f>
        <v>126.6069284379808</v>
      </c>
      <c r="Y1556" s="173"/>
      <c r="Z1556" s="155">
        <f>Z1554-Z1555</f>
        <v>126.6069284379808</v>
      </c>
      <c r="AA1556" s="239">
        <f>AA1554-AA1555</f>
        <v>0</v>
      </c>
      <c r="AB1556" s="230"/>
      <c r="AC1556" s="48"/>
      <c r="AD1556" s="48"/>
      <c r="AE1556" s="48"/>
      <c r="AF1556" s="48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</row>
    <row r="1557" spans="1:42" s="5" customFormat="1">
      <c r="A1557" s="1"/>
      <c r="B1557" s="1"/>
      <c r="C1557" s="1"/>
      <c r="D1557" s="168"/>
      <c r="E1557" s="168" t="s">
        <v>282</v>
      </c>
      <c r="F1557" s="168" t="str">
        <f t="shared" si="2656"/>
        <v>Позитив</v>
      </c>
      <c r="G1557" s="168" t="s">
        <v>261</v>
      </c>
      <c r="H1557" s="326"/>
      <c r="I1557" s="327">
        <f>SUMIFS(операции!$V:$V,операции!$T:$T,"&lt;="&amp;I$9,операции!$X:$X,"",операции!$AB:$AB,"&lt;&gt;"&amp;"",операции!$AB:$AB,"&lt;="&amp;I$9,операции!$O:$O,$F1496)+SUMIFS(операции!$V:$V,операции!$T:$T,"&lt;="&amp;I$9,операции!$X:$X,"&gt;"&amp;I$9,операции!$AB:$AB,"&lt;&gt;"&amp;"",операции!$AB:$AB,"&lt;="&amp;I$9,операции!$O:$O,$F1496)</f>
        <v>49599.409999999989</v>
      </c>
      <c r="J1557" s="313">
        <f>I1557-K1557-L1557</f>
        <v>0</v>
      </c>
      <c r="K1557" s="327">
        <f>SUMIFS(операции!$V:$V,операции!$T:$T,"&lt;="&amp;I$9,операции!$X:$X,"",операции!$AB:$AB,"&lt;&gt;"&amp;"",операции!$AB:$AB,"&lt;="&amp;I$9,операции!$L:$L,K$9,операции!$O:$O,$F1496)+SUMIFS(операции!$V:$V,операции!$T:$T,"&lt;="&amp;I$9,операции!$X:$X,"&gt;"&amp;I$9,операции!$AB:$AB,"&lt;&gt;"&amp;"",операции!$AB:$AB,"&lt;="&amp;I$9,операции!$L:$L,K$9,операции!$O:$O,$F1496)</f>
        <v>49599.409999999989</v>
      </c>
      <c r="L1557" s="328">
        <f>SUMIFS(операции!$V:$V,операции!$T:$T,"&lt;="&amp;I$9,операции!$X:$X,"",операции!$AB:$AB,"&lt;&gt;"&amp;"",операции!$AB:$AB,"&lt;="&amp;I$9,операции!$L:$L,L$9,операции!$O:$O,$F1496)+SUMIFS(операции!$V:$V,операции!$T:$T,"&lt;="&amp;I$9,операции!$X:$X,"&gt;"&amp;I$9,операции!$AB:$AB,"&lt;&gt;"&amp;"",операции!$AB:$AB,"&lt;="&amp;I$9,операции!$L:$L,L$9,операции!$O:$O,$F1496)</f>
        <v>0</v>
      </c>
      <c r="M1557" s="277"/>
      <c r="N1557" s="169">
        <f>SUMIFS(операции!$V:$V,операции!$T:$T,"&lt;="&amp;N$9,операции!$X:$X,"",операции!$AB:$AB,"&lt;&gt;"&amp;"",операции!$AB:$AB,"&lt;="&amp;N$9,операции!$O:$O,$F1496)+SUMIFS(операции!$V:$V,операции!$T:$T,"&lt;="&amp;N$9,операции!$X:$X,"&gt;"&amp;N$9,операции!$AB:$AB,"&lt;&gt;"&amp;"",операции!$AB:$AB,"&lt;="&amp;N$9,операции!$O:$O,$F1496)</f>
        <v>59889.329999999994</v>
      </c>
      <c r="O1557" s="170">
        <f>N1557-P1557-Q1557</f>
        <v>0</v>
      </c>
      <c r="P1557" s="169">
        <f>SUMIFS(операции!$V:$V,операции!$T:$T,"&lt;="&amp;N$9,операции!$X:$X,"",операции!$AB:$AB,"&lt;&gt;"&amp;"",операции!$AB:$AB,"&lt;="&amp;N$9,операции!$L:$L,P$9,операции!$O:$O,$F1496)+SUMIFS(операции!$V:$V,операции!$T:$T,"&lt;="&amp;N$9,операции!$X:$X,"&gt;"&amp;N$9,операции!$AB:$AB,"&lt;&gt;"&amp;"",операции!$AB:$AB,"&lt;="&amp;N$9,операции!$L:$L,P$9,операции!$O:$O,$F1496)</f>
        <v>59889.329999999994</v>
      </c>
      <c r="Q1557" s="243">
        <f>SUMIFS(операции!$V:$V,операции!$T:$T,"&lt;="&amp;N$9,операции!$X:$X,"",операции!$AB:$AB,"&lt;&gt;"&amp;"",операции!$AB:$AB,"&lt;="&amp;N$9,операции!$L:$L,Q$9,операции!$O:$O,$F1496)+SUMIFS(операции!$V:$V,операции!$T:$T,"&lt;="&amp;N$9,операции!$X:$X,"&gt;"&amp;N$9,операции!$AB:$AB,"&lt;&gt;"&amp;"",операции!$AB:$AB,"&lt;="&amp;N$9,операции!$L:$L,Q$9,операции!$O:$O,$F1496)</f>
        <v>0</v>
      </c>
      <c r="R1557" s="244"/>
      <c r="S1557" s="169">
        <f>SUMIFS(операции!$V:$V,операции!$T:$T,"&lt;="&amp;S$9,операции!$X:$X,"",операции!$AB:$AB,"&lt;&gt;"&amp;"",операции!$AB:$AB,"&lt;="&amp;S$9,операции!$O:$O,$F1496)+SUMIFS(операции!$V:$V,операции!$T:$T,"&lt;="&amp;S$9,операции!$X:$X,"&gt;"&amp;S$9,операции!$AB:$AB,"&lt;&gt;"&amp;"",операции!$AB:$AB,"&lt;="&amp;S$9,операции!$O:$O,$F1496)</f>
        <v>64649.51999999999</v>
      </c>
      <c r="T1557" s="170">
        <f>S1557-U1557-V1557</f>
        <v>0</v>
      </c>
      <c r="U1557" s="169">
        <f>SUMIFS(операции!$V:$V,операции!$T:$T,"&lt;="&amp;S$9,операции!$X:$X,"",операции!$AB:$AB,"&lt;&gt;"&amp;"",операции!$AB:$AB,"&lt;="&amp;S$9,операции!$L:$L,U$9,операции!$O:$O,$F1496)+SUMIFS(операции!$V:$V,операции!$T:$T,"&lt;="&amp;S$9,операции!$X:$X,"&gt;"&amp;S$9,операции!$AB:$AB,"&lt;&gt;"&amp;"",операции!$AB:$AB,"&lt;="&amp;S$9,операции!$L:$L,U$9,операции!$O:$O,$F1496)</f>
        <v>64649.51999999999</v>
      </c>
      <c r="V1557" s="243">
        <f>SUMIFS(операции!$V:$V,операции!$T:$T,"&lt;="&amp;S$9,операции!$X:$X,"",операции!$AB:$AB,"&lt;&gt;"&amp;"",операции!$AB:$AB,"&lt;="&amp;S$9,операции!$L:$L,V$9,операции!$O:$O,$F1496)+SUMIFS(операции!$V:$V,операции!$T:$T,"&lt;="&amp;S$9,операции!$X:$X,"&gt;"&amp;S$9,операции!$AB:$AB,"&lt;&gt;"&amp;"",операции!$AB:$AB,"&lt;="&amp;S$9,операции!$L:$L,V$9,операции!$O:$O,$F1496)</f>
        <v>0</v>
      </c>
      <c r="W1557" s="244"/>
      <c r="X1557" s="169">
        <f>SUMIFS(операции!$V:$V,операции!$T:$T,"&lt;="&amp;X$9,операции!$X:$X,"",операции!$AB:$AB,"&lt;&gt;"&amp;"",операции!$AB:$AB,"&lt;="&amp;X$9,операции!$O:$O,$F1496)+SUMIFS(операции!$V:$V,операции!$T:$T,"&lt;="&amp;X$9,операции!$X:$X,"&gt;"&amp;X$9,операции!$AB:$AB,"&lt;&gt;"&amp;"",операции!$AB:$AB,"&lt;="&amp;X$9,операции!$O:$O,$F1496)</f>
        <v>49599.409999999989</v>
      </c>
      <c r="Y1557" s="170">
        <f>X1557-Z1557-AA1557</f>
        <v>0</v>
      </c>
      <c r="Z1557" s="169">
        <f>SUMIFS(операции!$V:$V,операции!$T:$T,"&lt;="&amp;X$9,операции!$X:$X,"",операции!$AB:$AB,"&lt;&gt;"&amp;"",операции!$AB:$AB,"&lt;="&amp;X$9,операции!$L:$L,Z$9,операции!$O:$O,$F1496)+SUMIFS(операции!$V:$V,операции!$T:$T,"&lt;="&amp;X$9,операции!$X:$X,"&gt;"&amp;X$9,операции!$AB:$AB,"&lt;&gt;"&amp;"",операции!$AB:$AB,"&lt;="&amp;X$9,операции!$L:$L,Z$9,операции!$O:$O,$F1496)</f>
        <v>49599.409999999989</v>
      </c>
      <c r="AA1557" s="243">
        <f>SUMIFS(операции!$V:$V,операции!$T:$T,"&lt;="&amp;X$9,операции!$X:$X,"",операции!$AB:$AB,"&lt;&gt;"&amp;"",операции!$AB:$AB,"&lt;="&amp;X$9,операции!$L:$L,AA$9,операции!$O:$O,$F1496)+SUMIFS(операции!$V:$V,операции!$T:$T,"&lt;="&amp;X$9,операции!$X:$X,"&gt;"&amp;X$9,операции!$AB:$AB,"&lt;&gt;"&amp;"",операции!$AB:$AB,"&lt;="&amp;X$9,операции!$L:$L,AA$9,операции!$O:$O,$F1496)</f>
        <v>0</v>
      </c>
      <c r="AB1557" s="266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</row>
    <row r="1558" spans="1:42" s="192" customFormat="1" ht="11.25">
      <c r="A1558" s="37"/>
      <c r="B1558" s="37"/>
      <c r="C1558" s="37"/>
      <c r="D1558" s="191"/>
      <c r="E1558" s="191" t="s">
        <v>255</v>
      </c>
      <c r="F1558" s="191" t="str">
        <f t="shared" si="2656"/>
        <v>Позитив</v>
      </c>
      <c r="G1558" s="191" t="s">
        <v>262</v>
      </c>
      <c r="H1558" s="315"/>
      <c r="I1558" s="316">
        <f>IF(I1557=0,0,(SUMIFS(операции!$AF:$AF,операции!$T:$T,"&lt;="&amp;I$9,операции!$X:$X,"",операции!$AB:$AB,"&lt;&gt;"&amp;"",операции!$AB:$AB,"&lt;="&amp;I$9,операции!$O:$O,$F1496)+SUMIFS(операции!$AF:$AF,операции!$T:$T,"&lt;="&amp;I$9,операции!$X:$X,"&gt;"&amp;I$9,операции!$AB:$AB,"&lt;&gt;"&amp;"",операции!$AB:$AB,"&lt;="&amp;I$9,операции!$O:$O,$F1496))/I1557)</f>
        <v>42204.352675969334</v>
      </c>
      <c r="J1558" s="317"/>
      <c r="K1558" s="316">
        <f>IF(K1557=0,0,(SUMIFS(операции!$AF:$AF,операции!$T:$T,"&lt;="&amp;I$9,операции!$X:$X,"",операции!$AB:$AB,"&lt;&gt;"&amp;"",операции!$AB:$AB,"&lt;="&amp;I$9,операции!$L:$L,K$9,операции!$O:$O,$F1496)+SUMIFS(операции!$AF:$AF,операции!$T:$T,"&lt;="&amp;I$9,операции!$X:$X,"&gt;"&amp;I$9,операции!$AB:$AB,"&lt;&gt;"&amp;"",операции!$AB:$AB,"&lt;="&amp;I$9,операции!$L:$L,K$9,операции!$O:$O,$F1496))/K1557)</f>
        <v>42204.352675969334</v>
      </c>
      <c r="L1558" s="318">
        <f>IF(L1557=0,0,(SUMIFS(операции!$AF:$AF,операции!$T:$T,"&lt;="&amp;I$9,операции!$X:$X,"",операции!$AB:$AB,"&lt;&gt;"&amp;"",операции!$AB:$AB,"&lt;="&amp;I$9,операции!$L:$L,L$9,операции!$O:$O,$F1496)+SUMIFS(операции!$AF:$AF,операции!$T:$T,"&lt;="&amp;I$9,операции!$X:$X,"&gt;"&amp;I$9,операции!$AB:$AB,"&lt;&gt;"&amp;"",операции!$AB:$AB,"&lt;="&amp;I$9,операции!$L:$L,L$9,операции!$O:$O,$F1496))/L1557)</f>
        <v>0</v>
      </c>
      <c r="M1558" s="274"/>
      <c r="N1558" s="193">
        <f>IF(N1557=0,0,(SUMIFS(операции!$AF:$AF,операции!$T:$T,"&lt;="&amp;N$9,операции!$X:$X,"",операции!$AB:$AB,"&lt;&gt;"&amp;"",операции!$AB:$AB,"&lt;="&amp;N$9,операции!$O:$O,$F1496)+SUMIFS(операции!$AF:$AF,операции!$T:$T,"&lt;="&amp;N$9,операции!$X:$X,"&gt;"&amp;N$9,операции!$AB:$AB,"&lt;&gt;"&amp;"",операции!$AB:$AB,"&lt;="&amp;N$9,операции!$O:$O,$F1496))/N1557)</f>
        <v>42191.191511075514</v>
      </c>
      <c r="O1558" s="196"/>
      <c r="P1558" s="193">
        <f>IF(P1557=0,0,(SUMIFS(операции!$AF:$AF,операции!$T:$T,"&lt;="&amp;N$9,операции!$X:$X,"",операции!$AB:$AB,"&lt;&gt;"&amp;"",операции!$AB:$AB,"&lt;="&amp;N$9,операции!$L:$L,P$9,операции!$O:$O,$F1496)+SUMIFS(операции!$AF:$AF,операции!$T:$T,"&lt;="&amp;N$9,операции!$X:$X,"&gt;"&amp;N$9,операции!$AB:$AB,"&lt;&gt;"&amp;"",операции!$AB:$AB,"&lt;="&amp;N$9,операции!$L:$L,P$9,операции!$O:$O,$F1496))/P1557)</f>
        <v>42191.191511075514</v>
      </c>
      <c r="Q1558" s="237">
        <f>IF(Q1557=0,0,(SUMIFS(операции!$AF:$AF,операции!$T:$T,"&lt;="&amp;N$9,операции!$X:$X,"",операции!$AB:$AB,"&lt;&gt;"&amp;"",операции!$AB:$AB,"&lt;="&amp;N$9,операции!$L:$L,Q$9,операции!$O:$O,$F1496)+SUMIFS(операции!$AF:$AF,операции!$T:$T,"&lt;="&amp;N$9,операции!$X:$X,"&gt;"&amp;N$9,операции!$AB:$AB,"&lt;&gt;"&amp;"",операции!$AB:$AB,"&lt;="&amp;N$9,операции!$L:$L,Q$9,операции!$O:$O,$F1496))/Q1557)</f>
        <v>0</v>
      </c>
      <c r="R1558" s="238"/>
      <c r="S1558" s="193">
        <f>IF(S1557=0,0,(SUMIFS(операции!$AF:$AF,операции!$T:$T,"&lt;="&amp;S$9,операции!$X:$X,"",операции!$AB:$AB,"&lt;&gt;"&amp;"",операции!$AB:$AB,"&lt;="&amp;S$9,операции!$O:$O,$F1496)+SUMIFS(операции!$AF:$AF,операции!$T:$T,"&lt;="&amp;S$9,операции!$X:$X,"&gt;"&amp;S$9,операции!$AB:$AB,"&lt;&gt;"&amp;"",операции!$AB:$AB,"&lt;="&amp;S$9,операции!$O:$O,$F1496))/S1557)</f>
        <v>42206.621952026871</v>
      </c>
      <c r="T1558" s="196"/>
      <c r="U1558" s="193">
        <f>IF(U1557=0,0,(SUMIFS(операции!$AF:$AF,операции!$T:$T,"&lt;="&amp;S$9,операции!$X:$X,"",операции!$AB:$AB,"&lt;&gt;"&amp;"",операции!$AB:$AB,"&lt;="&amp;S$9,операции!$L:$L,U$9,операции!$O:$O,$F1496)+SUMIFS(операции!$AF:$AF,операции!$T:$T,"&lt;="&amp;S$9,операции!$X:$X,"&gt;"&amp;S$9,операции!$AB:$AB,"&lt;&gt;"&amp;"",операции!$AB:$AB,"&lt;="&amp;S$9,операции!$L:$L,U$9,операции!$O:$O,$F1496))/U1557)</f>
        <v>42206.621952026871</v>
      </c>
      <c r="V1558" s="237">
        <f>IF(V1557=0,0,(SUMIFS(операции!$AF:$AF,операции!$T:$T,"&lt;="&amp;S$9,операции!$X:$X,"",операции!$AB:$AB,"&lt;&gt;"&amp;"",операции!$AB:$AB,"&lt;="&amp;S$9,операции!$L:$L,V$9,операции!$O:$O,$F1496)+SUMIFS(операции!$AF:$AF,операции!$T:$T,"&lt;="&amp;S$9,операции!$X:$X,"&gt;"&amp;S$9,операции!$AB:$AB,"&lt;&gt;"&amp;"",операции!$AB:$AB,"&lt;="&amp;S$9,операции!$L:$L,V$9,операции!$O:$O,$F1496))/V1557)</f>
        <v>0</v>
      </c>
      <c r="W1558" s="238"/>
      <c r="X1558" s="193">
        <f>IF(X1557=0,0,(SUMIFS(операции!$AF:$AF,операции!$T:$T,"&lt;="&amp;X$9,операции!$X:$X,"",операции!$AB:$AB,"&lt;&gt;"&amp;"",операции!$AB:$AB,"&lt;="&amp;X$9,операции!$O:$O,$F1496)+SUMIFS(операции!$AF:$AF,операции!$T:$T,"&lt;="&amp;X$9,операции!$X:$X,"&gt;"&amp;X$9,операции!$AB:$AB,"&lt;&gt;"&amp;"",операции!$AB:$AB,"&lt;="&amp;X$9,операции!$O:$O,$F1496))/X1557)</f>
        <v>42204.352675969334</v>
      </c>
      <c r="Y1558" s="196"/>
      <c r="Z1558" s="193">
        <f>IF(Z1557=0,0,(SUMIFS(операции!$AF:$AF,операции!$T:$T,"&lt;="&amp;X$9,операции!$X:$X,"",операции!$AB:$AB,"&lt;&gt;"&amp;"",операции!$AB:$AB,"&lt;="&amp;X$9,операции!$L:$L,Z$9,операции!$O:$O,$F1496)+SUMIFS(операции!$AF:$AF,операции!$T:$T,"&lt;="&amp;X$9,операции!$X:$X,"&gt;"&amp;X$9,операции!$AB:$AB,"&lt;&gt;"&amp;"",операции!$AB:$AB,"&lt;="&amp;X$9,операции!$L:$L,Z$9,операции!$O:$O,$F1496))/Z1557)</f>
        <v>42204.352675969334</v>
      </c>
      <c r="AA1558" s="237">
        <f>IF(AA1557=0,0,(SUMIFS(операции!$AF:$AF,операции!$T:$T,"&lt;="&amp;X$9,операции!$X:$X,"",операции!$AB:$AB,"&lt;&gt;"&amp;"",операции!$AB:$AB,"&lt;="&amp;X$9,операции!$L:$L,AA$9,операции!$O:$O,$F1496)+SUMIFS(операции!$AF:$AF,операции!$T:$T,"&lt;="&amp;X$9,операции!$X:$X,"&gt;"&amp;X$9,операции!$AB:$AB,"&lt;&gt;"&amp;"",операции!$AB:$AB,"&lt;="&amp;X$9,операции!$L:$L,AA$9,операции!$O:$O,$F1496))/AA1557)</f>
        <v>0</v>
      </c>
      <c r="AB1558" s="265"/>
      <c r="AC1558" s="37"/>
      <c r="AD1558" s="37"/>
      <c r="AE1558" s="37"/>
      <c r="AF1558" s="37"/>
      <c r="AG1558" s="37"/>
      <c r="AH1558" s="37"/>
      <c r="AI1558" s="37"/>
      <c r="AJ1558" s="37"/>
      <c r="AK1558" s="37"/>
      <c r="AL1558" s="37"/>
      <c r="AM1558" s="37"/>
      <c r="AN1558" s="37"/>
      <c r="AO1558" s="37"/>
      <c r="AP1558" s="37"/>
    </row>
    <row r="1559" spans="1:42" s="192" customFormat="1" ht="11.25">
      <c r="A1559" s="37"/>
      <c r="B1559" s="37"/>
      <c r="C1559" s="37"/>
      <c r="D1559" s="191"/>
      <c r="E1559" s="191" t="s">
        <v>283</v>
      </c>
      <c r="F1559" s="191" t="str">
        <f t="shared" si="2656"/>
        <v>Позитив</v>
      </c>
      <c r="G1559" s="191" t="s">
        <v>219</v>
      </c>
      <c r="H1559" s="315"/>
      <c r="I1559" s="329">
        <f>IF(I1557=0,0,I$9-I1558)</f>
        <v>164.64732403066591</v>
      </c>
      <c r="J1559" s="317"/>
      <c r="K1559" s="329">
        <f>IF(K1557=0,0,I$9-K1558)</f>
        <v>164.64732403066591</v>
      </c>
      <c r="L1559" s="330">
        <f>IF(L1557=0,0,I$9-L1558)</f>
        <v>0</v>
      </c>
      <c r="M1559" s="274"/>
      <c r="N1559" s="156">
        <f>IF(N1557=0,0,N$9-N1558)</f>
        <v>116.80848892448557</v>
      </c>
      <c r="O1559" s="196"/>
      <c r="P1559" s="156">
        <f>IF(P1557=0,0,N$9-P1558)</f>
        <v>116.80848892448557</v>
      </c>
      <c r="Q1559" s="245">
        <f>IF(Q1557=0,0,N$9-Q1558)</f>
        <v>0</v>
      </c>
      <c r="R1559" s="238"/>
      <c r="S1559" s="156">
        <f>IF(S1557=0,0,S$9-S1558)</f>
        <v>131.37804797312856</v>
      </c>
      <c r="T1559" s="196"/>
      <c r="U1559" s="156">
        <f>IF(U1557=0,0,S$9-U1558)</f>
        <v>131.37804797312856</v>
      </c>
      <c r="V1559" s="245">
        <f>IF(V1557=0,0,S$9-V1558)</f>
        <v>0</v>
      </c>
      <c r="W1559" s="238"/>
      <c r="X1559" s="156">
        <f>IF(X1557=0,0,X$9-X1558)</f>
        <v>164.64732403066591</v>
      </c>
      <c r="Y1559" s="196"/>
      <c r="Z1559" s="156">
        <f>IF(Z1557=0,0,X$9-Z1558)</f>
        <v>164.64732403066591</v>
      </c>
      <c r="AA1559" s="245">
        <f>IF(AA1557=0,0,X$9-AA1558)</f>
        <v>0</v>
      </c>
      <c r="AB1559" s="265"/>
      <c r="AC1559" s="37"/>
      <c r="AD1559" s="37"/>
      <c r="AE1559" s="37"/>
      <c r="AF1559" s="37"/>
      <c r="AG1559" s="37"/>
      <c r="AH1559" s="37"/>
      <c r="AI1559" s="37"/>
      <c r="AJ1559" s="37"/>
      <c r="AK1559" s="37"/>
      <c r="AL1559" s="37"/>
      <c r="AM1559" s="37"/>
      <c r="AN1559" s="37"/>
      <c r="AO1559" s="37"/>
      <c r="AP1559" s="37"/>
    </row>
    <row r="1560" spans="1:42" s="192" customFormat="1" ht="11.25">
      <c r="A1560" s="37"/>
      <c r="B1560" s="37"/>
      <c r="C1560" s="37"/>
      <c r="D1560" s="191"/>
      <c r="E1560" s="191" t="s">
        <v>259</v>
      </c>
      <c r="F1560" s="191" t="str">
        <f t="shared" si="2656"/>
        <v>Позитив</v>
      </c>
      <c r="G1560" s="191" t="s">
        <v>262</v>
      </c>
      <c r="H1560" s="315"/>
      <c r="I1560" s="316">
        <f>IF(I1557=0,0,(SUMIFS(операции!$AH:$AH,операции!$T:$T,"&lt;="&amp;I$9,операции!$X:$X,"",операции!$AB:$AB,"&lt;&gt;"&amp;"",операции!$AB:$AB,"&lt;="&amp;I$9,операции!$O:$O,$F1496)+SUMIFS(операции!$AH:$AH,операции!$T:$T,"&lt;="&amp;I$9,операции!$X:$X,"&gt;"&amp;I$9,операции!$AB:$AB,"&lt;&gt;"&amp;"",операции!$AB:$AB,"&lt;="&amp;I$9,операции!$O:$O,$F1496))/I1557)</f>
        <v>42232.865837920261</v>
      </c>
      <c r="J1560" s="317"/>
      <c r="K1560" s="316">
        <f>IF(K1557=0,0,(SUMIFS(операции!$AH:$AH,операции!$T:$T,"&lt;="&amp;I$9,операции!$X:$X,"",операции!$AB:$AB,"&lt;&gt;"&amp;"",операции!$AB:$AB,"&lt;="&amp;I$9,операции!$L:$L,K$9,операции!$O:$O,$F1496)+SUMIFS(операции!$AH:$AH,операции!$T:$T,"&lt;="&amp;I$9,операции!$X:$X,"&gt;"&amp;I$9,операции!$AB:$AB,"&lt;&gt;"&amp;"",операции!$AB:$AB,"&lt;="&amp;I$9,операции!$L:$L,K$9,операции!$O:$O,$F1496))/K1557)</f>
        <v>42232.865837920261</v>
      </c>
      <c r="L1560" s="318">
        <f>IF(L1557=0,0,(SUMIFS(операции!$AH:$AH,операции!$T:$T,"&lt;="&amp;I$9,операции!$X:$X,"",операции!$AB:$AB,"&lt;&gt;"&amp;"",операции!$AB:$AB,"&lt;="&amp;I$9,операции!$L:$L,L$9,операции!$O:$O,$F1496)+SUMIFS(операции!$AH:$AH,операции!$T:$T,"&lt;="&amp;I$9,операции!$X:$X,"&gt;"&amp;I$9,операции!$AB:$AB,"&lt;&gt;"&amp;"",операции!$AB:$AB,"&lt;="&amp;I$9,операции!$L:$L,L$9,операции!$O:$O,$F1496))/L1557)</f>
        <v>0</v>
      </c>
      <c r="M1560" s="274"/>
      <c r="N1560" s="193">
        <f>IF(N1557=0,0,(SUMIFS(операции!$AH:$AH,операции!$T:$T,"&lt;="&amp;N$9,операции!$X:$X,"",операции!$AB:$AB,"&lt;&gt;"&amp;"",операции!$AB:$AB,"&lt;="&amp;N$9,операции!$O:$O,$F1496)+SUMIFS(операции!$AH:$AH,операции!$T:$T,"&lt;="&amp;N$9,операции!$X:$X,"&gt;"&amp;N$9,операции!$AB:$AB,"&lt;&gt;"&amp;"",операции!$AB:$AB,"&lt;="&amp;N$9,операции!$O:$O,$F1496))/N1557)</f>
        <v>42216.704233625591</v>
      </c>
      <c r="O1560" s="196"/>
      <c r="P1560" s="193">
        <f>IF(P1557=0,0,(SUMIFS(операции!$AH:$AH,операции!$T:$T,"&lt;="&amp;N$9,операции!$X:$X,"",операции!$AB:$AB,"&lt;&gt;"&amp;"",операции!$AB:$AB,"&lt;="&amp;N$9,операции!$L:$L,P$9,операции!$O:$O,$F1496)+SUMIFS(операции!$AH:$AH,операции!$T:$T,"&lt;="&amp;N$9,операции!$X:$X,"&gt;"&amp;N$9,операции!$AB:$AB,"&lt;&gt;"&amp;"",операции!$AB:$AB,"&lt;="&amp;N$9,операции!$L:$L,P$9,операции!$O:$O,$F1496))/P1557)</f>
        <v>42216.704233625591</v>
      </c>
      <c r="Q1560" s="237">
        <f>IF(Q1557=0,0,(SUMIFS(операции!$AH:$AH,операции!$T:$T,"&lt;="&amp;N$9,операции!$X:$X,"",операции!$AB:$AB,"&lt;&gt;"&amp;"",операции!$AB:$AB,"&lt;="&amp;N$9,операции!$L:$L,Q$9,операции!$O:$O,$F1496)+SUMIFS(операции!$AH:$AH,операции!$T:$T,"&lt;="&amp;N$9,операции!$X:$X,"&gt;"&amp;N$9,операции!$AB:$AB,"&lt;&gt;"&amp;"",операции!$AB:$AB,"&lt;="&amp;N$9,операции!$L:$L,Q$9,операции!$O:$O,$F1496))/Q1557)</f>
        <v>0</v>
      </c>
      <c r="R1560" s="238"/>
      <c r="S1560" s="193">
        <f>IF(S1557=0,0,(SUMIFS(операции!$AH:$AH,операции!$T:$T,"&lt;="&amp;S$9,операции!$X:$X,"",операции!$AB:$AB,"&lt;&gt;"&amp;"",операции!$AB:$AB,"&lt;="&amp;S$9,операции!$O:$O,$F1496)+SUMIFS(операции!$AH:$AH,операции!$T:$T,"&lt;="&amp;S$9,операции!$X:$X,"&gt;"&amp;S$9,операции!$AB:$AB,"&lt;&gt;"&amp;"",операции!$AB:$AB,"&lt;="&amp;S$9,операции!$O:$O,$F1496))/S1557)</f>
        <v>42232.676007957991</v>
      </c>
      <c r="T1560" s="196"/>
      <c r="U1560" s="193">
        <f>IF(U1557=0,0,(SUMIFS(операции!$AH:$AH,операции!$T:$T,"&lt;="&amp;S$9,операции!$X:$X,"",операции!$AB:$AB,"&lt;&gt;"&amp;"",операции!$AB:$AB,"&lt;="&amp;S$9,операции!$L:$L,U$9,операции!$O:$O,$F1496)+SUMIFS(операции!$AH:$AH,операции!$T:$T,"&lt;="&amp;S$9,операции!$X:$X,"&gt;"&amp;S$9,операции!$AB:$AB,"&lt;&gt;"&amp;"",операции!$AB:$AB,"&lt;="&amp;S$9,операции!$L:$L,U$9,операции!$O:$O,$F1496))/U1557)</f>
        <v>42232.676007957991</v>
      </c>
      <c r="V1560" s="237">
        <f>IF(V1557=0,0,(SUMIFS(операции!$AH:$AH,операции!$T:$T,"&lt;="&amp;S$9,операции!$X:$X,"",операции!$AB:$AB,"&lt;&gt;"&amp;"",операции!$AB:$AB,"&lt;="&amp;S$9,операции!$L:$L,V$9,операции!$O:$O,$F1496)+SUMIFS(операции!$AH:$AH,операции!$T:$T,"&lt;="&amp;S$9,операции!$X:$X,"&gt;"&amp;S$9,операции!$AB:$AB,"&lt;&gt;"&amp;"",операции!$AB:$AB,"&lt;="&amp;S$9,операции!$L:$L,V$9,операции!$O:$O,$F1496))/V1557)</f>
        <v>0</v>
      </c>
      <c r="W1560" s="238"/>
      <c r="X1560" s="193">
        <f>IF(X1557=0,0,(SUMIFS(операции!$AH:$AH,операции!$T:$T,"&lt;="&amp;X$9,операции!$X:$X,"",операции!$AB:$AB,"&lt;&gt;"&amp;"",операции!$AB:$AB,"&lt;="&amp;X$9,операции!$O:$O,$F1496)+SUMIFS(операции!$AH:$AH,операции!$T:$T,"&lt;="&amp;X$9,операции!$X:$X,"&gt;"&amp;X$9,операции!$AB:$AB,"&lt;&gt;"&amp;"",операции!$AB:$AB,"&lt;="&amp;X$9,операции!$O:$O,$F1496))/X1557)</f>
        <v>42232.865837920261</v>
      </c>
      <c r="Y1560" s="196"/>
      <c r="Z1560" s="193">
        <f>IF(Z1557=0,0,(SUMIFS(операции!$AH:$AH,операции!$T:$T,"&lt;="&amp;X$9,операции!$X:$X,"",операции!$AB:$AB,"&lt;&gt;"&amp;"",операции!$AB:$AB,"&lt;="&amp;X$9,операции!$L:$L,Z$9,операции!$O:$O,$F1496)+SUMIFS(операции!$AH:$AH,операции!$T:$T,"&lt;="&amp;X$9,операции!$X:$X,"&gt;"&amp;X$9,операции!$AB:$AB,"&lt;&gt;"&amp;"",операции!$AB:$AB,"&lt;="&amp;X$9,операции!$L:$L,Z$9,операции!$O:$O,$F1496))/Z1557)</f>
        <v>42232.865837920261</v>
      </c>
      <c r="AA1560" s="237">
        <f>IF(AA1557=0,0,(SUMIFS(операции!$AH:$AH,операции!$T:$T,"&lt;="&amp;X$9,операции!$X:$X,"",операции!$AB:$AB,"&lt;&gt;"&amp;"",операции!$AB:$AB,"&lt;="&amp;X$9,операции!$L:$L,AA$9,операции!$O:$O,$F1496)+SUMIFS(операции!$AH:$AH,операции!$T:$T,"&lt;="&amp;X$9,операции!$X:$X,"&gt;"&amp;X$9,операции!$AB:$AB,"&lt;&gt;"&amp;"",операции!$AB:$AB,"&lt;="&amp;X$9,операции!$L:$L,AA$9,операции!$O:$O,$F1496))/AA1557)</f>
        <v>0</v>
      </c>
      <c r="AB1560" s="265"/>
      <c r="AC1560" s="37"/>
      <c r="AD1560" s="37"/>
      <c r="AE1560" s="37"/>
      <c r="AF1560" s="37"/>
      <c r="AG1560" s="37"/>
      <c r="AH1560" s="37"/>
      <c r="AI1560" s="37"/>
      <c r="AJ1560" s="37"/>
      <c r="AK1560" s="37"/>
      <c r="AL1560" s="37"/>
      <c r="AM1560" s="37"/>
      <c r="AN1560" s="37"/>
      <c r="AO1560" s="37"/>
      <c r="AP1560" s="37"/>
    </row>
    <row r="1561" spans="1:42" s="192" customFormat="1" ht="11.25">
      <c r="A1561" s="37"/>
      <c r="B1561" s="37"/>
      <c r="C1561" s="37"/>
      <c r="D1561" s="191"/>
      <c r="E1561" s="191" t="s">
        <v>284</v>
      </c>
      <c r="F1561" s="191" t="str">
        <f t="shared" si="2656"/>
        <v>Позитив</v>
      </c>
      <c r="G1561" s="191" t="s">
        <v>219</v>
      </c>
      <c r="H1561" s="315"/>
      <c r="I1561" s="329">
        <f>I1560-I1558</f>
        <v>28.513161950926587</v>
      </c>
      <c r="J1561" s="317"/>
      <c r="K1561" s="329">
        <f>K1560-K1558</f>
        <v>28.513161950926587</v>
      </c>
      <c r="L1561" s="330">
        <f>L1560-L1558</f>
        <v>0</v>
      </c>
      <c r="M1561" s="274"/>
      <c r="N1561" s="156">
        <f>N1560-N1558</f>
        <v>25.512722550076433</v>
      </c>
      <c r="O1561" s="196"/>
      <c r="P1561" s="156">
        <f>P1560-P1558</f>
        <v>25.512722550076433</v>
      </c>
      <c r="Q1561" s="245">
        <f>Q1560-Q1558</f>
        <v>0</v>
      </c>
      <c r="R1561" s="238"/>
      <c r="S1561" s="156">
        <f>S1560-S1558</f>
        <v>26.054055931119365</v>
      </c>
      <c r="T1561" s="196"/>
      <c r="U1561" s="156">
        <f>U1560-U1558</f>
        <v>26.054055931119365</v>
      </c>
      <c r="V1561" s="245">
        <f>V1560-V1558</f>
        <v>0</v>
      </c>
      <c r="W1561" s="238"/>
      <c r="X1561" s="156">
        <f>X1560-X1558</f>
        <v>28.513161950926587</v>
      </c>
      <c r="Y1561" s="196"/>
      <c r="Z1561" s="156">
        <f>Z1560-Z1558</f>
        <v>28.513161950926587</v>
      </c>
      <c r="AA1561" s="245">
        <f>AA1560-AA1558</f>
        <v>0</v>
      </c>
      <c r="AB1561" s="265"/>
      <c r="AC1561" s="37"/>
      <c r="AD1561" s="37"/>
      <c r="AE1561" s="37"/>
      <c r="AF1561" s="37"/>
      <c r="AG1561" s="37"/>
      <c r="AH1561" s="37"/>
      <c r="AI1561" s="37"/>
      <c r="AJ1561" s="37"/>
      <c r="AK1561" s="37"/>
      <c r="AL1561" s="37"/>
      <c r="AM1561" s="37"/>
      <c r="AN1561" s="37"/>
      <c r="AO1561" s="37"/>
      <c r="AP1561" s="37"/>
    </row>
    <row r="1562" spans="1:42" s="192" customFormat="1" ht="11.25">
      <c r="A1562" s="37"/>
      <c r="B1562" s="37"/>
      <c r="C1562" s="37"/>
      <c r="D1562" s="191"/>
      <c r="E1562" s="191" t="s">
        <v>285</v>
      </c>
      <c r="F1562" s="191" t="str">
        <f t="shared" si="2656"/>
        <v>Позитив</v>
      </c>
      <c r="G1562" s="191" t="s">
        <v>219</v>
      </c>
      <c r="H1562" s="315"/>
      <c r="I1562" s="329">
        <f>I1559-I1561</f>
        <v>136.13416207973933</v>
      </c>
      <c r="J1562" s="317"/>
      <c r="K1562" s="329">
        <f>K1559-K1561</f>
        <v>136.13416207973933</v>
      </c>
      <c r="L1562" s="330">
        <f>L1559-L1561</f>
        <v>0</v>
      </c>
      <c r="M1562" s="274"/>
      <c r="N1562" s="156">
        <f>N1559-N1561</f>
        <v>91.295766374409141</v>
      </c>
      <c r="O1562" s="196"/>
      <c r="P1562" s="156">
        <f>P1559-P1561</f>
        <v>91.295766374409141</v>
      </c>
      <c r="Q1562" s="245">
        <f>Q1559-Q1561</f>
        <v>0</v>
      </c>
      <c r="R1562" s="238"/>
      <c r="S1562" s="156">
        <f>S1559-S1561</f>
        <v>105.32399204200919</v>
      </c>
      <c r="T1562" s="196"/>
      <c r="U1562" s="156">
        <f>U1559-U1561</f>
        <v>105.32399204200919</v>
      </c>
      <c r="V1562" s="245">
        <f>V1559-V1561</f>
        <v>0</v>
      </c>
      <c r="W1562" s="238"/>
      <c r="X1562" s="156">
        <f>X1559-X1561</f>
        <v>136.13416207973933</v>
      </c>
      <c r="Y1562" s="196"/>
      <c r="Z1562" s="156">
        <f>Z1559-Z1561</f>
        <v>136.13416207973933</v>
      </c>
      <c r="AA1562" s="245">
        <f>AA1559-AA1561</f>
        <v>0</v>
      </c>
      <c r="AB1562" s="265"/>
      <c r="AC1562" s="37"/>
      <c r="AD1562" s="37"/>
      <c r="AE1562" s="37"/>
      <c r="AF1562" s="37"/>
      <c r="AG1562" s="37"/>
      <c r="AH1562" s="37"/>
      <c r="AI1562" s="37"/>
      <c r="AJ1562" s="37"/>
      <c r="AK1562" s="37"/>
      <c r="AL1562" s="37"/>
      <c r="AM1562" s="37"/>
      <c r="AN1562" s="37"/>
      <c r="AO1562" s="37"/>
      <c r="AP1562" s="37"/>
    </row>
    <row r="1563" spans="1:42" s="5" customFormat="1">
      <c r="A1563" s="1"/>
      <c r="B1563" s="1"/>
      <c r="C1563" s="1"/>
      <c r="D1563" s="168"/>
      <c r="E1563" s="168" t="s">
        <v>286</v>
      </c>
      <c r="F1563" s="168" t="str">
        <f t="shared" si="2656"/>
        <v>Позитив</v>
      </c>
      <c r="G1563" s="168" t="s">
        <v>261</v>
      </c>
      <c r="H1563" s="326"/>
      <c r="I1563" s="327">
        <f>SUMIFS(операции!$V:$V,операции!$T:$T,"&lt;="&amp;I$9,операции!$X:$X,"",операции!$AB:$AB,"",операции!$O:$O,$F1496)+SUMIFS(операции!$V:$V,операции!$T:$T,"&lt;="&amp;I$9,операции!$X:$X,"&gt;"&amp;I$9,операции!$AB:$AB,"",операции!$O:$O,$F1496)+SUMIFS(операции!$V:$V,операции!$T:$T,"&lt;="&amp;I$9,операции!$X:$X,"",операции!$AB:$AB,"&gt;"&amp;I$9,операции!$O:$O,$F1496)+SUMIFS(операции!$V:$V,операции!$T:$T,"&lt;="&amp;I$9,операции!$X:$X,"&gt;"&amp;I$9,операции!$AB:$AB,"&gt;"&amp;I$9,операции!$O:$O,$F1496)</f>
        <v>3732.38</v>
      </c>
      <c r="J1563" s="313">
        <f>I1563-K1563-L1563</f>
        <v>0</v>
      </c>
      <c r="K1563" s="327">
        <f>SUMIFS(операции!$V:$V,операции!$T:$T,"&lt;="&amp;I$9,операции!$X:$X,"",операции!$AB:$AB,"",операции!$L:$L,K$9,операции!$O:$O,$F1496)+SUMIFS(операции!$V:$V,операции!$T:$T,"&lt;="&amp;I$9,операции!$X:$X,"&gt;"&amp;I$9,операции!$AB:$AB,"",операции!$L:$L,K$9,операции!$O:$O,$F1496)+SUMIFS(операции!$V:$V,операции!$T:$T,"&lt;="&amp;I$9,операции!$X:$X,"",операции!$AB:$AB,"&gt;"&amp;I$9,операции!$L:$L,K$9,операции!$O:$O,$F1496)+SUMIFS(операции!$V:$V,операции!$T:$T,"&lt;="&amp;I$9,операции!$X:$X,"&gt;"&amp;I$9,операции!$AB:$AB,"&gt;"&amp;I$9,операции!$L:$L,K$9,операции!$O:$O,$F1496)</f>
        <v>3732.38</v>
      </c>
      <c r="L1563" s="328">
        <f>SUMIFS(операции!$V:$V,операции!$T:$T,"&lt;="&amp;I$9,операции!$X:$X,"",операции!$AB:$AB,"",операции!$L:$L,L$9,операции!$O:$O,$F1496)+SUMIFS(операции!$V:$V,операции!$T:$T,"&lt;="&amp;I$9,операции!$X:$X,"&gt;"&amp;I$9,операции!$AB:$AB,"",операции!$L:$L,L$9,операции!$O:$O,$F1496)+SUMIFS(операции!$V:$V,операции!$T:$T,"&lt;="&amp;I$9,операции!$X:$X,"",операции!$AB:$AB,"&gt;"&amp;I$9,операции!$L:$L,L$9,операции!$O:$O,$F1496)+SUMIFS(операции!$V:$V,операции!$T:$T,"&lt;="&amp;I$9,операции!$X:$X,"&gt;"&amp;I$9,операции!$AB:$AB,"&gt;"&amp;I$9,операции!$L:$L,L$9,операции!$O:$O,$F1496)</f>
        <v>0</v>
      </c>
      <c r="M1563" s="277"/>
      <c r="N1563" s="169">
        <f>SUMIFS(операции!$V:$V,операции!$T:$T,"&lt;="&amp;N$9,операции!$X:$X,"",операции!$AB:$AB,"",операции!$O:$O,$F1496)+SUMIFS(операции!$V:$V,операции!$T:$T,"&lt;="&amp;N$9,операции!$X:$X,"&gt;"&amp;N$9,операции!$AB:$AB,"",операции!$O:$O,$F1496)+SUMIFS(операции!$V:$V,операции!$T:$T,"&lt;="&amp;N$9,операции!$X:$X,"",операции!$AB:$AB,"&gt;"&amp;N$9,операции!$O:$O,$F1496)+SUMIFS(операции!$V:$V,операции!$T:$T,"&lt;="&amp;N$9,операции!$X:$X,"&gt;"&amp;N$9,операции!$AB:$AB,"&gt;"&amp;N$9,операции!$O:$O,$F1496)</f>
        <v>56375.729999999996</v>
      </c>
      <c r="O1563" s="170">
        <f>N1563-P1563-Q1563</f>
        <v>0</v>
      </c>
      <c r="P1563" s="169">
        <f>SUMIFS(операции!$V:$V,операции!$T:$T,"&lt;="&amp;N$9,операции!$X:$X,"",операции!$AB:$AB,"",операции!$L:$L,P$9,операции!$O:$O,$F1496)+SUMIFS(операции!$V:$V,операции!$T:$T,"&lt;="&amp;N$9,операции!$X:$X,"&gt;"&amp;N$9,операции!$AB:$AB,"",операции!$L:$L,P$9,операции!$O:$O,$F1496)+SUMIFS(операции!$V:$V,операции!$T:$T,"&lt;="&amp;N$9,операции!$X:$X,"",операции!$AB:$AB,"&gt;"&amp;N$9,операции!$L:$L,P$9,операции!$O:$O,$F1496)+SUMIFS(операции!$V:$V,операции!$T:$T,"&lt;="&amp;N$9,операции!$X:$X,"&gt;"&amp;N$9,операции!$AB:$AB,"&gt;"&amp;N$9,операции!$L:$L,P$9,операции!$O:$O,$F1496)</f>
        <v>46791.5</v>
      </c>
      <c r="Q1563" s="243">
        <f>SUMIFS(операции!$V:$V,операции!$T:$T,"&lt;="&amp;N$9,операции!$X:$X,"",операции!$AB:$AB,"",операции!$L:$L,Q$9,операции!$O:$O,$F1496)+SUMIFS(операции!$V:$V,операции!$T:$T,"&lt;="&amp;N$9,операции!$X:$X,"&gt;"&amp;N$9,операции!$AB:$AB,"",операции!$L:$L,Q$9,операции!$O:$O,$F1496)+SUMIFS(операции!$V:$V,операции!$T:$T,"&lt;="&amp;N$9,операции!$X:$X,"",операции!$AB:$AB,"&gt;"&amp;N$9,операции!$L:$L,Q$9,операции!$O:$O,$F1496)+SUMIFS(операции!$V:$V,операции!$T:$T,"&lt;="&amp;N$9,операции!$X:$X,"&gt;"&amp;N$9,операции!$AB:$AB,"&gt;"&amp;N$9,операции!$L:$L,Q$9,операции!$O:$O,$F1496)</f>
        <v>9584.23</v>
      </c>
      <c r="R1563" s="244"/>
      <c r="S1563" s="169">
        <f>SUMIFS(операции!$V:$V,операции!$T:$T,"&lt;="&amp;S$9,операции!$X:$X,"",операции!$AB:$AB,"",операции!$O:$O,$F1496)+SUMIFS(операции!$V:$V,операции!$T:$T,"&lt;="&amp;S$9,операции!$X:$X,"&gt;"&amp;S$9,операции!$AB:$AB,"",операции!$O:$O,$F1496)+SUMIFS(операции!$V:$V,операции!$T:$T,"&lt;="&amp;S$9,операции!$X:$X,"",операции!$AB:$AB,"&gt;"&amp;S$9,операции!$O:$O,$F1496)+SUMIFS(операции!$V:$V,операции!$T:$T,"&lt;="&amp;S$9,операции!$X:$X,"&gt;"&amp;S$9,операции!$AB:$AB,"&gt;"&amp;S$9,операции!$O:$O,$F1496)</f>
        <v>52505.380000000005</v>
      </c>
      <c r="T1563" s="170">
        <f>S1563-U1563-V1563</f>
        <v>0</v>
      </c>
      <c r="U1563" s="169">
        <f>SUMIFS(операции!$V:$V,операции!$T:$T,"&lt;="&amp;S$9,операции!$X:$X,"",операции!$AB:$AB,"",операции!$L:$L,U$9,операции!$O:$O,$F1496)+SUMIFS(операции!$V:$V,операции!$T:$T,"&lt;="&amp;S$9,операции!$X:$X,"&gt;"&amp;S$9,операции!$AB:$AB,"",операции!$L:$L,U$9,операции!$O:$O,$F1496)+SUMIFS(операции!$V:$V,операции!$T:$T,"&lt;="&amp;S$9,операции!$X:$X,"",операции!$AB:$AB,"&gt;"&amp;S$9,операции!$L:$L,U$9,операции!$O:$O,$F1496)+SUMIFS(операции!$V:$V,операции!$T:$T,"&lt;="&amp;S$9,операции!$X:$X,"&gt;"&amp;S$9,операции!$AB:$AB,"&gt;"&amp;S$9,операции!$L:$L,U$9,операции!$O:$O,$F1496)</f>
        <v>18273.38</v>
      </c>
      <c r="V1563" s="243">
        <f>SUMIFS(операции!$V:$V,операции!$T:$T,"&lt;="&amp;S$9,операции!$X:$X,"",операции!$AB:$AB,"",операции!$L:$L,V$9,операции!$O:$O,$F1496)+SUMIFS(операции!$V:$V,операции!$T:$T,"&lt;="&amp;S$9,операции!$X:$X,"&gt;"&amp;S$9,операции!$AB:$AB,"",операции!$L:$L,V$9,операции!$O:$O,$F1496)+SUMIFS(операции!$V:$V,операции!$T:$T,"&lt;="&amp;S$9,операции!$X:$X,"",операции!$AB:$AB,"&gt;"&amp;S$9,операции!$L:$L,V$9,операции!$O:$O,$F1496)+SUMIFS(операции!$V:$V,операции!$T:$T,"&lt;="&amp;S$9,операции!$X:$X,"&gt;"&amp;S$9,операции!$AB:$AB,"&gt;"&amp;S$9,операции!$L:$L,V$9,операции!$O:$O,$F1496)</f>
        <v>34232</v>
      </c>
      <c r="W1563" s="244"/>
      <c r="X1563" s="169">
        <f>SUMIFS(операции!$V:$V,операции!$T:$T,"&lt;="&amp;X$9,операции!$X:$X,"",операции!$AB:$AB,"",операции!$O:$O,$F1496)+SUMIFS(операции!$V:$V,операции!$T:$T,"&lt;="&amp;X$9,операции!$X:$X,"&gt;"&amp;X$9,операции!$AB:$AB,"",операции!$O:$O,$F1496)+SUMIFS(операции!$V:$V,операции!$T:$T,"&lt;="&amp;X$9,операции!$X:$X,"",операции!$AB:$AB,"&gt;"&amp;X$9,операции!$O:$O,$F1496)+SUMIFS(операции!$V:$V,операции!$T:$T,"&lt;="&amp;X$9,операции!$X:$X,"&gt;"&amp;X$9,операции!$AB:$AB,"&gt;"&amp;X$9,операции!$O:$O,$F1496)</f>
        <v>3732.38</v>
      </c>
      <c r="Y1563" s="170">
        <f>X1563-Z1563-AA1563</f>
        <v>0</v>
      </c>
      <c r="Z1563" s="169">
        <f>SUMIFS(операции!$V:$V,операции!$T:$T,"&lt;="&amp;X$9,операции!$X:$X,"",операции!$AB:$AB,"",операции!$L:$L,Z$9,операции!$O:$O,$F1496)+SUMIFS(операции!$V:$V,операции!$T:$T,"&lt;="&amp;X$9,операции!$X:$X,"&gt;"&amp;X$9,операции!$AB:$AB,"",операции!$L:$L,Z$9,операции!$O:$O,$F1496)+SUMIFS(операции!$V:$V,операции!$T:$T,"&lt;="&amp;X$9,операции!$X:$X,"",операции!$AB:$AB,"&gt;"&amp;X$9,операции!$L:$L,Z$9,операции!$O:$O,$F1496)+SUMIFS(операции!$V:$V,операции!$T:$T,"&lt;="&amp;X$9,операции!$X:$X,"&gt;"&amp;X$9,операции!$AB:$AB,"&gt;"&amp;X$9,операции!$L:$L,Z$9,операции!$O:$O,$F1496)</f>
        <v>3732.38</v>
      </c>
      <c r="AA1563" s="243">
        <f>SUMIFS(операции!$V:$V,операции!$T:$T,"&lt;="&amp;X$9,операции!$X:$X,"",операции!$AB:$AB,"",операции!$L:$L,AA$9,операции!$O:$O,$F1496)+SUMIFS(операции!$V:$V,операции!$T:$T,"&lt;="&amp;X$9,операции!$X:$X,"&gt;"&amp;X$9,операции!$AB:$AB,"",операции!$L:$L,AA$9,операции!$O:$O,$F1496)+SUMIFS(операции!$V:$V,операции!$T:$T,"&lt;="&amp;X$9,операции!$X:$X,"",операции!$AB:$AB,"&gt;"&amp;X$9,операции!$L:$L,AA$9,операции!$O:$O,$F1496)+SUMIFS(операции!$V:$V,операции!$T:$T,"&lt;="&amp;X$9,операции!$X:$X,"&gt;"&amp;X$9,операции!$AB:$AB,"&gt;"&amp;X$9,операции!$L:$L,AA$9,операции!$O:$O,$F1496)</f>
        <v>0</v>
      </c>
      <c r="AB1563" s="266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</row>
    <row r="1564" spans="1:42" s="192" customFormat="1" ht="11.25">
      <c r="A1564" s="37"/>
      <c r="B1564" s="37"/>
      <c r="C1564" s="37"/>
      <c r="D1564" s="191"/>
      <c r="E1564" s="191" t="s">
        <v>255</v>
      </c>
      <c r="F1564" s="191" t="str">
        <f t="shared" si="2656"/>
        <v>Позитив</v>
      </c>
      <c r="G1564" s="191" t="s">
        <v>262</v>
      </c>
      <c r="H1564" s="315"/>
      <c r="I1564" s="316">
        <f>IF(I1563=0,0,(SUMIFS(операции!$AF:$AF,операции!$T:$T,"&lt;="&amp;I$9,операции!$X:$X,"",операции!$AB:$AB,"",операции!$O:$O,$F1496)+SUMIFS(операции!$AF:$AF,операции!$T:$T,"&lt;="&amp;I$9,операции!$X:$X,"&gt;"&amp;I$9,операции!$AB:$AB,"",операции!$O:$O,$F1496)+SUMIFS(операции!$AF:$AF,операции!$T:$T,"&lt;="&amp;I$9,операции!$X:$X,"",операции!$AB:$AB,"&gt;"&amp;I$9,операции!$O:$O,$F1496)+SUMIFS(операции!$AF:$AF,операции!$T:$T,"&lt;="&amp;I$9,операции!$X:$X,"&gt;"&amp;I$9,операции!$AB:$AB,"&gt;"&amp;I$9,операции!$O:$O,$F1496))/I1563)</f>
        <v>42120</v>
      </c>
      <c r="J1564" s="317"/>
      <c r="K1564" s="316">
        <f>IF(K1563=0,0,(SUMIFS(операции!$AF:$AF,операции!$T:$T,"&lt;="&amp;I$9,операции!$X:$X,"",операции!$AB:$AB,"",операции!$L:$L,K$9,операции!$O:$O,$F1496)+SUMIFS(операции!$AF:$AF,операции!$T:$T,"&lt;="&amp;I$9,операции!$X:$X,"&gt;"&amp;I$9,операции!$AB:$AB,"",операции!$L:$L,K$9,операции!$O:$O,$F1496)+SUMIFS(операции!$AF:$AF,операции!$T:$T,"&lt;="&amp;I$9,операции!$X:$X,"",операции!$AB:$AB,"&gt;"&amp;I$9,операции!$L:$L,K$9,операции!$O:$O,$F1496)+SUMIFS(операции!$AF:$AF,операции!$T:$T,"&lt;="&amp;I$9,операции!$X:$X,"&gt;"&amp;I$9,операции!$AB:$AB,"&gt;"&amp;I$9,операции!$L:$L,K$9,операции!$O:$O,$F1496))/K1563)</f>
        <v>42120</v>
      </c>
      <c r="L1564" s="318">
        <f>IF(L1563=0,0,(SUMIFS(операции!$AF:$AF,операции!$T:$T,"&lt;="&amp;I$9,операции!$X:$X,"",операции!$AB:$AB,"",операции!$L:$L,L$9,операции!$O:$O,$F1496)+SUMIFS(операции!$AF:$AF,операции!$T:$T,"&lt;="&amp;I$9,операции!$X:$X,"&gt;"&amp;I$9,операции!$AB:$AB,"",операции!$L:$L,L$9,операции!$O:$O,$F1496)+SUMIFS(операции!$AF:$AF,операции!$T:$T,"&lt;="&amp;I$9,операции!$X:$X,"",операции!$AB:$AB,"&gt;"&amp;I$9,операции!$L:$L,L$9,операции!$O:$O,$F1496)+SUMIFS(операции!$AF:$AF,операции!$T:$T,"&lt;="&amp;I$9,операции!$X:$X,"&gt;"&amp;I$9,операции!$AB:$AB,"&gt;"&amp;I$9,операции!$L:$L,L$9,операции!$O:$O,$F1496))/L1563)</f>
        <v>0</v>
      </c>
      <c r="M1564" s="274"/>
      <c r="N1564" s="193">
        <f>IF(N1563=0,0,(SUMIFS(операции!$AF:$AF,операции!$T:$T,"&lt;="&amp;N$9,операции!$X:$X,"",операции!$AB:$AB,"",операции!$O:$O,$F1496)+SUMIFS(операции!$AF:$AF,операции!$T:$T,"&lt;="&amp;N$9,операции!$X:$X,"&gt;"&amp;N$9,операции!$AB:$AB,"",операции!$O:$O,$F1496)+SUMIFS(операции!$AF:$AF,операции!$T:$T,"&lt;="&amp;N$9,операции!$X:$X,"",операции!$AB:$AB,"&gt;"&amp;N$9,операции!$O:$O,$F1496)+SUMIFS(операции!$AF:$AF,операции!$T:$T,"&lt;="&amp;N$9,операции!$X:$X,"&gt;"&amp;N$9,операции!$AB:$AB,"&gt;"&amp;N$9,операции!$O:$O,$F1496))/N1563)</f>
        <v>42210.857455504352</v>
      </c>
      <c r="O1564" s="196"/>
      <c r="P1564" s="193">
        <f>IF(P1563=0,0,(SUMIFS(операции!$AF:$AF,операции!$T:$T,"&lt;="&amp;N$9,операции!$X:$X,"",операции!$AB:$AB,"",операции!$L:$L,P$9,операции!$O:$O,$F1496)+SUMIFS(операции!$AF:$AF,операции!$T:$T,"&lt;="&amp;N$9,операции!$X:$X,"&gt;"&amp;N$9,операции!$AB:$AB,"",операции!$L:$L,P$9,операции!$O:$O,$F1496)+SUMIFS(операции!$AF:$AF,операции!$T:$T,"&lt;="&amp;N$9,операции!$X:$X,"",операции!$AB:$AB,"&gt;"&amp;N$9,операции!$L:$L,P$9,операции!$O:$O,$F1496)+SUMIFS(операции!$AF:$AF,операции!$T:$T,"&lt;="&amp;N$9,операции!$X:$X,"&gt;"&amp;N$9,операции!$AB:$AB,"&gt;"&amp;N$9,операции!$L:$L,P$9,операции!$O:$O,$F1496))/P1563)</f>
        <v>42191.732566171202</v>
      </c>
      <c r="Q1564" s="237">
        <f>IF(Q1563=0,0,(SUMIFS(операции!$AF:$AF,операции!$T:$T,"&lt;="&amp;N$9,операции!$X:$X,"",операции!$AB:$AB,"",операции!$L:$L,Q$9,операции!$O:$O,$F1496)+SUMIFS(операции!$AF:$AF,операции!$T:$T,"&lt;="&amp;N$9,операции!$X:$X,"&gt;"&amp;N$9,операции!$AB:$AB,"",операции!$L:$L,Q$9,операции!$O:$O,$F1496)+SUMIFS(операции!$AF:$AF,операции!$T:$T,"&lt;="&amp;N$9,операции!$X:$X,"",операции!$AB:$AB,"&gt;"&amp;N$9,операции!$L:$L,Q$9,операции!$O:$O,$F1496)+SUMIFS(операции!$AF:$AF,операции!$T:$T,"&lt;="&amp;N$9,операции!$X:$X,"&gt;"&amp;N$9,операции!$AB:$AB,"&gt;"&amp;N$9,операции!$L:$L,Q$9,операции!$O:$O,$F1496))/Q1563)</f>
        <v>42304.227737648202</v>
      </c>
      <c r="R1564" s="238"/>
      <c r="S1564" s="193">
        <f>IF(S1563=0,0,(SUMIFS(операции!$AF:$AF,операции!$T:$T,"&lt;="&amp;S$9,операции!$X:$X,"",операции!$AB:$AB,"",операции!$O:$O,$F1496)+SUMIFS(операции!$AF:$AF,операции!$T:$T,"&lt;="&amp;S$9,операции!$X:$X,"&gt;"&amp;S$9,операции!$AB:$AB,"",операции!$O:$O,$F1496)+SUMIFS(операции!$AF:$AF,операции!$T:$T,"&lt;="&amp;S$9,операции!$X:$X,"",операции!$AB:$AB,"&gt;"&amp;S$9,операции!$O:$O,$F1496)+SUMIFS(операции!$AF:$AF,операции!$T:$T,"&lt;="&amp;S$9,операции!$X:$X,"&gt;"&amp;S$9,операции!$AB:$AB,"&gt;"&amp;S$9,операции!$O:$O,$F1496))/S1563)</f>
        <v>42262.806245759959</v>
      </c>
      <c r="T1564" s="196"/>
      <c r="U1564" s="193">
        <f>IF(U1563=0,0,(SUMIFS(операции!$AF:$AF,операции!$T:$T,"&lt;="&amp;S$9,операции!$X:$X,"",операции!$AB:$AB,"",операции!$L:$L,U$9,операции!$O:$O,$F1496)+SUMIFS(операции!$AF:$AF,операции!$T:$T,"&lt;="&amp;S$9,операции!$X:$X,"&gt;"&amp;S$9,операции!$AB:$AB,"",операции!$L:$L,U$9,операции!$O:$O,$F1496)+SUMIFS(операции!$AF:$AF,операции!$T:$T,"&lt;="&amp;S$9,операции!$X:$X,"",операции!$AB:$AB,"&gt;"&amp;S$9,операции!$L:$L,U$9,операции!$O:$O,$F1496)+SUMIFS(операции!$AF:$AF,операции!$T:$T,"&lt;="&amp;S$9,операции!$X:$X,"&gt;"&amp;S$9,операции!$AB:$AB,"&gt;"&amp;S$9,операции!$L:$L,U$9,операции!$O:$O,$F1496))/U1563)</f>
        <v>42127.39809493372</v>
      </c>
      <c r="V1564" s="237">
        <f>IF(V1563=0,0,(SUMIFS(операции!$AF:$AF,операции!$T:$T,"&lt;="&amp;S$9,операции!$X:$X,"",операции!$AB:$AB,"",операции!$L:$L,V$9,операции!$O:$O,$F1496)+SUMIFS(операции!$AF:$AF,операции!$T:$T,"&lt;="&amp;S$9,операции!$X:$X,"&gt;"&amp;S$9,операции!$AB:$AB,"",операции!$L:$L,V$9,операции!$O:$O,$F1496)+SUMIFS(операции!$AF:$AF,операции!$T:$T,"&lt;="&amp;S$9,операции!$X:$X,"",операции!$AB:$AB,"&gt;"&amp;S$9,операции!$L:$L,V$9,операции!$O:$O,$F1496)+SUMIFS(операции!$AF:$AF,операции!$T:$T,"&lt;="&amp;S$9,операции!$X:$X,"&gt;"&amp;S$9,операции!$AB:$AB,"&gt;"&amp;S$9,операции!$L:$L,V$9,операции!$O:$O,$F1496))/V1563)</f>
        <v>42335.08845524655</v>
      </c>
      <c r="W1564" s="238"/>
      <c r="X1564" s="193">
        <f>IF(X1563=0,0,(SUMIFS(операции!$AF:$AF,операции!$T:$T,"&lt;="&amp;X$9,операции!$X:$X,"",операции!$AB:$AB,"",операции!$O:$O,$F1496)+SUMIFS(операции!$AF:$AF,операции!$T:$T,"&lt;="&amp;X$9,операции!$X:$X,"&gt;"&amp;X$9,операции!$AB:$AB,"",операции!$O:$O,$F1496)+SUMIFS(операции!$AF:$AF,операции!$T:$T,"&lt;="&amp;X$9,операции!$X:$X,"",операции!$AB:$AB,"&gt;"&amp;X$9,операции!$O:$O,$F1496)+SUMIFS(операции!$AF:$AF,операции!$T:$T,"&lt;="&amp;X$9,операции!$X:$X,"&gt;"&amp;X$9,операции!$AB:$AB,"&gt;"&amp;X$9,операции!$O:$O,$F1496))/X1563)</f>
        <v>42120</v>
      </c>
      <c r="Y1564" s="196"/>
      <c r="Z1564" s="193">
        <f>IF(Z1563=0,0,(SUMIFS(операции!$AF:$AF,операции!$T:$T,"&lt;="&amp;X$9,операции!$X:$X,"",операции!$AB:$AB,"",операции!$L:$L,Z$9,операции!$O:$O,$F1496)+SUMIFS(операции!$AF:$AF,операции!$T:$T,"&lt;="&amp;X$9,операции!$X:$X,"&gt;"&amp;X$9,операции!$AB:$AB,"",операции!$L:$L,Z$9,операции!$O:$O,$F1496)+SUMIFS(операции!$AF:$AF,операции!$T:$T,"&lt;="&amp;X$9,операции!$X:$X,"",операции!$AB:$AB,"&gt;"&amp;X$9,операции!$L:$L,Z$9,операции!$O:$O,$F1496)+SUMIFS(операции!$AF:$AF,операции!$T:$T,"&lt;="&amp;X$9,операции!$X:$X,"&gt;"&amp;X$9,операции!$AB:$AB,"&gt;"&amp;X$9,операции!$L:$L,Z$9,операции!$O:$O,$F1496))/Z1563)</f>
        <v>42120</v>
      </c>
      <c r="AA1564" s="237">
        <f>IF(AA1563=0,0,(SUMIFS(операции!$AF:$AF,операции!$T:$T,"&lt;="&amp;X$9,операции!$X:$X,"",операции!$AB:$AB,"",операции!$L:$L,AA$9,операции!$O:$O,$F1496)+SUMIFS(операции!$AF:$AF,операции!$T:$T,"&lt;="&amp;X$9,операции!$X:$X,"&gt;"&amp;X$9,операции!$AB:$AB,"",операции!$L:$L,AA$9,операции!$O:$O,$F1496)+SUMIFS(операции!$AF:$AF,операции!$T:$T,"&lt;="&amp;X$9,операции!$X:$X,"",операции!$AB:$AB,"&gt;"&amp;X$9,операции!$L:$L,AA$9,операции!$O:$O,$F1496)+SUMIFS(операции!$AF:$AF,операции!$T:$T,"&lt;="&amp;X$9,операции!$X:$X,"&gt;"&amp;X$9,операции!$AB:$AB,"&gt;"&amp;X$9,операции!$L:$L,AA$9,операции!$O:$O,$F1496))/AA1563)</f>
        <v>0</v>
      </c>
      <c r="AB1564" s="265"/>
      <c r="AC1564" s="37"/>
      <c r="AD1564" s="37"/>
      <c r="AE1564" s="37"/>
      <c r="AF1564" s="37"/>
      <c r="AG1564" s="37"/>
      <c r="AH1564" s="37"/>
      <c r="AI1564" s="37"/>
      <c r="AJ1564" s="37"/>
      <c r="AK1564" s="37"/>
      <c r="AL1564" s="37"/>
      <c r="AM1564" s="37"/>
      <c r="AN1564" s="37"/>
      <c r="AO1564" s="37"/>
      <c r="AP1564" s="37"/>
    </row>
    <row r="1565" spans="1:42" s="192" customFormat="1" ht="11.25">
      <c r="A1565" s="37"/>
      <c r="B1565" s="37"/>
      <c r="C1565" s="37"/>
      <c r="D1565" s="191"/>
      <c r="E1565" s="191" t="s">
        <v>287</v>
      </c>
      <c r="F1565" s="191" t="str">
        <f t="shared" ref="F1565:F1568" si="2789">F1564</f>
        <v>Позитив</v>
      </c>
      <c r="G1565" s="191" t="s">
        <v>219</v>
      </c>
      <c r="H1565" s="315"/>
      <c r="I1565" s="329">
        <f>IF(I1563=0,0,I$9-I1564)</f>
        <v>249</v>
      </c>
      <c r="J1565" s="317"/>
      <c r="K1565" s="329">
        <f>IF(K1563=0,0,I$9-K1564)</f>
        <v>249</v>
      </c>
      <c r="L1565" s="330">
        <f>IF(L1563=0,0,I$9-L1564)</f>
        <v>0</v>
      </c>
      <c r="M1565" s="274"/>
      <c r="N1565" s="156">
        <f>IF(N1563=0,0,N$9-N1564)</f>
        <v>97.142544495647599</v>
      </c>
      <c r="O1565" s="196"/>
      <c r="P1565" s="156">
        <f>IF(P1563=0,0,N$9-P1564)</f>
        <v>116.26743382879795</v>
      </c>
      <c r="Q1565" s="245">
        <f>IF(Q1563=0,0,N$9-Q1564)</f>
        <v>3.7722623517984175</v>
      </c>
      <c r="R1565" s="238"/>
      <c r="S1565" s="156">
        <f>IF(S1563=0,0,S$9-S1564)</f>
        <v>75.193754240041017</v>
      </c>
      <c r="T1565" s="196"/>
      <c r="U1565" s="156">
        <f>IF(U1563=0,0,S$9-U1564)</f>
        <v>210.60190506627987</v>
      </c>
      <c r="V1565" s="245">
        <f>IF(V1563=0,0,S$9-V1564)</f>
        <v>2.9115447534495615</v>
      </c>
      <c r="W1565" s="238"/>
      <c r="X1565" s="156">
        <f>IF(X1563=0,0,X$9-X1564)</f>
        <v>249</v>
      </c>
      <c r="Y1565" s="196"/>
      <c r="Z1565" s="156">
        <f>IF(Z1563=0,0,X$9-Z1564)</f>
        <v>249</v>
      </c>
      <c r="AA1565" s="245">
        <f>IF(AA1563=0,0,X$9-AA1564)</f>
        <v>0</v>
      </c>
      <c r="AB1565" s="265"/>
      <c r="AC1565" s="37"/>
      <c r="AD1565" s="37"/>
      <c r="AE1565" s="37"/>
      <c r="AF1565" s="37"/>
      <c r="AG1565" s="37"/>
      <c r="AH1565" s="37"/>
      <c r="AI1565" s="37"/>
      <c r="AJ1565" s="37"/>
      <c r="AK1565" s="37"/>
      <c r="AL1565" s="37"/>
      <c r="AM1565" s="37"/>
      <c r="AN1565" s="37"/>
      <c r="AO1565" s="37"/>
      <c r="AP1565" s="37"/>
    </row>
    <row r="1566" spans="1:42" s="192" customFormat="1" ht="11.25">
      <c r="A1566" s="37"/>
      <c r="B1566" s="37"/>
      <c r="C1566" s="37"/>
      <c r="D1566" s="191"/>
      <c r="E1566" s="191" t="s">
        <v>311</v>
      </c>
      <c r="F1566" s="191" t="str">
        <f t="shared" si="2789"/>
        <v>Позитив</v>
      </c>
      <c r="G1566" s="191" t="s">
        <v>262</v>
      </c>
      <c r="H1566" s="315"/>
      <c r="I1566" s="316">
        <f>I$9</f>
        <v>42369</v>
      </c>
      <c r="J1566" s="317"/>
      <c r="K1566" s="316">
        <f>I$9</f>
        <v>42369</v>
      </c>
      <c r="L1566" s="318">
        <f>I$9</f>
        <v>42369</v>
      </c>
      <c r="M1566" s="274"/>
      <c r="N1566" s="193">
        <f>N$9</f>
        <v>42308</v>
      </c>
      <c r="O1566" s="196"/>
      <c r="P1566" s="193">
        <f>N$9</f>
        <v>42308</v>
      </c>
      <c r="Q1566" s="237">
        <f>N$9</f>
        <v>42308</v>
      </c>
      <c r="R1566" s="238"/>
      <c r="S1566" s="193">
        <f>S$9</f>
        <v>42338</v>
      </c>
      <c r="T1566" s="196"/>
      <c r="U1566" s="193">
        <f>S$9</f>
        <v>42338</v>
      </c>
      <c r="V1566" s="237">
        <f>S$9</f>
        <v>42338</v>
      </c>
      <c r="W1566" s="238"/>
      <c r="X1566" s="193">
        <f>X$9</f>
        <v>42369</v>
      </c>
      <c r="Y1566" s="196"/>
      <c r="Z1566" s="193">
        <f>X$9</f>
        <v>42369</v>
      </c>
      <c r="AA1566" s="237">
        <f>X$9</f>
        <v>42369</v>
      </c>
      <c r="AB1566" s="265"/>
      <c r="AC1566" s="37"/>
      <c r="AD1566" s="37"/>
      <c r="AE1566" s="37"/>
      <c r="AF1566" s="37"/>
      <c r="AG1566" s="37"/>
      <c r="AH1566" s="37"/>
      <c r="AI1566" s="37"/>
      <c r="AJ1566" s="37"/>
      <c r="AK1566" s="37"/>
      <c r="AL1566" s="37"/>
      <c r="AM1566" s="37"/>
      <c r="AN1566" s="37"/>
      <c r="AO1566" s="37"/>
      <c r="AP1566" s="37"/>
    </row>
    <row r="1567" spans="1:42" s="192" customFormat="1" ht="11.25">
      <c r="A1567" s="37"/>
      <c r="B1567" s="37"/>
      <c r="C1567" s="37"/>
      <c r="D1567" s="191"/>
      <c r="E1567" s="191" t="s">
        <v>288</v>
      </c>
      <c r="F1567" s="191" t="str">
        <f t="shared" si="2789"/>
        <v>Позитив</v>
      </c>
      <c r="G1567" s="191" t="s">
        <v>219</v>
      </c>
      <c r="H1567" s="315"/>
      <c r="I1567" s="329">
        <f>IF(I1563=0,0,I1566-I1564)</f>
        <v>249</v>
      </c>
      <c r="J1567" s="317"/>
      <c r="K1567" s="329">
        <f>IF(K1563=0,0,K1566-K1564)</f>
        <v>249</v>
      </c>
      <c r="L1567" s="330">
        <f>IF(L1563=0,0,L1566-L1564)</f>
        <v>0</v>
      </c>
      <c r="M1567" s="274"/>
      <c r="N1567" s="156">
        <f>IF(N1563=0,0,N1566-N1564)</f>
        <v>97.142544495647599</v>
      </c>
      <c r="O1567" s="196"/>
      <c r="P1567" s="156">
        <f>IF(P1563=0,0,P1566-P1564)</f>
        <v>116.26743382879795</v>
      </c>
      <c r="Q1567" s="245">
        <f>IF(Q1563=0,0,Q1566-Q1564)</f>
        <v>3.7722623517984175</v>
      </c>
      <c r="R1567" s="238"/>
      <c r="S1567" s="156">
        <f>IF(S1563=0,0,S1566-S1564)</f>
        <v>75.193754240041017</v>
      </c>
      <c r="T1567" s="196"/>
      <c r="U1567" s="156">
        <f>IF(U1563=0,0,U1566-U1564)</f>
        <v>210.60190506627987</v>
      </c>
      <c r="V1567" s="245">
        <f>IF(V1563=0,0,V1566-V1564)</f>
        <v>2.9115447534495615</v>
      </c>
      <c r="W1567" s="238"/>
      <c r="X1567" s="156">
        <f>IF(X1563=0,0,X1566-X1564)</f>
        <v>249</v>
      </c>
      <c r="Y1567" s="196"/>
      <c r="Z1567" s="156">
        <f>IF(Z1563=0,0,Z1566-Z1564)</f>
        <v>249</v>
      </c>
      <c r="AA1567" s="245">
        <f>IF(AA1563=0,0,AA1566-AA1564)</f>
        <v>0</v>
      </c>
      <c r="AB1567" s="265"/>
      <c r="AC1567" s="37"/>
      <c r="AD1567" s="37"/>
      <c r="AE1567" s="37"/>
      <c r="AF1567" s="37"/>
      <c r="AG1567" s="37"/>
      <c r="AH1567" s="37"/>
      <c r="AI1567" s="37"/>
      <c r="AJ1567" s="37"/>
      <c r="AK1567" s="37"/>
      <c r="AL1567" s="37"/>
      <c r="AM1567" s="37"/>
      <c r="AN1567" s="37"/>
      <c r="AO1567" s="37"/>
      <c r="AP1567" s="37"/>
    </row>
    <row r="1568" spans="1:42" s="192" customFormat="1" ht="12" thickBot="1">
      <c r="A1568" s="37"/>
      <c r="B1568" s="37"/>
      <c r="C1568" s="37"/>
      <c r="D1568" s="297"/>
      <c r="E1568" s="297" t="s">
        <v>289</v>
      </c>
      <c r="F1568" s="297" t="str">
        <f t="shared" si="2789"/>
        <v>Позитив</v>
      </c>
      <c r="G1568" s="297" t="s">
        <v>219</v>
      </c>
      <c r="H1568" s="377"/>
      <c r="I1568" s="378">
        <f>I1565-I1567</f>
        <v>0</v>
      </c>
      <c r="J1568" s="379"/>
      <c r="K1568" s="378">
        <f>K1565-K1567</f>
        <v>0</v>
      </c>
      <c r="L1568" s="380">
        <f>L1565-L1567</f>
        <v>0</v>
      </c>
      <c r="M1568" s="300"/>
      <c r="N1568" s="298">
        <f>N1565-N1567</f>
        <v>0</v>
      </c>
      <c r="O1568" s="299"/>
      <c r="P1568" s="298">
        <f>P1565-P1567</f>
        <v>0</v>
      </c>
      <c r="Q1568" s="301">
        <f>Q1565-Q1567</f>
        <v>0</v>
      </c>
      <c r="R1568" s="302"/>
      <c r="S1568" s="298">
        <f>S1565-S1567</f>
        <v>0</v>
      </c>
      <c r="T1568" s="299"/>
      <c r="U1568" s="298">
        <f>U1565-U1567</f>
        <v>0</v>
      </c>
      <c r="V1568" s="301">
        <f>V1565-V1567</f>
        <v>0</v>
      </c>
      <c r="W1568" s="302"/>
      <c r="X1568" s="298">
        <f>X1565-X1567</f>
        <v>0</v>
      </c>
      <c r="Y1568" s="299"/>
      <c r="Z1568" s="298">
        <f>Z1565-Z1567</f>
        <v>0</v>
      </c>
      <c r="AA1568" s="301">
        <f>AA1565-AA1567</f>
        <v>0</v>
      </c>
      <c r="AB1568" s="265"/>
      <c r="AC1568" s="37"/>
      <c r="AD1568" s="37"/>
      <c r="AE1568" s="37"/>
      <c r="AF1568" s="37"/>
      <c r="AG1568" s="37"/>
      <c r="AH1568" s="37"/>
      <c r="AI1568" s="37"/>
      <c r="AJ1568" s="37"/>
      <c r="AK1568" s="37"/>
      <c r="AL1568" s="37"/>
      <c r="AM1568" s="37"/>
      <c r="AN1568" s="37"/>
      <c r="AO1568" s="37"/>
      <c r="AP1568" s="37"/>
    </row>
    <row r="1569" spans="1:42" s="111" customFormat="1" ht="11.25">
      <c r="A1569" s="108"/>
      <c r="B1569" s="108"/>
      <c r="C1569" s="108" t="s">
        <v>271</v>
      </c>
      <c r="D1569" s="291"/>
      <c r="E1569" s="291"/>
      <c r="F1569" s="291" t="str">
        <f>F1570</f>
        <v>СпортИн</v>
      </c>
      <c r="G1569" s="291"/>
      <c r="H1569" s="373"/>
      <c r="I1569" s="374">
        <f>I1570-K1570-L1570</f>
        <v>0</v>
      </c>
      <c r="J1569" s="375">
        <f>N1569+N1587+N1625+SUM(O:O)+S1569+S1587+S1625+SUM(T:T)+X1569+X1587+X1625+SUM(Y:Y)</f>
        <v>3.7104683769939584E-9</v>
      </c>
      <c r="K1569" s="373"/>
      <c r="L1569" s="376"/>
      <c r="M1569" s="293"/>
      <c r="N1569" s="292">
        <f>N1570-P1570-Q1570</f>
        <v>0</v>
      </c>
      <c r="O1569" s="294"/>
      <c r="P1569" s="291"/>
      <c r="Q1569" s="295"/>
      <c r="R1569" s="296"/>
      <c r="S1569" s="292">
        <f>S1570-U1570-V1570</f>
        <v>0</v>
      </c>
      <c r="T1569" s="294"/>
      <c r="U1569" s="291"/>
      <c r="V1569" s="295"/>
      <c r="W1569" s="296"/>
      <c r="X1569" s="292">
        <f>X1570-Z1570-AA1570</f>
        <v>0</v>
      </c>
      <c r="Y1569" s="294"/>
      <c r="Z1569" s="291"/>
      <c r="AA1569" s="295"/>
      <c r="AB1569" s="263"/>
      <c r="AC1569" s="108"/>
      <c r="AD1569" s="108"/>
      <c r="AE1569" s="108"/>
      <c r="AF1569" s="108"/>
      <c r="AG1569" s="108"/>
      <c r="AH1569" s="108"/>
      <c r="AI1569" s="108"/>
      <c r="AJ1569" s="108"/>
      <c r="AK1569" s="108"/>
      <c r="AL1569" s="108"/>
      <c r="AM1569" s="108"/>
      <c r="AN1569" s="108"/>
      <c r="AO1569" s="108"/>
      <c r="AP1569" s="108"/>
    </row>
    <row r="1570" spans="1:42" s="93" customFormat="1" ht="15">
      <c r="A1570" s="92"/>
      <c r="B1570" s="92"/>
      <c r="C1570" s="92"/>
      <c r="D1570" s="151" t="s">
        <v>256</v>
      </c>
      <c r="E1570" s="151"/>
      <c r="F1570" s="286" t="str">
        <f>микс!$H$38</f>
        <v>СпортИн</v>
      </c>
      <c r="G1570" s="151" t="s">
        <v>261</v>
      </c>
      <c r="H1570" s="311"/>
      <c r="I1570" s="312">
        <f>SUMIFS(операции!$V:$V,операции!$T:$T,"&lt;"&amp;I$8,операции!$X:$X,"",операции!$O:$O,$F1570)+SUMIFS(операции!$V:$V,операции!$T:$T,"&lt;"&amp;I$8,операции!$X:$X,"&gt;="&amp;I$8,операции!$O:$O,$F1570)</f>
        <v>9074</v>
      </c>
      <c r="J1570" s="313">
        <f>I1570-I1575-I1581</f>
        <v>0</v>
      </c>
      <c r="K1570" s="312">
        <f>SUMIFS(операции!$V:$V,операции!$T:$T,"&lt;"&amp;I$8,операции!$X:$X,"",операции!$L:$L,K$9,операции!$O:$O,$F1570)+SUMIFS(операции!$V:$V,операции!$T:$T,"&lt;"&amp;I$8,операции!$X:$X,"&gt;="&amp;I$8,операции!$L:$L,K$9,операции!$O:$O,$F1570)</f>
        <v>9074</v>
      </c>
      <c r="L1570" s="314">
        <f>SUMIFS(операции!$V:$V,операции!$T:$T,"&lt;"&amp;I$8,операции!$X:$X,"",операции!$L:$L,L$9,операции!$O:$O,$F1570)+SUMIFS(операции!$V:$V,операции!$T:$T,"&lt;"&amp;I$8,операции!$X:$X,"&gt;="&amp;I$8,операции!$L:$L,L$9,операции!$O:$O,$F1570)</f>
        <v>0</v>
      </c>
      <c r="M1570" s="273"/>
      <c r="N1570" s="152">
        <f>SUMIFS(операции!$V:$V,операции!$T:$T,"&lt;"&amp;N$8,операции!$X:$X,"",операции!$O:$O,$F1570)+SUMIFS(операции!$V:$V,операции!$T:$T,"&lt;"&amp;N$8,операции!$X:$X,"&gt;="&amp;N$8,операции!$O:$O,$F1570)</f>
        <v>9074</v>
      </c>
      <c r="O1570" s="170">
        <f>N1570-N1575-N1581</f>
        <v>0</v>
      </c>
      <c r="P1570" s="152">
        <f>SUMIFS(операции!$V:$V,операции!$T:$T,"&lt;"&amp;N$8,операции!$X:$X,"",операции!$L:$L,P$9,операции!$O:$O,$F1570)+SUMIFS(операции!$V:$V,операции!$T:$T,"&lt;"&amp;N$8,операции!$X:$X,"&gt;="&amp;N$8,операции!$L:$L,P$9,операции!$O:$O,$F1570)</f>
        <v>9074</v>
      </c>
      <c r="Q1570" s="235">
        <f>SUMIFS(операции!$V:$V,операции!$T:$T,"&lt;"&amp;N$8,операции!$X:$X,"",операции!$L:$L,Q$9,операции!$O:$O,$F1570)+SUMIFS(операции!$V:$V,операции!$T:$T,"&lt;"&amp;N$8,операции!$X:$X,"&gt;="&amp;N$8,операции!$L:$L,Q$9,операции!$O:$O,$F1570)</f>
        <v>0</v>
      </c>
      <c r="R1570" s="236"/>
      <c r="S1570" s="152">
        <f>SUMIFS(операции!$V:$V,операции!$T:$T,"&lt;"&amp;S$8,операции!$X:$X,"",операции!$O:$O,$F1570)+SUMIFS(операции!$V:$V,операции!$T:$T,"&lt;"&amp;S$8,операции!$X:$X,"&gt;="&amp;S$8,операции!$O:$O,$F1570)</f>
        <v>6805.5</v>
      </c>
      <c r="T1570" s="170">
        <f>S1570-S1575-S1581</f>
        <v>0</v>
      </c>
      <c r="U1570" s="152">
        <f>SUMIFS(операции!$V:$V,операции!$T:$T,"&lt;"&amp;S$8,операции!$X:$X,"",операции!$L:$L,U$9,операции!$O:$O,$F1570)+SUMIFS(операции!$V:$V,операции!$T:$T,"&lt;"&amp;S$8,операции!$X:$X,"&gt;="&amp;S$8,операции!$L:$L,U$9,операции!$O:$O,$F1570)</f>
        <v>6805.5</v>
      </c>
      <c r="V1570" s="235">
        <f>SUMIFS(операции!$V:$V,операции!$T:$T,"&lt;"&amp;S$8,операции!$X:$X,"",операции!$L:$L,V$9,операции!$O:$O,$F1570)+SUMIFS(операции!$V:$V,операции!$T:$T,"&lt;"&amp;S$8,операции!$X:$X,"&gt;="&amp;S$8,операции!$L:$L,V$9,операции!$O:$O,$F1570)</f>
        <v>0</v>
      </c>
      <c r="W1570" s="236"/>
      <c r="X1570" s="152">
        <f>SUMIFS(операции!$V:$V,операции!$T:$T,"&lt;"&amp;X$8,операции!$X:$X,"",операции!$O:$O,$F1570)+SUMIFS(операции!$V:$V,операции!$T:$T,"&lt;"&amp;X$8,операции!$X:$X,"&gt;="&amp;X$8,операции!$O:$O,$F1570)</f>
        <v>11342.5</v>
      </c>
      <c r="Y1570" s="170">
        <f>X1570-X1575-X1581</f>
        <v>0</v>
      </c>
      <c r="Z1570" s="152">
        <f>SUMIFS(операции!$V:$V,операции!$T:$T,"&lt;"&amp;X$8,операции!$X:$X,"",операции!$L:$L,Z$9,операции!$O:$O,$F1570)+SUMIFS(операции!$V:$V,операции!$T:$T,"&lt;"&amp;X$8,операции!$X:$X,"&gt;="&amp;X$8,операции!$L:$L,Z$9,операции!$O:$O,$F1570)</f>
        <v>4537</v>
      </c>
      <c r="AA1570" s="235">
        <f>SUMIFS(операции!$V:$V,операции!$T:$T,"&lt;"&amp;X$8,операции!$X:$X,"",операции!$L:$L,AA$9,операции!$O:$O,$F1570)+SUMIFS(операции!$V:$V,операции!$T:$T,"&lt;"&amp;X$8,операции!$X:$X,"&gt;="&amp;X$8,операции!$L:$L,AA$9,операции!$O:$O,$F1570)</f>
        <v>6805.5</v>
      </c>
      <c r="AB1570" s="264"/>
      <c r="AC1570" s="92"/>
      <c r="AD1570" s="92"/>
      <c r="AE1570" s="92"/>
      <c r="AF1570" s="92"/>
      <c r="AG1570" s="92"/>
      <c r="AH1570" s="92"/>
      <c r="AI1570" s="92"/>
      <c r="AJ1570" s="92"/>
      <c r="AK1570" s="92"/>
      <c r="AL1570" s="92"/>
      <c r="AM1570" s="92"/>
      <c r="AN1570" s="92"/>
      <c r="AO1570" s="92"/>
      <c r="AP1570" s="92"/>
    </row>
    <row r="1571" spans="1:42" s="192" customFormat="1" ht="11.25">
      <c r="A1571" s="37"/>
      <c r="B1571" s="37"/>
      <c r="C1571" s="37"/>
      <c r="D1571" s="191" t="s">
        <v>255</v>
      </c>
      <c r="E1571" s="191"/>
      <c r="F1571" s="191" t="str">
        <f>F1570</f>
        <v>СпортИн</v>
      </c>
      <c r="G1571" s="191" t="s">
        <v>262</v>
      </c>
      <c r="H1571" s="315"/>
      <c r="I1571" s="316">
        <f>IF(I1570=0,0,(SUMIFS(операции!$AF:$AF,операции!$T:$T,"&lt;"&amp;I$8,операции!$X:$X,"",операции!$O:$O,$F1570)+SUMIFS(операции!$AF:$AF,операции!$T:$T,"&lt;"&amp;I$8,операции!$X:$X,"&gt;="&amp;I$8,операции!$O:$O,$F1570))/I1570)</f>
        <v>42169</v>
      </c>
      <c r="J1571" s="317"/>
      <c r="K1571" s="316">
        <f>IF(K1570=0,0,(SUMIFS(операции!$AF:$AF,операции!$T:$T,"&lt;"&amp;I$8,операции!$X:$X,"",операции!$L:$L,K$9,операции!$O:$O,$F1570)+SUMIFS(операции!$AF:$AF,операции!$T:$T,"&lt;"&amp;I$8,операции!$X:$X,"&gt;="&amp;I$8,операции!$L:$L,K$9,операции!$O:$O,$F1570))/K1570)</f>
        <v>42169</v>
      </c>
      <c r="L1571" s="318">
        <f>IF(L1570=0,0,(SUMIFS(операции!$AF:$AF,операции!$T:$T,"&lt;"&amp;I$8,операции!$X:$X,"",операции!$L:$L,L$9,операции!$O:$O,$F1570)+SUMIFS(операции!$AF:$AF,операции!$T:$T,"&lt;"&amp;I$8,операции!$X:$X,"&gt;="&amp;I$8,операции!$L:$L,L$9,операции!$O:$O,$F1570))/L1570)</f>
        <v>0</v>
      </c>
      <c r="M1571" s="274"/>
      <c r="N1571" s="193">
        <f>IF(N1570=0,0,(SUMIFS(операции!$AF:$AF,операции!$T:$T,"&lt;"&amp;N$8,операции!$X:$X,"",операции!$O:$O,$F1570)+SUMIFS(операции!$AF:$AF,операции!$T:$T,"&lt;"&amp;N$8,операции!$X:$X,"&gt;="&amp;N$8,операции!$O:$O,$F1570))/N1570)</f>
        <v>42169</v>
      </c>
      <c r="O1571" s="196"/>
      <c r="P1571" s="193">
        <f>IF(P1570=0,0,(SUMIFS(операции!$AF:$AF,операции!$T:$T,"&lt;"&amp;N$8,операции!$X:$X,"",операции!$L:$L,P$9,операции!$O:$O,$F1570)+SUMIFS(операции!$AF:$AF,операции!$T:$T,"&lt;"&amp;N$8,операции!$X:$X,"&gt;="&amp;N$8,операции!$L:$L,P$9,операции!$O:$O,$F1570))/P1570)</f>
        <v>42169</v>
      </c>
      <c r="Q1571" s="237">
        <f>IF(Q1570=0,0,(SUMIFS(операции!$AF:$AF,операции!$T:$T,"&lt;"&amp;N$8,операции!$X:$X,"",операции!$L:$L,Q$9,операции!$O:$O,$F1570)+SUMIFS(операции!$AF:$AF,операции!$T:$T,"&lt;"&amp;N$8,операции!$X:$X,"&gt;="&amp;N$8,операции!$L:$L,Q$9,операции!$O:$O,$F1570))/Q1570)</f>
        <v>0</v>
      </c>
      <c r="R1571" s="238"/>
      <c r="S1571" s="193">
        <f>IF(S1570=0,0,(SUMIFS(операции!$AF:$AF,операции!$T:$T,"&lt;"&amp;S$8,операции!$X:$X,"",операции!$O:$O,$F1570)+SUMIFS(операции!$AF:$AF,операции!$T:$T,"&lt;"&amp;S$8,операции!$X:$X,"&gt;="&amp;S$8,операции!$O:$O,$F1570))/S1570)</f>
        <v>42173.666666666664</v>
      </c>
      <c r="T1571" s="196"/>
      <c r="U1571" s="193">
        <f>IF(U1570=0,0,(SUMIFS(операции!$AF:$AF,операции!$T:$T,"&lt;"&amp;S$8,операции!$X:$X,"",операции!$L:$L,U$9,операции!$O:$O,$F1570)+SUMIFS(операции!$AF:$AF,операции!$T:$T,"&lt;"&amp;S$8,операции!$X:$X,"&gt;="&amp;S$8,операции!$L:$L,U$9,операции!$O:$O,$F1570))/U1570)</f>
        <v>42173.666666666664</v>
      </c>
      <c r="V1571" s="237">
        <f>IF(V1570=0,0,(SUMIFS(операции!$AF:$AF,операции!$T:$T,"&lt;"&amp;S$8,операции!$X:$X,"",операции!$L:$L,V$9,операции!$O:$O,$F1570)+SUMIFS(операции!$AF:$AF,операции!$T:$T,"&lt;"&amp;S$8,операции!$X:$X,"&gt;="&amp;S$8,операции!$L:$L,V$9,операции!$O:$O,$F1570))/V1570)</f>
        <v>0</v>
      </c>
      <c r="W1571" s="238"/>
      <c r="X1571" s="193">
        <f>IF(X1570=0,0,(SUMIFS(операции!$AF:$AF,операции!$T:$T,"&lt;"&amp;X$8,операции!$X:$X,"",операции!$O:$O,$F1570)+SUMIFS(операции!$AF:$AF,операции!$T:$T,"&lt;"&amp;X$8,операции!$X:$X,"&gt;="&amp;X$8,операции!$O:$O,$F1570))/X1570)</f>
        <v>42270.2</v>
      </c>
      <c r="Y1571" s="196"/>
      <c r="Z1571" s="193">
        <f>IF(Z1570=0,0,(SUMIFS(операции!$AF:$AF,операции!$T:$T,"&lt;"&amp;X$8,операции!$X:$X,"",операции!$L:$L,Z$9,операции!$O:$O,$F1570)+SUMIFS(операции!$AF:$AF,операции!$T:$T,"&lt;"&amp;X$8,операции!$X:$X,"&gt;="&amp;X$8,операции!$L:$L,Z$9,операции!$O:$O,$F1570))/Z1570)</f>
        <v>42169</v>
      </c>
      <c r="AA1571" s="237">
        <f>IF(AA1570=0,0,(SUMIFS(операции!$AF:$AF,операции!$T:$T,"&lt;"&amp;X$8,операции!$X:$X,"",операции!$L:$L,AA$9,операции!$O:$O,$F1570)+SUMIFS(операции!$AF:$AF,операции!$T:$T,"&lt;"&amp;X$8,операции!$X:$X,"&gt;="&amp;X$8,операции!$L:$L,AA$9,операции!$O:$O,$F1570))/AA1570)</f>
        <v>42337.666666666664</v>
      </c>
      <c r="AB1571" s="265"/>
      <c r="AC1571" s="37"/>
      <c r="AD1571" s="37"/>
      <c r="AE1571" s="37"/>
      <c r="AF1571" s="37"/>
      <c r="AG1571" s="37"/>
      <c r="AH1571" s="37"/>
      <c r="AI1571" s="37"/>
      <c r="AJ1571" s="37"/>
      <c r="AK1571" s="37"/>
      <c r="AL1571" s="37"/>
      <c r="AM1571" s="37"/>
      <c r="AN1571" s="37"/>
      <c r="AO1571" s="37"/>
      <c r="AP1571" s="37"/>
    </row>
    <row r="1572" spans="1:42" s="50" customFormat="1" ht="11.25">
      <c r="A1572" s="48"/>
      <c r="B1572" s="48"/>
      <c r="C1572" s="48"/>
      <c r="D1572" s="154" t="s">
        <v>257</v>
      </c>
      <c r="E1572" s="154"/>
      <c r="F1572" s="154" t="str">
        <f t="shared" ref="F1572:F1638" si="2790">F1571</f>
        <v>СпортИн</v>
      </c>
      <c r="G1572" s="154" t="s">
        <v>219</v>
      </c>
      <c r="H1572" s="319"/>
      <c r="I1572" s="320">
        <f>IF(I1570=0,0,I$8-I1571)</f>
        <v>109</v>
      </c>
      <c r="J1572" s="321">
        <f>I1572-IF(I1570=0,0,(I1575*I1577+I1581*I1583)/I1570)</f>
        <v>0</v>
      </c>
      <c r="K1572" s="320">
        <f>IF(K1570=0,0,I$8-K1571)</f>
        <v>109</v>
      </c>
      <c r="L1572" s="322">
        <f>IF(L1570=0,0,I$8-L1571)</f>
        <v>0</v>
      </c>
      <c r="M1572" s="275"/>
      <c r="N1572" s="155">
        <f>IF(N1570=0,0,N$8-N1571)</f>
        <v>109</v>
      </c>
      <c r="O1572" s="173">
        <f>N1572-IF(N1570=0,0,(N1575*N1577+N1581*N1583)/N1570)</f>
        <v>0</v>
      </c>
      <c r="P1572" s="155">
        <f>IF(P1570=0,0,N$8-P1571)</f>
        <v>109</v>
      </c>
      <c r="Q1572" s="239">
        <f>IF(Q1570=0,0,N$8-Q1571)</f>
        <v>0</v>
      </c>
      <c r="R1572" s="240"/>
      <c r="S1572" s="155">
        <f>IF(S1570=0,0,S$8-S1571)</f>
        <v>135.33333333333576</v>
      </c>
      <c r="T1572" s="173">
        <f>S1572-IF(S1570=0,0,(S1575*S1577+S1581*S1583)/S1570)</f>
        <v>0</v>
      </c>
      <c r="U1572" s="155">
        <f>IF(U1570=0,0,S$8-U1571)</f>
        <v>135.33333333333576</v>
      </c>
      <c r="V1572" s="239">
        <f>IF(V1570=0,0,S$8-V1571)</f>
        <v>0</v>
      </c>
      <c r="W1572" s="240"/>
      <c r="X1572" s="155">
        <f>IF(X1570=0,0,X$8-X1571)</f>
        <v>68.80000000000291</v>
      </c>
      <c r="Y1572" s="173">
        <f>X1572-IF(X1570=0,0,(X1575*X1577+X1581*X1583)/X1570)</f>
        <v>1.4495071809506044E-12</v>
      </c>
      <c r="Z1572" s="155">
        <f>IF(Z1570=0,0,X$8-Z1571)</f>
        <v>170</v>
      </c>
      <c r="AA1572" s="239">
        <f>IF(AA1570=0,0,X$8-AA1571)</f>
        <v>1.3333333333357587</v>
      </c>
      <c r="AB1572" s="230"/>
      <c r="AC1572" s="48"/>
      <c r="AD1572" s="48"/>
      <c r="AE1572" s="48"/>
      <c r="AF1572" s="48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</row>
    <row r="1573" spans="1:42" s="93" customFormat="1" ht="15">
      <c r="A1573" s="92"/>
      <c r="B1573" s="92"/>
      <c r="C1573" s="92"/>
      <c r="D1573" s="198" t="s">
        <v>267</v>
      </c>
      <c r="E1573" s="198"/>
      <c r="F1573" s="198" t="str">
        <f t="shared" si="2790"/>
        <v>СпортИн</v>
      </c>
      <c r="G1573" s="198" t="s">
        <v>219</v>
      </c>
      <c r="H1573" s="323"/>
      <c r="I1573" s="324">
        <f>IF(I1570=0,0,(I1575*I1579+I1581*I1585)/I1570)</f>
        <v>43.25</v>
      </c>
      <c r="J1573" s="321"/>
      <c r="K1573" s="324">
        <f t="shared" ref="K1573" si="2791">IF(K1570=0,0,(K1575*K1579+K1581*K1585)/K1570)</f>
        <v>43.25</v>
      </c>
      <c r="L1573" s="325">
        <f>IF(L1570=0,0,(L1575*L1579+L1581*L1585)/L1570)</f>
        <v>0</v>
      </c>
      <c r="M1573" s="276"/>
      <c r="N1573" s="199">
        <f>IF(N1570=0,0,(N1575*N1579+N1581*N1585)/N1570)</f>
        <v>43.25</v>
      </c>
      <c r="O1573" s="173"/>
      <c r="P1573" s="199">
        <f t="shared" ref="P1573" si="2792">IF(P1570=0,0,(P1575*P1579+P1581*P1585)/P1570)</f>
        <v>43.25</v>
      </c>
      <c r="Q1573" s="241">
        <f>IF(Q1570=0,0,(Q1575*Q1579+Q1581*Q1585)/Q1570)</f>
        <v>0</v>
      </c>
      <c r="R1573" s="242"/>
      <c r="S1573" s="199">
        <f>IF(S1570=0,0,(S1575*S1579+S1581*S1585)/S1570)</f>
        <v>37.666666666671517</v>
      </c>
      <c r="T1573" s="173"/>
      <c r="U1573" s="199">
        <f t="shared" ref="U1573" si="2793">IF(U1570=0,0,(U1575*U1579+U1581*U1585)/U1570)</f>
        <v>37.666666666671517</v>
      </c>
      <c r="V1573" s="241">
        <f>IF(V1570=0,0,(V1575*V1579+V1581*V1585)/V1570)</f>
        <v>0</v>
      </c>
      <c r="W1573" s="242"/>
      <c r="X1573" s="199">
        <f>IF(X1570=0,0,(X1575*X1579+X1581*X1585)/X1570)</f>
        <v>17.400000000001455</v>
      </c>
      <c r="Y1573" s="173"/>
      <c r="Z1573" s="199">
        <f t="shared" ref="Z1573" si="2794">IF(Z1570=0,0,(Z1575*Z1579+Z1581*Z1585)/Z1570)</f>
        <v>41.5</v>
      </c>
      <c r="AA1573" s="241">
        <f>IF(AA1570=0,0,(AA1575*AA1579+AA1581*AA1585)/AA1570)</f>
        <v>1.3333333333357587</v>
      </c>
      <c r="AB1573" s="264"/>
      <c r="AC1573" s="92"/>
      <c r="AD1573" s="92"/>
      <c r="AE1573" s="92"/>
      <c r="AF1573" s="92"/>
      <c r="AG1573" s="92"/>
      <c r="AH1573" s="92"/>
      <c r="AI1573" s="92"/>
      <c r="AJ1573" s="92"/>
      <c r="AK1573" s="92"/>
      <c r="AL1573" s="92"/>
      <c r="AM1573" s="92"/>
      <c r="AN1573" s="92"/>
      <c r="AO1573" s="92"/>
      <c r="AP1573" s="92"/>
    </row>
    <row r="1574" spans="1:42" s="50" customFormat="1" ht="11.25">
      <c r="A1574" s="48"/>
      <c r="B1574" s="48"/>
      <c r="C1574" s="48"/>
      <c r="D1574" s="154" t="s">
        <v>270</v>
      </c>
      <c r="E1574" s="154"/>
      <c r="F1574" s="154" t="str">
        <f t="shared" si="2790"/>
        <v>СпортИн</v>
      </c>
      <c r="G1574" s="154" t="s">
        <v>219</v>
      </c>
      <c r="H1574" s="319"/>
      <c r="I1574" s="320">
        <f>I1572-I1573</f>
        <v>65.75</v>
      </c>
      <c r="J1574" s="321"/>
      <c r="K1574" s="320">
        <f t="shared" ref="K1574" si="2795">K1572-K1573</f>
        <v>65.75</v>
      </c>
      <c r="L1574" s="322">
        <f t="shared" ref="L1574" si="2796">L1572-L1573</f>
        <v>0</v>
      </c>
      <c r="M1574" s="275"/>
      <c r="N1574" s="155">
        <f>N1572-N1573</f>
        <v>65.75</v>
      </c>
      <c r="O1574" s="173"/>
      <c r="P1574" s="155">
        <f t="shared" ref="P1574" si="2797">P1572-P1573</f>
        <v>65.75</v>
      </c>
      <c r="Q1574" s="239">
        <f t="shared" ref="Q1574" si="2798">Q1572-Q1573</f>
        <v>0</v>
      </c>
      <c r="R1574" s="240"/>
      <c r="S1574" s="155">
        <f>S1572-S1573</f>
        <v>97.666666666664241</v>
      </c>
      <c r="T1574" s="173"/>
      <c r="U1574" s="155">
        <f t="shared" ref="U1574" si="2799">U1572-U1573</f>
        <v>97.666666666664241</v>
      </c>
      <c r="V1574" s="239">
        <f t="shared" ref="V1574" si="2800">V1572-V1573</f>
        <v>0</v>
      </c>
      <c r="W1574" s="240"/>
      <c r="X1574" s="155">
        <f>X1572-X1573</f>
        <v>51.400000000001455</v>
      </c>
      <c r="Y1574" s="173"/>
      <c r="Z1574" s="155">
        <f t="shared" ref="Z1574" si="2801">Z1572-Z1573</f>
        <v>128.5</v>
      </c>
      <c r="AA1574" s="239">
        <f t="shared" ref="AA1574" si="2802">AA1572-AA1573</f>
        <v>0</v>
      </c>
      <c r="AB1574" s="230"/>
      <c r="AC1574" s="48"/>
      <c r="AD1574" s="48"/>
      <c r="AE1574" s="48"/>
      <c r="AF1574" s="48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</row>
    <row r="1575" spans="1:42" s="5" customFormat="1">
      <c r="A1575" s="1"/>
      <c r="B1575" s="1"/>
      <c r="C1575" s="1"/>
      <c r="D1575" s="168"/>
      <c r="E1575" s="168" t="s">
        <v>258</v>
      </c>
      <c r="F1575" s="168" t="str">
        <f t="shared" si="2790"/>
        <v>СпортИн</v>
      </c>
      <c r="G1575" s="168" t="s">
        <v>261</v>
      </c>
      <c r="H1575" s="326"/>
      <c r="I1575" s="327">
        <f>SUMIFS(операции!$V:$V,операции!$T:$T,"&lt;"&amp;I$8,операции!$X:$X,"",операции!$AB:$AB,"&lt;&gt;"&amp;"",операции!$AB:$AB,"&lt;"&amp;I$8,операции!$O:$O,$F1570)+SUMIFS(операции!$V:$V,операции!$T:$T,"&lt;"&amp;I$8,операции!$X:$X,"&gt;="&amp;I$8,операции!$AB:$AB,"&lt;&gt;"&amp;"",операции!$AB:$AB,"&lt;"&amp;I$8,операции!$O:$O,$F1570)</f>
        <v>9074</v>
      </c>
      <c r="J1575" s="313">
        <f>I1575-K1575-L1575</f>
        <v>0</v>
      </c>
      <c r="K1575" s="327">
        <f>SUMIFS(операции!$V:$V,операции!$T:$T,"&lt;"&amp;I$8,операции!$X:$X,"",операции!$AB:$AB,"&lt;&gt;"&amp;"",операции!$AB:$AB,"&lt;"&amp;I$8,операции!$L:$L,K$9,операции!$O:$O,$F1570)+SUMIFS(операции!$V:$V,операции!$T:$T,"&lt;"&amp;I$8,операции!$X:$X,"&gt;="&amp;I$8,операции!$AB:$AB,"&lt;&gt;"&amp;"",операции!$AB:$AB,"&lt;"&amp;I$8,операции!$L:$L,K$9,операции!$O:$O,$F1570)</f>
        <v>9074</v>
      </c>
      <c r="L1575" s="328">
        <f>SUMIFS(операции!$V:$V,операции!$T:$T,"&lt;"&amp;I$8,операции!$X:$X,"",операции!$AB:$AB,"&lt;&gt;"&amp;"",операции!$AB:$AB,"&lt;"&amp;I$8,операции!$L:$L,L$9,операции!$O:$O,$F1570)+SUMIFS(операции!$V:$V,операции!$T:$T,"&lt;"&amp;I$8,операции!$X:$X,"&gt;="&amp;I$8,операции!$AB:$AB,"&lt;&gt;"&amp;"",операции!$AB:$AB,"&lt;"&amp;I$8,операции!$L:$L,L$9,операции!$O:$O,$F1570)</f>
        <v>0</v>
      </c>
      <c r="M1575" s="277"/>
      <c r="N1575" s="169">
        <f>SUMIFS(операции!$V:$V,операции!$T:$T,"&lt;"&amp;N$8,операции!$X:$X,"",операции!$AB:$AB,"&lt;&gt;"&amp;"",операции!$AB:$AB,"&lt;"&amp;N$8,операции!$O:$O,$F1570)+SUMIFS(операции!$V:$V,операции!$T:$T,"&lt;"&amp;N$8,операции!$X:$X,"&gt;="&amp;N$8,операции!$AB:$AB,"&lt;&gt;"&amp;"",операции!$AB:$AB,"&lt;"&amp;N$8,операции!$O:$O,$F1570)</f>
        <v>9074</v>
      </c>
      <c r="O1575" s="170">
        <f>N1575-P1575-Q1575</f>
        <v>0</v>
      </c>
      <c r="P1575" s="169">
        <f>SUMIFS(операции!$V:$V,операции!$T:$T,"&lt;"&amp;N$8,операции!$X:$X,"",операции!$AB:$AB,"&lt;&gt;"&amp;"",операции!$AB:$AB,"&lt;"&amp;N$8,операции!$L:$L,P$9,операции!$O:$O,$F1570)+SUMIFS(операции!$V:$V,операции!$T:$T,"&lt;"&amp;N$8,операции!$X:$X,"&gt;="&amp;N$8,операции!$AB:$AB,"&lt;&gt;"&amp;"",операции!$AB:$AB,"&lt;"&amp;N$8,операции!$L:$L,P$9,операции!$O:$O,$F1570)</f>
        <v>9074</v>
      </c>
      <c r="Q1575" s="243">
        <f>SUMIFS(операции!$V:$V,операции!$T:$T,"&lt;"&amp;N$8,операции!$X:$X,"",операции!$AB:$AB,"&lt;&gt;"&amp;"",операции!$AB:$AB,"&lt;"&amp;N$8,операции!$L:$L,Q$9,операции!$O:$O,$F1570)+SUMIFS(операции!$V:$V,операции!$T:$T,"&lt;"&amp;N$8,операции!$X:$X,"&gt;="&amp;N$8,операции!$AB:$AB,"&lt;&gt;"&amp;"",операции!$AB:$AB,"&lt;"&amp;N$8,операции!$L:$L,Q$9,операции!$O:$O,$F1570)</f>
        <v>0</v>
      </c>
      <c r="R1575" s="244"/>
      <c r="S1575" s="169">
        <f>SUMIFS(операции!$V:$V,операции!$T:$T,"&lt;"&amp;S$8,операции!$X:$X,"",операции!$AB:$AB,"&lt;&gt;"&amp;"",операции!$AB:$AB,"&lt;"&amp;S$8,операции!$O:$O,$F1570)+SUMIFS(операции!$V:$V,операции!$T:$T,"&lt;"&amp;S$8,операции!$X:$X,"&gt;="&amp;S$8,операции!$AB:$AB,"&lt;&gt;"&amp;"",операции!$AB:$AB,"&lt;"&amp;S$8,операции!$O:$O,$F1570)</f>
        <v>6805.5</v>
      </c>
      <c r="T1575" s="170">
        <f>S1575-U1575-V1575</f>
        <v>0</v>
      </c>
      <c r="U1575" s="169">
        <f>SUMIFS(операции!$V:$V,операции!$T:$T,"&lt;"&amp;S$8,операции!$X:$X,"",операции!$AB:$AB,"&lt;&gt;"&amp;"",операции!$AB:$AB,"&lt;"&amp;S$8,операции!$L:$L,U$9,операции!$O:$O,$F1570)+SUMIFS(операции!$V:$V,операции!$T:$T,"&lt;"&amp;S$8,операции!$X:$X,"&gt;="&amp;S$8,операции!$AB:$AB,"&lt;&gt;"&amp;"",операции!$AB:$AB,"&lt;"&amp;S$8,операции!$L:$L,U$9,операции!$O:$O,$F1570)</f>
        <v>6805.5</v>
      </c>
      <c r="V1575" s="243">
        <f>SUMIFS(операции!$V:$V,операции!$T:$T,"&lt;"&amp;S$8,операции!$X:$X,"",операции!$AB:$AB,"&lt;&gt;"&amp;"",операции!$AB:$AB,"&lt;"&amp;S$8,операции!$L:$L,V$9,операции!$O:$O,$F1570)+SUMIFS(операции!$V:$V,операции!$T:$T,"&lt;"&amp;S$8,операции!$X:$X,"&gt;="&amp;S$8,операции!$AB:$AB,"&lt;&gt;"&amp;"",операции!$AB:$AB,"&lt;"&amp;S$8,операции!$L:$L,V$9,операции!$O:$O,$F1570)</f>
        <v>0</v>
      </c>
      <c r="W1575" s="244"/>
      <c r="X1575" s="169">
        <f>SUMIFS(операции!$V:$V,операции!$T:$T,"&lt;"&amp;X$8,операции!$X:$X,"",операции!$AB:$AB,"&lt;&gt;"&amp;"",операции!$AB:$AB,"&lt;"&amp;X$8,операции!$O:$O,$F1570)+SUMIFS(операции!$V:$V,операции!$T:$T,"&lt;"&amp;X$8,операции!$X:$X,"&gt;="&amp;X$8,операции!$AB:$AB,"&lt;&gt;"&amp;"",операции!$AB:$AB,"&lt;"&amp;X$8,операции!$O:$O,$F1570)</f>
        <v>4537</v>
      </c>
      <c r="Y1575" s="170">
        <f>X1575-Z1575-AA1575</f>
        <v>0</v>
      </c>
      <c r="Z1575" s="169">
        <f>SUMIFS(операции!$V:$V,операции!$T:$T,"&lt;"&amp;X$8,операции!$X:$X,"",операции!$AB:$AB,"&lt;&gt;"&amp;"",операции!$AB:$AB,"&lt;"&amp;X$8,операции!$L:$L,Z$9,операции!$O:$O,$F1570)+SUMIFS(операции!$V:$V,операции!$T:$T,"&lt;"&amp;X$8,операции!$X:$X,"&gt;="&amp;X$8,операции!$AB:$AB,"&lt;&gt;"&amp;"",операции!$AB:$AB,"&lt;"&amp;X$8,операции!$L:$L,Z$9,операции!$O:$O,$F1570)</f>
        <v>4537</v>
      </c>
      <c r="AA1575" s="243">
        <f>SUMIFS(операции!$V:$V,операции!$T:$T,"&lt;"&amp;X$8,операции!$X:$X,"",операции!$AB:$AB,"&lt;&gt;"&amp;"",операции!$AB:$AB,"&lt;"&amp;X$8,операции!$L:$L,AA$9,операции!$O:$O,$F1570)+SUMIFS(операции!$V:$V,операции!$T:$T,"&lt;"&amp;X$8,операции!$X:$X,"&gt;="&amp;X$8,операции!$AB:$AB,"&lt;&gt;"&amp;"",операции!$AB:$AB,"&lt;"&amp;X$8,операции!$L:$L,AA$9,операции!$O:$O,$F1570)</f>
        <v>0</v>
      </c>
      <c r="AB1575" s="266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</row>
    <row r="1576" spans="1:42" s="192" customFormat="1" ht="11.25">
      <c r="A1576" s="37"/>
      <c r="B1576" s="37"/>
      <c r="C1576" s="37"/>
      <c r="D1576" s="191"/>
      <c r="E1576" s="191" t="s">
        <v>255</v>
      </c>
      <c r="F1576" s="191" t="str">
        <f t="shared" si="2790"/>
        <v>СпортИн</v>
      </c>
      <c r="G1576" s="191" t="s">
        <v>262</v>
      </c>
      <c r="H1576" s="315"/>
      <c r="I1576" s="316">
        <f>IF(I1575=0,0,(SUMIFS(операции!$AF:$AF,операции!$T:$T,"&lt;"&amp;I$8,операции!$X:$X,"",операции!$AB:$AB,"&lt;&gt;"&amp;"",операции!$AB:$AB,"&lt;"&amp;I$8,операции!$O:$O,$F1570)+SUMIFS(операции!$AF:$AF,операции!$T:$T,"&lt;"&amp;I$8,операции!$X:$X,"&gt;="&amp;I$8,операции!$AB:$AB,"&lt;&gt;"&amp;"",операции!$AB:$AB,"&lt;"&amp;I$8,операции!$O:$O,$F1570))/I1575)</f>
        <v>42169</v>
      </c>
      <c r="J1576" s="317"/>
      <c r="K1576" s="316">
        <f>IF(K1575=0,0,(SUMIFS(операции!$AF:$AF,операции!$T:$T,"&lt;"&amp;I$8,операции!$X:$X,"",операции!$AB:$AB,"&lt;&gt;"&amp;"",операции!$AB:$AB,"&lt;"&amp;I$8,операции!$L:$L,K$9,операции!$O:$O,$F1570)+SUMIFS(операции!$AF:$AF,операции!$T:$T,"&lt;"&amp;I$8,операции!$X:$X,"&gt;="&amp;I$8,операции!$AB:$AB,"&lt;&gt;"&amp;"",операции!$AB:$AB,"&lt;"&amp;I$8,операции!$L:$L,K$9,операции!$O:$O,$F1570))/K1575)</f>
        <v>42169</v>
      </c>
      <c r="L1576" s="318">
        <f>IF(L1575=0,0,(SUMIFS(операции!$AF:$AF,операции!$T:$T,"&lt;"&amp;I$8,операции!$X:$X,"",операции!$AB:$AB,"&lt;&gt;"&amp;"",операции!$AB:$AB,"&lt;"&amp;I$8,операции!$L:$L,L$9,операции!$O:$O,$F1570)+SUMIFS(операции!$AF:$AF,операции!$T:$T,"&lt;"&amp;I$8,операции!$X:$X,"&gt;="&amp;I$8,операции!$AB:$AB,"&lt;&gt;"&amp;"",операции!$AB:$AB,"&lt;"&amp;I$8,операции!$L:$L,L$9,операции!$O:$O,$F1570))/L1575)</f>
        <v>0</v>
      </c>
      <c r="M1576" s="274"/>
      <c r="N1576" s="193">
        <f>IF(N1575=0,0,(SUMIFS(операции!$AF:$AF,операции!$T:$T,"&lt;"&amp;N$8,операции!$X:$X,"",операции!$AB:$AB,"&lt;&gt;"&amp;"",операции!$AB:$AB,"&lt;"&amp;N$8,операции!$O:$O,$F1570)+SUMIFS(операции!$AF:$AF,операции!$T:$T,"&lt;"&amp;N$8,операции!$X:$X,"&gt;="&amp;N$8,операции!$AB:$AB,"&lt;&gt;"&amp;"",операции!$AB:$AB,"&lt;"&amp;N$8,операции!$O:$O,$F1570))/N1575)</f>
        <v>42169</v>
      </c>
      <c r="O1576" s="196"/>
      <c r="P1576" s="193">
        <f>IF(P1575=0,0,(SUMIFS(операции!$AF:$AF,операции!$T:$T,"&lt;"&amp;N$8,операции!$X:$X,"",операции!$AB:$AB,"&lt;&gt;"&amp;"",операции!$AB:$AB,"&lt;"&amp;N$8,операции!$L:$L,P$9,операции!$O:$O,$F1570)+SUMIFS(операции!$AF:$AF,операции!$T:$T,"&lt;"&amp;N$8,операции!$X:$X,"&gt;="&amp;N$8,операции!$AB:$AB,"&lt;&gt;"&amp;"",операции!$AB:$AB,"&lt;"&amp;N$8,операции!$L:$L,P$9,операции!$O:$O,$F1570))/P1575)</f>
        <v>42169</v>
      </c>
      <c r="Q1576" s="237">
        <f>IF(Q1575=0,0,(SUMIFS(операции!$AF:$AF,операции!$T:$T,"&lt;"&amp;N$8,операции!$X:$X,"",операции!$AB:$AB,"&lt;&gt;"&amp;"",операции!$AB:$AB,"&lt;"&amp;N$8,операции!$L:$L,Q$9,операции!$O:$O,$F1570)+SUMIFS(операции!$AF:$AF,операции!$T:$T,"&lt;"&amp;N$8,операции!$X:$X,"&gt;="&amp;N$8,операции!$AB:$AB,"&lt;&gt;"&amp;"",операции!$AB:$AB,"&lt;"&amp;N$8,операции!$L:$L,Q$9,операции!$O:$O,$F1570))/Q1575)</f>
        <v>0</v>
      </c>
      <c r="R1576" s="238"/>
      <c r="S1576" s="193">
        <f>IF(S1575=0,0,(SUMIFS(операции!$AF:$AF,операции!$T:$T,"&lt;"&amp;S$8,операции!$X:$X,"",операции!$AB:$AB,"&lt;&gt;"&amp;"",операции!$AB:$AB,"&lt;"&amp;S$8,операции!$O:$O,$F1570)+SUMIFS(операции!$AF:$AF,операции!$T:$T,"&lt;"&amp;S$8,операции!$X:$X,"&gt;="&amp;S$8,операции!$AB:$AB,"&lt;&gt;"&amp;"",операции!$AB:$AB,"&lt;"&amp;S$8,операции!$O:$O,$F1570))/S1575)</f>
        <v>42173.666666666664</v>
      </c>
      <c r="T1576" s="196"/>
      <c r="U1576" s="193">
        <f>IF(U1575=0,0,(SUMIFS(операции!$AF:$AF,операции!$T:$T,"&lt;"&amp;S$8,операции!$X:$X,"",операции!$AB:$AB,"&lt;&gt;"&amp;"",операции!$AB:$AB,"&lt;"&amp;S$8,операции!$L:$L,U$9,операции!$O:$O,$F1570)+SUMIFS(операции!$AF:$AF,операции!$T:$T,"&lt;"&amp;S$8,операции!$X:$X,"&gt;="&amp;S$8,операции!$AB:$AB,"&lt;&gt;"&amp;"",операции!$AB:$AB,"&lt;"&amp;S$8,операции!$L:$L,U$9,операции!$O:$O,$F1570))/U1575)</f>
        <v>42173.666666666664</v>
      </c>
      <c r="V1576" s="237">
        <f>IF(V1575=0,0,(SUMIFS(операции!$AF:$AF,операции!$T:$T,"&lt;"&amp;S$8,операции!$X:$X,"",операции!$AB:$AB,"&lt;&gt;"&amp;"",операции!$AB:$AB,"&lt;"&amp;S$8,операции!$L:$L,V$9,операции!$O:$O,$F1570)+SUMIFS(операции!$AF:$AF,операции!$T:$T,"&lt;"&amp;S$8,операции!$X:$X,"&gt;="&amp;S$8,операции!$AB:$AB,"&lt;&gt;"&amp;"",операции!$AB:$AB,"&lt;"&amp;S$8,операции!$L:$L,V$9,операции!$O:$O,$F1570))/V1575)</f>
        <v>0</v>
      </c>
      <c r="W1576" s="238"/>
      <c r="X1576" s="193">
        <f>IF(X1575=0,0,(SUMIFS(операции!$AF:$AF,операции!$T:$T,"&lt;"&amp;X$8,операции!$X:$X,"",операции!$AB:$AB,"&lt;&gt;"&amp;"",операции!$AB:$AB,"&lt;"&amp;X$8,операции!$O:$O,$F1570)+SUMIFS(операции!$AF:$AF,операции!$T:$T,"&lt;"&amp;X$8,операции!$X:$X,"&gt;="&amp;X$8,операции!$AB:$AB,"&lt;&gt;"&amp;"",операции!$AB:$AB,"&lt;"&amp;X$8,операции!$O:$O,$F1570))/X1575)</f>
        <v>42169</v>
      </c>
      <c r="Y1576" s="196"/>
      <c r="Z1576" s="193">
        <f>IF(Z1575=0,0,(SUMIFS(операции!$AF:$AF,операции!$T:$T,"&lt;"&amp;X$8,операции!$X:$X,"",операции!$AB:$AB,"&lt;&gt;"&amp;"",операции!$AB:$AB,"&lt;"&amp;X$8,операции!$L:$L,Z$9,операции!$O:$O,$F1570)+SUMIFS(операции!$AF:$AF,операции!$T:$T,"&lt;"&amp;X$8,операции!$X:$X,"&gt;="&amp;X$8,операции!$AB:$AB,"&lt;&gt;"&amp;"",операции!$AB:$AB,"&lt;"&amp;X$8,операции!$L:$L,Z$9,операции!$O:$O,$F1570))/Z1575)</f>
        <v>42169</v>
      </c>
      <c r="AA1576" s="237">
        <f>IF(AA1575=0,0,(SUMIFS(операции!$AF:$AF,операции!$T:$T,"&lt;"&amp;X$8,операции!$X:$X,"",операции!$AB:$AB,"&lt;&gt;"&amp;"",операции!$AB:$AB,"&lt;"&amp;X$8,операции!$L:$L,AA$9,операции!$O:$O,$F1570)+SUMIFS(операции!$AF:$AF,операции!$T:$T,"&lt;"&amp;X$8,операции!$X:$X,"&gt;="&amp;X$8,операции!$AB:$AB,"&lt;&gt;"&amp;"",операции!$AB:$AB,"&lt;"&amp;X$8,операции!$L:$L,AA$9,операции!$O:$O,$F1570))/AA1575)</f>
        <v>0</v>
      </c>
      <c r="AB1576" s="265"/>
      <c r="AC1576" s="37"/>
      <c r="AD1576" s="37"/>
      <c r="AE1576" s="37"/>
      <c r="AF1576" s="37"/>
      <c r="AG1576" s="37"/>
      <c r="AH1576" s="37"/>
      <c r="AI1576" s="37"/>
      <c r="AJ1576" s="37"/>
      <c r="AK1576" s="37"/>
      <c r="AL1576" s="37"/>
      <c r="AM1576" s="37"/>
      <c r="AN1576" s="37"/>
      <c r="AO1576" s="37"/>
      <c r="AP1576" s="37"/>
    </row>
    <row r="1577" spans="1:42" s="192" customFormat="1" ht="11.25">
      <c r="A1577" s="37"/>
      <c r="B1577" s="37"/>
      <c r="C1577" s="37"/>
      <c r="D1577" s="191"/>
      <c r="E1577" s="191" t="s">
        <v>260</v>
      </c>
      <c r="F1577" s="191" t="str">
        <f t="shared" si="2790"/>
        <v>СпортИн</v>
      </c>
      <c r="G1577" s="191" t="s">
        <v>219</v>
      </c>
      <c r="H1577" s="315"/>
      <c r="I1577" s="329">
        <f>IF(I1575=0,0,I$8-I1576)</f>
        <v>109</v>
      </c>
      <c r="J1577" s="317"/>
      <c r="K1577" s="329">
        <f>IF(K1575=0,0,I$8-K1576)</f>
        <v>109</v>
      </c>
      <c r="L1577" s="330">
        <f>IF(L1575=0,0,I$8-L1576)</f>
        <v>0</v>
      </c>
      <c r="M1577" s="274"/>
      <c r="N1577" s="156">
        <f>IF(N1575=0,0,N$8-N1576)</f>
        <v>109</v>
      </c>
      <c r="O1577" s="196"/>
      <c r="P1577" s="156">
        <f>IF(P1575=0,0,N$8-P1576)</f>
        <v>109</v>
      </c>
      <c r="Q1577" s="245">
        <f>IF(Q1575=0,0,N$8-Q1576)</f>
        <v>0</v>
      </c>
      <c r="R1577" s="238"/>
      <c r="S1577" s="156">
        <f>IF(S1575=0,0,S$8-S1576)</f>
        <v>135.33333333333576</v>
      </c>
      <c r="T1577" s="196"/>
      <c r="U1577" s="156">
        <f>IF(U1575=0,0,S$8-U1576)</f>
        <v>135.33333333333576</v>
      </c>
      <c r="V1577" s="245">
        <f>IF(V1575=0,0,S$8-V1576)</f>
        <v>0</v>
      </c>
      <c r="W1577" s="238"/>
      <c r="X1577" s="156">
        <f>IF(X1575=0,0,X$8-X1576)</f>
        <v>170</v>
      </c>
      <c r="Y1577" s="196"/>
      <c r="Z1577" s="156">
        <f>IF(Z1575=0,0,X$8-Z1576)</f>
        <v>170</v>
      </c>
      <c r="AA1577" s="245">
        <f>IF(AA1575=0,0,X$8-AA1576)</f>
        <v>0</v>
      </c>
      <c r="AB1577" s="265"/>
      <c r="AC1577" s="37"/>
      <c r="AD1577" s="37"/>
      <c r="AE1577" s="37"/>
      <c r="AF1577" s="37"/>
      <c r="AG1577" s="37"/>
      <c r="AH1577" s="37"/>
      <c r="AI1577" s="37"/>
      <c r="AJ1577" s="37"/>
      <c r="AK1577" s="37"/>
      <c r="AL1577" s="37"/>
      <c r="AM1577" s="37"/>
      <c r="AN1577" s="37"/>
      <c r="AO1577" s="37"/>
      <c r="AP1577" s="37"/>
    </row>
    <row r="1578" spans="1:42" s="192" customFormat="1" ht="11.25">
      <c r="A1578" s="37"/>
      <c r="B1578" s="37"/>
      <c r="C1578" s="37"/>
      <c r="D1578" s="191"/>
      <c r="E1578" s="191" t="s">
        <v>259</v>
      </c>
      <c r="F1578" s="191" t="str">
        <f t="shared" si="2790"/>
        <v>СпортИн</v>
      </c>
      <c r="G1578" s="191" t="s">
        <v>262</v>
      </c>
      <c r="H1578" s="315"/>
      <c r="I1578" s="316">
        <f>IF(I1575=0,0,(SUMIFS(операции!$AH:$AH,операции!$T:$T,"&lt;"&amp;I$8,операции!$X:$X,"",операции!$AB:$AB,"&lt;&gt;"&amp;"",операции!$AB:$AB,"&lt;"&amp;I$8,операции!$O:$O,$F1570)+SUMIFS(операции!$AH:$AH,операции!$T:$T,"&lt;"&amp;I$8,операции!$X:$X,"&gt;="&amp;I$8,операции!$AB:$AB,"&lt;&gt;"&amp;"",операции!$AB:$AB,"&lt;"&amp;I$8,операции!$O:$O,$F1570))/I1575)</f>
        <v>42212.25</v>
      </c>
      <c r="J1578" s="317"/>
      <c r="K1578" s="316">
        <f>IF(K1575=0,0,(SUMIFS(операции!$AH:$AH,операции!$T:$T,"&lt;"&amp;I$8,операции!$X:$X,"",операции!$AB:$AB,"&lt;&gt;"&amp;"",операции!$AB:$AB,"&lt;"&amp;I$8,операции!$L:$L,K$9,операции!$O:$O,$F1570)+SUMIFS(операции!$AH:$AH,операции!$T:$T,"&lt;"&amp;I$8,операции!$X:$X,"&gt;="&amp;I$8,операции!$AB:$AB,"&lt;&gt;"&amp;"",операции!$AB:$AB,"&lt;"&amp;I$8,операции!$L:$L,K$9,операции!$O:$O,$F1570))/K1575)</f>
        <v>42212.25</v>
      </c>
      <c r="L1578" s="318">
        <f>IF(L1575=0,0,(SUMIFS(операции!$AH:$AH,операции!$T:$T,"&lt;"&amp;I$8,операции!$X:$X,"",операции!$AB:$AB,"&lt;&gt;"&amp;"",операции!$AB:$AB,"&lt;"&amp;I$8,операции!$L:$L,L$9,операции!$O:$O,$F1570)+SUMIFS(операции!$AH:$AH,операции!$T:$T,"&lt;"&amp;I$8,операции!$X:$X,"&gt;="&amp;I$8,операции!$AB:$AB,"&lt;&gt;"&amp;"",операции!$AB:$AB,"&lt;"&amp;I$8,операции!$L:$L,L$9,операции!$O:$O,$F1570))/L1575)</f>
        <v>0</v>
      </c>
      <c r="M1578" s="274"/>
      <c r="N1578" s="193">
        <f>IF(N1575=0,0,(SUMIFS(операции!$AH:$AH,операции!$T:$T,"&lt;"&amp;N$8,операции!$X:$X,"",операции!$AB:$AB,"&lt;&gt;"&amp;"",операции!$AB:$AB,"&lt;"&amp;N$8,операции!$O:$O,$F1570)+SUMIFS(операции!$AH:$AH,операции!$T:$T,"&lt;"&amp;N$8,операции!$X:$X,"&gt;="&amp;N$8,операции!$AB:$AB,"&lt;&gt;"&amp;"",операции!$AB:$AB,"&lt;"&amp;N$8,операции!$O:$O,$F1570))/N1575)</f>
        <v>42212.25</v>
      </c>
      <c r="O1578" s="196"/>
      <c r="P1578" s="193">
        <f>IF(P1575=0,0,(SUMIFS(операции!$AH:$AH,операции!$T:$T,"&lt;"&amp;N$8,операции!$X:$X,"",операции!$AB:$AB,"&lt;&gt;"&amp;"",операции!$AB:$AB,"&lt;"&amp;N$8,операции!$L:$L,P$9,операции!$O:$O,$F1570)+SUMIFS(операции!$AH:$AH,операции!$T:$T,"&lt;"&amp;N$8,операции!$X:$X,"&gt;="&amp;N$8,операции!$AB:$AB,"&lt;&gt;"&amp;"",операции!$AB:$AB,"&lt;"&amp;N$8,операции!$L:$L,P$9,операции!$O:$O,$F1570))/P1575)</f>
        <v>42212.25</v>
      </c>
      <c r="Q1578" s="237">
        <f>IF(Q1575=0,0,(SUMIFS(операции!$AH:$AH,операции!$T:$T,"&lt;"&amp;N$8,операции!$X:$X,"",операции!$AB:$AB,"&lt;&gt;"&amp;"",операции!$AB:$AB,"&lt;"&amp;N$8,операции!$L:$L,Q$9,операции!$O:$O,$F1570)+SUMIFS(операции!$AH:$AH,операции!$T:$T,"&lt;"&amp;N$8,операции!$X:$X,"&gt;="&amp;N$8,операции!$AB:$AB,"&lt;&gt;"&amp;"",операции!$AB:$AB,"&lt;"&amp;N$8,операции!$L:$L,Q$9,операции!$O:$O,$F1570))/Q1575)</f>
        <v>0</v>
      </c>
      <c r="R1578" s="238"/>
      <c r="S1578" s="193">
        <f>IF(S1575=0,0,(SUMIFS(операции!$AH:$AH,операции!$T:$T,"&lt;"&amp;S$8,операции!$X:$X,"",операции!$AB:$AB,"&lt;&gt;"&amp;"",операции!$AB:$AB,"&lt;"&amp;S$8,операции!$O:$O,$F1570)+SUMIFS(операции!$AH:$AH,операции!$T:$T,"&lt;"&amp;S$8,операции!$X:$X,"&gt;="&amp;S$8,операции!$AB:$AB,"&lt;&gt;"&amp;"",операции!$AB:$AB,"&lt;"&amp;S$8,операции!$O:$O,$F1570))/S1575)</f>
        <v>42211.333333333336</v>
      </c>
      <c r="T1578" s="196"/>
      <c r="U1578" s="193">
        <f>IF(U1575=0,0,(SUMIFS(операции!$AH:$AH,операции!$T:$T,"&lt;"&amp;S$8,операции!$X:$X,"",операции!$AB:$AB,"&lt;&gt;"&amp;"",операции!$AB:$AB,"&lt;"&amp;S$8,операции!$L:$L,U$9,операции!$O:$O,$F1570)+SUMIFS(операции!$AH:$AH,операции!$T:$T,"&lt;"&amp;S$8,операции!$X:$X,"&gt;="&amp;S$8,операции!$AB:$AB,"&lt;&gt;"&amp;"",операции!$AB:$AB,"&lt;"&amp;S$8,операции!$L:$L,U$9,операции!$O:$O,$F1570))/U1575)</f>
        <v>42211.333333333336</v>
      </c>
      <c r="V1578" s="237">
        <f>IF(V1575=0,0,(SUMIFS(операции!$AH:$AH,операции!$T:$T,"&lt;"&amp;S$8,операции!$X:$X,"",операции!$AB:$AB,"&lt;&gt;"&amp;"",операции!$AB:$AB,"&lt;"&amp;S$8,операции!$L:$L,V$9,операции!$O:$O,$F1570)+SUMIFS(операции!$AH:$AH,операции!$T:$T,"&lt;"&amp;S$8,операции!$X:$X,"&gt;="&amp;S$8,операции!$AB:$AB,"&lt;&gt;"&amp;"",операции!$AB:$AB,"&lt;"&amp;S$8,операции!$L:$L,V$9,операции!$O:$O,$F1570))/V1575)</f>
        <v>0</v>
      </c>
      <c r="W1578" s="238"/>
      <c r="X1578" s="193">
        <f>IF(X1575=0,0,(SUMIFS(операции!$AH:$AH,операции!$T:$T,"&lt;"&amp;X$8,операции!$X:$X,"",операции!$AB:$AB,"&lt;&gt;"&amp;"",операции!$AB:$AB,"&lt;"&amp;X$8,операции!$O:$O,$F1570)+SUMIFS(операции!$AH:$AH,операции!$T:$T,"&lt;"&amp;X$8,операции!$X:$X,"&gt;="&amp;X$8,операции!$AB:$AB,"&lt;&gt;"&amp;"",операции!$AB:$AB,"&lt;"&amp;X$8,операции!$O:$O,$F1570))/X1575)</f>
        <v>42210.5</v>
      </c>
      <c r="Y1578" s="196"/>
      <c r="Z1578" s="193">
        <f>IF(Z1575=0,0,(SUMIFS(операции!$AH:$AH,операции!$T:$T,"&lt;"&amp;X$8,операции!$X:$X,"",операции!$AB:$AB,"&lt;&gt;"&amp;"",операции!$AB:$AB,"&lt;"&amp;X$8,операции!$L:$L,Z$9,операции!$O:$O,$F1570)+SUMIFS(операции!$AH:$AH,операции!$T:$T,"&lt;"&amp;X$8,операции!$X:$X,"&gt;="&amp;X$8,операции!$AB:$AB,"&lt;&gt;"&amp;"",операции!$AB:$AB,"&lt;"&amp;X$8,операции!$L:$L,Z$9,операции!$O:$O,$F1570))/Z1575)</f>
        <v>42210.5</v>
      </c>
      <c r="AA1578" s="237">
        <f>IF(AA1575=0,0,(SUMIFS(операции!$AH:$AH,операции!$T:$T,"&lt;"&amp;X$8,операции!$X:$X,"",операции!$AB:$AB,"&lt;&gt;"&amp;"",операции!$AB:$AB,"&lt;"&amp;X$8,операции!$L:$L,AA$9,операции!$O:$O,$F1570)+SUMIFS(операции!$AH:$AH,операции!$T:$T,"&lt;"&amp;X$8,операции!$X:$X,"&gt;="&amp;X$8,операции!$AB:$AB,"&lt;&gt;"&amp;"",операции!$AB:$AB,"&lt;"&amp;X$8,операции!$L:$L,AA$9,операции!$O:$O,$F1570))/AA1575)</f>
        <v>0</v>
      </c>
      <c r="AB1578" s="265"/>
      <c r="AC1578" s="37"/>
      <c r="AD1578" s="37"/>
      <c r="AE1578" s="37"/>
      <c r="AF1578" s="37"/>
      <c r="AG1578" s="37"/>
      <c r="AH1578" s="37"/>
      <c r="AI1578" s="37"/>
      <c r="AJ1578" s="37"/>
      <c r="AK1578" s="37"/>
      <c r="AL1578" s="37"/>
      <c r="AM1578" s="37"/>
      <c r="AN1578" s="37"/>
      <c r="AO1578" s="37"/>
      <c r="AP1578" s="37"/>
    </row>
    <row r="1579" spans="1:42" s="192" customFormat="1" ht="11.25">
      <c r="A1579" s="37"/>
      <c r="B1579" s="37"/>
      <c r="C1579" s="37"/>
      <c r="D1579" s="191"/>
      <c r="E1579" s="191" t="s">
        <v>265</v>
      </c>
      <c r="F1579" s="191" t="str">
        <f t="shared" si="2790"/>
        <v>СпортИн</v>
      </c>
      <c r="G1579" s="191" t="s">
        <v>219</v>
      </c>
      <c r="H1579" s="315"/>
      <c r="I1579" s="329">
        <f>I1578-I1576</f>
        <v>43.25</v>
      </c>
      <c r="J1579" s="317"/>
      <c r="K1579" s="329">
        <f t="shared" ref="K1579" si="2803">K1578-K1576</f>
        <v>43.25</v>
      </c>
      <c r="L1579" s="330">
        <f>L1578-L1576</f>
        <v>0</v>
      </c>
      <c r="M1579" s="274"/>
      <c r="N1579" s="156">
        <f>N1578-N1576</f>
        <v>43.25</v>
      </c>
      <c r="O1579" s="196"/>
      <c r="P1579" s="156">
        <f t="shared" ref="P1579" si="2804">P1578-P1576</f>
        <v>43.25</v>
      </c>
      <c r="Q1579" s="245">
        <f>Q1578-Q1576</f>
        <v>0</v>
      </c>
      <c r="R1579" s="238"/>
      <c r="S1579" s="156">
        <f>S1578-S1576</f>
        <v>37.666666666671517</v>
      </c>
      <c r="T1579" s="196"/>
      <c r="U1579" s="156">
        <f t="shared" ref="U1579" si="2805">U1578-U1576</f>
        <v>37.666666666671517</v>
      </c>
      <c r="V1579" s="245">
        <f>V1578-V1576</f>
        <v>0</v>
      </c>
      <c r="W1579" s="238"/>
      <c r="X1579" s="156">
        <f>X1578-X1576</f>
        <v>41.5</v>
      </c>
      <c r="Y1579" s="196"/>
      <c r="Z1579" s="156">
        <f t="shared" ref="Z1579" si="2806">Z1578-Z1576</f>
        <v>41.5</v>
      </c>
      <c r="AA1579" s="245">
        <f>AA1578-AA1576</f>
        <v>0</v>
      </c>
      <c r="AB1579" s="265"/>
      <c r="AC1579" s="37"/>
      <c r="AD1579" s="37"/>
      <c r="AE1579" s="37"/>
      <c r="AF1579" s="37"/>
      <c r="AG1579" s="37"/>
      <c r="AH1579" s="37"/>
      <c r="AI1579" s="37"/>
      <c r="AJ1579" s="37"/>
      <c r="AK1579" s="37"/>
      <c r="AL1579" s="37"/>
      <c r="AM1579" s="37"/>
      <c r="AN1579" s="37"/>
      <c r="AO1579" s="37"/>
      <c r="AP1579" s="37"/>
    </row>
    <row r="1580" spans="1:42" s="192" customFormat="1" ht="11.25">
      <c r="A1580" s="37"/>
      <c r="B1580" s="37"/>
      <c r="C1580" s="37"/>
      <c r="D1580" s="191"/>
      <c r="E1580" s="191" t="s">
        <v>268</v>
      </c>
      <c r="F1580" s="191" t="str">
        <f t="shared" si="2790"/>
        <v>СпортИн</v>
      </c>
      <c r="G1580" s="191" t="s">
        <v>219</v>
      </c>
      <c r="H1580" s="315"/>
      <c r="I1580" s="329">
        <f>I1577-I1579</f>
        <v>65.75</v>
      </c>
      <c r="J1580" s="317"/>
      <c r="K1580" s="329">
        <f t="shared" ref="K1580" si="2807">K1577-K1579</f>
        <v>65.75</v>
      </c>
      <c r="L1580" s="330">
        <f t="shared" ref="L1580" si="2808">L1577-L1579</f>
        <v>0</v>
      </c>
      <c r="M1580" s="274"/>
      <c r="N1580" s="156">
        <f>N1577-N1579</f>
        <v>65.75</v>
      </c>
      <c r="O1580" s="196"/>
      <c r="P1580" s="156">
        <f t="shared" ref="P1580" si="2809">P1577-P1579</f>
        <v>65.75</v>
      </c>
      <c r="Q1580" s="245">
        <f t="shared" ref="Q1580" si="2810">Q1577-Q1579</f>
        <v>0</v>
      </c>
      <c r="R1580" s="238"/>
      <c r="S1580" s="156">
        <f>S1577-S1579</f>
        <v>97.666666666664241</v>
      </c>
      <c r="T1580" s="196"/>
      <c r="U1580" s="156">
        <f t="shared" ref="U1580" si="2811">U1577-U1579</f>
        <v>97.666666666664241</v>
      </c>
      <c r="V1580" s="245">
        <f t="shared" ref="V1580" si="2812">V1577-V1579</f>
        <v>0</v>
      </c>
      <c r="W1580" s="238"/>
      <c r="X1580" s="156">
        <f>X1577-X1579</f>
        <v>128.5</v>
      </c>
      <c r="Y1580" s="196"/>
      <c r="Z1580" s="156">
        <f t="shared" ref="Z1580" si="2813">Z1577-Z1579</f>
        <v>128.5</v>
      </c>
      <c r="AA1580" s="245">
        <f t="shared" ref="AA1580" si="2814">AA1577-AA1579</f>
        <v>0</v>
      </c>
      <c r="AB1580" s="265"/>
      <c r="AC1580" s="37"/>
      <c r="AD1580" s="37"/>
      <c r="AE1580" s="37"/>
      <c r="AF1580" s="37"/>
      <c r="AG1580" s="37"/>
      <c r="AH1580" s="37"/>
      <c r="AI1580" s="37"/>
      <c r="AJ1580" s="37"/>
      <c r="AK1580" s="37"/>
      <c r="AL1580" s="37"/>
      <c r="AM1580" s="37"/>
      <c r="AN1580" s="37"/>
      <c r="AO1580" s="37"/>
      <c r="AP1580" s="37"/>
    </row>
    <row r="1581" spans="1:42" s="5" customFormat="1">
      <c r="A1581" s="1"/>
      <c r="B1581" s="1"/>
      <c r="C1581" s="1"/>
      <c r="D1581" s="168"/>
      <c r="E1581" s="168" t="s">
        <v>276</v>
      </c>
      <c r="F1581" s="168" t="str">
        <f t="shared" si="2790"/>
        <v>СпортИн</v>
      </c>
      <c r="G1581" s="168" t="s">
        <v>261</v>
      </c>
      <c r="H1581" s="326"/>
      <c r="I1581" s="327">
        <f>SUMIFS(операции!$V:$V,операции!$T:$T,"&lt;"&amp;I$8,операции!$X:$X,"",операции!$AB:$AB,"",операции!$O:$O,$F1570)+SUMIFS(операции!$V:$V,операции!$T:$T,"&lt;"&amp;I$8,операции!$X:$X,"&gt;="&amp;I$8,операции!$AB:$AB,"",операции!$O:$O,$F1570)+SUMIFS(операции!$V:$V,операции!$T:$T,"&lt;"&amp;I$8,операции!$X:$X,"",операции!$AB:$AB,"&gt;="&amp;I$8,операции!$O:$O,$F1570)+SUMIFS(операции!$V:$V,операции!$T:$T,"&lt;"&amp;I$8,операции!$X:$X,"&gt;="&amp;I$8,операции!$AB:$AB,"&gt;="&amp;I$8,операции!$O:$O,$F1570)</f>
        <v>0</v>
      </c>
      <c r="J1581" s="313">
        <f>I1581-K1581-L1581</f>
        <v>0</v>
      </c>
      <c r="K1581" s="327">
        <f>SUMIFS(операции!$V:$V,операции!$T:$T,"&lt;"&amp;I$8,операции!$X:$X,"",операции!$AB:$AB,"",операции!$L:$L,K$9,операции!$O:$O,$F1570)+SUMIFS(операции!$V:$V,операции!$T:$T,"&lt;"&amp;I$8,операции!$X:$X,"&gt;="&amp;I$8,операции!$AB:$AB,"",операции!$L:$L,K$9,операции!$O:$O,$F1570)+SUMIFS(операции!$V:$V,операции!$T:$T,"&lt;"&amp;I$8,операции!$X:$X,"",операции!$AB:$AB,"&gt;="&amp;I$8,операции!$L:$L,K$9,операции!$O:$O,$F1570)+SUMIFS(операции!$V:$V,операции!$T:$T,"&lt;"&amp;I$8,операции!$X:$X,"&gt;="&amp;I$8,операции!$AB:$AB,"&gt;="&amp;I$8,операции!$L:$L,K$9,операции!$O:$O,$F1570)</f>
        <v>0</v>
      </c>
      <c r="L1581" s="328">
        <f>SUMIFS(операции!$V:$V,операции!$T:$T,"&lt;"&amp;I$8,операции!$X:$X,"",операции!$AB:$AB,"",операции!$L:$L,L$9,операции!$O:$O,$F1570)+SUMIFS(операции!$V:$V,операции!$T:$T,"&lt;"&amp;I$8,операции!$X:$X,"&gt;="&amp;I$8,операции!$AB:$AB,"",операции!$L:$L,L$9,операции!$O:$O,$F1570)+SUMIFS(операции!$V:$V,операции!$T:$T,"&lt;"&amp;I$8,операции!$X:$X,"",операции!$AB:$AB,"&gt;="&amp;I$8,операции!$L:$L,L$9,операции!$O:$O,$F1570)+SUMIFS(операции!$V:$V,операции!$T:$T,"&lt;"&amp;I$8,операции!$X:$X,"&gt;="&amp;I$8,операции!$AB:$AB,"&gt;="&amp;I$8,операции!$L:$L,L$9,операции!$O:$O,$F1570)</f>
        <v>0</v>
      </c>
      <c r="M1581" s="277"/>
      <c r="N1581" s="169">
        <f>SUMIFS(операции!$V:$V,операции!$T:$T,"&lt;"&amp;N$8,операции!$X:$X,"",операции!$AB:$AB,"",операции!$O:$O,$F1570)+SUMIFS(операции!$V:$V,операции!$T:$T,"&lt;"&amp;N$8,операции!$X:$X,"&gt;="&amp;N$8,операции!$AB:$AB,"",операции!$O:$O,$F1570)+SUMIFS(операции!$V:$V,операции!$T:$T,"&lt;"&amp;N$8,операции!$X:$X,"",операции!$AB:$AB,"&gt;="&amp;N$8,операции!$O:$O,$F1570)+SUMIFS(операции!$V:$V,операции!$T:$T,"&lt;"&amp;N$8,операции!$X:$X,"&gt;="&amp;N$8,операции!$AB:$AB,"&gt;="&amp;N$8,операции!$O:$O,$F1570)</f>
        <v>0</v>
      </c>
      <c r="O1581" s="170">
        <f>N1581-P1581-Q1581</f>
        <v>0</v>
      </c>
      <c r="P1581" s="169">
        <f>SUMIFS(операции!$V:$V,операции!$T:$T,"&lt;"&amp;N$8,операции!$X:$X,"",операции!$AB:$AB,"",операции!$L:$L,P$9,операции!$O:$O,$F1570)+SUMIFS(операции!$V:$V,операции!$T:$T,"&lt;"&amp;N$8,операции!$X:$X,"&gt;="&amp;N$8,операции!$AB:$AB,"",операции!$L:$L,P$9,операции!$O:$O,$F1570)+SUMIFS(операции!$V:$V,операции!$T:$T,"&lt;"&amp;N$8,операции!$X:$X,"",операции!$AB:$AB,"&gt;="&amp;N$8,операции!$L:$L,P$9,операции!$O:$O,$F1570)+SUMIFS(операции!$V:$V,операции!$T:$T,"&lt;"&amp;N$8,операции!$X:$X,"&gt;="&amp;N$8,операции!$AB:$AB,"&gt;="&amp;N$8,операции!$L:$L,P$9,операции!$O:$O,$F1570)</f>
        <v>0</v>
      </c>
      <c r="Q1581" s="243">
        <f>SUMIFS(операции!$V:$V,операции!$T:$T,"&lt;"&amp;N$8,операции!$X:$X,"",операции!$AB:$AB,"",операции!$L:$L,Q$9,операции!$O:$O,$F1570)+SUMIFS(операции!$V:$V,операции!$T:$T,"&lt;"&amp;N$8,операции!$X:$X,"&gt;="&amp;N$8,операции!$AB:$AB,"",операции!$L:$L,Q$9,операции!$O:$O,$F1570)+SUMIFS(операции!$V:$V,операции!$T:$T,"&lt;"&amp;N$8,операции!$X:$X,"",операции!$AB:$AB,"&gt;="&amp;N$8,операции!$L:$L,Q$9,операции!$O:$O,$F1570)+SUMIFS(операции!$V:$V,операции!$T:$T,"&lt;"&amp;N$8,операции!$X:$X,"&gt;="&amp;N$8,операции!$AB:$AB,"&gt;="&amp;N$8,операции!$L:$L,Q$9,операции!$O:$O,$F1570)</f>
        <v>0</v>
      </c>
      <c r="R1581" s="244"/>
      <c r="S1581" s="169">
        <f>SUMIFS(операции!$V:$V,операции!$T:$T,"&lt;"&amp;S$8,операции!$X:$X,"",операции!$AB:$AB,"",операции!$O:$O,$F1570)+SUMIFS(операции!$V:$V,операции!$T:$T,"&lt;"&amp;S$8,операции!$X:$X,"&gt;="&amp;S$8,операции!$AB:$AB,"",операции!$O:$O,$F1570)+SUMIFS(операции!$V:$V,операции!$T:$T,"&lt;"&amp;S$8,операции!$X:$X,"",операции!$AB:$AB,"&gt;="&amp;S$8,операции!$O:$O,$F1570)+SUMIFS(операции!$V:$V,операции!$T:$T,"&lt;"&amp;S$8,операции!$X:$X,"&gt;="&amp;S$8,операции!$AB:$AB,"&gt;="&amp;S$8,операции!$O:$O,$F1570)</f>
        <v>0</v>
      </c>
      <c r="T1581" s="170">
        <f>S1581-U1581-V1581</f>
        <v>0</v>
      </c>
      <c r="U1581" s="169">
        <f>SUMIFS(операции!$V:$V,операции!$T:$T,"&lt;"&amp;S$8,операции!$X:$X,"",операции!$AB:$AB,"",операции!$L:$L,U$9,операции!$O:$O,$F1570)+SUMIFS(операции!$V:$V,операции!$T:$T,"&lt;"&amp;S$8,операции!$X:$X,"&gt;="&amp;S$8,операции!$AB:$AB,"",операции!$L:$L,U$9,операции!$O:$O,$F1570)+SUMIFS(операции!$V:$V,операции!$T:$T,"&lt;"&amp;S$8,операции!$X:$X,"",операции!$AB:$AB,"&gt;="&amp;S$8,операции!$L:$L,U$9,операции!$O:$O,$F1570)+SUMIFS(операции!$V:$V,операции!$T:$T,"&lt;"&amp;S$8,операции!$X:$X,"&gt;="&amp;S$8,операции!$AB:$AB,"&gt;="&amp;S$8,операции!$L:$L,U$9,операции!$O:$O,$F1570)</f>
        <v>0</v>
      </c>
      <c r="V1581" s="243">
        <f>SUMIFS(операции!$V:$V,операции!$T:$T,"&lt;"&amp;S$8,операции!$X:$X,"",операции!$AB:$AB,"",операции!$L:$L,V$9,операции!$O:$O,$F1570)+SUMIFS(операции!$V:$V,операции!$T:$T,"&lt;"&amp;S$8,операции!$X:$X,"&gt;="&amp;S$8,операции!$AB:$AB,"",операции!$L:$L,V$9,операции!$O:$O,$F1570)+SUMIFS(операции!$V:$V,операции!$T:$T,"&lt;"&amp;S$8,операции!$X:$X,"",операции!$AB:$AB,"&gt;="&amp;S$8,операции!$L:$L,V$9,операции!$O:$O,$F1570)+SUMIFS(операции!$V:$V,операции!$T:$T,"&lt;"&amp;S$8,операции!$X:$X,"&gt;="&amp;S$8,операции!$AB:$AB,"&gt;="&amp;S$8,операции!$L:$L,V$9,операции!$O:$O,$F1570)</f>
        <v>0</v>
      </c>
      <c r="W1581" s="244"/>
      <c r="X1581" s="169">
        <f>SUMIFS(операции!$V:$V,операции!$T:$T,"&lt;"&amp;X$8,операции!$X:$X,"",операции!$AB:$AB,"",операции!$O:$O,$F1570)+SUMIFS(операции!$V:$V,операции!$T:$T,"&lt;"&amp;X$8,операции!$X:$X,"&gt;="&amp;X$8,операции!$AB:$AB,"",операции!$O:$O,$F1570)+SUMIFS(операции!$V:$V,операции!$T:$T,"&lt;"&amp;X$8,операции!$X:$X,"",операции!$AB:$AB,"&gt;="&amp;X$8,операции!$O:$O,$F1570)+SUMIFS(операции!$V:$V,операции!$T:$T,"&lt;"&amp;X$8,операции!$X:$X,"&gt;="&amp;X$8,операции!$AB:$AB,"&gt;="&amp;X$8,операции!$O:$O,$F1570)</f>
        <v>6805.5</v>
      </c>
      <c r="Y1581" s="170">
        <f>X1581-Z1581-AA1581</f>
        <v>0</v>
      </c>
      <c r="Z1581" s="169">
        <f>SUMIFS(операции!$V:$V,операции!$T:$T,"&lt;"&amp;X$8,операции!$X:$X,"",операции!$AB:$AB,"",операции!$L:$L,Z$9,операции!$O:$O,$F1570)+SUMIFS(операции!$V:$V,операции!$T:$T,"&lt;"&amp;X$8,операции!$X:$X,"&gt;="&amp;X$8,операции!$AB:$AB,"",операции!$L:$L,Z$9,операции!$O:$O,$F1570)+SUMIFS(операции!$V:$V,операции!$T:$T,"&lt;"&amp;X$8,операции!$X:$X,"",операции!$AB:$AB,"&gt;="&amp;X$8,операции!$L:$L,Z$9,операции!$O:$O,$F1570)+SUMIFS(операции!$V:$V,операции!$T:$T,"&lt;"&amp;X$8,операции!$X:$X,"&gt;="&amp;X$8,операции!$AB:$AB,"&gt;="&amp;X$8,операции!$L:$L,Z$9,операции!$O:$O,$F1570)</f>
        <v>0</v>
      </c>
      <c r="AA1581" s="243">
        <f>SUMIFS(операции!$V:$V,операции!$T:$T,"&lt;"&amp;X$8,операции!$X:$X,"",операции!$AB:$AB,"",операции!$L:$L,AA$9,операции!$O:$O,$F1570)+SUMIFS(операции!$V:$V,операции!$T:$T,"&lt;"&amp;X$8,операции!$X:$X,"&gt;="&amp;X$8,операции!$AB:$AB,"",операции!$L:$L,AA$9,операции!$O:$O,$F1570)+SUMIFS(операции!$V:$V,операции!$T:$T,"&lt;"&amp;X$8,операции!$X:$X,"",операции!$AB:$AB,"&gt;="&amp;X$8,операции!$L:$L,AA$9,операции!$O:$O,$F1570)+SUMIFS(операции!$V:$V,операции!$T:$T,"&lt;"&amp;X$8,операции!$X:$X,"&gt;="&amp;X$8,операции!$AB:$AB,"&gt;="&amp;X$8,операции!$L:$L,AA$9,операции!$O:$O,$F1570)</f>
        <v>6805.5</v>
      </c>
      <c r="AB1581" s="266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</row>
    <row r="1582" spans="1:42" s="192" customFormat="1" ht="11.25">
      <c r="A1582" s="37"/>
      <c r="B1582" s="37"/>
      <c r="C1582" s="37"/>
      <c r="D1582" s="191"/>
      <c r="E1582" s="191" t="s">
        <v>255</v>
      </c>
      <c r="F1582" s="191" t="str">
        <f t="shared" si="2790"/>
        <v>СпортИн</v>
      </c>
      <c r="G1582" s="191" t="s">
        <v>262</v>
      </c>
      <c r="H1582" s="315"/>
      <c r="I1582" s="316">
        <f>IF(I1581=0,0,(SUMIFS(операции!$AF:$AF,операции!$T:$T,"&lt;"&amp;I$8,операции!$X:$X,"",операции!$AB:$AB,"",операции!$O:$O,$F1570)+SUMIFS(операции!$AF:$AF,операции!$T:$T,"&lt;"&amp;I$8,операции!$X:$X,"&gt;="&amp;I$8,операции!$AB:$AB,"",операции!$O:$O,$F1570)+SUMIFS(операции!$AF:$AF,операции!$T:$T,"&lt;"&amp;I$8,операции!$X:$X,"",операции!$AB:$AB,"&gt;="&amp;I$8,операции!$O:$O,$F1570)+SUMIFS(операции!$AF:$AF,операции!$T:$T,"&lt;"&amp;I$8,операции!$X:$X,"&gt;="&amp;I$8,операции!$AB:$AB,"&gt;="&amp;I$8,операции!$O:$O,$F1570))/I1581)</f>
        <v>0</v>
      </c>
      <c r="J1582" s="317"/>
      <c r="K1582" s="316">
        <f>IF(K1581=0,0,(SUMIFS(операции!$AF:$AF,операции!$T:$T,"&lt;"&amp;I$8,операции!$X:$X,"",операции!$AB:$AB,"",операции!$L:$L,K$9,операции!$O:$O,$F1570)+SUMIFS(операции!$AF:$AF,операции!$T:$T,"&lt;"&amp;I$8,операции!$X:$X,"&gt;="&amp;I$8,операции!$AB:$AB,"",операции!$L:$L,K$9,операции!$O:$O,$F1570)+SUMIFS(операции!$AF:$AF,операции!$T:$T,"&lt;"&amp;I$8,операции!$X:$X,"",операции!$AB:$AB,"&gt;="&amp;I$8,операции!$L:$L,K$9,операции!$O:$O,$F1570)+SUMIFS(операции!$AF:$AF,операции!$T:$T,"&lt;"&amp;I$8,операции!$X:$X,"&gt;="&amp;I$8,операции!$AB:$AB,"&gt;="&amp;I$8,операции!$L:$L,K$9,операции!$O:$O,$F1570))/K1581)</f>
        <v>0</v>
      </c>
      <c r="L1582" s="318">
        <f>IF(L1581=0,0,(SUMIFS(операции!$AF:$AF,операции!$T:$T,"&lt;"&amp;I$8,операции!$X:$X,"",операции!$AB:$AB,"",операции!$L:$L,L$9,операции!$O:$O,$F1570)+SUMIFS(операции!$AF:$AF,операции!$T:$T,"&lt;"&amp;I$8,операции!$X:$X,"&gt;="&amp;I$8,операции!$AB:$AB,"",операции!$L:$L,L$9,операции!$O:$O,$F1570)+SUMIFS(операции!$AF:$AF,операции!$T:$T,"&lt;"&amp;I$8,операции!$X:$X,"",операции!$AB:$AB,"&gt;="&amp;I$8,операции!$L:$L,L$9,операции!$O:$O,$F1570)+SUMIFS(операции!$AF:$AF,операции!$T:$T,"&lt;"&amp;I$8,операции!$X:$X,"&gt;="&amp;I$8,операции!$AB:$AB,"&gt;="&amp;I$8,операции!$L:$L,L$9,операции!$O:$O,$F1570))/L1581)</f>
        <v>0</v>
      </c>
      <c r="M1582" s="274"/>
      <c r="N1582" s="193">
        <f>IF(N1581=0,0,(SUMIFS(операции!$AF:$AF,операции!$T:$T,"&lt;"&amp;N$8,операции!$X:$X,"",операции!$AB:$AB,"",операции!$O:$O,$F1570)+SUMIFS(операции!$AF:$AF,операции!$T:$T,"&lt;"&amp;N$8,операции!$X:$X,"&gt;="&amp;N$8,операции!$AB:$AB,"",операции!$O:$O,$F1570)+SUMIFS(операции!$AF:$AF,операции!$T:$T,"&lt;"&amp;N$8,операции!$X:$X,"",операции!$AB:$AB,"&gt;="&amp;N$8,операции!$O:$O,$F1570)+SUMIFS(операции!$AF:$AF,операции!$T:$T,"&lt;"&amp;N$8,операции!$X:$X,"&gt;="&amp;N$8,операции!$AB:$AB,"&gt;="&amp;N$8,операции!$O:$O,$F1570))/N1581)</f>
        <v>0</v>
      </c>
      <c r="O1582" s="196"/>
      <c r="P1582" s="193">
        <f>IF(P1581=0,0,(SUMIFS(операции!$AF:$AF,операции!$T:$T,"&lt;"&amp;N$8,операции!$X:$X,"",операции!$AB:$AB,"",операции!$L:$L,P$9,операции!$O:$O,$F1570)+SUMIFS(операции!$AF:$AF,операции!$T:$T,"&lt;"&amp;N$8,операции!$X:$X,"&gt;="&amp;N$8,операции!$AB:$AB,"",операции!$L:$L,P$9,операции!$O:$O,$F1570)+SUMIFS(операции!$AF:$AF,операции!$T:$T,"&lt;"&amp;N$8,операции!$X:$X,"",операции!$AB:$AB,"&gt;="&amp;N$8,операции!$L:$L,P$9,операции!$O:$O,$F1570)+SUMIFS(операции!$AF:$AF,операции!$T:$T,"&lt;"&amp;N$8,операции!$X:$X,"&gt;="&amp;N$8,операции!$AB:$AB,"&gt;="&amp;N$8,операции!$L:$L,P$9,операции!$O:$O,$F1570))/P1581)</f>
        <v>0</v>
      </c>
      <c r="Q1582" s="237">
        <f>IF(Q1581=0,0,(SUMIFS(операции!$AF:$AF,операции!$T:$T,"&lt;"&amp;N$8,операции!$X:$X,"",операции!$AB:$AB,"",операции!$L:$L,Q$9,операции!$O:$O,$F1570)+SUMIFS(операции!$AF:$AF,операции!$T:$T,"&lt;"&amp;N$8,операции!$X:$X,"&gt;="&amp;N$8,операции!$AB:$AB,"",операции!$L:$L,Q$9,операции!$O:$O,$F1570)+SUMIFS(операции!$AF:$AF,операции!$T:$T,"&lt;"&amp;N$8,операции!$X:$X,"",операции!$AB:$AB,"&gt;="&amp;N$8,операции!$L:$L,Q$9,операции!$O:$O,$F1570)+SUMIFS(операции!$AF:$AF,операции!$T:$T,"&lt;"&amp;N$8,операции!$X:$X,"&gt;="&amp;N$8,операции!$AB:$AB,"&gt;="&amp;N$8,операции!$L:$L,Q$9,операции!$O:$O,$F1570))/Q1581)</f>
        <v>0</v>
      </c>
      <c r="R1582" s="238"/>
      <c r="S1582" s="193">
        <f>IF(S1581=0,0,(SUMIFS(операции!$AF:$AF,операции!$T:$T,"&lt;"&amp;S$8,операции!$X:$X,"",операции!$AB:$AB,"",операции!$O:$O,$F1570)+SUMIFS(операции!$AF:$AF,операции!$T:$T,"&lt;"&amp;S$8,операции!$X:$X,"&gt;="&amp;S$8,операции!$AB:$AB,"",операции!$O:$O,$F1570)+SUMIFS(операции!$AF:$AF,операции!$T:$T,"&lt;"&amp;S$8,операции!$X:$X,"",операции!$AB:$AB,"&gt;="&amp;S$8,операции!$O:$O,$F1570)+SUMIFS(операции!$AF:$AF,операции!$T:$T,"&lt;"&amp;S$8,операции!$X:$X,"&gt;="&amp;S$8,операции!$AB:$AB,"&gt;="&amp;S$8,операции!$O:$O,$F1570))/S1581)</f>
        <v>0</v>
      </c>
      <c r="T1582" s="196"/>
      <c r="U1582" s="193">
        <f>IF(U1581=0,0,(SUMIFS(операции!$AF:$AF,операции!$T:$T,"&lt;"&amp;S$8,операции!$X:$X,"",операции!$AB:$AB,"",операции!$L:$L,U$9,операции!$O:$O,$F1570)+SUMIFS(операции!$AF:$AF,операции!$T:$T,"&lt;"&amp;S$8,операции!$X:$X,"&gt;="&amp;S$8,операции!$AB:$AB,"",операции!$L:$L,U$9,операции!$O:$O,$F1570)+SUMIFS(операции!$AF:$AF,операции!$T:$T,"&lt;"&amp;S$8,операции!$X:$X,"",операции!$AB:$AB,"&gt;="&amp;S$8,операции!$L:$L,U$9,операции!$O:$O,$F1570)+SUMIFS(операции!$AF:$AF,операции!$T:$T,"&lt;"&amp;S$8,операции!$X:$X,"&gt;="&amp;S$8,операции!$AB:$AB,"&gt;="&amp;S$8,операции!$L:$L,U$9,операции!$O:$O,$F1570))/U1581)</f>
        <v>0</v>
      </c>
      <c r="V1582" s="237">
        <f>IF(V1581=0,0,(SUMIFS(операции!$AF:$AF,операции!$T:$T,"&lt;"&amp;S$8,операции!$X:$X,"",операции!$AB:$AB,"",операции!$L:$L,V$9,операции!$O:$O,$F1570)+SUMIFS(операции!$AF:$AF,операции!$T:$T,"&lt;"&amp;S$8,операции!$X:$X,"&gt;="&amp;S$8,операции!$AB:$AB,"",операции!$L:$L,V$9,операции!$O:$O,$F1570)+SUMIFS(операции!$AF:$AF,операции!$T:$T,"&lt;"&amp;S$8,операции!$X:$X,"",операции!$AB:$AB,"&gt;="&amp;S$8,операции!$L:$L,V$9,операции!$O:$O,$F1570)+SUMIFS(операции!$AF:$AF,операции!$T:$T,"&lt;"&amp;S$8,операции!$X:$X,"&gt;="&amp;S$8,операции!$AB:$AB,"&gt;="&amp;S$8,операции!$L:$L,V$9,операции!$O:$O,$F1570))/V1581)</f>
        <v>0</v>
      </c>
      <c r="W1582" s="238"/>
      <c r="X1582" s="193">
        <f>IF(X1581=0,0,(SUMIFS(операции!$AF:$AF,операции!$T:$T,"&lt;"&amp;X$8,операции!$X:$X,"",операции!$AB:$AB,"",операции!$O:$O,$F1570)+SUMIFS(операции!$AF:$AF,операции!$T:$T,"&lt;"&amp;X$8,операции!$X:$X,"&gt;="&amp;X$8,операции!$AB:$AB,"",операции!$O:$O,$F1570)+SUMIFS(операции!$AF:$AF,операции!$T:$T,"&lt;"&amp;X$8,операции!$X:$X,"",операции!$AB:$AB,"&gt;="&amp;X$8,операции!$O:$O,$F1570)+SUMIFS(операции!$AF:$AF,операции!$T:$T,"&lt;"&amp;X$8,операции!$X:$X,"&gt;="&amp;X$8,операции!$AB:$AB,"&gt;="&amp;X$8,операции!$O:$O,$F1570))/X1581)</f>
        <v>42337.666666666664</v>
      </c>
      <c r="Y1582" s="196"/>
      <c r="Z1582" s="193">
        <f>IF(Z1581=0,0,(SUMIFS(операции!$AF:$AF,операции!$T:$T,"&lt;"&amp;X$8,операции!$X:$X,"",операции!$AB:$AB,"",операции!$L:$L,Z$9,операции!$O:$O,$F1570)+SUMIFS(операции!$AF:$AF,операции!$T:$T,"&lt;"&amp;X$8,операции!$X:$X,"&gt;="&amp;X$8,операции!$AB:$AB,"",операции!$L:$L,Z$9,операции!$O:$O,$F1570)+SUMIFS(операции!$AF:$AF,операции!$T:$T,"&lt;"&amp;X$8,операции!$X:$X,"",операции!$AB:$AB,"&gt;="&amp;X$8,операции!$L:$L,Z$9,операции!$O:$O,$F1570)+SUMIFS(операции!$AF:$AF,операции!$T:$T,"&lt;"&amp;X$8,операции!$X:$X,"&gt;="&amp;X$8,операции!$AB:$AB,"&gt;="&amp;X$8,операции!$L:$L,Z$9,операции!$O:$O,$F1570))/Z1581)</f>
        <v>0</v>
      </c>
      <c r="AA1582" s="237">
        <f>IF(AA1581=0,0,(SUMIFS(операции!$AF:$AF,операции!$T:$T,"&lt;"&amp;X$8,операции!$X:$X,"",операции!$AB:$AB,"",операции!$L:$L,AA$9,операции!$O:$O,$F1570)+SUMIFS(операции!$AF:$AF,операции!$T:$T,"&lt;"&amp;X$8,операции!$X:$X,"&gt;="&amp;X$8,операции!$AB:$AB,"",операции!$L:$L,AA$9,операции!$O:$O,$F1570)+SUMIFS(операции!$AF:$AF,операции!$T:$T,"&lt;"&amp;X$8,операции!$X:$X,"",операции!$AB:$AB,"&gt;="&amp;X$8,операции!$L:$L,AA$9,операции!$O:$O,$F1570)+SUMIFS(операции!$AF:$AF,операции!$T:$T,"&lt;"&amp;X$8,операции!$X:$X,"&gt;="&amp;X$8,операции!$AB:$AB,"&gt;="&amp;X$8,операции!$L:$L,AA$9,операции!$O:$O,$F1570))/AA1581)</f>
        <v>42337.666666666664</v>
      </c>
      <c r="AB1582" s="265"/>
      <c r="AC1582" s="37"/>
      <c r="AD1582" s="37"/>
      <c r="AE1582" s="37"/>
      <c r="AF1582" s="37"/>
      <c r="AG1582" s="37"/>
      <c r="AH1582" s="37"/>
      <c r="AI1582" s="37"/>
      <c r="AJ1582" s="37"/>
      <c r="AK1582" s="37"/>
      <c r="AL1582" s="37"/>
      <c r="AM1582" s="37"/>
      <c r="AN1582" s="37"/>
      <c r="AO1582" s="37"/>
      <c r="AP1582" s="37"/>
    </row>
    <row r="1583" spans="1:42" s="192" customFormat="1" ht="11.25">
      <c r="A1583" s="37"/>
      <c r="B1583" s="37"/>
      <c r="C1583" s="37"/>
      <c r="D1583" s="191"/>
      <c r="E1583" s="191" t="s">
        <v>263</v>
      </c>
      <c r="F1583" s="191" t="str">
        <f t="shared" si="2790"/>
        <v>СпортИн</v>
      </c>
      <c r="G1583" s="191" t="s">
        <v>219</v>
      </c>
      <c r="H1583" s="315"/>
      <c r="I1583" s="329">
        <f>IF(I1581=0,0,I$8-I1582)</f>
        <v>0</v>
      </c>
      <c r="J1583" s="317"/>
      <c r="K1583" s="329">
        <f>IF(K1581=0,0,I$8-K1582)</f>
        <v>0</v>
      </c>
      <c r="L1583" s="330">
        <f>IF(L1581=0,0,I$8-L1582)</f>
        <v>0</v>
      </c>
      <c r="M1583" s="274"/>
      <c r="N1583" s="156">
        <f>IF(N1581=0,0,N$8-N1582)</f>
        <v>0</v>
      </c>
      <c r="O1583" s="196"/>
      <c r="P1583" s="156">
        <f>IF(P1581=0,0,N$8-P1582)</f>
        <v>0</v>
      </c>
      <c r="Q1583" s="245">
        <f>IF(Q1581=0,0,N$8-Q1582)</f>
        <v>0</v>
      </c>
      <c r="R1583" s="238"/>
      <c r="S1583" s="156">
        <f>IF(S1581=0,0,S$8-S1582)</f>
        <v>0</v>
      </c>
      <c r="T1583" s="196"/>
      <c r="U1583" s="156">
        <f>IF(U1581=0,0,S$8-U1582)</f>
        <v>0</v>
      </c>
      <c r="V1583" s="245">
        <f>IF(V1581=0,0,S$8-V1582)</f>
        <v>0</v>
      </c>
      <c r="W1583" s="238"/>
      <c r="X1583" s="156">
        <f>IF(X1581=0,0,X$8-X1582)</f>
        <v>1.3333333333357587</v>
      </c>
      <c r="Y1583" s="196"/>
      <c r="Z1583" s="156">
        <f>IF(Z1581=0,0,X$8-Z1582)</f>
        <v>0</v>
      </c>
      <c r="AA1583" s="245">
        <f>IF(AA1581=0,0,X$8-AA1582)</f>
        <v>1.3333333333357587</v>
      </c>
      <c r="AB1583" s="265"/>
      <c r="AC1583" s="37"/>
      <c r="AD1583" s="37"/>
      <c r="AE1583" s="37"/>
      <c r="AF1583" s="37"/>
      <c r="AG1583" s="37"/>
      <c r="AH1583" s="37"/>
      <c r="AI1583" s="37"/>
      <c r="AJ1583" s="37"/>
      <c r="AK1583" s="37"/>
      <c r="AL1583" s="37"/>
      <c r="AM1583" s="37"/>
      <c r="AN1583" s="37"/>
      <c r="AO1583" s="37"/>
      <c r="AP1583" s="37"/>
    </row>
    <row r="1584" spans="1:42" s="192" customFormat="1" ht="11.25">
      <c r="A1584" s="37"/>
      <c r="B1584" s="37"/>
      <c r="C1584" s="37"/>
      <c r="D1584" s="191"/>
      <c r="E1584" s="191" t="s">
        <v>311</v>
      </c>
      <c r="F1584" s="191" t="str">
        <f t="shared" si="2790"/>
        <v>СпортИн</v>
      </c>
      <c r="G1584" s="191" t="s">
        <v>262</v>
      </c>
      <c r="H1584" s="315"/>
      <c r="I1584" s="316">
        <f>I$8</f>
        <v>42278</v>
      </c>
      <c r="J1584" s="317"/>
      <c r="K1584" s="316">
        <f>I$8</f>
        <v>42278</v>
      </c>
      <c r="L1584" s="318">
        <f>I$8</f>
        <v>42278</v>
      </c>
      <c r="M1584" s="274"/>
      <c r="N1584" s="193">
        <f>N$8</f>
        <v>42278</v>
      </c>
      <c r="O1584" s="196"/>
      <c r="P1584" s="193">
        <f>N$8</f>
        <v>42278</v>
      </c>
      <c r="Q1584" s="237">
        <f>N$8</f>
        <v>42278</v>
      </c>
      <c r="R1584" s="238"/>
      <c r="S1584" s="193">
        <f>S$8</f>
        <v>42309</v>
      </c>
      <c r="T1584" s="196"/>
      <c r="U1584" s="193">
        <f>S$8</f>
        <v>42309</v>
      </c>
      <c r="V1584" s="237">
        <f>S$8</f>
        <v>42309</v>
      </c>
      <c r="W1584" s="238"/>
      <c r="X1584" s="193">
        <f>X$8</f>
        <v>42339</v>
      </c>
      <c r="Y1584" s="196"/>
      <c r="Z1584" s="193">
        <f>X$8</f>
        <v>42339</v>
      </c>
      <c r="AA1584" s="237">
        <f>X$8</f>
        <v>42339</v>
      </c>
      <c r="AB1584" s="265"/>
      <c r="AC1584" s="37"/>
      <c r="AD1584" s="37"/>
      <c r="AE1584" s="37"/>
      <c r="AF1584" s="37"/>
      <c r="AG1584" s="37"/>
      <c r="AH1584" s="37"/>
      <c r="AI1584" s="37"/>
      <c r="AJ1584" s="37"/>
      <c r="AK1584" s="37"/>
      <c r="AL1584" s="37"/>
      <c r="AM1584" s="37"/>
      <c r="AN1584" s="37"/>
      <c r="AO1584" s="37"/>
      <c r="AP1584" s="37"/>
    </row>
    <row r="1585" spans="1:42" s="192" customFormat="1" ht="11.25">
      <c r="A1585" s="37"/>
      <c r="B1585" s="37"/>
      <c r="C1585" s="37"/>
      <c r="D1585" s="191"/>
      <c r="E1585" s="191" t="s">
        <v>264</v>
      </c>
      <c r="F1585" s="191" t="str">
        <f t="shared" si="2790"/>
        <v>СпортИн</v>
      </c>
      <c r="G1585" s="191" t="s">
        <v>219</v>
      </c>
      <c r="H1585" s="315"/>
      <c r="I1585" s="329">
        <f>IF(I1581=0,0,I1584-I1582)</f>
        <v>0</v>
      </c>
      <c r="J1585" s="317"/>
      <c r="K1585" s="329">
        <f>IF(K1581=0,0,K1584-K1582)</f>
        <v>0</v>
      </c>
      <c r="L1585" s="330">
        <f>IF(L1581=0,0,L1584-L1582)</f>
        <v>0</v>
      </c>
      <c r="M1585" s="274"/>
      <c r="N1585" s="156">
        <f>IF(N1581=0,0,N1584-N1582)</f>
        <v>0</v>
      </c>
      <c r="O1585" s="196"/>
      <c r="P1585" s="156">
        <f>IF(P1581=0,0,P1584-P1582)</f>
        <v>0</v>
      </c>
      <c r="Q1585" s="245">
        <f>IF(Q1581=0,0,Q1584-Q1582)</f>
        <v>0</v>
      </c>
      <c r="R1585" s="238"/>
      <c r="S1585" s="156">
        <f>IF(S1581=0,0,S1584-S1582)</f>
        <v>0</v>
      </c>
      <c r="T1585" s="196"/>
      <c r="U1585" s="156">
        <f>IF(U1581=0,0,U1584-U1582)</f>
        <v>0</v>
      </c>
      <c r="V1585" s="245">
        <f>IF(V1581=0,0,V1584-V1582)</f>
        <v>0</v>
      </c>
      <c r="W1585" s="238"/>
      <c r="X1585" s="156">
        <f>IF(X1581=0,0,X1584-X1582)</f>
        <v>1.3333333333357587</v>
      </c>
      <c r="Y1585" s="196"/>
      <c r="Z1585" s="156">
        <f>IF(Z1581=0,0,Z1584-Z1582)</f>
        <v>0</v>
      </c>
      <c r="AA1585" s="245">
        <f>IF(AA1581=0,0,AA1584-AA1582)</f>
        <v>1.3333333333357587</v>
      </c>
      <c r="AB1585" s="265"/>
      <c r="AC1585" s="37"/>
      <c r="AD1585" s="37"/>
      <c r="AE1585" s="37"/>
      <c r="AF1585" s="37"/>
      <c r="AG1585" s="37"/>
      <c r="AH1585" s="37"/>
      <c r="AI1585" s="37"/>
      <c r="AJ1585" s="37"/>
      <c r="AK1585" s="37"/>
      <c r="AL1585" s="37"/>
      <c r="AM1585" s="37"/>
      <c r="AN1585" s="37"/>
      <c r="AO1585" s="37"/>
      <c r="AP1585" s="37"/>
    </row>
    <row r="1586" spans="1:42" s="192" customFormat="1" ht="11.25">
      <c r="A1586" s="37"/>
      <c r="B1586" s="37"/>
      <c r="C1586" s="37"/>
      <c r="D1586" s="207"/>
      <c r="E1586" s="207" t="s">
        <v>269</v>
      </c>
      <c r="F1586" s="207" t="str">
        <f t="shared" si="2790"/>
        <v>СпортИн</v>
      </c>
      <c r="G1586" s="207" t="s">
        <v>219</v>
      </c>
      <c r="H1586" s="331"/>
      <c r="I1586" s="332">
        <f>I1583-I1585</f>
        <v>0</v>
      </c>
      <c r="J1586" s="333"/>
      <c r="K1586" s="332">
        <f t="shared" ref="K1586" si="2815">K1583-K1585</f>
        <v>0</v>
      </c>
      <c r="L1586" s="334">
        <f>L1583-L1585</f>
        <v>0</v>
      </c>
      <c r="M1586" s="278"/>
      <c r="N1586" s="162">
        <f>N1583-N1585</f>
        <v>0</v>
      </c>
      <c r="O1586" s="208"/>
      <c r="P1586" s="162">
        <f t="shared" ref="P1586" si="2816">P1583-P1585</f>
        <v>0</v>
      </c>
      <c r="Q1586" s="246">
        <f>Q1583-Q1585</f>
        <v>0</v>
      </c>
      <c r="R1586" s="247"/>
      <c r="S1586" s="162">
        <f>S1583-S1585</f>
        <v>0</v>
      </c>
      <c r="T1586" s="208"/>
      <c r="U1586" s="162">
        <f t="shared" ref="U1586" si="2817">U1583-U1585</f>
        <v>0</v>
      </c>
      <c r="V1586" s="246">
        <f>V1583-V1585</f>
        <v>0</v>
      </c>
      <c r="W1586" s="247"/>
      <c r="X1586" s="162">
        <f>X1583-X1585</f>
        <v>0</v>
      </c>
      <c r="Y1586" s="208"/>
      <c r="Z1586" s="162">
        <f t="shared" ref="Z1586" si="2818">Z1583-Z1585</f>
        <v>0</v>
      </c>
      <c r="AA1586" s="246">
        <f>AA1583-AA1585</f>
        <v>0</v>
      </c>
      <c r="AB1586" s="265"/>
      <c r="AC1586" s="37"/>
      <c r="AD1586" s="37"/>
      <c r="AE1586" s="37"/>
      <c r="AF1586" s="37"/>
      <c r="AG1586" s="37"/>
      <c r="AH1586" s="37"/>
      <c r="AI1586" s="37"/>
      <c r="AJ1586" s="37"/>
      <c r="AK1586" s="37"/>
      <c r="AL1586" s="37"/>
      <c r="AM1586" s="37"/>
      <c r="AN1586" s="37"/>
      <c r="AO1586" s="37"/>
      <c r="AP1586" s="37"/>
    </row>
    <row r="1587" spans="1:42" s="111" customFormat="1" ht="11.25">
      <c r="A1587" s="108"/>
      <c r="B1587" s="108"/>
      <c r="C1587" s="108" t="s">
        <v>272</v>
      </c>
      <c r="D1587" s="109"/>
      <c r="E1587" s="109"/>
      <c r="F1587" s="109" t="str">
        <f t="shared" si="2790"/>
        <v>СпортИн</v>
      </c>
      <c r="G1587" s="109"/>
      <c r="H1587" s="307"/>
      <c r="I1587" s="308">
        <f>I1588-K1588-L1588</f>
        <v>0</v>
      </c>
      <c r="J1587" s="335"/>
      <c r="K1587" s="308"/>
      <c r="L1587" s="336"/>
      <c r="M1587" s="272"/>
      <c r="N1587" s="110">
        <f>N1588-P1588-Q1588</f>
        <v>0</v>
      </c>
      <c r="O1587" s="105"/>
      <c r="P1587" s="110"/>
      <c r="Q1587" s="248"/>
      <c r="R1587" s="234"/>
      <c r="S1587" s="110">
        <f>S1588-U1588-V1588</f>
        <v>0</v>
      </c>
      <c r="T1587" s="105"/>
      <c r="U1587" s="110"/>
      <c r="V1587" s="248"/>
      <c r="W1587" s="234"/>
      <c r="X1587" s="110">
        <f>X1588-Z1588-AA1588</f>
        <v>0</v>
      </c>
      <c r="Y1587" s="105"/>
      <c r="Z1587" s="110"/>
      <c r="AA1587" s="248"/>
      <c r="AB1587" s="263"/>
      <c r="AC1587" s="108"/>
      <c r="AD1587" s="108"/>
      <c r="AE1587" s="108"/>
      <c r="AF1587" s="108"/>
      <c r="AG1587" s="108"/>
      <c r="AH1587" s="108"/>
      <c r="AI1587" s="108"/>
      <c r="AJ1587" s="108"/>
      <c r="AK1587" s="108"/>
      <c r="AL1587" s="108"/>
      <c r="AM1587" s="108"/>
      <c r="AN1587" s="108"/>
      <c r="AO1587" s="108"/>
      <c r="AP1587" s="108"/>
    </row>
    <row r="1588" spans="1:42" s="5" customFormat="1">
      <c r="A1588" s="1"/>
      <c r="B1588" s="1"/>
      <c r="C1588" s="1"/>
      <c r="D1588" s="168" t="s">
        <v>273</v>
      </c>
      <c r="E1588" s="168"/>
      <c r="F1588" s="168" t="str">
        <f t="shared" si="2790"/>
        <v>СпортИн</v>
      </c>
      <c r="G1588" s="168" t="s">
        <v>261</v>
      </c>
      <c r="H1588" s="326"/>
      <c r="I1588" s="327">
        <f>SUMIFS(операции!$V:$V,операции!$T:$T,"&gt;="&amp;I$8,операции!$T:$T,"&lt;="&amp;I$9,операции!$O:$O,$F1570)</f>
        <v>24953.5</v>
      </c>
      <c r="J1588" s="313"/>
      <c r="K1588" s="327">
        <f>SUMIFS(операции!$V:$V,операции!$T:$T,"&gt;="&amp;I$8,операции!$T:$T,"&lt;="&amp;I$9,операции!$L:$L,K$9,операции!$O:$O,$F1570)</f>
        <v>0</v>
      </c>
      <c r="L1588" s="328">
        <f>SUMIFS(операции!$V:$V,операции!$T:$T,"&gt;="&amp;I$8,операции!$T:$T,"&lt;="&amp;I$9,операции!$L:$L,L$9,операции!$O:$O,$F1570)</f>
        <v>24953.5</v>
      </c>
      <c r="M1588" s="277"/>
      <c r="N1588" s="169">
        <f>SUMIFS(операции!$V:$V,операции!$T:$T,"&gt;="&amp;N$8,операции!$T:$T,"&lt;="&amp;N$9,операции!$O:$O,$F1570)</f>
        <v>4537</v>
      </c>
      <c r="O1588" s="170"/>
      <c r="P1588" s="169">
        <f>SUMIFS(операции!$V:$V,операции!$T:$T,"&gt;="&amp;N$8,операции!$T:$T,"&lt;="&amp;N$9,операции!$L:$L,P$9,операции!$O:$O,$F1570)</f>
        <v>0</v>
      </c>
      <c r="Q1588" s="243">
        <f>SUMIFS(операции!$V:$V,операции!$T:$T,"&gt;="&amp;N$8,операции!$T:$T,"&lt;="&amp;N$9,операции!$L:$L,Q$9,операции!$O:$O,$F1570)</f>
        <v>4537</v>
      </c>
      <c r="R1588" s="244"/>
      <c r="S1588" s="169">
        <f>SUMIFS(операции!$V:$V,операции!$T:$T,"&gt;="&amp;S$8,операции!$T:$T,"&lt;="&amp;S$9,операции!$O:$O,$F1570)</f>
        <v>20416.5</v>
      </c>
      <c r="T1588" s="170"/>
      <c r="U1588" s="169">
        <f>SUMIFS(операции!$V:$V,операции!$T:$T,"&gt;="&amp;S$8,операции!$T:$T,"&lt;="&amp;S$9,операции!$L:$L,U$9,операции!$O:$O,$F1570)</f>
        <v>0</v>
      </c>
      <c r="V1588" s="243">
        <f>SUMIFS(операции!$V:$V,операции!$T:$T,"&gt;="&amp;S$8,операции!$T:$T,"&lt;="&amp;S$9,операции!$L:$L,V$9,операции!$O:$O,$F1570)</f>
        <v>20416.5</v>
      </c>
      <c r="W1588" s="244"/>
      <c r="X1588" s="169">
        <f>SUMIFS(операции!$V:$V,операции!$T:$T,"&gt;="&amp;X$8,операции!$T:$T,"&lt;="&amp;X$9,операции!$O:$O,$F1570)</f>
        <v>0</v>
      </c>
      <c r="Y1588" s="170"/>
      <c r="Z1588" s="169">
        <f>SUMIFS(операции!$V:$V,операции!$T:$T,"&gt;="&amp;X$8,операции!$T:$T,"&lt;="&amp;X$9,операции!$L:$L,Z$9,операции!$O:$O,$F1570)</f>
        <v>0</v>
      </c>
      <c r="AA1588" s="243">
        <f>SUMIFS(операции!$V:$V,операции!$T:$T,"&gt;="&amp;X$8,операции!$T:$T,"&lt;="&amp;X$9,операции!$L:$L,AA$9,операции!$O:$O,$F1570)</f>
        <v>0</v>
      </c>
      <c r="AB1588" s="266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</row>
    <row r="1589" spans="1:42" s="192" customFormat="1" ht="11.25">
      <c r="A1589" s="37"/>
      <c r="B1589" s="37"/>
      <c r="C1589" s="37"/>
      <c r="D1589" s="207" t="s">
        <v>255</v>
      </c>
      <c r="E1589" s="207"/>
      <c r="F1589" s="207" t="str">
        <f t="shared" si="2790"/>
        <v>СпортИн</v>
      </c>
      <c r="G1589" s="207" t="s">
        <v>262</v>
      </c>
      <c r="H1589" s="331"/>
      <c r="I1589" s="337">
        <f>IF(I1588=0,0,SUMIFS(операции!$AF:$AF,операции!$T:$T,"&gt;="&amp;I$8,операции!$T:$T,"&lt;="&amp;I$9,операции!$O:$O,$F1570)/I1588)</f>
        <v>42316.909090909088</v>
      </c>
      <c r="J1589" s="333"/>
      <c r="K1589" s="337">
        <f>IF(K1588=0,0,SUMIFS(операции!$AF:$AF,операции!$T:$T,"&gt;="&amp;I$8,операции!$T:$T,"&lt;="&amp;I$9,операции!$L:$L,K$9,операции!$O:$O,$F1570)/K1588)</f>
        <v>0</v>
      </c>
      <c r="L1589" s="338">
        <f>IF(L1588=0,0,SUMIFS(операции!$AF:$AF,операции!$T:$T,"&gt;="&amp;I$8,операции!$T:$T,"&lt;="&amp;I$9,операции!$L:$L,L$9,операции!$O:$O,$F1570)/L1588)</f>
        <v>42316.909090909088</v>
      </c>
      <c r="M1589" s="278"/>
      <c r="N1589" s="217">
        <f>IF(N1588=0,0,SUMIFS(операции!$AF:$AF,операции!$T:$T,"&gt;="&amp;N$8,операции!$T:$T,"&lt;="&amp;N$9,операции!$O:$O,$F1570)/N1588)</f>
        <v>42296</v>
      </c>
      <c r="O1589" s="208"/>
      <c r="P1589" s="217">
        <f>IF(P1588=0,0,SUMIFS(операции!$AF:$AF,операции!$T:$T,"&gt;="&amp;N$8,операции!$T:$T,"&lt;="&amp;N$9,операции!$L:$L,P$9,операции!$O:$O,$F1570)/P1588)</f>
        <v>0</v>
      </c>
      <c r="Q1589" s="249">
        <f>IF(Q1588=0,0,SUMIFS(операции!$AF:$AF,операции!$T:$T,"&gt;="&amp;N$8,операции!$T:$T,"&lt;="&amp;N$9,операции!$L:$L,Q$9,операции!$O:$O,$F1570)/Q1588)</f>
        <v>42296</v>
      </c>
      <c r="R1589" s="247"/>
      <c r="S1589" s="217">
        <f>IF(S1588=0,0,SUMIFS(операции!$AF:$AF,операции!$T:$T,"&gt;="&amp;S$8,операции!$T:$T,"&lt;="&amp;S$9,операции!$O:$O,$F1570)/S1588)</f>
        <v>42321.555555555555</v>
      </c>
      <c r="T1589" s="208"/>
      <c r="U1589" s="217">
        <f>IF(U1588=0,0,SUMIFS(операции!$AF:$AF,операции!$T:$T,"&gt;="&amp;S$8,операции!$T:$T,"&lt;="&amp;S$9,операции!$L:$L,U$9,операции!$O:$O,$F1570)/U1588)</f>
        <v>0</v>
      </c>
      <c r="V1589" s="249">
        <f>IF(V1588=0,0,SUMIFS(операции!$AF:$AF,операции!$T:$T,"&gt;="&amp;S$8,операции!$T:$T,"&lt;="&amp;S$9,операции!$L:$L,V$9,операции!$O:$O,$F1570)/V1588)</f>
        <v>42321.555555555555</v>
      </c>
      <c r="W1589" s="247"/>
      <c r="X1589" s="217">
        <f>IF(X1588=0,0,SUMIFS(операции!$AF:$AF,операции!$T:$T,"&gt;="&amp;X$8,операции!$T:$T,"&lt;="&amp;X$9,операции!$O:$O,$F1570)/X1588)</f>
        <v>0</v>
      </c>
      <c r="Y1589" s="208"/>
      <c r="Z1589" s="217">
        <f>IF(Z1588=0,0,SUMIFS(операции!$AF:$AF,операции!$T:$T,"&gt;="&amp;X$8,операции!$T:$T,"&lt;="&amp;X$9,операции!$L:$L,Z$9,операции!$O:$O,$F1570)/Z1588)</f>
        <v>0</v>
      </c>
      <c r="AA1589" s="249">
        <f>IF(AA1588=0,0,SUMIFS(операции!$AF:$AF,операции!$T:$T,"&gt;="&amp;X$8,операции!$T:$T,"&lt;="&amp;X$9,операции!$L:$L,AA$9,операции!$O:$O,$F1570)/AA1588)</f>
        <v>0</v>
      </c>
      <c r="AB1589" s="265"/>
      <c r="AC1589" s="37"/>
      <c r="AD1589" s="37"/>
      <c r="AE1589" s="37"/>
      <c r="AF1589" s="37"/>
      <c r="AG1589" s="37"/>
      <c r="AH1589" s="37"/>
      <c r="AI1589" s="37"/>
      <c r="AJ1589" s="37"/>
      <c r="AK1589" s="37"/>
      <c r="AL1589" s="37"/>
      <c r="AM1589" s="37"/>
      <c r="AN1589" s="37"/>
      <c r="AO1589" s="37"/>
      <c r="AP1589" s="37"/>
    </row>
    <row r="1590" spans="1:42" s="93" customFormat="1" ht="15">
      <c r="A1590" s="92"/>
      <c r="B1590" s="92"/>
      <c r="C1590" s="92"/>
      <c r="D1590" s="212" t="s">
        <v>274</v>
      </c>
      <c r="E1590" s="212"/>
      <c r="F1590" s="212" t="str">
        <f t="shared" si="2790"/>
        <v>СпортИн</v>
      </c>
      <c r="G1590" s="212" t="s">
        <v>261</v>
      </c>
      <c r="H1590" s="339"/>
      <c r="I1590" s="340">
        <f>SUMIFS(операции!$Z:$Z,операции!$X:$X,"&gt;="&amp;I$8,операции!$X:$X,"&lt;="&amp;I$9,операции!$O:$O,$F1570)</f>
        <v>39325</v>
      </c>
      <c r="J1590" s="341">
        <f>I1590-I1603-I1613</f>
        <v>0</v>
      </c>
      <c r="K1590" s="340">
        <f>SUMIFS(операции!$Z:$Z,операции!$X:$X,"&gt;="&amp;I$8,операции!$X:$X,"&lt;="&amp;I$9,операции!$L:$L,K$9,операции!$O:$O,$F1570)</f>
        <v>6605</v>
      </c>
      <c r="L1590" s="342">
        <f>SUMIFS(операции!$Z:$Z,операции!$X:$X,"&gt;="&amp;I$8,операции!$X:$X,"&lt;="&amp;I$9,операции!$L:$L,L$9,операции!$O:$O,$F1570)</f>
        <v>32720</v>
      </c>
      <c r="M1590" s="279"/>
      <c r="N1590" s="213">
        <f>SUMIFS(операции!$Z:$Z,операции!$X:$X,"&gt;="&amp;N$8,операции!$X:$X,"&lt;="&amp;N$9,операции!$O:$O,$F1570)</f>
        <v>9345</v>
      </c>
      <c r="O1590" s="216">
        <f>N1590-N1603-N1613</f>
        <v>0</v>
      </c>
      <c r="P1590" s="213">
        <f>SUMIFS(операции!$Z:$Z,операции!$X:$X,"&gt;="&amp;N$8,операции!$X:$X,"&lt;="&amp;N$9,операции!$L:$L,P$9,операции!$O:$O,$F1570)</f>
        <v>3115</v>
      </c>
      <c r="Q1590" s="250">
        <f>SUMIFS(операции!$Z:$Z,операции!$X:$X,"&gt;="&amp;N$8,операции!$X:$X,"&lt;="&amp;N$9,операции!$L:$L,Q$9,операции!$O:$O,$F1570)</f>
        <v>6230</v>
      </c>
      <c r="R1590" s="251"/>
      <c r="S1590" s="213">
        <f>SUMIFS(операции!$Z:$Z,операции!$X:$X,"&gt;="&amp;S$8,операции!$X:$X,"&lt;="&amp;S$9,операции!$O:$O,$F1570)</f>
        <v>22225</v>
      </c>
      <c r="T1590" s="216">
        <f>S1590-S1603-S1613</f>
        <v>0</v>
      </c>
      <c r="U1590" s="213">
        <f>SUMIFS(операции!$Z:$Z,операции!$X:$X,"&gt;="&amp;S$8,операции!$X:$X,"&lt;="&amp;S$9,операции!$L:$L,U$9,операции!$O:$O,$F1570)</f>
        <v>3490</v>
      </c>
      <c r="V1590" s="250">
        <f>SUMIFS(операции!$Z:$Z,операции!$X:$X,"&gt;="&amp;S$8,операции!$X:$X,"&lt;="&amp;S$9,операции!$L:$L,V$9,операции!$O:$O,$F1570)</f>
        <v>18735</v>
      </c>
      <c r="W1590" s="251"/>
      <c r="X1590" s="213">
        <f>SUMIFS(операции!$Z:$Z,операции!$X:$X,"&gt;="&amp;X$8,операции!$X:$X,"&lt;="&amp;X$9,операции!$O:$O,$F1570)</f>
        <v>7755</v>
      </c>
      <c r="Y1590" s="216">
        <f>X1590-X1603-X1613</f>
        <v>0</v>
      </c>
      <c r="Z1590" s="213">
        <f>SUMIFS(операции!$Z:$Z,операции!$X:$X,"&gt;="&amp;X$8,операции!$X:$X,"&lt;="&amp;X$9,операции!$L:$L,Z$9,операции!$O:$O,$F1570)</f>
        <v>0</v>
      </c>
      <c r="AA1590" s="250">
        <f>SUMIFS(операции!$Z:$Z,операции!$X:$X,"&gt;="&amp;X$8,операции!$X:$X,"&lt;="&amp;X$9,операции!$L:$L,AA$9,операции!$O:$O,$F1570)</f>
        <v>7755</v>
      </c>
      <c r="AB1590" s="264"/>
      <c r="AC1590" s="92"/>
      <c r="AD1590" s="92"/>
      <c r="AE1590" s="92"/>
      <c r="AF1590" s="92"/>
      <c r="AG1590" s="92"/>
      <c r="AH1590" s="92"/>
      <c r="AI1590" s="92"/>
      <c r="AJ1590" s="92"/>
      <c r="AK1590" s="92"/>
      <c r="AL1590" s="92"/>
      <c r="AM1590" s="92"/>
      <c r="AN1590" s="92"/>
      <c r="AO1590" s="92"/>
      <c r="AP1590" s="92"/>
    </row>
    <row r="1591" spans="1:42" s="407" customFormat="1" ht="11.25">
      <c r="A1591" s="404"/>
      <c r="B1591" s="404"/>
      <c r="C1591" s="404"/>
      <c r="D1591" s="405" t="s">
        <v>332</v>
      </c>
      <c r="E1591" s="405"/>
      <c r="F1591" s="405" t="str">
        <f>F1589</f>
        <v>СпортИн</v>
      </c>
      <c r="G1591" s="405" t="s">
        <v>218</v>
      </c>
      <c r="H1591" s="408"/>
      <c r="I1591" s="408">
        <f>IF(I$31=0,0,I1590/I$31)</f>
        <v>1.0600370480589663E-2</v>
      </c>
      <c r="J1591" s="409"/>
      <c r="K1591" s="408">
        <f t="shared" ref="K1591" si="2819">IF(K$31=0,0,K1590/K$31)</f>
        <v>5.0734556493178297E-3</v>
      </c>
      <c r="L1591" s="410">
        <f t="shared" ref="L1591" si="2820">IF(L$31=0,0,L1590/L$31)</f>
        <v>1.358859289123893E-2</v>
      </c>
      <c r="M1591" s="411"/>
      <c r="N1591" s="412">
        <f t="shared" ref="N1591" si="2821">IF(N$31=0,0,N1590/N$31)</f>
        <v>1.2058017839930942E-2</v>
      </c>
      <c r="O1591" s="413"/>
      <c r="P1591" s="412">
        <f t="shared" ref="P1591" si="2822">IF(P$31=0,0,P1590/P$31)</f>
        <v>6.22407468090378E-3</v>
      </c>
      <c r="Q1591" s="414">
        <f t="shared" ref="Q1591" si="2823">IF(Q$31=0,0,Q1590/Q$31)</f>
        <v>2.2693578409409641E-2</v>
      </c>
      <c r="R1591" s="415"/>
      <c r="S1591" s="412">
        <f t="shared" ref="S1591" si="2824">IF(S$31=0,0,S1590/S$31)</f>
        <v>1.252327864788034E-2</v>
      </c>
      <c r="T1591" s="413"/>
      <c r="U1591" s="412">
        <f t="shared" ref="U1591" si="2825">IF(U$31=0,0,U1590/U$31)</f>
        <v>5.5418376987876241E-3</v>
      </c>
      <c r="V1591" s="414">
        <f t="shared" ref="V1591" si="2826">IF(V$31=0,0,V1590/V$31)</f>
        <v>1.6363302880500287E-2</v>
      </c>
      <c r="W1591" s="415"/>
      <c r="X1591" s="412">
        <f t="shared" ref="X1591" si="2827">IF(X$31=0,0,X1590/X$31)</f>
        <v>6.6848953260039415E-3</v>
      </c>
      <c r="Y1591" s="413"/>
      <c r="Z1591" s="412">
        <f t="shared" ref="Z1591" si="2828">IF(Z$31=0,0,Z1590/Z$31)</f>
        <v>0</v>
      </c>
      <c r="AA1591" s="414">
        <f t="shared" ref="AA1591" si="2829">IF(AA$31=0,0,AA1590/AA$31)</f>
        <v>7.8457359361010087E-3</v>
      </c>
      <c r="AB1591" s="406"/>
      <c r="AC1591" s="404"/>
      <c r="AD1591" s="404"/>
      <c r="AE1591" s="404"/>
      <c r="AF1591" s="404"/>
      <c r="AG1591" s="404"/>
      <c r="AH1591" s="404"/>
      <c r="AI1591" s="404"/>
      <c r="AJ1591" s="404"/>
      <c r="AK1591" s="404"/>
      <c r="AL1591" s="404"/>
      <c r="AM1591" s="404"/>
      <c r="AN1591" s="404"/>
      <c r="AO1591" s="404"/>
      <c r="AP1591" s="404"/>
    </row>
    <row r="1592" spans="1:42" s="192" customFormat="1" ht="11.25">
      <c r="A1592" s="37"/>
      <c r="B1592" s="37"/>
      <c r="C1592" s="37"/>
      <c r="D1592" s="191" t="s">
        <v>331</v>
      </c>
      <c r="E1592" s="191"/>
      <c r="F1592" s="191" t="str">
        <f>F1590</f>
        <v>СпортИн</v>
      </c>
      <c r="G1592" s="191" t="s">
        <v>334</v>
      </c>
      <c r="H1592" s="315"/>
      <c r="I1592" s="329">
        <f>SUMIFS(операции!$R:$R,операции!$X:$X,"&gt;="&amp;I$8,операции!$X:$X,"&lt;="&amp;I$9,операции!$O:$O,$F1570)</f>
        <v>13</v>
      </c>
      <c r="J1592" s="317">
        <f>I1592-K1592-L1592</f>
        <v>0</v>
      </c>
      <c r="K1592" s="329">
        <f>SUMIFS(операции!$R:$R,операции!$X:$X,"&gt;="&amp;I$8,операции!$X:$X,"&lt;="&amp;I$9,операции!$L:$L,K$9,операции!$O:$O,$F1570)</f>
        <v>2</v>
      </c>
      <c r="L1592" s="330">
        <f>SUMIFS(операции!$R:$R,операции!$X:$X,"&gt;="&amp;I$8,операции!$X:$X,"&lt;="&amp;I$9,операции!$L:$L,L$9,операции!$O:$O,$F1570)</f>
        <v>11</v>
      </c>
      <c r="M1592" s="402"/>
      <c r="N1592" s="156">
        <f>SUMIFS(операции!$R:$R,операции!$X:$X,"&gt;="&amp;N$8,операции!$X:$X,"&lt;="&amp;N$9,операции!$O:$O,$F1570)</f>
        <v>3</v>
      </c>
      <c r="O1592" s="196">
        <f t="shared" ref="O1592" si="2830">N1592-P1592-Q1592</f>
        <v>0</v>
      </c>
      <c r="P1592" s="156">
        <f>SUMIFS(операции!$R:$R,операции!$X:$X,"&gt;="&amp;N$8,операции!$X:$X,"&lt;="&amp;N$9,операции!$L:$L,P$9,операции!$O:$O,$F1570)</f>
        <v>1</v>
      </c>
      <c r="Q1592" s="245">
        <f>SUMIFS(операции!$R:$R,операции!$X:$X,"&gt;="&amp;N$8,операции!$X:$X,"&lt;="&amp;N$9,операции!$L:$L,Q$9,операции!$O:$O,$F1570)</f>
        <v>2</v>
      </c>
      <c r="R1592" s="403"/>
      <c r="S1592" s="156">
        <f>SUMIFS(операции!$R:$R,операции!$X:$X,"&gt;="&amp;S$8,операции!$X:$X,"&lt;="&amp;S$9,операции!$O:$O,$F1570)</f>
        <v>7</v>
      </c>
      <c r="T1592" s="196">
        <f t="shared" ref="T1592" si="2831">S1592-U1592-V1592</f>
        <v>0</v>
      </c>
      <c r="U1592" s="156">
        <f>SUMIFS(операции!$R:$R,операции!$X:$X,"&gt;="&amp;S$8,операции!$X:$X,"&lt;="&amp;S$9,операции!$L:$L,U$9,операции!$O:$O,$F1570)</f>
        <v>1</v>
      </c>
      <c r="V1592" s="245">
        <f>SUMIFS(операции!$R:$R,операции!$X:$X,"&gt;="&amp;S$8,операции!$X:$X,"&lt;="&amp;S$9,операции!$L:$L,V$9,операции!$O:$O,$F1570)</f>
        <v>6</v>
      </c>
      <c r="W1592" s="403"/>
      <c r="X1592" s="156">
        <f>SUMIFS(операции!$R:$R,операции!$X:$X,"&gt;="&amp;X$8,операции!$X:$X,"&lt;="&amp;X$9,операции!$O:$O,$F1570)</f>
        <v>3</v>
      </c>
      <c r="Y1592" s="196">
        <f t="shared" ref="Y1592" si="2832">X1592-Z1592-AA1592</f>
        <v>0</v>
      </c>
      <c r="Z1592" s="156">
        <f>SUMIFS(операции!$R:$R,операции!$X:$X,"&gt;="&amp;X$8,операции!$X:$X,"&lt;="&amp;X$9,операции!$L:$L,Z$9,операции!$O:$O,$F1570)</f>
        <v>0</v>
      </c>
      <c r="AA1592" s="245">
        <f>SUMIFS(операции!$R:$R,операции!$X:$X,"&gt;="&amp;X$8,операции!$X:$X,"&lt;="&amp;X$9,операции!$L:$L,AA$9,операции!$O:$O,$F1570)</f>
        <v>3</v>
      </c>
      <c r="AB1592" s="265"/>
      <c r="AC1592" s="37"/>
      <c r="AD1592" s="37"/>
      <c r="AE1592" s="37"/>
      <c r="AF1592" s="37"/>
      <c r="AG1592" s="37"/>
      <c r="AH1592" s="37"/>
      <c r="AI1592" s="37"/>
      <c r="AJ1592" s="37"/>
      <c r="AK1592" s="37"/>
      <c r="AL1592" s="37"/>
      <c r="AM1592" s="37"/>
      <c r="AN1592" s="37"/>
      <c r="AO1592" s="37"/>
      <c r="AP1592" s="37"/>
    </row>
    <row r="1593" spans="1:42" s="192" customFormat="1" ht="11.25">
      <c r="A1593" s="37"/>
      <c r="B1593" s="37"/>
      <c r="C1593" s="37"/>
      <c r="D1593" s="191" t="s">
        <v>333</v>
      </c>
      <c r="E1593" s="191"/>
      <c r="F1593" s="191" t="str">
        <f t="shared" si="2790"/>
        <v>СпортИн</v>
      </c>
      <c r="G1593" s="191" t="s">
        <v>261</v>
      </c>
      <c r="H1593" s="315"/>
      <c r="I1593" s="329">
        <f>IF(I1592=0,0,I1590/I1592)</f>
        <v>3025</v>
      </c>
      <c r="J1593" s="317"/>
      <c r="K1593" s="329">
        <f t="shared" ref="K1593" si="2833">IF(K1592=0,0,K1590/K1592)</f>
        <v>3302.5</v>
      </c>
      <c r="L1593" s="330">
        <f t="shared" ref="L1593" si="2834">IF(L1592=0,0,L1590/L1592)</f>
        <v>2974.5454545454545</v>
      </c>
      <c r="M1593" s="402"/>
      <c r="N1593" s="156">
        <f>IF(N1592=0,0,N1590/N1592)</f>
        <v>3115</v>
      </c>
      <c r="O1593" s="196"/>
      <c r="P1593" s="156">
        <f>IF(P1592=0,0,P1590/P1592)</f>
        <v>3115</v>
      </c>
      <c r="Q1593" s="245">
        <f>IF(Q1592=0,0,Q1590/Q1592)</f>
        <v>3115</v>
      </c>
      <c r="R1593" s="403"/>
      <c r="S1593" s="156">
        <f>IF(S1592=0,0,S1590/S1592)</f>
        <v>3175</v>
      </c>
      <c r="T1593" s="196"/>
      <c r="U1593" s="156">
        <f>IF(U1592=0,0,U1590/U1592)</f>
        <v>3490</v>
      </c>
      <c r="V1593" s="245">
        <f>IF(V1592=0,0,V1590/V1592)</f>
        <v>3122.5</v>
      </c>
      <c r="W1593" s="403"/>
      <c r="X1593" s="156">
        <f>IF(X1592=0,0,X1590/X1592)</f>
        <v>2585</v>
      </c>
      <c r="Y1593" s="196"/>
      <c r="Z1593" s="156">
        <f>IF(Z1592=0,0,Z1590/Z1592)</f>
        <v>0</v>
      </c>
      <c r="AA1593" s="245">
        <f>IF(AA1592=0,0,AA1590/AA1592)</f>
        <v>2585</v>
      </c>
      <c r="AB1593" s="265"/>
      <c r="AC1593" s="37"/>
      <c r="AD1593" s="37"/>
      <c r="AE1593" s="37"/>
      <c r="AF1593" s="37"/>
      <c r="AG1593" s="37"/>
      <c r="AH1593" s="37"/>
      <c r="AI1593" s="37"/>
      <c r="AJ1593" s="37"/>
      <c r="AK1593" s="37"/>
      <c r="AL1593" s="37"/>
      <c r="AM1593" s="37"/>
      <c r="AN1593" s="37"/>
      <c r="AO1593" s="37"/>
      <c r="AP1593" s="37"/>
    </row>
    <row r="1594" spans="1:42" s="192" customFormat="1" ht="11.25">
      <c r="A1594" s="37"/>
      <c r="B1594" s="37"/>
      <c r="C1594" s="37"/>
      <c r="D1594" s="191" t="s">
        <v>290</v>
      </c>
      <c r="E1594" s="191"/>
      <c r="F1594" s="191" t="str">
        <f>F1590</f>
        <v>СпортИн</v>
      </c>
      <c r="G1594" s="191" t="s">
        <v>262</v>
      </c>
      <c r="H1594" s="315"/>
      <c r="I1594" s="316">
        <f>IF(I1590=0,0,SUMIFS(операции!$AG:$AG,операции!$X:$X,"&gt;="&amp;I$8,операции!$X:$X,"&lt;="&amp;I$9,операции!$O:$O,$F1570)/I1590)</f>
        <v>42322.042517482514</v>
      </c>
      <c r="J1594" s="317"/>
      <c r="K1594" s="316">
        <f>IF(K1590=0,0,SUMIFS(операции!$AG:$AG,операции!$X:$X,"&gt;="&amp;I$8,операции!$X:$X,"&lt;="&amp;I$9,операции!$L:$L,K$9,операции!$O:$O,$F1570)/K1590)</f>
        <v>42321.323239969723</v>
      </c>
      <c r="L1594" s="318">
        <f>IF(L1590=0,0,SUMIFS(операции!$AG:$AG,операции!$X:$X,"&gt;="&amp;I$8,операции!$X:$X,"&lt;="&amp;I$9,операции!$L:$L,L$9,операции!$O:$O,$F1570)/L1590)</f>
        <v>42322.18771393643</v>
      </c>
      <c r="M1594" s="274"/>
      <c r="N1594" s="193">
        <f>IF(N1590=0,0,SUMIFS(операции!$AG:$AG,операции!$X:$X,"&gt;="&amp;N$8,операции!$X:$X,"&lt;="&amp;N$9,операции!$O:$O,$F1570)/N1590)</f>
        <v>42302.666666666664</v>
      </c>
      <c r="O1594" s="196"/>
      <c r="P1594" s="193">
        <f>IF(P1590=0,0,SUMIFS(операции!$AG:$AG,операции!$X:$X,"&gt;="&amp;N$8,операции!$X:$X,"&lt;="&amp;N$9,операции!$L:$L,P$9,операции!$O:$O,$F1570)/P1590)</f>
        <v>42306</v>
      </c>
      <c r="Q1594" s="237">
        <f>IF(Q1590=0,0,SUMIFS(операции!$AG:$AG,операции!$X:$X,"&gt;="&amp;N$8,операции!$X:$X,"&lt;="&amp;N$9,операции!$L:$L,Q$9,операции!$O:$O,$F1570)/Q1590)</f>
        <v>42301</v>
      </c>
      <c r="R1594" s="238"/>
      <c r="S1594" s="193">
        <f>IF(S1590=0,0,SUMIFS(операции!$AG:$AG,операции!$X:$X,"&gt;="&amp;S$8,операции!$X:$X,"&lt;="&amp;S$9,операции!$O:$O,$F1570)/S1590)</f>
        <v>42321.713700787404</v>
      </c>
      <c r="T1594" s="196"/>
      <c r="U1594" s="193">
        <f>IF(U1590=0,0,SUMIFS(операции!$AG:$AG,операции!$X:$X,"&gt;="&amp;S$8,операции!$X:$X,"&lt;="&amp;S$9,операции!$L:$L,U$9,операции!$O:$O,$F1570)/U1590)</f>
        <v>42335</v>
      </c>
      <c r="V1594" s="237">
        <f>IF(V1590=0,0,SUMIFS(операции!$AG:$AG,операции!$X:$X,"&gt;="&amp;S$8,операции!$X:$X,"&lt;="&amp;S$9,операции!$L:$L,V$9,операции!$O:$O,$F1570)/V1590)</f>
        <v>42319.238697624765</v>
      </c>
      <c r="W1594" s="238"/>
      <c r="X1594" s="193">
        <f>IF(X1590=0,0,SUMIFS(операции!$AG:$AG,операции!$X:$X,"&gt;="&amp;X$8,операции!$X:$X,"&lt;="&amp;X$9,операции!$O:$O,$F1570)/X1590)</f>
        <v>42346.333333333336</v>
      </c>
      <c r="Y1594" s="196"/>
      <c r="Z1594" s="193">
        <f>IF(Z1590=0,0,SUMIFS(операции!$AG:$AG,операции!$X:$X,"&gt;="&amp;X$8,операции!$X:$X,"&lt;="&amp;X$9,операции!$L:$L,Z$9,операции!$O:$O,$F1570)/Z1590)</f>
        <v>0</v>
      </c>
      <c r="AA1594" s="237">
        <f>IF(AA1590=0,0,SUMIFS(операции!$AG:$AG,операции!$X:$X,"&gt;="&amp;X$8,операции!$X:$X,"&lt;="&amp;X$9,операции!$L:$L,AA$9,операции!$O:$O,$F1570)/AA1590)</f>
        <v>42346.333333333336</v>
      </c>
      <c r="AB1594" s="265"/>
      <c r="AC1594" s="37"/>
      <c r="AD1594" s="37"/>
      <c r="AE1594" s="37"/>
      <c r="AF1594" s="37"/>
      <c r="AG1594" s="37"/>
      <c r="AH1594" s="37"/>
      <c r="AI1594" s="37"/>
      <c r="AJ1594" s="37"/>
      <c r="AK1594" s="37"/>
      <c r="AL1594" s="37"/>
      <c r="AM1594" s="37"/>
      <c r="AN1594" s="37"/>
      <c r="AO1594" s="37"/>
      <c r="AP1594" s="37"/>
    </row>
    <row r="1595" spans="1:42" s="93" customFormat="1" ht="15">
      <c r="A1595" s="92"/>
      <c r="B1595" s="92"/>
      <c r="C1595" s="92"/>
      <c r="D1595" s="151" t="s">
        <v>275</v>
      </c>
      <c r="E1595" s="151"/>
      <c r="F1595" s="151" t="str">
        <f t="shared" si="2790"/>
        <v>СпортИн</v>
      </c>
      <c r="G1595" s="151" t="s">
        <v>261</v>
      </c>
      <c r="H1595" s="311"/>
      <c r="I1595" s="312">
        <f>SUMIFS(операции!$V:$V,операции!$X:$X,"&gt;="&amp;I$8,операции!$X:$X,"&lt;="&amp;I$9,операции!$O:$O,$F1570)</f>
        <v>29490.5</v>
      </c>
      <c r="J1595" s="313">
        <f>I1595-I1605-I1615</f>
        <v>0</v>
      </c>
      <c r="K1595" s="312">
        <f>SUMIFS(операции!$V:$V,операции!$X:$X,"&gt;="&amp;I$8,операции!$X:$X,"&lt;="&amp;I$9,операции!$L:$L,K$9,операции!$O:$O,$F1570)</f>
        <v>4537</v>
      </c>
      <c r="L1595" s="314">
        <f>SUMIFS(операции!$V:$V,операции!$X:$X,"&gt;="&amp;I$8,операции!$X:$X,"&lt;="&amp;I$9,операции!$L:$L,L$9,операции!$O:$O,$F1570)</f>
        <v>24953.5</v>
      </c>
      <c r="M1595" s="273"/>
      <c r="N1595" s="152">
        <f>SUMIFS(операции!$V:$V,операции!$X:$X,"&gt;="&amp;N$8,операции!$X:$X,"&lt;="&amp;N$9,операции!$O:$O,$F1570)</f>
        <v>6805.5</v>
      </c>
      <c r="O1595" s="170">
        <f>N1595-N1605-N1615</f>
        <v>0</v>
      </c>
      <c r="P1595" s="152">
        <f>SUMIFS(операции!$V:$V,операции!$X:$X,"&gt;="&amp;N$8,операции!$X:$X,"&lt;="&amp;N$9,операции!$L:$L,P$9,операции!$O:$O,$F1570)</f>
        <v>2268.5</v>
      </c>
      <c r="Q1595" s="235">
        <f>SUMIFS(операции!$V:$V,операции!$X:$X,"&gt;="&amp;N$8,операции!$X:$X,"&lt;="&amp;N$9,операции!$L:$L,Q$9,операции!$O:$O,$F1570)</f>
        <v>4537</v>
      </c>
      <c r="R1595" s="236"/>
      <c r="S1595" s="152">
        <f>SUMIFS(операции!$V:$V,операции!$X:$X,"&gt;="&amp;S$8,операции!$X:$X,"&lt;="&amp;S$9,операции!$O:$O,$F1570)</f>
        <v>15879.5</v>
      </c>
      <c r="T1595" s="170">
        <f>S1595-S1605-S1615</f>
        <v>0</v>
      </c>
      <c r="U1595" s="152">
        <f>SUMIFS(операции!$V:$V,операции!$X:$X,"&gt;="&amp;S$8,операции!$X:$X,"&lt;="&amp;S$9,операции!$L:$L,U$9,операции!$O:$O,$F1570)</f>
        <v>2268.5</v>
      </c>
      <c r="V1595" s="235">
        <f>SUMIFS(операции!$V:$V,операции!$X:$X,"&gt;="&amp;S$8,операции!$X:$X,"&lt;="&amp;S$9,операции!$L:$L,V$9,операции!$O:$O,$F1570)</f>
        <v>13611</v>
      </c>
      <c r="W1595" s="236"/>
      <c r="X1595" s="152">
        <f>SUMIFS(операции!$V:$V,операции!$X:$X,"&gt;="&amp;X$8,операции!$X:$X,"&lt;="&amp;X$9,операции!$O:$O,$F1570)</f>
        <v>6805.5</v>
      </c>
      <c r="Y1595" s="170">
        <f>X1595-X1605-X1615</f>
        <v>0</v>
      </c>
      <c r="Z1595" s="152">
        <f>SUMIFS(операции!$V:$V,операции!$X:$X,"&gt;="&amp;X$8,операции!$X:$X,"&lt;="&amp;X$9,операции!$L:$L,Z$9,операции!$O:$O,$F1570)</f>
        <v>0</v>
      </c>
      <c r="AA1595" s="235">
        <f>SUMIFS(операции!$V:$V,операции!$X:$X,"&gt;="&amp;X$8,операции!$X:$X,"&lt;="&amp;X$9,операции!$L:$L,AA$9,операции!$O:$O,$F1570)</f>
        <v>6805.5</v>
      </c>
      <c r="AB1595" s="264"/>
      <c r="AC1595" s="92"/>
      <c r="AD1595" s="92"/>
      <c r="AE1595" s="92"/>
      <c r="AF1595" s="92"/>
      <c r="AG1595" s="92"/>
      <c r="AH1595" s="92"/>
      <c r="AI1595" s="92"/>
      <c r="AJ1595" s="92"/>
      <c r="AK1595" s="92"/>
      <c r="AL1595" s="92"/>
      <c r="AM1595" s="92"/>
      <c r="AN1595" s="92"/>
      <c r="AO1595" s="92"/>
      <c r="AP1595" s="92"/>
    </row>
    <row r="1596" spans="1:42" s="192" customFormat="1" ht="11.25">
      <c r="A1596" s="37"/>
      <c r="B1596" s="37"/>
      <c r="C1596" s="37"/>
      <c r="D1596" s="191" t="s">
        <v>291</v>
      </c>
      <c r="E1596" s="191"/>
      <c r="F1596" s="191" t="str">
        <f t="shared" si="2790"/>
        <v>СпортИн</v>
      </c>
      <c r="G1596" s="191" t="s">
        <v>262</v>
      </c>
      <c r="H1596" s="315"/>
      <c r="I1596" s="316">
        <f>IF(I1595=0,0,SUMIFS(операции!$AF:$AF,операции!$X:$X,"&gt;="&amp;I$8,операции!$X:$X,"&lt;="&amp;I$9,операции!$O:$O,$F1570)/I1595)</f>
        <v>42294.153846153844</v>
      </c>
      <c r="J1596" s="317"/>
      <c r="K1596" s="316">
        <f>IF(K1595=0,0,SUMIFS(операции!$AF:$AF,операции!$X:$X,"&gt;="&amp;I$8,операции!$X:$X,"&lt;="&amp;I$9,операции!$L:$L,K$9,операции!$O:$O,$F1570)/K1595)</f>
        <v>42169</v>
      </c>
      <c r="L1596" s="318">
        <f>IF(L1595=0,0,SUMIFS(операции!$AF:$AF,операции!$X:$X,"&gt;="&amp;I$8,операции!$X:$X,"&lt;="&amp;I$9,операции!$L:$L,L$9,операции!$O:$O,$F1570)/L1595)</f>
        <v>42316.909090909088</v>
      </c>
      <c r="M1596" s="274"/>
      <c r="N1596" s="193">
        <f>IF(N1595=0,0,SUMIFS(операции!$AF:$AF,операции!$X:$X,"&gt;="&amp;N$8,операции!$X:$X,"&lt;="&amp;N$9,операции!$O:$O,$F1570)/N1595)</f>
        <v>42249</v>
      </c>
      <c r="O1596" s="196"/>
      <c r="P1596" s="193">
        <f>IF(P1595=0,0,SUMIFS(операции!$AF:$AF,операции!$X:$X,"&gt;="&amp;N$8,операции!$X:$X,"&lt;="&amp;N$9,операции!$L:$L,P$9,операции!$O:$O,$F1570)/P1595)</f>
        <v>42155</v>
      </c>
      <c r="Q1596" s="237">
        <f>IF(Q1595=0,0,SUMIFS(операции!$AF:$AF,операции!$X:$X,"&gt;="&amp;N$8,операции!$X:$X,"&lt;="&amp;N$9,операции!$L:$L,Q$9,операции!$O:$O,$F1570)/Q1595)</f>
        <v>42296</v>
      </c>
      <c r="R1596" s="238"/>
      <c r="S1596" s="193">
        <f>IF(S1595=0,0,SUMIFS(операции!$AF:$AF,операции!$X:$X,"&gt;="&amp;S$8,операции!$X:$X,"&lt;="&amp;S$9,операции!$O:$O,$F1570)/S1595)</f>
        <v>42294.857142857145</v>
      </c>
      <c r="T1596" s="196"/>
      <c r="U1596" s="193">
        <f>IF(U1595=0,0,SUMIFS(операции!$AF:$AF,операции!$X:$X,"&gt;="&amp;S$8,операции!$X:$X,"&lt;="&amp;S$9,операции!$L:$L,U$9,операции!$O:$O,$F1570)/U1595)</f>
        <v>42183</v>
      </c>
      <c r="V1596" s="237">
        <f>IF(V1595=0,0,SUMIFS(операции!$AF:$AF,операции!$X:$X,"&gt;="&amp;S$8,операции!$X:$X,"&lt;="&amp;S$9,операции!$L:$L,V$9,операции!$O:$O,$F1570)/V1595)</f>
        <v>42313.5</v>
      </c>
      <c r="W1596" s="238"/>
      <c r="X1596" s="193">
        <f>IF(X1595=0,0,SUMIFS(операции!$AF:$AF,операции!$X:$X,"&gt;="&amp;X$8,операции!$X:$X,"&lt;="&amp;X$9,операции!$O:$O,$F1570)/X1595)</f>
        <v>42337.666666666664</v>
      </c>
      <c r="Y1596" s="196"/>
      <c r="Z1596" s="193">
        <f>IF(Z1595=0,0,SUMIFS(операции!$AF:$AF,операции!$X:$X,"&gt;="&amp;X$8,операции!$X:$X,"&lt;="&amp;X$9,операции!$L:$L,Z$9,операции!$O:$O,$F1570)/Z1595)</f>
        <v>0</v>
      </c>
      <c r="AA1596" s="237">
        <f>IF(AA1595=0,0,SUMIFS(операции!$AF:$AF,операции!$X:$X,"&gt;="&amp;X$8,операции!$X:$X,"&lt;="&amp;X$9,операции!$L:$L,AA$9,операции!$O:$O,$F1570)/AA1595)</f>
        <v>42337.666666666664</v>
      </c>
      <c r="AB1596" s="265"/>
      <c r="AC1596" s="37"/>
      <c r="AD1596" s="37"/>
      <c r="AE1596" s="37"/>
      <c r="AF1596" s="37"/>
      <c r="AG1596" s="37"/>
      <c r="AH1596" s="37"/>
      <c r="AI1596" s="37"/>
      <c r="AJ1596" s="37"/>
      <c r="AK1596" s="37"/>
      <c r="AL1596" s="37"/>
      <c r="AM1596" s="37"/>
      <c r="AN1596" s="37"/>
      <c r="AO1596" s="37"/>
      <c r="AP1596" s="37"/>
    </row>
    <row r="1597" spans="1:42" s="192" customFormat="1" ht="11.25">
      <c r="A1597" s="37"/>
      <c r="B1597" s="37"/>
      <c r="C1597" s="37"/>
      <c r="D1597" s="191" t="s">
        <v>308</v>
      </c>
      <c r="E1597" s="191"/>
      <c r="F1597" s="191" t="str">
        <f t="shared" si="2790"/>
        <v>СпортИн</v>
      </c>
      <c r="G1597" s="191" t="s">
        <v>262</v>
      </c>
      <c r="H1597" s="315"/>
      <c r="I1597" s="316">
        <f>IF(I1595=0,0,(I1605*I1607+I1615*I1617)/I1595)</f>
        <v>42328.769230769234</v>
      </c>
      <c r="J1597" s="317"/>
      <c r="K1597" s="316">
        <f t="shared" ref="K1597:L1597" si="2835">IF(K1595=0,0,(K1605*K1607+K1615*K1617)/K1595)</f>
        <v>42214</v>
      </c>
      <c r="L1597" s="318">
        <f t="shared" si="2835"/>
        <v>42349.63636363636</v>
      </c>
      <c r="M1597" s="274"/>
      <c r="N1597" s="193">
        <f>IF(N1595=0,0,(N1605*N1607+N1615*N1617)/N1595)</f>
        <v>42282.333333333336</v>
      </c>
      <c r="O1597" s="196"/>
      <c r="P1597" s="193">
        <f t="shared" ref="P1597:Q1597" si="2836">IF(P1595=0,0,(P1605*P1607+P1615*P1617)/P1595)</f>
        <v>42215</v>
      </c>
      <c r="Q1597" s="237">
        <f t="shared" si="2836"/>
        <v>42316</v>
      </c>
      <c r="R1597" s="238"/>
      <c r="S1597" s="193">
        <f>IF(S1595=0,0,(S1605*S1607+S1615*S1617)/S1595)</f>
        <v>42321.714285714283</v>
      </c>
      <c r="T1597" s="196"/>
      <c r="U1597" s="193">
        <f t="shared" ref="U1597:V1597" si="2837">IF(U1595=0,0,(U1605*U1607+U1615*U1617)/U1595)</f>
        <v>42213</v>
      </c>
      <c r="V1597" s="237">
        <f t="shared" si="2837"/>
        <v>42339.833333333336</v>
      </c>
      <c r="W1597" s="238"/>
      <c r="X1597" s="193">
        <f>IF(X1595=0,0,(X1605*X1607+X1615*X1617)/X1595)</f>
        <v>42350.666666666664</v>
      </c>
      <c r="Y1597" s="196"/>
      <c r="Z1597" s="193">
        <f t="shared" ref="Z1597:AA1597" si="2838">IF(Z1595=0,0,(Z1605*Z1607+Z1615*Z1617)/Z1595)</f>
        <v>0</v>
      </c>
      <c r="AA1597" s="237">
        <f t="shared" si="2838"/>
        <v>42350.666666666664</v>
      </c>
      <c r="AB1597" s="265"/>
      <c r="AC1597" s="37"/>
      <c r="AD1597" s="37"/>
      <c r="AE1597" s="37"/>
      <c r="AF1597" s="37"/>
      <c r="AG1597" s="37"/>
      <c r="AH1597" s="37"/>
      <c r="AI1597" s="37"/>
      <c r="AJ1597" s="37"/>
      <c r="AK1597" s="37"/>
      <c r="AL1597" s="37"/>
      <c r="AM1597" s="37"/>
      <c r="AN1597" s="37"/>
      <c r="AO1597" s="37"/>
      <c r="AP1597" s="37"/>
    </row>
    <row r="1598" spans="1:42" s="93" customFormat="1" ht="15">
      <c r="A1598" s="92"/>
      <c r="B1598" s="92"/>
      <c r="C1598" s="92"/>
      <c r="D1598" s="151" t="s">
        <v>278</v>
      </c>
      <c r="E1598" s="151"/>
      <c r="F1598" s="151" t="str">
        <f t="shared" si="2790"/>
        <v>СпортИн</v>
      </c>
      <c r="G1598" s="151" t="s">
        <v>261</v>
      </c>
      <c r="H1598" s="311"/>
      <c r="I1598" s="312">
        <f>I1590-I1595</f>
        <v>9834.5</v>
      </c>
      <c r="J1598" s="313">
        <f>I1598-K1598-L1598</f>
        <v>0</v>
      </c>
      <c r="K1598" s="312">
        <f t="shared" ref="K1598:L1598" si="2839">K1590-K1595</f>
        <v>2068</v>
      </c>
      <c r="L1598" s="314">
        <f t="shared" si="2839"/>
        <v>7766.5</v>
      </c>
      <c r="M1598" s="273"/>
      <c r="N1598" s="152">
        <f>N1590-N1595</f>
        <v>2539.5</v>
      </c>
      <c r="O1598" s="170">
        <f>N1598-P1598-Q1598</f>
        <v>0</v>
      </c>
      <c r="P1598" s="152">
        <f t="shared" ref="P1598:Q1598" si="2840">P1590-P1595</f>
        <v>846.5</v>
      </c>
      <c r="Q1598" s="235">
        <f t="shared" si="2840"/>
        <v>1693</v>
      </c>
      <c r="R1598" s="236"/>
      <c r="S1598" s="152">
        <f>S1590-S1595</f>
        <v>6345.5</v>
      </c>
      <c r="T1598" s="170">
        <f>S1598-U1598-V1598</f>
        <v>0</v>
      </c>
      <c r="U1598" s="152">
        <f t="shared" ref="U1598:V1598" si="2841">U1590-U1595</f>
        <v>1221.5</v>
      </c>
      <c r="V1598" s="235">
        <f t="shared" si="2841"/>
        <v>5124</v>
      </c>
      <c r="W1598" s="236"/>
      <c r="X1598" s="152">
        <f>X1590-X1595</f>
        <v>949.5</v>
      </c>
      <c r="Y1598" s="170">
        <f>X1598-Z1598-AA1598</f>
        <v>0</v>
      </c>
      <c r="Z1598" s="152">
        <f t="shared" ref="Z1598:AA1598" si="2842">Z1590-Z1595</f>
        <v>0</v>
      </c>
      <c r="AA1598" s="235">
        <f t="shared" si="2842"/>
        <v>949.5</v>
      </c>
      <c r="AB1598" s="264"/>
      <c r="AC1598" s="92"/>
      <c r="AD1598" s="92"/>
      <c r="AE1598" s="92"/>
      <c r="AF1598" s="92"/>
      <c r="AG1598" s="92"/>
      <c r="AH1598" s="92"/>
      <c r="AI1598" s="92"/>
      <c r="AJ1598" s="92"/>
      <c r="AK1598" s="92"/>
      <c r="AL1598" s="92"/>
      <c r="AM1598" s="92"/>
      <c r="AN1598" s="92"/>
      <c r="AO1598" s="92"/>
      <c r="AP1598" s="92"/>
    </row>
    <row r="1599" spans="1:42" s="211" customFormat="1">
      <c r="A1599" s="210"/>
      <c r="B1599" s="210"/>
      <c r="C1599" s="210"/>
      <c r="D1599" s="218" t="s">
        <v>277</v>
      </c>
      <c r="E1599" s="218"/>
      <c r="F1599" s="218" t="str">
        <f t="shared" si="2790"/>
        <v>СпортИн</v>
      </c>
      <c r="G1599" s="218" t="s">
        <v>218</v>
      </c>
      <c r="H1599" s="343"/>
      <c r="I1599" s="344">
        <f>IF(I1590=0,0,(I1598/I1590))</f>
        <v>0.25008264462809915</v>
      </c>
      <c r="J1599" s="345"/>
      <c r="K1599" s="344">
        <f t="shared" ref="K1599" si="2843">IF(K1590=0,0,(K1598/K1590))</f>
        <v>0.31309613928841784</v>
      </c>
      <c r="L1599" s="346">
        <f t="shared" ref="L1599" si="2844">IF(L1590=0,0,(L1598/L1590))</f>
        <v>0.23736246943765282</v>
      </c>
      <c r="M1599" s="280"/>
      <c r="N1599" s="219">
        <f>IF(N1590=0,0,(N1598/N1590))</f>
        <v>0.27174959871589083</v>
      </c>
      <c r="O1599" s="220"/>
      <c r="P1599" s="219">
        <f t="shared" ref="P1599" si="2845">IF(P1590=0,0,(P1598/P1590))</f>
        <v>0.27174959871589083</v>
      </c>
      <c r="Q1599" s="252">
        <f t="shared" ref="Q1599" si="2846">IF(Q1590=0,0,(Q1598/Q1590))</f>
        <v>0.27174959871589083</v>
      </c>
      <c r="R1599" s="253"/>
      <c r="S1599" s="219">
        <f>IF(S1590=0,0,(S1598/S1590))</f>
        <v>0.28551181102362205</v>
      </c>
      <c r="T1599" s="220"/>
      <c r="U1599" s="219">
        <f t="shared" ref="U1599" si="2847">IF(U1590=0,0,(U1598/U1590))</f>
        <v>0.35</v>
      </c>
      <c r="V1599" s="252">
        <f t="shared" ref="V1599" si="2848">IF(V1590=0,0,(V1598/V1590))</f>
        <v>0.27349879903923141</v>
      </c>
      <c r="W1599" s="253"/>
      <c r="X1599" s="219">
        <f>IF(X1590=0,0,(X1598/X1590))</f>
        <v>0.12243713733075436</v>
      </c>
      <c r="Y1599" s="220"/>
      <c r="Z1599" s="219">
        <f t="shared" ref="Z1599" si="2849">IF(Z1590=0,0,(Z1598/Z1590))</f>
        <v>0</v>
      </c>
      <c r="AA1599" s="252">
        <f t="shared" ref="AA1599" si="2850">IF(AA1590=0,0,(AA1598/AA1590))</f>
        <v>0.12243713733075436</v>
      </c>
      <c r="AB1599" s="267"/>
      <c r="AC1599" s="210"/>
      <c r="AD1599" s="210"/>
      <c r="AE1599" s="210"/>
      <c r="AF1599" s="210"/>
      <c r="AG1599" s="210"/>
      <c r="AH1599" s="210"/>
      <c r="AI1599" s="210"/>
      <c r="AJ1599" s="210"/>
      <c r="AK1599" s="210"/>
      <c r="AL1599" s="210"/>
      <c r="AM1599" s="210"/>
      <c r="AN1599" s="210"/>
      <c r="AO1599" s="210"/>
      <c r="AP1599" s="210"/>
    </row>
    <row r="1600" spans="1:42" s="93" customFormat="1" ht="15">
      <c r="A1600" s="92"/>
      <c r="B1600" s="92"/>
      <c r="C1600" s="92"/>
      <c r="D1600" s="198" t="s">
        <v>220</v>
      </c>
      <c r="E1600" s="198"/>
      <c r="F1600" s="198" t="str">
        <f t="shared" si="2790"/>
        <v>СпортИн</v>
      </c>
      <c r="G1600" s="198" t="s">
        <v>219</v>
      </c>
      <c r="H1600" s="323"/>
      <c r="I1600" s="324">
        <f>I1594-I1596</f>
        <v>27.888671328670171</v>
      </c>
      <c r="J1600" s="321">
        <f>I1600-SUMIFS(ПОбТЗ!$I:$I,ПОбТЗ!$E:$E,$D1600,ПОбТЗ!$F:$F,$F1600)</f>
        <v>0</v>
      </c>
      <c r="K1600" s="324">
        <f t="shared" ref="K1600:L1600" si="2851">K1594-K1596</f>
        <v>152.32323996972264</v>
      </c>
      <c r="L1600" s="325">
        <f t="shared" si="2851"/>
        <v>5.2786230273413821</v>
      </c>
      <c r="M1600" s="276"/>
      <c r="N1600" s="199">
        <f>N1594-N1596</f>
        <v>53.666666666664241</v>
      </c>
      <c r="O1600" s="173">
        <f>N1600-SUMIFS(ПОбТЗ_3!$J:$J,ПОбТЗ_3!$D:$D,$D1600,ПОбТЗ_3!$E:$E,$F1600)</f>
        <v>0</v>
      </c>
      <c r="P1600" s="199">
        <f t="shared" ref="P1600:Q1600" si="2852">P1594-P1596</f>
        <v>151</v>
      </c>
      <c r="Q1600" s="241">
        <f t="shared" si="2852"/>
        <v>5</v>
      </c>
      <c r="R1600" s="242"/>
      <c r="S1600" s="199">
        <f>S1594-S1596</f>
        <v>26.856557930259441</v>
      </c>
      <c r="T1600" s="173">
        <f>S1600-SUMIFS(ПОбТЗ_3!$K:$K,ПОбТЗ_3!$D:$D,$D1600,ПОбТЗ_3!$E:$E,$F1600)</f>
        <v>0</v>
      </c>
      <c r="U1600" s="199">
        <f t="shared" ref="U1600:V1600" si="2853">U1594-U1596</f>
        <v>152</v>
      </c>
      <c r="V1600" s="241">
        <f t="shared" si="2853"/>
        <v>5.7386976247653365</v>
      </c>
      <c r="W1600" s="242"/>
      <c r="X1600" s="199">
        <f>X1594-X1596</f>
        <v>8.6666666666715173</v>
      </c>
      <c r="Y1600" s="173">
        <f>X1600-SUMIFS(ПОбТЗ_3!$L:$L,ПОбТЗ_3!$D:$D,$D1600,ПОбТЗ_3!$E:$E,$F1600)</f>
        <v>0</v>
      </c>
      <c r="Z1600" s="199">
        <f t="shared" ref="Z1600:AA1600" si="2854">Z1594-Z1596</f>
        <v>0</v>
      </c>
      <c r="AA1600" s="241">
        <f t="shared" si="2854"/>
        <v>8.6666666666715173</v>
      </c>
      <c r="AB1600" s="264"/>
      <c r="AC1600" s="92"/>
      <c r="AD1600" s="92"/>
      <c r="AE1600" s="92"/>
      <c r="AF1600" s="92"/>
      <c r="AG1600" s="92"/>
      <c r="AH1600" s="92"/>
      <c r="AI1600" s="92"/>
      <c r="AJ1600" s="92"/>
      <c r="AK1600" s="92"/>
      <c r="AL1600" s="92"/>
      <c r="AM1600" s="92"/>
      <c r="AN1600" s="92"/>
      <c r="AO1600" s="92"/>
      <c r="AP1600" s="92"/>
    </row>
    <row r="1601" spans="1:42" s="5" customFormat="1">
      <c r="A1601" s="1"/>
      <c r="B1601" s="1"/>
      <c r="C1601" s="1"/>
      <c r="D1601" s="227" t="s">
        <v>309</v>
      </c>
      <c r="E1601" s="227"/>
      <c r="F1601" s="227" t="str">
        <f t="shared" si="2790"/>
        <v>СпортИн</v>
      </c>
      <c r="G1601" s="227" t="s">
        <v>219</v>
      </c>
      <c r="H1601" s="347"/>
      <c r="I1601" s="348">
        <f>I1597-I1596</f>
        <v>34.615384615390212</v>
      </c>
      <c r="J1601" s="321"/>
      <c r="K1601" s="348">
        <f t="shared" ref="K1601:L1601" si="2855">K1597-K1596</f>
        <v>45</v>
      </c>
      <c r="L1601" s="349">
        <f t="shared" si="2855"/>
        <v>32.727272727272066</v>
      </c>
      <c r="M1601" s="281"/>
      <c r="N1601" s="228">
        <f>N1597-N1596</f>
        <v>33.333333333335759</v>
      </c>
      <c r="O1601" s="173"/>
      <c r="P1601" s="228">
        <f t="shared" ref="P1601:Q1601" si="2856">P1597-P1596</f>
        <v>60</v>
      </c>
      <c r="Q1601" s="254">
        <f t="shared" si="2856"/>
        <v>20</v>
      </c>
      <c r="R1601" s="255"/>
      <c r="S1601" s="228">
        <f>S1597-S1596</f>
        <v>26.85714285713766</v>
      </c>
      <c r="T1601" s="173"/>
      <c r="U1601" s="228">
        <f t="shared" ref="U1601:V1601" si="2857">U1597-U1596</f>
        <v>30</v>
      </c>
      <c r="V1601" s="254">
        <f t="shared" si="2857"/>
        <v>26.333333333335759</v>
      </c>
      <c r="W1601" s="255"/>
      <c r="X1601" s="228">
        <f>X1597-X1596</f>
        <v>13</v>
      </c>
      <c r="Y1601" s="173"/>
      <c r="Z1601" s="228">
        <f t="shared" ref="Z1601:AA1601" si="2858">Z1597-Z1596</f>
        <v>0</v>
      </c>
      <c r="AA1601" s="254">
        <f t="shared" si="2858"/>
        <v>13</v>
      </c>
      <c r="AB1601" s="266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</row>
    <row r="1602" spans="1:42" s="5" customFormat="1">
      <c r="A1602" s="1"/>
      <c r="B1602" s="1"/>
      <c r="C1602" s="1"/>
      <c r="D1602" s="225" t="s">
        <v>310</v>
      </c>
      <c r="E1602" s="225"/>
      <c r="F1602" s="225" t="str">
        <f t="shared" si="2790"/>
        <v>СпортИн</v>
      </c>
      <c r="G1602" s="225" t="s">
        <v>219</v>
      </c>
      <c r="H1602" s="350"/>
      <c r="I1602" s="351">
        <f>I1600-I1601</f>
        <v>-6.7267132867200417</v>
      </c>
      <c r="J1602" s="352"/>
      <c r="K1602" s="351">
        <f t="shared" ref="K1602" si="2859">K1600-K1601</f>
        <v>107.32323996972264</v>
      </c>
      <c r="L1602" s="353">
        <f t="shared" ref="L1602" si="2860">L1600-L1601</f>
        <v>-27.448649699930684</v>
      </c>
      <c r="M1602" s="282"/>
      <c r="N1602" s="226">
        <f>N1600-N1601</f>
        <v>20.333333333328483</v>
      </c>
      <c r="O1602" s="181"/>
      <c r="P1602" s="226">
        <f t="shared" ref="P1602" si="2861">P1600-P1601</f>
        <v>91</v>
      </c>
      <c r="Q1602" s="256">
        <f t="shared" ref="Q1602" si="2862">Q1600-Q1601</f>
        <v>-15</v>
      </c>
      <c r="R1602" s="257"/>
      <c r="S1602" s="226">
        <f>S1600-S1601</f>
        <v>-5.8492687821853906E-4</v>
      </c>
      <c r="T1602" s="181"/>
      <c r="U1602" s="226">
        <f t="shared" ref="U1602" si="2863">U1600-U1601</f>
        <v>122</v>
      </c>
      <c r="V1602" s="256">
        <f t="shared" ref="V1602" si="2864">V1600-V1601</f>
        <v>-20.594635708570422</v>
      </c>
      <c r="W1602" s="257"/>
      <c r="X1602" s="226">
        <f>X1600-X1601</f>
        <v>-4.3333333333284827</v>
      </c>
      <c r="Y1602" s="181"/>
      <c r="Z1602" s="226">
        <f t="shared" ref="Z1602" si="2865">Z1600-Z1601</f>
        <v>0</v>
      </c>
      <c r="AA1602" s="256">
        <f t="shared" ref="AA1602" si="2866">AA1600-AA1601</f>
        <v>-4.3333333333284827</v>
      </c>
      <c r="AB1602" s="266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</row>
    <row r="1603" spans="1:42" s="5" customFormat="1">
      <c r="A1603" s="1"/>
      <c r="B1603" s="1"/>
      <c r="C1603" s="1"/>
      <c r="D1603" s="223"/>
      <c r="E1603" s="223" t="s">
        <v>293</v>
      </c>
      <c r="F1603" s="223" t="str">
        <f t="shared" si="2790"/>
        <v>СпортИн</v>
      </c>
      <c r="G1603" s="223" t="s">
        <v>261</v>
      </c>
      <c r="H1603" s="354"/>
      <c r="I1603" s="355">
        <f>SUMIFS(операции!$Z:$Z,операции!$X:$X,"&gt;="&amp;I$8,операции!$X:$X,"&lt;="&amp;I$9,операции!$AB:$AB,"&lt;&gt;"&amp;"",операции!$O:$O,$F1570)</f>
        <v>29126</v>
      </c>
      <c r="J1603" s="341">
        <f>I1603-K1603-L1603</f>
        <v>0</v>
      </c>
      <c r="K1603" s="355">
        <f>SUMIFS(операции!$Z:$Z,операции!$X:$X,"&gt;="&amp;I$8,операции!$X:$X,"&lt;="&amp;I$9,операции!$AB:$AB,"&lt;&gt;"&amp;"",операции!$L:$L,K$9,операции!$O:$O,$F1570)</f>
        <v>6605</v>
      </c>
      <c r="L1603" s="356">
        <f>SUMIFS(операции!$Z:$Z,операции!$X:$X,"&gt;="&amp;I$8,операции!$X:$X,"&lt;="&amp;I$9,операции!$AB:$AB,"&lt;&gt;"&amp;"",операции!$L:$L,L$9,операции!$O:$O,$F1570)</f>
        <v>22521</v>
      </c>
      <c r="M1603" s="283"/>
      <c r="N1603" s="224">
        <f>SUMIFS(операции!$Z:$Z,операции!$X:$X,"&gt;="&amp;N$8,операции!$X:$X,"&lt;="&amp;N$9,операции!$AB:$AB,"&lt;&gt;"&amp;"",операции!$O:$O,$F1570)</f>
        <v>6230</v>
      </c>
      <c r="O1603" s="216">
        <f>N1603-P1603-Q1603</f>
        <v>0</v>
      </c>
      <c r="P1603" s="224">
        <f>SUMIFS(операции!$Z:$Z,операции!$X:$X,"&gt;="&amp;N$8,операции!$X:$X,"&lt;="&amp;N$9,операции!$AB:$AB,"&lt;&gt;"&amp;"",операции!$L:$L,P$9,операции!$O:$O,$F1570)</f>
        <v>3115</v>
      </c>
      <c r="Q1603" s="258">
        <f>SUMIFS(операции!$Z:$Z,операции!$X:$X,"&gt;="&amp;N$8,операции!$X:$X,"&lt;="&amp;N$9,операции!$AB:$AB,"&lt;&gt;"&amp;"",операции!$L:$L,Q$9,операции!$O:$O,$F1570)</f>
        <v>3115</v>
      </c>
      <c r="R1603" s="259"/>
      <c r="S1603" s="224">
        <f>SUMIFS(операции!$Z:$Z,операции!$X:$X,"&gt;="&amp;S$8,операции!$X:$X,"&lt;="&amp;S$9,операции!$AB:$AB,"&lt;&gt;"&amp;"",операции!$O:$O,$F1570)</f>
        <v>15141</v>
      </c>
      <c r="T1603" s="216">
        <f>S1603-U1603-V1603</f>
        <v>0</v>
      </c>
      <c r="U1603" s="224">
        <f>SUMIFS(операции!$Z:$Z,операции!$X:$X,"&gt;="&amp;S$8,операции!$X:$X,"&lt;="&amp;S$9,операции!$AB:$AB,"&lt;&gt;"&amp;"",операции!$L:$L,U$9,операции!$O:$O,$F1570)</f>
        <v>3490</v>
      </c>
      <c r="V1603" s="258">
        <f>SUMIFS(операции!$Z:$Z,операции!$X:$X,"&gt;="&amp;S$8,операции!$X:$X,"&lt;="&amp;S$9,операции!$AB:$AB,"&lt;&gt;"&amp;"",операции!$L:$L,V$9,операции!$O:$O,$F1570)</f>
        <v>11651</v>
      </c>
      <c r="W1603" s="259"/>
      <c r="X1603" s="224">
        <f>SUMIFS(операции!$Z:$Z,операции!$X:$X,"&gt;="&amp;X$8,операции!$X:$X,"&lt;="&amp;X$9,операции!$AB:$AB,"&lt;&gt;"&amp;"",операции!$O:$O,$F1570)</f>
        <v>7755</v>
      </c>
      <c r="Y1603" s="216">
        <f>X1603-Z1603-AA1603</f>
        <v>0</v>
      </c>
      <c r="Z1603" s="224">
        <f>SUMIFS(операции!$Z:$Z,операции!$X:$X,"&gt;="&amp;X$8,операции!$X:$X,"&lt;="&amp;X$9,операции!$AB:$AB,"&lt;&gt;"&amp;"",операции!$L:$L,Z$9,операции!$O:$O,$F1570)</f>
        <v>0</v>
      </c>
      <c r="AA1603" s="258">
        <f>SUMIFS(операции!$Z:$Z,операции!$X:$X,"&gt;="&amp;X$8,операции!$X:$X,"&lt;="&amp;X$9,операции!$AB:$AB,"&lt;&gt;"&amp;"",операции!$L:$L,AA$9,операции!$O:$O,$F1570)</f>
        <v>7755</v>
      </c>
      <c r="AB1603" s="266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</row>
    <row r="1604" spans="1:42" s="192" customFormat="1" ht="11.25">
      <c r="A1604" s="37"/>
      <c r="B1604" s="37"/>
      <c r="C1604" s="37"/>
      <c r="D1604" s="191"/>
      <c r="E1604" s="191" t="s">
        <v>295</v>
      </c>
      <c r="F1604" s="191" t="str">
        <f t="shared" si="2790"/>
        <v>СпортИн</v>
      </c>
      <c r="G1604" s="191" t="s">
        <v>262</v>
      </c>
      <c r="H1604" s="315"/>
      <c r="I1604" s="316">
        <f>IF(I1603=0,0,SUMIFS(операции!$AG:$AG,операции!$X:$X,"&gt;="&amp;I$8,операции!$X:$X,"&lt;="&amp;I$9,операции!$AB:$AB,"&lt;&gt;"&amp;"",операции!$O:$O,$F1570)/I1603)</f>
        <v>42324.438199546799</v>
      </c>
      <c r="J1604" s="317"/>
      <c r="K1604" s="316">
        <f>IF(K1603=0,0,SUMIFS(операции!$AG:$AG,операции!$X:$X,"&gt;="&amp;I$8,операции!$X:$X,"&lt;="&amp;I$9,операции!$AB:$AB,"&lt;&gt;"&amp;"",операции!$L:$L,K$9,операции!$O:$O,$F1570)/K1603)</f>
        <v>42321.323239969723</v>
      </c>
      <c r="L1604" s="318">
        <f>IF(L1603=0,0,SUMIFS(операции!$AG:$AG,операции!$X:$X,"&gt;="&amp;I$8,операции!$X:$X,"&lt;="&amp;I$9,операции!$AB:$AB,"&lt;&gt;"&amp;"",операции!$L:$L,L$9,операции!$O:$O,$F1570)/L1603)</f>
        <v>42325.351760579018</v>
      </c>
      <c r="M1604" s="274"/>
      <c r="N1604" s="193">
        <f>IF(N1603=0,0,SUMIFS(операции!$AG:$AG,операции!$X:$X,"&gt;="&amp;N$8,операции!$X:$X,"&lt;="&amp;N$9,операции!$AB:$AB,"&lt;&gt;"&amp;"",операции!$O:$O,$F1570)/N1603)</f>
        <v>42302.5</v>
      </c>
      <c r="O1604" s="196"/>
      <c r="P1604" s="193">
        <f>IF(P1603=0,0,SUMIFS(операции!$AG:$AG,операции!$X:$X,"&gt;="&amp;N$8,операции!$X:$X,"&lt;="&amp;N$9,операции!$AB:$AB,"&lt;&gt;"&amp;"",операции!$L:$L,P$9,операции!$O:$O,$F1570)/P1603)</f>
        <v>42306</v>
      </c>
      <c r="Q1604" s="237">
        <f>IF(Q1603=0,0,SUMIFS(операции!$AG:$AG,операции!$X:$X,"&gt;="&amp;N$8,операции!$X:$X,"&lt;="&amp;N$9,операции!$AB:$AB,"&lt;&gt;"&amp;"",операции!$L:$L,Q$9,операции!$O:$O,$F1570)/Q1603)</f>
        <v>42299</v>
      </c>
      <c r="R1604" s="238"/>
      <c r="S1604" s="193">
        <f>IF(S1603=0,0,SUMIFS(операции!$AG:$AG,операции!$X:$X,"&gt;="&amp;S$8,операции!$X:$X,"&lt;="&amp;S$9,операции!$AB:$AB,"&lt;&gt;"&amp;"",операции!$O:$O,$F1570)/S1603)</f>
        <v>42322.2506439469</v>
      </c>
      <c r="T1604" s="196"/>
      <c r="U1604" s="193">
        <f>IF(U1603=0,0,SUMIFS(операции!$AG:$AG,операции!$X:$X,"&gt;="&amp;S$8,операции!$X:$X,"&lt;="&amp;S$9,операции!$AB:$AB,"&lt;&gt;"&amp;"",операции!$L:$L,U$9,операции!$O:$O,$F1570)/U1603)</f>
        <v>42335</v>
      </c>
      <c r="V1604" s="237">
        <f>IF(V1603=0,0,SUMIFS(операции!$AG:$AG,операции!$X:$X,"&gt;="&amp;S$8,операции!$X:$X,"&lt;="&amp;S$9,операции!$AB:$AB,"&lt;&gt;"&amp;"",операции!$L:$L,V$9,операции!$O:$O,$F1570)/V1603)</f>
        <v>42318.431636769375</v>
      </c>
      <c r="W1604" s="238"/>
      <c r="X1604" s="193">
        <f>IF(X1603=0,0,SUMIFS(операции!$AG:$AG,операции!$X:$X,"&gt;="&amp;X$8,операции!$X:$X,"&lt;="&amp;X$9,операции!$AB:$AB,"&lt;&gt;"&amp;"",операции!$O:$O,$F1570)/X1603)</f>
        <v>42346.333333333336</v>
      </c>
      <c r="Y1604" s="196"/>
      <c r="Z1604" s="193">
        <f>IF(Z1603=0,0,SUMIFS(операции!$AG:$AG,операции!$X:$X,"&gt;="&amp;X$8,операции!$X:$X,"&lt;="&amp;X$9,операции!$AB:$AB,"&lt;&gt;"&amp;"",операции!$L:$L,Z$9,операции!$O:$O,$F1570)/Z1603)</f>
        <v>0</v>
      </c>
      <c r="AA1604" s="237">
        <f>IF(AA1603=0,0,SUMIFS(операции!$AG:$AG,операции!$X:$X,"&gt;="&amp;X$8,операции!$X:$X,"&lt;="&amp;X$9,операции!$AB:$AB,"&lt;&gt;"&amp;"",операции!$L:$L,AA$9,операции!$O:$O,$F1570)/AA1603)</f>
        <v>42346.333333333336</v>
      </c>
      <c r="AB1604" s="265"/>
      <c r="AC1604" s="37"/>
      <c r="AD1604" s="37"/>
      <c r="AE1604" s="37"/>
      <c r="AF1604" s="37"/>
      <c r="AG1604" s="37"/>
      <c r="AH1604" s="37"/>
      <c r="AI1604" s="37"/>
      <c r="AJ1604" s="37"/>
      <c r="AK1604" s="37"/>
      <c r="AL1604" s="37"/>
      <c r="AM1604" s="37"/>
      <c r="AN1604" s="37"/>
      <c r="AO1604" s="37"/>
      <c r="AP1604" s="37"/>
    </row>
    <row r="1605" spans="1:42" s="93" customFormat="1" ht="15">
      <c r="A1605" s="92"/>
      <c r="B1605" s="92"/>
      <c r="C1605" s="92"/>
      <c r="D1605" s="151"/>
      <c r="E1605" s="151" t="s">
        <v>292</v>
      </c>
      <c r="F1605" s="151" t="str">
        <f t="shared" si="2790"/>
        <v>СпортИн</v>
      </c>
      <c r="G1605" s="151" t="s">
        <v>261</v>
      </c>
      <c r="H1605" s="311"/>
      <c r="I1605" s="312">
        <f>SUMIFS(операции!$V:$V,операции!$X:$X,"&gt;="&amp;I$8,операции!$X:$X,"&lt;="&amp;I$9,операции!$AB:$AB,"&lt;&gt;"&amp;"",операции!$O:$O,$F1570)</f>
        <v>22685</v>
      </c>
      <c r="J1605" s="313">
        <f>I1605-K1605-L1605</f>
        <v>0</v>
      </c>
      <c r="K1605" s="312">
        <f>SUMIFS(операции!$V:$V,операции!$X:$X,"&gt;="&amp;I$8,операции!$X:$X,"&lt;="&amp;I$9,операции!$AB:$AB,"&lt;&gt;"&amp;"",операции!$L:$L,K$9,операции!$O:$O,$F1570)</f>
        <v>4537</v>
      </c>
      <c r="L1605" s="314">
        <f>SUMIFS(операции!$V:$V,операции!$X:$X,"&gt;="&amp;I$8,операции!$X:$X,"&lt;="&amp;I$9,операции!$AB:$AB,"&lt;&gt;"&amp;"",операции!$L:$L,L$9,операции!$O:$O,$F1570)</f>
        <v>18148</v>
      </c>
      <c r="M1605" s="273"/>
      <c r="N1605" s="152">
        <f>SUMIFS(операции!$V:$V,операции!$X:$X,"&gt;="&amp;N$8,операции!$X:$X,"&lt;="&amp;N$9,операции!$AB:$AB,"&lt;&gt;"&amp;"",операции!$O:$O,$F1570)</f>
        <v>4537</v>
      </c>
      <c r="O1605" s="170">
        <f>N1605-P1605-Q1605</f>
        <v>0</v>
      </c>
      <c r="P1605" s="152">
        <f>SUMIFS(операции!$V:$V,операции!$X:$X,"&gt;="&amp;N$8,операции!$X:$X,"&lt;="&amp;N$9,операции!$AB:$AB,"&lt;&gt;"&amp;"",операции!$L:$L,P$9,операции!$O:$O,$F1570)</f>
        <v>2268.5</v>
      </c>
      <c r="Q1605" s="235">
        <f>SUMIFS(операции!$V:$V,операции!$X:$X,"&gt;="&amp;N$8,операции!$X:$X,"&lt;="&amp;N$9,операции!$AB:$AB,"&lt;&gt;"&amp;"",операции!$L:$L,Q$9,операции!$O:$O,$F1570)</f>
        <v>2268.5</v>
      </c>
      <c r="R1605" s="236"/>
      <c r="S1605" s="152">
        <f>SUMIFS(операции!$V:$V,операции!$X:$X,"&gt;="&amp;S$8,операции!$X:$X,"&lt;="&amp;S$9,операции!$AB:$AB,"&lt;&gt;"&amp;"",операции!$O:$O,$F1570)</f>
        <v>11342.5</v>
      </c>
      <c r="T1605" s="170">
        <f>S1605-U1605-V1605</f>
        <v>0</v>
      </c>
      <c r="U1605" s="152">
        <f>SUMIFS(операции!$V:$V,операции!$X:$X,"&gt;="&amp;S$8,операции!$X:$X,"&lt;="&amp;S$9,операции!$AB:$AB,"&lt;&gt;"&amp;"",операции!$L:$L,U$9,операции!$O:$O,$F1570)</f>
        <v>2268.5</v>
      </c>
      <c r="V1605" s="235">
        <f>SUMIFS(операции!$V:$V,операции!$X:$X,"&gt;="&amp;S$8,операции!$X:$X,"&lt;="&amp;S$9,операции!$AB:$AB,"&lt;&gt;"&amp;"",операции!$L:$L,V$9,операции!$O:$O,$F1570)</f>
        <v>9074</v>
      </c>
      <c r="W1605" s="236"/>
      <c r="X1605" s="152">
        <f>SUMIFS(операции!$V:$V,операции!$X:$X,"&gt;="&amp;X$8,операции!$X:$X,"&lt;="&amp;X$9,операции!$AB:$AB,"&lt;&gt;"&amp;"",операции!$O:$O,$F1570)</f>
        <v>6805.5</v>
      </c>
      <c r="Y1605" s="170">
        <f>X1605-Z1605-AA1605</f>
        <v>0</v>
      </c>
      <c r="Z1605" s="152">
        <f>SUMIFS(операции!$V:$V,операции!$X:$X,"&gt;="&amp;X$8,операции!$X:$X,"&lt;="&amp;X$9,операции!$AB:$AB,"&lt;&gt;"&amp;"",операции!$L:$L,Z$9,операции!$O:$O,$F1570)</f>
        <v>0</v>
      </c>
      <c r="AA1605" s="235">
        <f>SUMIFS(операции!$V:$V,операции!$X:$X,"&gt;="&amp;X$8,операции!$X:$X,"&lt;="&amp;X$9,операции!$AB:$AB,"&lt;&gt;"&amp;"",операции!$L:$L,AA$9,операции!$O:$O,$F1570)</f>
        <v>6805.5</v>
      </c>
      <c r="AB1605" s="264"/>
      <c r="AC1605" s="92"/>
      <c r="AD1605" s="92"/>
      <c r="AE1605" s="92"/>
      <c r="AF1605" s="92"/>
      <c r="AG1605" s="92"/>
      <c r="AH1605" s="92"/>
      <c r="AI1605" s="92"/>
      <c r="AJ1605" s="92"/>
      <c r="AK1605" s="92"/>
      <c r="AL1605" s="92"/>
      <c r="AM1605" s="92"/>
      <c r="AN1605" s="92"/>
      <c r="AO1605" s="92"/>
      <c r="AP1605" s="92"/>
    </row>
    <row r="1606" spans="1:42" s="192" customFormat="1" ht="11.25">
      <c r="A1606" s="37"/>
      <c r="B1606" s="37"/>
      <c r="C1606" s="37"/>
      <c r="D1606" s="191"/>
      <c r="E1606" s="191" t="s">
        <v>294</v>
      </c>
      <c r="F1606" s="191" t="str">
        <f t="shared" si="2790"/>
        <v>СпортИн</v>
      </c>
      <c r="G1606" s="191" t="s">
        <v>262</v>
      </c>
      <c r="H1606" s="315"/>
      <c r="I1606" s="316">
        <f>IF(I1605=0,0,SUMIFS(операции!$AF:$AF,операции!$X:$X,"&gt;="&amp;I$8,операции!$X:$X,"&lt;="&amp;I$9,операции!$AB:$AB,"&lt;&gt;"&amp;"",операции!$O:$O,$F1570)/I1605)</f>
        <v>42289.8</v>
      </c>
      <c r="J1606" s="317"/>
      <c r="K1606" s="316">
        <f>IF(K1605=0,0,SUMIFS(операции!$AF:$AF,операции!$X:$X,"&gt;="&amp;I$8,операции!$X:$X,"&lt;="&amp;I$9,операции!$AB:$AB,"&lt;&gt;"&amp;"",операции!$L:$L,K$9,операции!$O:$O,$F1570)/K1605)</f>
        <v>42169</v>
      </c>
      <c r="L1606" s="318">
        <f>IF(L1605=0,0,SUMIFS(операции!$AF:$AF,операции!$X:$X,"&gt;="&amp;I$8,операции!$X:$X,"&lt;="&amp;I$9,операции!$AB:$AB,"&lt;&gt;"&amp;"",операции!$L:$L,L$9,операции!$O:$O,$F1570)/L1605)</f>
        <v>42320</v>
      </c>
      <c r="M1606" s="274"/>
      <c r="N1606" s="193">
        <f>IF(N1605=0,0,SUMIFS(операции!$AF:$AF,операции!$X:$X,"&gt;="&amp;N$8,операции!$X:$X,"&lt;="&amp;N$9,операции!$AB:$AB,"&lt;&gt;"&amp;"",операции!$O:$O,$F1570)/N1605)</f>
        <v>42224.5</v>
      </c>
      <c r="O1606" s="196"/>
      <c r="P1606" s="193">
        <f>IF(P1605=0,0,SUMIFS(операции!$AF:$AF,операции!$X:$X,"&gt;="&amp;N$8,операции!$X:$X,"&lt;="&amp;N$9,операции!$AB:$AB,"&lt;&gt;"&amp;"",операции!$L:$L,P$9,операции!$O:$O,$F1570)/P1605)</f>
        <v>42155</v>
      </c>
      <c r="Q1606" s="237">
        <f>IF(Q1605=0,0,SUMIFS(операции!$AF:$AF,операции!$X:$X,"&gt;="&amp;N$8,операции!$X:$X,"&lt;="&amp;N$9,операции!$AB:$AB,"&lt;&gt;"&amp;"",операции!$L:$L,Q$9,операции!$O:$O,$F1570)/Q1605)</f>
        <v>42294</v>
      </c>
      <c r="R1606" s="238"/>
      <c r="S1606" s="193">
        <f>IF(S1605=0,0,SUMIFS(операции!$AF:$AF,операции!$X:$X,"&gt;="&amp;S$8,операции!$X:$X,"&lt;="&amp;S$9,операции!$AB:$AB,"&lt;&gt;"&amp;"",операции!$O:$O,$F1570)/S1605)</f>
        <v>42287.199999999997</v>
      </c>
      <c r="T1606" s="196"/>
      <c r="U1606" s="193">
        <f>IF(U1605=0,0,SUMIFS(операции!$AF:$AF,операции!$X:$X,"&gt;="&amp;S$8,операции!$X:$X,"&lt;="&amp;S$9,операции!$AB:$AB,"&lt;&gt;"&amp;"",операции!$L:$L,U$9,операции!$O:$O,$F1570)/U1605)</f>
        <v>42183</v>
      </c>
      <c r="V1606" s="237">
        <f>IF(V1605=0,0,SUMIFS(операции!$AF:$AF,операции!$X:$X,"&gt;="&amp;S$8,операции!$X:$X,"&lt;="&amp;S$9,операции!$AB:$AB,"&lt;&gt;"&amp;"",операции!$L:$L,V$9,операции!$O:$O,$F1570)/V1605)</f>
        <v>42313.25</v>
      </c>
      <c r="W1606" s="238"/>
      <c r="X1606" s="193">
        <f>IF(X1605=0,0,SUMIFS(операции!$AF:$AF,операции!$X:$X,"&gt;="&amp;X$8,операции!$X:$X,"&lt;="&amp;X$9,операции!$AB:$AB,"&lt;&gt;"&amp;"",операции!$O:$O,$F1570)/X1605)</f>
        <v>42337.666666666664</v>
      </c>
      <c r="Y1606" s="196"/>
      <c r="Z1606" s="193">
        <f>IF(Z1605=0,0,SUMIFS(операции!$AF:$AF,операции!$X:$X,"&gt;="&amp;X$8,операции!$X:$X,"&lt;="&amp;X$9,операции!$AB:$AB,"&lt;&gt;"&amp;"",операции!$L:$L,Z$9,операции!$O:$O,$F1570)/Z1605)</f>
        <v>0</v>
      </c>
      <c r="AA1606" s="237">
        <f>IF(AA1605=0,0,SUMIFS(операции!$AF:$AF,операции!$X:$X,"&gt;="&amp;X$8,операции!$X:$X,"&lt;="&amp;X$9,операции!$AB:$AB,"&lt;&gt;"&amp;"",операции!$L:$L,AA$9,операции!$O:$O,$F1570)/AA1605)</f>
        <v>42337.666666666664</v>
      </c>
      <c r="AB1606" s="265"/>
      <c r="AC1606" s="37"/>
      <c r="AD1606" s="37"/>
      <c r="AE1606" s="37"/>
      <c r="AF1606" s="37"/>
      <c r="AG1606" s="37"/>
      <c r="AH1606" s="37"/>
      <c r="AI1606" s="37"/>
      <c r="AJ1606" s="37"/>
      <c r="AK1606" s="37"/>
      <c r="AL1606" s="37"/>
      <c r="AM1606" s="37"/>
      <c r="AN1606" s="37"/>
      <c r="AO1606" s="37"/>
      <c r="AP1606" s="37"/>
    </row>
    <row r="1607" spans="1:42" s="192" customFormat="1" ht="11.25">
      <c r="A1607" s="37"/>
      <c r="B1607" s="37"/>
      <c r="C1607" s="37"/>
      <c r="D1607" s="191"/>
      <c r="E1607" s="191" t="s">
        <v>299</v>
      </c>
      <c r="F1607" s="191" t="str">
        <f t="shared" si="2790"/>
        <v>СпортИн</v>
      </c>
      <c r="G1607" s="191" t="s">
        <v>262</v>
      </c>
      <c r="H1607" s="315"/>
      <c r="I1607" s="316">
        <f>IF(I1605=0,0,SUMIFS(операции!$AH:$AH,операции!$X:$X,"&gt;="&amp;I$8,операции!$X:$X,"&lt;="&amp;I$9,операции!$AB:$AB,"&lt;&gt;"&amp;"",операции!$O:$O,$F1570)/I1605)</f>
        <v>42316.7</v>
      </c>
      <c r="J1607" s="317"/>
      <c r="K1607" s="316">
        <f>IF(K1605=0,0,SUMIFS(операции!$AH:$AH,операции!$X:$X,"&gt;="&amp;I$8,операции!$X:$X,"&lt;="&amp;I$9,операции!$AB:$AB,"&lt;&gt;"&amp;"",операции!$L:$L,K$9,операции!$O:$O,$F1570)/K1605)</f>
        <v>42214</v>
      </c>
      <c r="L1607" s="318">
        <f>IF(L1605=0,0,SUMIFS(операции!$AH:$AH,операции!$X:$X,"&gt;="&amp;I$8,операции!$X:$X,"&lt;="&amp;I$9,операции!$AB:$AB,"&lt;&gt;"&amp;"",операции!$L:$L,L$9,операции!$O:$O,$F1570)/L1605)</f>
        <v>42342.375</v>
      </c>
      <c r="M1607" s="274"/>
      <c r="N1607" s="193">
        <f>IF(N1605=0,0,SUMIFS(операции!$AH:$AH,операции!$X:$X,"&gt;="&amp;N$8,операции!$X:$X,"&lt;="&amp;N$9,операции!$AB:$AB,"&lt;&gt;"&amp;"",операции!$O:$O,$F1570)/N1605)</f>
        <v>42269.5</v>
      </c>
      <c r="O1607" s="196"/>
      <c r="P1607" s="193">
        <f>IF(P1605=0,0,SUMIFS(операции!$AH:$AH,операции!$X:$X,"&gt;="&amp;N$8,операции!$X:$X,"&lt;="&amp;N$9,операции!$AB:$AB,"&lt;&gt;"&amp;"",операции!$L:$L,P$9,операции!$O:$O,$F1570)/P1605)</f>
        <v>42215</v>
      </c>
      <c r="Q1607" s="237">
        <f>IF(Q1605=0,0,SUMIFS(операции!$AH:$AH,операции!$X:$X,"&gt;="&amp;N$8,операции!$X:$X,"&lt;="&amp;N$9,операции!$AB:$AB,"&lt;&gt;"&amp;"",операции!$L:$L,Q$9,операции!$O:$O,$F1570)/Q1605)</f>
        <v>42324</v>
      </c>
      <c r="R1607" s="238"/>
      <c r="S1607" s="193">
        <f>IF(S1605=0,0,SUMIFS(операции!$AH:$AH,операции!$X:$X,"&gt;="&amp;S$8,операции!$X:$X,"&lt;="&amp;S$9,операции!$AB:$AB,"&lt;&gt;"&amp;"",операции!$O:$O,$F1570)/S1605)</f>
        <v>42315.199999999997</v>
      </c>
      <c r="T1607" s="196"/>
      <c r="U1607" s="193">
        <f>IF(U1605=0,0,SUMIFS(операции!$AH:$AH,операции!$X:$X,"&gt;="&amp;S$8,операции!$X:$X,"&lt;="&amp;S$9,операции!$AB:$AB,"&lt;&gt;"&amp;"",операции!$L:$L,U$9,операции!$O:$O,$F1570)/U1605)</f>
        <v>42213</v>
      </c>
      <c r="V1607" s="237">
        <f>IF(V1605=0,0,SUMIFS(операции!$AH:$AH,операции!$X:$X,"&gt;="&amp;S$8,операции!$X:$X,"&lt;="&amp;S$9,операции!$AB:$AB,"&lt;&gt;"&amp;"",операции!$L:$L,V$9,операции!$O:$O,$F1570)/V1605)</f>
        <v>42340.75</v>
      </c>
      <c r="W1607" s="238"/>
      <c r="X1607" s="193">
        <f>IF(X1605=0,0,SUMIFS(операции!$AH:$AH,операции!$X:$X,"&gt;="&amp;X$8,операции!$X:$X,"&lt;="&amp;X$9,операции!$AB:$AB,"&lt;&gt;"&amp;"",операции!$O:$O,$F1570)/X1605)</f>
        <v>42350.666666666664</v>
      </c>
      <c r="Y1607" s="196"/>
      <c r="Z1607" s="193">
        <f>IF(Z1605=0,0,SUMIFS(операции!$AH:$AH,операции!$X:$X,"&gt;="&amp;X$8,операции!$X:$X,"&lt;="&amp;X$9,операции!$AB:$AB,"&lt;&gt;"&amp;"",операции!$L:$L,Z$9,операции!$O:$O,$F1570)/Z1605)</f>
        <v>0</v>
      </c>
      <c r="AA1607" s="237">
        <f>IF(AA1605=0,0,SUMIFS(операции!$AH:$AH,операции!$X:$X,"&gt;="&amp;X$8,операции!$X:$X,"&lt;="&amp;X$9,операции!$AB:$AB,"&lt;&gt;"&amp;"",операции!$L:$L,AA$9,операции!$O:$O,$F1570)/AA1605)</f>
        <v>42350.666666666664</v>
      </c>
      <c r="AB1607" s="265"/>
      <c r="AC1607" s="37"/>
      <c r="AD1607" s="37"/>
      <c r="AE1607" s="37"/>
      <c r="AF1607" s="37"/>
      <c r="AG1607" s="37"/>
      <c r="AH1607" s="37"/>
      <c r="AI1607" s="37"/>
      <c r="AJ1607" s="37"/>
      <c r="AK1607" s="37"/>
      <c r="AL1607" s="37"/>
      <c r="AM1607" s="37"/>
      <c r="AN1607" s="37"/>
      <c r="AO1607" s="37"/>
      <c r="AP1607" s="37"/>
    </row>
    <row r="1608" spans="1:42" s="5" customFormat="1">
      <c r="A1608" s="1"/>
      <c r="B1608" s="1"/>
      <c r="C1608" s="1"/>
      <c r="D1608" s="168"/>
      <c r="E1608" s="168" t="s">
        <v>296</v>
      </c>
      <c r="F1608" s="168" t="str">
        <f t="shared" si="2790"/>
        <v>СпортИн</v>
      </c>
      <c r="G1608" s="168" t="s">
        <v>261</v>
      </c>
      <c r="H1608" s="326"/>
      <c r="I1608" s="327">
        <f>I1603-I1605</f>
        <v>6441</v>
      </c>
      <c r="J1608" s="313">
        <f>I1608-K1608-L1608</f>
        <v>0</v>
      </c>
      <c r="K1608" s="327">
        <f t="shared" ref="K1608:L1608" si="2867">K1603-K1605</f>
        <v>2068</v>
      </c>
      <c r="L1608" s="328">
        <f t="shared" si="2867"/>
        <v>4373</v>
      </c>
      <c r="M1608" s="277"/>
      <c r="N1608" s="169">
        <f>N1603-N1605</f>
        <v>1693</v>
      </c>
      <c r="O1608" s="170">
        <f>N1608-P1608-Q1608</f>
        <v>0</v>
      </c>
      <c r="P1608" s="169">
        <f t="shared" ref="P1608:Q1608" si="2868">P1603-P1605</f>
        <v>846.5</v>
      </c>
      <c r="Q1608" s="243">
        <f t="shared" si="2868"/>
        <v>846.5</v>
      </c>
      <c r="R1608" s="244"/>
      <c r="S1608" s="169">
        <f>S1603-S1605</f>
        <v>3798.5</v>
      </c>
      <c r="T1608" s="170">
        <f>S1608-U1608-V1608</f>
        <v>0</v>
      </c>
      <c r="U1608" s="169">
        <f t="shared" ref="U1608:V1608" si="2869">U1603-U1605</f>
        <v>1221.5</v>
      </c>
      <c r="V1608" s="243">
        <f t="shared" si="2869"/>
        <v>2577</v>
      </c>
      <c r="W1608" s="244"/>
      <c r="X1608" s="169">
        <f>X1603-X1605</f>
        <v>949.5</v>
      </c>
      <c r="Y1608" s="170">
        <f>X1608-Z1608-AA1608</f>
        <v>0</v>
      </c>
      <c r="Z1608" s="169">
        <f t="shared" ref="Z1608:AA1608" si="2870">Z1603-Z1605</f>
        <v>0</v>
      </c>
      <c r="AA1608" s="243">
        <f t="shared" si="2870"/>
        <v>949.5</v>
      </c>
      <c r="AB1608" s="266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</row>
    <row r="1609" spans="1:42" s="211" customFormat="1">
      <c r="A1609" s="210"/>
      <c r="B1609" s="210"/>
      <c r="C1609" s="210"/>
      <c r="D1609" s="218"/>
      <c r="E1609" s="218" t="s">
        <v>297</v>
      </c>
      <c r="F1609" s="218" t="str">
        <f t="shared" si="2790"/>
        <v>СпортИн</v>
      </c>
      <c r="G1609" s="218" t="s">
        <v>218</v>
      </c>
      <c r="H1609" s="343"/>
      <c r="I1609" s="344">
        <f>IF(I1603=0,0,(I1608/I1603))</f>
        <v>0.22114262171255922</v>
      </c>
      <c r="J1609" s="345"/>
      <c r="K1609" s="344">
        <f t="shared" ref="K1609" si="2871">IF(K1603=0,0,(K1608/K1603))</f>
        <v>0.31309613928841784</v>
      </c>
      <c r="L1609" s="346">
        <f t="shared" ref="L1609" si="2872">IF(L1603=0,0,(L1608/L1603))</f>
        <v>0.19417432618445007</v>
      </c>
      <c r="M1609" s="280"/>
      <c r="N1609" s="219">
        <f>IF(N1603=0,0,(N1608/N1603))</f>
        <v>0.27174959871589083</v>
      </c>
      <c r="O1609" s="220"/>
      <c r="P1609" s="219">
        <f t="shared" ref="P1609" si="2873">IF(P1603=0,0,(P1608/P1603))</f>
        <v>0.27174959871589083</v>
      </c>
      <c r="Q1609" s="252">
        <f t="shared" ref="Q1609" si="2874">IF(Q1603=0,0,(Q1608/Q1603))</f>
        <v>0.27174959871589083</v>
      </c>
      <c r="R1609" s="253"/>
      <c r="S1609" s="219">
        <f>IF(S1603=0,0,(S1608/S1603))</f>
        <v>0.2508751073244832</v>
      </c>
      <c r="T1609" s="220"/>
      <c r="U1609" s="219">
        <f t="shared" ref="U1609" si="2875">IF(U1603=0,0,(U1608/U1603))</f>
        <v>0.35</v>
      </c>
      <c r="V1609" s="252">
        <f t="shared" ref="V1609" si="2876">IF(V1603=0,0,(V1608/V1603))</f>
        <v>0.22118273109604325</v>
      </c>
      <c r="W1609" s="253"/>
      <c r="X1609" s="219">
        <f>IF(X1603=0,0,(X1608/X1603))</f>
        <v>0.12243713733075436</v>
      </c>
      <c r="Y1609" s="220"/>
      <c r="Z1609" s="219">
        <f t="shared" ref="Z1609" si="2877">IF(Z1603=0,0,(Z1608/Z1603))</f>
        <v>0</v>
      </c>
      <c r="AA1609" s="252">
        <f t="shared" ref="AA1609" si="2878">IF(AA1603=0,0,(AA1608/AA1603))</f>
        <v>0.12243713733075436</v>
      </c>
      <c r="AB1609" s="267"/>
      <c r="AC1609" s="210"/>
      <c r="AD1609" s="210"/>
      <c r="AE1609" s="210"/>
      <c r="AF1609" s="210"/>
      <c r="AG1609" s="210"/>
      <c r="AH1609" s="210"/>
      <c r="AI1609" s="210"/>
      <c r="AJ1609" s="210"/>
      <c r="AK1609" s="210"/>
      <c r="AL1609" s="210"/>
      <c r="AM1609" s="210"/>
      <c r="AN1609" s="210"/>
      <c r="AO1609" s="210"/>
      <c r="AP1609" s="210"/>
    </row>
    <row r="1610" spans="1:42" s="5" customFormat="1">
      <c r="A1610" s="1"/>
      <c r="B1610" s="1"/>
      <c r="C1610" s="1"/>
      <c r="D1610" s="227"/>
      <c r="E1610" s="227" t="s">
        <v>298</v>
      </c>
      <c r="F1610" s="227" t="str">
        <f t="shared" si="2790"/>
        <v>СпортИн</v>
      </c>
      <c r="G1610" s="227" t="s">
        <v>219</v>
      </c>
      <c r="H1610" s="347"/>
      <c r="I1610" s="348">
        <f>I1604-I1606</f>
        <v>34.638199546796386</v>
      </c>
      <c r="J1610" s="321"/>
      <c r="K1610" s="348">
        <f t="shared" ref="K1610:L1610" si="2879">K1604-K1606</f>
        <v>152.32323996972264</v>
      </c>
      <c r="L1610" s="349">
        <f t="shared" si="2879"/>
        <v>5.3517605790184462</v>
      </c>
      <c r="M1610" s="281"/>
      <c r="N1610" s="228">
        <f>N1604-N1606</f>
        <v>78</v>
      </c>
      <c r="O1610" s="173"/>
      <c r="P1610" s="228">
        <f t="shared" ref="P1610:Q1610" si="2880">P1604-P1606</f>
        <v>151</v>
      </c>
      <c r="Q1610" s="254">
        <f t="shared" si="2880"/>
        <v>5</v>
      </c>
      <c r="R1610" s="255"/>
      <c r="S1610" s="228">
        <f>S1604-S1606</f>
        <v>35.05064394690271</v>
      </c>
      <c r="T1610" s="173"/>
      <c r="U1610" s="228">
        <f t="shared" ref="U1610:V1610" si="2881">U1604-U1606</f>
        <v>152</v>
      </c>
      <c r="V1610" s="254">
        <f t="shared" si="2881"/>
        <v>5.1816367693754728</v>
      </c>
      <c r="W1610" s="255"/>
      <c r="X1610" s="228">
        <f>X1604-X1606</f>
        <v>8.6666666666715173</v>
      </c>
      <c r="Y1610" s="173"/>
      <c r="Z1610" s="228">
        <f t="shared" ref="Z1610:AA1610" si="2882">Z1604-Z1606</f>
        <v>0</v>
      </c>
      <c r="AA1610" s="254">
        <f t="shared" si="2882"/>
        <v>8.6666666666715173</v>
      </c>
      <c r="AB1610" s="266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</row>
    <row r="1611" spans="1:42" s="5" customFormat="1">
      <c r="A1611" s="1"/>
      <c r="B1611" s="1"/>
      <c r="C1611" s="1"/>
      <c r="D1611" s="227"/>
      <c r="E1611" s="227" t="s">
        <v>300</v>
      </c>
      <c r="F1611" s="227" t="str">
        <f t="shared" si="2790"/>
        <v>СпортИн</v>
      </c>
      <c r="G1611" s="227" t="s">
        <v>219</v>
      </c>
      <c r="H1611" s="347"/>
      <c r="I1611" s="348">
        <f>I1607-I1606</f>
        <v>26.899999999994179</v>
      </c>
      <c r="J1611" s="321"/>
      <c r="K1611" s="348">
        <f t="shared" ref="K1611:L1611" si="2883">K1607-K1606</f>
        <v>45</v>
      </c>
      <c r="L1611" s="349">
        <f t="shared" si="2883"/>
        <v>22.375</v>
      </c>
      <c r="M1611" s="281"/>
      <c r="N1611" s="228">
        <f>N1607-N1606</f>
        <v>45</v>
      </c>
      <c r="O1611" s="173"/>
      <c r="P1611" s="228">
        <f t="shared" ref="P1611:Q1611" si="2884">P1607-P1606</f>
        <v>60</v>
      </c>
      <c r="Q1611" s="254">
        <f t="shared" si="2884"/>
        <v>30</v>
      </c>
      <c r="R1611" s="255"/>
      <c r="S1611" s="228">
        <f>S1607-S1606</f>
        <v>28</v>
      </c>
      <c r="T1611" s="173"/>
      <c r="U1611" s="228">
        <f t="shared" ref="U1611:V1611" si="2885">U1607-U1606</f>
        <v>30</v>
      </c>
      <c r="V1611" s="254">
        <f t="shared" si="2885"/>
        <v>27.5</v>
      </c>
      <c r="W1611" s="255"/>
      <c r="X1611" s="228">
        <f>X1607-X1606</f>
        <v>13</v>
      </c>
      <c r="Y1611" s="173"/>
      <c r="Z1611" s="228">
        <f t="shared" ref="Z1611:AA1611" si="2886">Z1607-Z1606</f>
        <v>0</v>
      </c>
      <c r="AA1611" s="254">
        <f t="shared" si="2886"/>
        <v>13</v>
      </c>
      <c r="AB1611" s="266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</row>
    <row r="1612" spans="1:42" s="93" customFormat="1" ht="15">
      <c r="A1612" s="92"/>
      <c r="B1612" s="92"/>
      <c r="C1612" s="92"/>
      <c r="D1612" s="221"/>
      <c r="E1612" s="221" t="s">
        <v>301</v>
      </c>
      <c r="F1612" s="221" t="str">
        <f t="shared" si="2790"/>
        <v>СпортИн</v>
      </c>
      <c r="G1612" s="221" t="s">
        <v>219</v>
      </c>
      <c r="H1612" s="357"/>
      <c r="I1612" s="358">
        <f>I1610-I1611</f>
        <v>7.7381995468022069</v>
      </c>
      <c r="J1612" s="352"/>
      <c r="K1612" s="358">
        <f t="shared" ref="K1612" si="2887">K1610-K1611</f>
        <v>107.32323996972264</v>
      </c>
      <c r="L1612" s="359">
        <f t="shared" ref="L1612" si="2888">L1610-L1611</f>
        <v>-17.023239420981554</v>
      </c>
      <c r="M1612" s="284"/>
      <c r="N1612" s="222">
        <f>N1610-N1611</f>
        <v>33</v>
      </c>
      <c r="O1612" s="181"/>
      <c r="P1612" s="222">
        <f t="shared" ref="P1612" si="2889">P1610-P1611</f>
        <v>91</v>
      </c>
      <c r="Q1612" s="260">
        <f t="shared" ref="Q1612" si="2890">Q1610-Q1611</f>
        <v>-25</v>
      </c>
      <c r="R1612" s="261"/>
      <c r="S1612" s="222">
        <f>S1610-S1611</f>
        <v>7.05064394690271</v>
      </c>
      <c r="T1612" s="181"/>
      <c r="U1612" s="222">
        <f t="shared" ref="U1612" si="2891">U1610-U1611</f>
        <v>122</v>
      </c>
      <c r="V1612" s="260">
        <f t="shared" ref="V1612" si="2892">V1610-V1611</f>
        <v>-22.318363230624527</v>
      </c>
      <c r="W1612" s="261"/>
      <c r="X1612" s="222">
        <f>X1610-X1611</f>
        <v>-4.3333333333284827</v>
      </c>
      <c r="Y1612" s="181"/>
      <c r="Z1612" s="222">
        <f t="shared" ref="Z1612" si="2893">Z1610-Z1611</f>
        <v>0</v>
      </c>
      <c r="AA1612" s="260">
        <f t="shared" ref="AA1612" si="2894">AA1610-AA1611</f>
        <v>-4.3333333333284827</v>
      </c>
      <c r="AB1612" s="264"/>
      <c r="AC1612" s="92"/>
      <c r="AD1612" s="92"/>
      <c r="AE1612" s="92"/>
      <c r="AF1612" s="92"/>
      <c r="AG1612" s="92"/>
      <c r="AH1612" s="92"/>
      <c r="AI1612" s="92"/>
      <c r="AJ1612" s="92"/>
      <c r="AK1612" s="92"/>
      <c r="AL1612" s="92"/>
      <c r="AM1612" s="92"/>
      <c r="AN1612" s="92"/>
      <c r="AO1612" s="92"/>
      <c r="AP1612" s="92"/>
    </row>
    <row r="1613" spans="1:42" s="5" customFormat="1">
      <c r="A1613" s="1"/>
      <c r="B1613" s="1"/>
      <c r="C1613" s="1"/>
      <c r="D1613" s="223"/>
      <c r="E1613" s="223" t="s">
        <v>302</v>
      </c>
      <c r="F1613" s="223" t="str">
        <f t="shared" si="2790"/>
        <v>СпортИн</v>
      </c>
      <c r="G1613" s="223" t="s">
        <v>261</v>
      </c>
      <c r="H1613" s="354"/>
      <c r="I1613" s="355">
        <f>SUMIFS(операции!$Z:$Z,операции!$X:$X,"&gt;="&amp;I$8,операции!$X:$X,"&lt;="&amp;I$9,операции!$AB:$AB,"",операции!$O:$O,$F1570)</f>
        <v>10199</v>
      </c>
      <c r="J1613" s="341">
        <f>I1613-K1613-L1613</f>
        <v>0</v>
      </c>
      <c r="K1613" s="355">
        <f>SUMIFS(операции!$Z:$Z,операции!$X:$X,"&gt;="&amp;I$8,операции!$X:$X,"&lt;="&amp;I$9,операции!$AB:$AB,"",операции!$L:$L,K$9,операции!$O:$O,$F1570)</f>
        <v>0</v>
      </c>
      <c r="L1613" s="356">
        <f>SUMIFS(операции!$Z:$Z,операции!$X:$X,"&gt;="&amp;I$8,операции!$X:$X,"&lt;="&amp;I$9,операции!$AB:$AB,"",операции!$L:$L,L$9,операции!$O:$O,$F1570)</f>
        <v>10199</v>
      </c>
      <c r="M1613" s="283"/>
      <c r="N1613" s="224">
        <f>SUMIFS(операции!$Z:$Z,операции!$X:$X,"&gt;="&amp;N$8,операции!$X:$X,"&lt;="&amp;N$9,операции!$AB:$AB,"",операции!$O:$O,$F1570)</f>
        <v>3115</v>
      </c>
      <c r="O1613" s="216">
        <f>N1613-P1613-Q1613</f>
        <v>0</v>
      </c>
      <c r="P1613" s="224">
        <f>SUMIFS(операции!$Z:$Z,операции!$X:$X,"&gt;="&amp;N$8,операции!$X:$X,"&lt;="&amp;N$9,операции!$AB:$AB,"",операции!$L:$L,P$9,операции!$O:$O,$F1570)</f>
        <v>0</v>
      </c>
      <c r="Q1613" s="258">
        <f>SUMIFS(операции!$Z:$Z,операции!$X:$X,"&gt;="&amp;N$8,операции!$X:$X,"&lt;="&amp;N$9,операции!$AB:$AB,"",операции!$L:$L,Q$9,операции!$O:$O,$F1570)</f>
        <v>3115</v>
      </c>
      <c r="R1613" s="259"/>
      <c r="S1613" s="224">
        <f>SUMIFS(операции!$Z:$Z,операции!$X:$X,"&gt;="&amp;S$8,операции!$X:$X,"&lt;="&amp;S$9,операции!$AB:$AB,"",операции!$O:$O,$F1570)</f>
        <v>7084</v>
      </c>
      <c r="T1613" s="216">
        <f>S1613-U1613-V1613</f>
        <v>0</v>
      </c>
      <c r="U1613" s="224">
        <f>SUMIFS(операции!$Z:$Z,операции!$X:$X,"&gt;="&amp;S$8,операции!$X:$X,"&lt;="&amp;S$9,операции!$AB:$AB,"",операции!$L:$L,U$9,операции!$O:$O,$F1570)</f>
        <v>0</v>
      </c>
      <c r="V1613" s="258">
        <f>SUMIFS(операции!$Z:$Z,операции!$X:$X,"&gt;="&amp;S$8,операции!$X:$X,"&lt;="&amp;S$9,операции!$AB:$AB,"",операции!$L:$L,V$9,операции!$O:$O,$F1570)</f>
        <v>7084</v>
      </c>
      <c r="W1613" s="259"/>
      <c r="X1613" s="224">
        <f>SUMIFS(операции!$Z:$Z,операции!$X:$X,"&gt;="&amp;X$8,операции!$X:$X,"&lt;="&amp;X$9,операции!$AB:$AB,"",операции!$O:$O,$F1570)</f>
        <v>0</v>
      </c>
      <c r="Y1613" s="216">
        <f>X1613-Z1613-AA1613</f>
        <v>0</v>
      </c>
      <c r="Z1613" s="224">
        <f>SUMIFS(операции!$Z:$Z,операции!$X:$X,"&gt;="&amp;X$8,операции!$X:$X,"&lt;="&amp;X$9,операции!$AB:$AB,"",операции!$L:$L,Z$9,операции!$O:$O,$F1570)</f>
        <v>0</v>
      </c>
      <c r="AA1613" s="258">
        <f>SUMIFS(операции!$Z:$Z,операции!$X:$X,"&gt;="&amp;X$8,операции!$X:$X,"&lt;="&amp;X$9,операции!$AB:$AB,"",операции!$L:$L,AA$9,операции!$O:$O,$F1570)</f>
        <v>0</v>
      </c>
      <c r="AB1613" s="266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</row>
    <row r="1614" spans="1:42" s="192" customFormat="1" ht="11.25">
      <c r="A1614" s="37"/>
      <c r="B1614" s="37"/>
      <c r="C1614" s="37"/>
      <c r="D1614" s="191"/>
      <c r="E1614" s="191" t="s">
        <v>303</v>
      </c>
      <c r="F1614" s="191" t="str">
        <f t="shared" si="2790"/>
        <v>СпортИн</v>
      </c>
      <c r="G1614" s="191" t="s">
        <v>262</v>
      </c>
      <c r="H1614" s="315"/>
      <c r="I1614" s="316">
        <f>IF(I1613=0,0,SUMIFS(операции!$AG:$AG,операции!$X:$X,"&gt;="&amp;I$8,операции!$X:$X,"&lt;="&amp;I$9,операции!$AB:$AB,"",операции!$O:$O,$F1570)/I1613)</f>
        <v>42315.201000098052</v>
      </c>
      <c r="J1614" s="317"/>
      <c r="K1614" s="316">
        <f>IF(K1613=0,0,SUMIFS(операции!$AG:$AG,операции!$X:$X,"&gt;="&amp;I$8,операции!$X:$X,"&lt;="&amp;I$9,операции!$AB:$AB,"",операции!$L:$L,K$9,операции!$O:$O,$F1570)/K1613)</f>
        <v>0</v>
      </c>
      <c r="L1614" s="318">
        <f>IF(L1613=0,0,SUMIFS(операции!$AG:$AG,операции!$X:$X,"&gt;="&amp;I$8,операции!$X:$X,"&lt;="&amp;I$9,операции!$AB:$AB,"",операции!$L:$L,L$9,операции!$O:$O,$F1570)/L1613)</f>
        <v>42315.201000098052</v>
      </c>
      <c r="M1614" s="274"/>
      <c r="N1614" s="193">
        <f>IF(N1613=0,0,SUMIFS(операции!$AG:$AG,операции!$X:$X,"&gt;="&amp;N$8,операции!$X:$X,"&lt;="&amp;N$9,операции!$AB:$AB,"",операции!$O:$O,$F1570)/N1613)</f>
        <v>42303</v>
      </c>
      <c r="O1614" s="196"/>
      <c r="P1614" s="193">
        <f>IF(P1613=0,0,SUMIFS(операции!$AG:$AG,операции!$X:$X,"&gt;="&amp;N$8,операции!$X:$X,"&lt;="&amp;N$9,операции!$AB:$AB,"",операции!$L:$L,P$9,операции!$O:$O,$F1570)/P1613)</f>
        <v>0</v>
      </c>
      <c r="Q1614" s="237">
        <f>IF(Q1613=0,0,SUMIFS(операции!$AG:$AG,операции!$X:$X,"&gt;="&amp;N$8,операции!$X:$X,"&lt;="&amp;N$9,операции!$AB:$AB,"",операции!$L:$L,Q$9,операции!$O:$O,$F1570)/Q1613)</f>
        <v>42303</v>
      </c>
      <c r="R1614" s="238"/>
      <c r="S1614" s="193">
        <f>IF(S1613=0,0,SUMIFS(операции!$AG:$AG,операции!$X:$X,"&gt;="&amp;S$8,операции!$X:$X,"&lt;="&amp;S$9,операции!$AB:$AB,"",операции!$O:$O,$F1570)/S1613)</f>
        <v>42320.56606437041</v>
      </c>
      <c r="T1614" s="196"/>
      <c r="U1614" s="193">
        <f>IF(U1613=0,0,SUMIFS(операции!$AG:$AG,операции!$X:$X,"&gt;="&amp;S$8,операции!$X:$X,"&lt;="&amp;S$9,операции!$AB:$AB,"",операции!$L:$L,U$9,операции!$O:$O,$F1570)/U1613)</f>
        <v>0</v>
      </c>
      <c r="V1614" s="237">
        <f>IF(V1613=0,0,SUMIFS(операции!$AG:$AG,операции!$X:$X,"&gt;="&amp;S$8,операции!$X:$X,"&lt;="&amp;S$9,операции!$AB:$AB,"",операции!$L:$L,V$9,операции!$O:$O,$F1570)/V1613)</f>
        <v>42320.56606437041</v>
      </c>
      <c r="W1614" s="238"/>
      <c r="X1614" s="193">
        <f>IF(X1613=0,0,SUMIFS(операции!$AG:$AG,операции!$X:$X,"&gt;="&amp;X$8,операции!$X:$X,"&lt;="&amp;X$9,операции!$AB:$AB,"",операции!$O:$O,$F1570)/X1613)</f>
        <v>0</v>
      </c>
      <c r="Y1614" s="196"/>
      <c r="Z1614" s="193">
        <f>IF(Z1613=0,0,SUMIFS(операции!$AG:$AG,операции!$X:$X,"&gt;="&amp;X$8,операции!$X:$X,"&lt;="&amp;X$9,операции!$AB:$AB,"",операции!$L:$L,Z$9,операции!$O:$O,$F1570)/Z1613)</f>
        <v>0</v>
      </c>
      <c r="AA1614" s="237">
        <f>IF(AA1613=0,0,SUMIFS(операции!$AG:$AG,операции!$X:$X,"&gt;="&amp;X$8,операции!$X:$X,"&lt;="&amp;X$9,операции!$AB:$AB,"",операции!$L:$L,AA$9,операции!$O:$O,$F1570)/AA1613)</f>
        <v>0</v>
      </c>
      <c r="AB1614" s="265"/>
      <c r="AC1614" s="37"/>
      <c r="AD1614" s="37"/>
      <c r="AE1614" s="37"/>
      <c r="AF1614" s="37"/>
      <c r="AG1614" s="37"/>
      <c r="AH1614" s="37"/>
      <c r="AI1614" s="37"/>
      <c r="AJ1614" s="37"/>
      <c r="AK1614" s="37"/>
      <c r="AL1614" s="37"/>
      <c r="AM1614" s="37"/>
      <c r="AN1614" s="37"/>
      <c r="AO1614" s="37"/>
      <c r="AP1614" s="37"/>
    </row>
    <row r="1615" spans="1:42" s="5" customFormat="1">
      <c r="A1615" s="1"/>
      <c r="B1615" s="1"/>
      <c r="C1615" s="1"/>
      <c r="D1615" s="168"/>
      <c r="E1615" s="168" t="s">
        <v>304</v>
      </c>
      <c r="F1615" s="168" t="str">
        <f t="shared" si="2790"/>
        <v>СпортИн</v>
      </c>
      <c r="G1615" s="168" t="s">
        <v>261</v>
      </c>
      <c r="H1615" s="326"/>
      <c r="I1615" s="327">
        <f>SUMIFS(операции!$V:$V,операции!$X:$X,"&gt;="&amp;I$8,операции!$X:$X,"&lt;="&amp;I$9,операции!$AB:$AB,"",операции!$O:$O,$F1570)</f>
        <v>6805.5</v>
      </c>
      <c r="J1615" s="313">
        <f>I1615-K1615-L1615</f>
        <v>0</v>
      </c>
      <c r="K1615" s="327">
        <f>SUMIFS(операции!$V:$V,операции!$X:$X,"&gt;="&amp;I$8,операции!$X:$X,"&lt;="&amp;I$9,операции!$AB:$AB,"",операции!$L:$L,K$9,операции!$O:$O,$F1570)</f>
        <v>0</v>
      </c>
      <c r="L1615" s="328">
        <f>SUMIFS(операции!$V:$V,операции!$X:$X,"&gt;="&amp;I$8,операции!$X:$X,"&lt;="&amp;I$9,операции!$AB:$AB,"",операции!$L:$L,L$9,операции!$O:$O,$F1570)</f>
        <v>6805.5</v>
      </c>
      <c r="M1615" s="277"/>
      <c r="N1615" s="169">
        <f>SUMIFS(операции!$V:$V,операции!$X:$X,"&gt;="&amp;N$8,операции!$X:$X,"&lt;="&amp;N$9,операции!$AB:$AB,"",операции!$O:$O,$F1570)</f>
        <v>2268.5</v>
      </c>
      <c r="O1615" s="170">
        <f>N1615-P1615-Q1615</f>
        <v>0</v>
      </c>
      <c r="P1615" s="169">
        <f>SUMIFS(операции!$V:$V,операции!$X:$X,"&gt;="&amp;N$8,операции!$X:$X,"&lt;="&amp;N$9,операции!$AB:$AB,"",операции!$L:$L,P$9,операции!$O:$O,$F1570)</f>
        <v>0</v>
      </c>
      <c r="Q1615" s="243">
        <f>SUMIFS(операции!$V:$V,операции!$X:$X,"&gt;="&amp;N$8,операции!$X:$X,"&lt;="&amp;N$9,операции!$AB:$AB,"",операции!$L:$L,Q$9,операции!$O:$O,$F1570)</f>
        <v>2268.5</v>
      </c>
      <c r="R1615" s="244"/>
      <c r="S1615" s="169">
        <f>SUMIFS(операции!$V:$V,операции!$X:$X,"&gt;="&amp;S$8,операции!$X:$X,"&lt;="&amp;S$9,операции!$AB:$AB,"",операции!$O:$O,$F1570)</f>
        <v>4537</v>
      </c>
      <c r="T1615" s="170">
        <f>S1615-U1615-V1615</f>
        <v>0</v>
      </c>
      <c r="U1615" s="169">
        <f>SUMIFS(операции!$V:$V,операции!$X:$X,"&gt;="&amp;S$8,операции!$X:$X,"&lt;="&amp;S$9,операции!$AB:$AB,"",операции!$L:$L,U$9,операции!$O:$O,$F1570)</f>
        <v>0</v>
      </c>
      <c r="V1615" s="243">
        <f>SUMIFS(операции!$V:$V,операции!$X:$X,"&gt;="&amp;S$8,операции!$X:$X,"&lt;="&amp;S$9,операции!$AB:$AB,"",операции!$L:$L,V$9,операции!$O:$O,$F1570)</f>
        <v>4537</v>
      </c>
      <c r="W1615" s="244"/>
      <c r="X1615" s="169">
        <f>SUMIFS(операции!$V:$V,операции!$X:$X,"&gt;="&amp;X$8,операции!$X:$X,"&lt;="&amp;X$9,операции!$AB:$AB,"",операции!$O:$O,$F1570)</f>
        <v>0</v>
      </c>
      <c r="Y1615" s="170">
        <f>X1615-Z1615-AA1615</f>
        <v>0</v>
      </c>
      <c r="Z1615" s="169">
        <f>SUMIFS(операции!$V:$V,операции!$X:$X,"&gt;="&amp;X$8,операции!$X:$X,"&lt;="&amp;X$9,операции!$AB:$AB,"",операции!$L:$L,Z$9,операции!$O:$O,$F1570)</f>
        <v>0</v>
      </c>
      <c r="AA1615" s="243">
        <f>SUMIFS(операции!$V:$V,операции!$X:$X,"&gt;="&amp;X$8,операции!$X:$X,"&lt;="&amp;X$9,операции!$AB:$AB,"",операции!$L:$L,AA$9,операции!$O:$O,$F1570)</f>
        <v>0</v>
      </c>
      <c r="AB1615" s="266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</row>
    <row r="1616" spans="1:42" s="192" customFormat="1" ht="11.25">
      <c r="A1616" s="37"/>
      <c r="B1616" s="37"/>
      <c r="C1616" s="37"/>
      <c r="D1616" s="191"/>
      <c r="E1616" s="191" t="s">
        <v>305</v>
      </c>
      <c r="F1616" s="191" t="str">
        <f t="shared" si="2790"/>
        <v>СпортИн</v>
      </c>
      <c r="G1616" s="191" t="s">
        <v>262</v>
      </c>
      <c r="H1616" s="315"/>
      <c r="I1616" s="316">
        <f>IF(I1615=0,0,SUMIFS(операции!$AF:$AF,операции!$X:$X,"&gt;="&amp;I$8,операции!$X:$X,"&lt;="&amp;I$9,операции!$AB:$AB,"",операции!$O:$O,$F1570)/I1615)</f>
        <v>42308.666666666664</v>
      </c>
      <c r="J1616" s="317"/>
      <c r="K1616" s="316">
        <f>IF(K1615=0,0,SUMIFS(операции!$AF:$AF,операции!$X:$X,"&gt;="&amp;I$8,операции!$X:$X,"&lt;="&amp;I$9,операции!$AB:$AB,"",операции!$L:$L,K$9,операции!$O:$O,$F1570)/K1615)</f>
        <v>0</v>
      </c>
      <c r="L1616" s="318">
        <f>IF(L1615=0,0,SUMIFS(операции!$AF:$AF,операции!$X:$X,"&gt;="&amp;I$8,операции!$X:$X,"&lt;="&amp;I$9,операции!$AB:$AB,"",операции!$L:$L,L$9,операции!$O:$O,$F1570)/L1615)</f>
        <v>42308.666666666664</v>
      </c>
      <c r="M1616" s="274"/>
      <c r="N1616" s="193">
        <f>IF(N1615=0,0,SUMIFS(операции!$AF:$AF,операции!$X:$X,"&gt;="&amp;N$8,операции!$X:$X,"&lt;="&amp;N$9,операции!$AB:$AB,"",операции!$O:$O,$F1570)/N1615)</f>
        <v>42298</v>
      </c>
      <c r="O1616" s="196"/>
      <c r="P1616" s="193">
        <f>IF(P1615=0,0,SUMIFS(операции!$AF:$AF,операции!$X:$X,"&gt;="&amp;N$8,операции!$X:$X,"&lt;="&amp;N$9,операции!$AB:$AB,"",операции!$L:$L,P$9,операции!$O:$O,$F1570)/P1615)</f>
        <v>0</v>
      </c>
      <c r="Q1616" s="237">
        <f>IF(Q1615=0,0,SUMIFS(операции!$AF:$AF,операции!$X:$X,"&gt;="&amp;N$8,операции!$X:$X,"&lt;="&amp;N$9,операции!$AB:$AB,"",операции!$L:$L,Q$9,операции!$O:$O,$F1570)/Q1615)</f>
        <v>42298</v>
      </c>
      <c r="R1616" s="238"/>
      <c r="S1616" s="193">
        <f>IF(S1615=0,0,SUMIFS(операции!$AF:$AF,операции!$X:$X,"&gt;="&amp;S$8,операции!$X:$X,"&lt;="&amp;S$9,операции!$AB:$AB,"",операции!$O:$O,$F1570)/S1615)</f>
        <v>42314</v>
      </c>
      <c r="T1616" s="196"/>
      <c r="U1616" s="193">
        <f>IF(U1615=0,0,SUMIFS(операции!$AF:$AF,операции!$X:$X,"&gt;="&amp;S$8,операции!$X:$X,"&lt;="&amp;S$9,операции!$AB:$AB,"",операции!$L:$L,U$9,операции!$O:$O,$F1570)/U1615)</f>
        <v>0</v>
      </c>
      <c r="V1616" s="237">
        <f>IF(V1615=0,0,SUMIFS(операции!$AF:$AF,операции!$X:$X,"&gt;="&amp;S$8,операции!$X:$X,"&lt;="&amp;S$9,операции!$AB:$AB,"",операции!$L:$L,V$9,операции!$O:$O,$F1570)/V1615)</f>
        <v>42314</v>
      </c>
      <c r="W1616" s="238"/>
      <c r="X1616" s="193">
        <f>IF(X1615=0,0,SUMIFS(операции!$AF:$AF,операции!$X:$X,"&gt;="&amp;X$8,операции!$X:$X,"&lt;="&amp;X$9,операции!$AB:$AB,"",операции!$O:$O,$F1570)/X1615)</f>
        <v>0</v>
      </c>
      <c r="Y1616" s="196"/>
      <c r="Z1616" s="193">
        <f>IF(Z1615=0,0,SUMIFS(операции!$AF:$AF,операции!$X:$X,"&gt;="&amp;X$8,операции!$X:$X,"&lt;="&amp;X$9,операции!$AB:$AB,"",операции!$L:$L,Z$9,операции!$O:$O,$F1570)/Z1615)</f>
        <v>0</v>
      </c>
      <c r="AA1616" s="237">
        <f>IF(AA1615=0,0,SUMIFS(операции!$AF:$AF,операции!$X:$X,"&gt;="&amp;X$8,операции!$X:$X,"&lt;="&amp;X$9,операции!$AB:$AB,"",операции!$L:$L,AA$9,операции!$O:$O,$F1570)/AA1615)</f>
        <v>0</v>
      </c>
      <c r="AB1616" s="265"/>
      <c r="AC1616" s="37"/>
      <c r="AD1616" s="37"/>
      <c r="AE1616" s="37"/>
      <c r="AF1616" s="37"/>
      <c r="AG1616" s="37"/>
      <c r="AH1616" s="37"/>
      <c r="AI1616" s="37"/>
      <c r="AJ1616" s="37"/>
      <c r="AK1616" s="37"/>
      <c r="AL1616" s="37"/>
      <c r="AM1616" s="37"/>
      <c r="AN1616" s="37"/>
      <c r="AO1616" s="37"/>
      <c r="AP1616" s="37"/>
    </row>
    <row r="1617" spans="1:42" s="192" customFormat="1" ht="11.25">
      <c r="A1617" s="37"/>
      <c r="B1617" s="37"/>
      <c r="C1617" s="37"/>
      <c r="D1617" s="191"/>
      <c r="E1617" s="191" t="s">
        <v>307</v>
      </c>
      <c r="F1617" s="191" t="str">
        <f t="shared" si="2790"/>
        <v>СпортИн</v>
      </c>
      <c r="G1617" s="191" t="s">
        <v>262</v>
      </c>
      <c r="H1617" s="315"/>
      <c r="I1617" s="316">
        <f>I$9</f>
        <v>42369</v>
      </c>
      <c r="J1617" s="317"/>
      <c r="K1617" s="316">
        <f>I$9</f>
        <v>42369</v>
      </c>
      <c r="L1617" s="318">
        <f>I$9</f>
        <v>42369</v>
      </c>
      <c r="M1617" s="274"/>
      <c r="N1617" s="193">
        <f>N$9</f>
        <v>42308</v>
      </c>
      <c r="O1617" s="196"/>
      <c r="P1617" s="193">
        <f>N$9</f>
        <v>42308</v>
      </c>
      <c r="Q1617" s="237">
        <f>N$9</f>
        <v>42308</v>
      </c>
      <c r="R1617" s="238"/>
      <c r="S1617" s="193">
        <f>S$9</f>
        <v>42338</v>
      </c>
      <c r="T1617" s="196"/>
      <c r="U1617" s="193">
        <f>S$9</f>
        <v>42338</v>
      </c>
      <c r="V1617" s="237">
        <f>S$9</f>
        <v>42338</v>
      </c>
      <c r="W1617" s="238"/>
      <c r="X1617" s="193">
        <f>X$9</f>
        <v>42369</v>
      </c>
      <c r="Y1617" s="196"/>
      <c r="Z1617" s="193">
        <f>X$9</f>
        <v>42369</v>
      </c>
      <c r="AA1617" s="237">
        <f>X$9</f>
        <v>42369</v>
      </c>
      <c r="AB1617" s="265"/>
      <c r="AC1617" s="37"/>
      <c r="AD1617" s="37"/>
      <c r="AE1617" s="37"/>
      <c r="AF1617" s="37"/>
      <c r="AG1617" s="37"/>
      <c r="AH1617" s="37"/>
      <c r="AI1617" s="37"/>
      <c r="AJ1617" s="37"/>
      <c r="AK1617" s="37"/>
      <c r="AL1617" s="37"/>
      <c r="AM1617" s="37"/>
      <c r="AN1617" s="37"/>
      <c r="AO1617" s="37"/>
      <c r="AP1617" s="37"/>
    </row>
    <row r="1618" spans="1:42" s="5" customFormat="1">
      <c r="A1618" s="1"/>
      <c r="B1618" s="1"/>
      <c r="C1618" s="1"/>
      <c r="D1618" s="168"/>
      <c r="E1618" s="168" t="s">
        <v>380</v>
      </c>
      <c r="F1618" s="168" t="str">
        <f t="shared" si="2790"/>
        <v>СпортИн</v>
      </c>
      <c r="G1618" s="168" t="s">
        <v>261</v>
      </c>
      <c r="H1618" s="326"/>
      <c r="I1618" s="327">
        <f>I1613-I1615</f>
        <v>3393.5</v>
      </c>
      <c r="J1618" s="313">
        <f>I1618-K1618-L1618</f>
        <v>0</v>
      </c>
      <c r="K1618" s="327">
        <f t="shared" ref="K1618:L1618" si="2895">K1613-K1615</f>
        <v>0</v>
      </c>
      <c r="L1618" s="328">
        <f t="shared" si="2895"/>
        <v>3393.5</v>
      </c>
      <c r="M1618" s="277"/>
      <c r="N1618" s="169">
        <f>N1613-N1615</f>
        <v>846.5</v>
      </c>
      <c r="O1618" s="170">
        <f>N1618-P1618-Q1618</f>
        <v>0</v>
      </c>
      <c r="P1618" s="169">
        <f t="shared" ref="P1618:Q1618" si="2896">P1613-P1615</f>
        <v>0</v>
      </c>
      <c r="Q1618" s="243">
        <f t="shared" si="2896"/>
        <v>846.5</v>
      </c>
      <c r="R1618" s="244"/>
      <c r="S1618" s="169">
        <f>S1613-S1615</f>
        <v>2547</v>
      </c>
      <c r="T1618" s="170">
        <f>S1618-U1618-V1618</f>
        <v>0</v>
      </c>
      <c r="U1618" s="169">
        <f t="shared" ref="U1618:V1618" si="2897">U1613-U1615</f>
        <v>0</v>
      </c>
      <c r="V1618" s="243">
        <f t="shared" si="2897"/>
        <v>2547</v>
      </c>
      <c r="W1618" s="244"/>
      <c r="X1618" s="169">
        <f>X1613-X1615</f>
        <v>0</v>
      </c>
      <c r="Y1618" s="170">
        <f>X1618-Z1618-AA1618</f>
        <v>0</v>
      </c>
      <c r="Z1618" s="169">
        <f t="shared" ref="Z1618:AA1618" si="2898">Z1613-Z1615</f>
        <v>0</v>
      </c>
      <c r="AA1618" s="243">
        <f t="shared" si="2898"/>
        <v>0</v>
      </c>
      <c r="AB1618" s="266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</row>
    <row r="1619" spans="1:42" s="211" customFormat="1">
      <c r="A1619" s="210"/>
      <c r="B1619" s="210"/>
      <c r="C1619" s="210"/>
      <c r="D1619" s="218"/>
      <c r="E1619" s="218" t="s">
        <v>381</v>
      </c>
      <c r="F1619" s="218" t="str">
        <f t="shared" si="2790"/>
        <v>СпортИн</v>
      </c>
      <c r="G1619" s="218" t="s">
        <v>218</v>
      </c>
      <c r="H1619" s="343"/>
      <c r="I1619" s="344">
        <f>IF(I1613=0,0,(I1618/I1613))</f>
        <v>0.33272869889204826</v>
      </c>
      <c r="J1619" s="345"/>
      <c r="K1619" s="344">
        <f t="shared" ref="K1619" si="2899">IF(K1613=0,0,(K1618/K1613))</f>
        <v>0</v>
      </c>
      <c r="L1619" s="346">
        <f t="shared" ref="L1619" si="2900">IF(L1613=0,0,(L1618/L1613))</f>
        <v>0.33272869889204826</v>
      </c>
      <c r="M1619" s="280"/>
      <c r="N1619" s="219">
        <f>IF(N1613=0,0,(N1618/N1613))</f>
        <v>0.27174959871589083</v>
      </c>
      <c r="O1619" s="220"/>
      <c r="P1619" s="219">
        <f t="shared" ref="P1619" si="2901">IF(P1613=0,0,(P1618/P1613))</f>
        <v>0</v>
      </c>
      <c r="Q1619" s="252">
        <f t="shared" ref="Q1619" si="2902">IF(Q1613=0,0,(Q1618/Q1613))</f>
        <v>0.27174959871589083</v>
      </c>
      <c r="R1619" s="253"/>
      <c r="S1619" s="219">
        <f>IF(S1613=0,0,(S1618/S1613))</f>
        <v>0.35954263128176173</v>
      </c>
      <c r="T1619" s="220"/>
      <c r="U1619" s="219">
        <f t="shared" ref="U1619" si="2903">IF(U1613=0,0,(U1618/U1613))</f>
        <v>0</v>
      </c>
      <c r="V1619" s="252">
        <f t="shared" ref="V1619" si="2904">IF(V1613=0,0,(V1618/V1613))</f>
        <v>0.35954263128176173</v>
      </c>
      <c r="W1619" s="253"/>
      <c r="X1619" s="219">
        <f>IF(X1613=0,0,(X1618/X1613))</f>
        <v>0</v>
      </c>
      <c r="Y1619" s="220"/>
      <c r="Z1619" s="219">
        <f t="shared" ref="Z1619" si="2905">IF(Z1613=0,0,(Z1618/Z1613))</f>
        <v>0</v>
      </c>
      <c r="AA1619" s="252">
        <f t="shared" ref="AA1619" si="2906">IF(AA1613=0,0,(AA1618/AA1613))</f>
        <v>0</v>
      </c>
      <c r="AB1619" s="267"/>
      <c r="AC1619" s="210"/>
      <c r="AD1619" s="210"/>
      <c r="AE1619" s="210"/>
      <c r="AF1619" s="210"/>
      <c r="AG1619" s="210"/>
      <c r="AH1619" s="210"/>
      <c r="AI1619" s="210"/>
      <c r="AJ1619" s="210"/>
      <c r="AK1619" s="210"/>
      <c r="AL1619" s="210"/>
      <c r="AM1619" s="210"/>
      <c r="AN1619" s="210"/>
      <c r="AO1619" s="210"/>
      <c r="AP1619" s="210"/>
    </row>
    <row r="1620" spans="1:42" s="5" customFormat="1">
      <c r="A1620" s="1"/>
      <c r="B1620" s="1"/>
      <c r="C1620" s="1"/>
      <c r="D1620" s="227"/>
      <c r="E1620" s="227" t="s">
        <v>306</v>
      </c>
      <c r="F1620" s="227" t="str">
        <f t="shared" si="2790"/>
        <v>СпортИн</v>
      </c>
      <c r="G1620" s="227" t="s">
        <v>219</v>
      </c>
      <c r="H1620" s="347"/>
      <c r="I1620" s="348">
        <f>I1614-I1616</f>
        <v>6.5343334313874948</v>
      </c>
      <c r="J1620" s="321"/>
      <c r="K1620" s="348">
        <f t="shared" ref="K1620:L1620" si="2907">K1614-K1616</f>
        <v>0</v>
      </c>
      <c r="L1620" s="349">
        <f t="shared" si="2907"/>
        <v>6.5343334313874948</v>
      </c>
      <c r="M1620" s="281"/>
      <c r="N1620" s="228">
        <f>N1614-N1616</f>
        <v>5</v>
      </c>
      <c r="O1620" s="173"/>
      <c r="P1620" s="228">
        <f t="shared" ref="P1620:Q1620" si="2908">P1614-P1616</f>
        <v>0</v>
      </c>
      <c r="Q1620" s="254">
        <f t="shared" si="2908"/>
        <v>5</v>
      </c>
      <c r="R1620" s="255"/>
      <c r="S1620" s="228">
        <f>S1614-S1616</f>
        <v>6.5660643704104587</v>
      </c>
      <c r="T1620" s="173"/>
      <c r="U1620" s="228">
        <f t="shared" ref="U1620:V1620" si="2909">U1614-U1616</f>
        <v>0</v>
      </c>
      <c r="V1620" s="254">
        <f t="shared" si="2909"/>
        <v>6.5660643704104587</v>
      </c>
      <c r="W1620" s="255"/>
      <c r="X1620" s="228">
        <f>X1614-X1616</f>
        <v>0</v>
      </c>
      <c r="Y1620" s="173"/>
      <c r="Z1620" s="228">
        <f t="shared" ref="Z1620:AA1620" si="2910">Z1614-Z1616</f>
        <v>0</v>
      </c>
      <c r="AA1620" s="254">
        <f t="shared" si="2910"/>
        <v>0</v>
      </c>
      <c r="AB1620" s="266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</row>
    <row r="1621" spans="1:42" s="5" customFormat="1">
      <c r="A1621" s="1"/>
      <c r="B1621" s="1"/>
      <c r="C1621" s="1"/>
      <c r="D1621" s="227"/>
      <c r="E1621" s="227" t="s">
        <v>382</v>
      </c>
      <c r="F1621" s="227" t="str">
        <f t="shared" si="2790"/>
        <v>СпортИн</v>
      </c>
      <c r="G1621" s="227" t="s">
        <v>219</v>
      </c>
      <c r="H1621" s="347"/>
      <c r="I1621" s="348">
        <f>I1617-I1616</f>
        <v>60.333333333335759</v>
      </c>
      <c r="J1621" s="321"/>
      <c r="K1621" s="348">
        <f t="shared" ref="K1621:L1621" si="2911">K1617-K1616</f>
        <v>42369</v>
      </c>
      <c r="L1621" s="349">
        <f t="shared" si="2911"/>
        <v>60.333333333335759</v>
      </c>
      <c r="M1621" s="281"/>
      <c r="N1621" s="228">
        <f>N1617-N1616</f>
        <v>10</v>
      </c>
      <c r="O1621" s="173"/>
      <c r="P1621" s="228">
        <f t="shared" ref="P1621:Q1621" si="2912">P1617-P1616</f>
        <v>42308</v>
      </c>
      <c r="Q1621" s="254">
        <f t="shared" si="2912"/>
        <v>10</v>
      </c>
      <c r="R1621" s="255"/>
      <c r="S1621" s="228">
        <f>S1617-S1616</f>
        <v>24</v>
      </c>
      <c r="T1621" s="173"/>
      <c r="U1621" s="228">
        <f t="shared" ref="U1621:V1621" si="2913">U1617-U1616</f>
        <v>42338</v>
      </c>
      <c r="V1621" s="254">
        <f t="shared" si="2913"/>
        <v>24</v>
      </c>
      <c r="W1621" s="255"/>
      <c r="X1621" s="228">
        <f>X1617-X1616</f>
        <v>42369</v>
      </c>
      <c r="Y1621" s="173"/>
      <c r="Z1621" s="228">
        <f t="shared" ref="Z1621:AA1621" si="2914">Z1617-Z1616</f>
        <v>42369</v>
      </c>
      <c r="AA1621" s="254">
        <f t="shared" si="2914"/>
        <v>42369</v>
      </c>
      <c r="AB1621" s="266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</row>
    <row r="1622" spans="1:42" s="5" customFormat="1">
      <c r="A1622" s="1"/>
      <c r="B1622" s="1"/>
      <c r="C1622" s="1"/>
      <c r="D1622" s="225"/>
      <c r="E1622" s="225" t="s">
        <v>383</v>
      </c>
      <c r="F1622" s="225" t="str">
        <f t="shared" si="2790"/>
        <v>СпортИн</v>
      </c>
      <c r="G1622" s="225" t="s">
        <v>219</v>
      </c>
      <c r="H1622" s="350"/>
      <c r="I1622" s="351">
        <f>I1620-I1621</f>
        <v>-53.798999901948264</v>
      </c>
      <c r="J1622" s="352"/>
      <c r="K1622" s="351">
        <f t="shared" ref="K1622" si="2915">K1620-K1621</f>
        <v>-42369</v>
      </c>
      <c r="L1622" s="353">
        <f t="shared" ref="L1622" si="2916">L1620-L1621</f>
        <v>-53.798999901948264</v>
      </c>
      <c r="M1622" s="282"/>
      <c r="N1622" s="226">
        <f>N1620-N1621</f>
        <v>-5</v>
      </c>
      <c r="O1622" s="181"/>
      <c r="P1622" s="226">
        <f t="shared" ref="P1622" si="2917">P1620-P1621</f>
        <v>-42308</v>
      </c>
      <c r="Q1622" s="256">
        <f t="shared" ref="Q1622" si="2918">Q1620-Q1621</f>
        <v>-5</v>
      </c>
      <c r="R1622" s="257"/>
      <c r="S1622" s="226">
        <f>S1620-S1621</f>
        <v>-17.433935629589541</v>
      </c>
      <c r="T1622" s="181"/>
      <c r="U1622" s="226">
        <f t="shared" ref="U1622" si="2919">U1620-U1621</f>
        <v>-42338</v>
      </c>
      <c r="V1622" s="256">
        <f t="shared" ref="V1622" si="2920">V1620-V1621</f>
        <v>-17.433935629589541</v>
      </c>
      <c r="W1622" s="257"/>
      <c r="X1622" s="226">
        <f>X1620-X1621</f>
        <v>-42369</v>
      </c>
      <c r="Y1622" s="181"/>
      <c r="Z1622" s="226">
        <f t="shared" ref="Z1622" si="2921">Z1620-Z1621</f>
        <v>-42369</v>
      </c>
      <c r="AA1622" s="256">
        <f t="shared" ref="AA1622" si="2922">AA1620-AA1621</f>
        <v>-42369</v>
      </c>
      <c r="AB1622" s="266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</row>
    <row r="1623" spans="1:42" s="5" customFormat="1">
      <c r="A1623" s="1"/>
      <c r="B1623" s="1"/>
      <c r="C1623" s="1"/>
      <c r="D1623" s="168" t="s">
        <v>312</v>
      </c>
      <c r="E1623" s="168"/>
      <c r="F1623" s="168" t="str">
        <f t="shared" si="2790"/>
        <v>СпортИн</v>
      </c>
      <c r="G1623" s="168" t="s">
        <v>261</v>
      </c>
      <c r="H1623" s="326"/>
      <c r="I1623" s="327">
        <f>SUMIFS(операции!$AC:$AC,операции!$AB:$AB,"&gt;="&amp;I$8,операции!$AB:$AB,"&lt;="&amp;I$9,операции!$O:$O,$F1570)</f>
        <v>18148</v>
      </c>
      <c r="J1623" s="313">
        <f>I1623-K1623-L1623</f>
        <v>0</v>
      </c>
      <c r="K1623" s="327">
        <f>SUMIFS(операции!$AC:$AC,операции!$AB:$AB,"&gt;="&amp;I$8,операции!$AB:$AB,"&lt;="&amp;I$9,операции!$L:$L,K$9,операции!$O:$O,$F1570)</f>
        <v>0</v>
      </c>
      <c r="L1623" s="328">
        <f>SUMIFS(операции!$AC:$AC,операции!$AB:$AB,"&gt;="&amp;I$8,операции!$AB:$AB,"&lt;="&amp;I$9,операции!$L:$L,L$9,операции!$O:$O,$F1570)</f>
        <v>18148</v>
      </c>
      <c r="M1623" s="277"/>
      <c r="N1623" s="169">
        <f>SUMIFS(операции!$AC:$AC,операции!$AB:$AB,"&gt;="&amp;N$8,операции!$AB:$AB,"&lt;="&amp;N$9,операции!$O:$O,$F1570)</f>
        <v>0</v>
      </c>
      <c r="O1623" s="170">
        <f>N1623-P1623-Q1623</f>
        <v>0</v>
      </c>
      <c r="P1623" s="169">
        <f>SUMIFS(операции!$AC:$AC,операции!$AB:$AB,"&gt;="&amp;N$8,операции!$AB:$AB,"&lt;="&amp;N$9,операции!$L:$L,P$9,операции!$O:$O,$F1570)</f>
        <v>0</v>
      </c>
      <c r="Q1623" s="243">
        <f>SUMIFS(операции!$AC:$AC,операции!$AB:$AB,"&gt;="&amp;N$8,операции!$AB:$AB,"&lt;="&amp;N$9,операции!$L:$L,Q$9,операции!$O:$O,$F1570)</f>
        <v>0</v>
      </c>
      <c r="R1623" s="244"/>
      <c r="S1623" s="169">
        <f>SUMIFS(операции!$AC:$AC,операции!$AB:$AB,"&gt;="&amp;S$8,операции!$AB:$AB,"&lt;="&amp;S$9,операции!$O:$O,$F1570)</f>
        <v>6805.5</v>
      </c>
      <c r="T1623" s="170">
        <f>S1623-U1623-V1623</f>
        <v>0</v>
      </c>
      <c r="U1623" s="169">
        <f>SUMIFS(операции!$AC:$AC,операции!$AB:$AB,"&gt;="&amp;S$8,операции!$AB:$AB,"&lt;="&amp;S$9,операции!$L:$L,U$9,операции!$O:$O,$F1570)</f>
        <v>0</v>
      </c>
      <c r="V1623" s="243">
        <f>SUMIFS(операции!$AC:$AC,операции!$AB:$AB,"&gt;="&amp;S$8,операции!$AB:$AB,"&lt;="&amp;S$9,операции!$L:$L,V$9,операции!$O:$O,$F1570)</f>
        <v>6805.5</v>
      </c>
      <c r="W1623" s="244"/>
      <c r="X1623" s="169">
        <f>SUMIFS(операции!$AC:$AC,операции!$AB:$AB,"&gt;="&amp;X$8,операции!$AB:$AB,"&lt;="&amp;X$9,операции!$O:$O,$F1570)</f>
        <v>11342.5</v>
      </c>
      <c r="Y1623" s="170">
        <f>X1623-Z1623-AA1623</f>
        <v>0</v>
      </c>
      <c r="Z1623" s="169">
        <f>SUMIFS(операции!$AC:$AC,операции!$AB:$AB,"&gt;="&amp;X$8,операции!$AB:$AB,"&lt;="&amp;X$9,операции!$L:$L,Z$9,операции!$O:$O,$F1570)</f>
        <v>0</v>
      </c>
      <c r="AA1623" s="243">
        <f>SUMIFS(операции!$AC:$AC,операции!$AB:$AB,"&gt;="&amp;X$8,операции!$AB:$AB,"&lt;="&amp;X$9,операции!$L:$L,AA$9,операции!$O:$O,$F1570)</f>
        <v>11342.5</v>
      </c>
      <c r="AB1623" s="266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</row>
    <row r="1624" spans="1:42" s="192" customFormat="1" ht="11.25">
      <c r="A1624" s="37"/>
      <c r="B1624" s="37"/>
      <c r="C1624" s="37"/>
      <c r="D1624" s="207" t="s">
        <v>255</v>
      </c>
      <c r="E1624" s="207"/>
      <c r="F1624" s="207" t="str">
        <f t="shared" si="2790"/>
        <v>СпортИн</v>
      </c>
      <c r="G1624" s="207" t="s">
        <v>262</v>
      </c>
      <c r="H1624" s="331"/>
      <c r="I1624" s="337">
        <f>IF(I1623=0,0,SUMIFS(операции!$AH:$AH,операции!$AB:$AB,"&gt;="&amp;I$8,операции!$AB:$AB,"&lt;="&amp;I$9,операции!$O:$O,$F1570)/I1623)</f>
        <v>42342.375</v>
      </c>
      <c r="J1624" s="333"/>
      <c r="K1624" s="337">
        <f>IF(K1623=0,0,SUMIFS(операции!$AH:$AH,операции!$AB:$AB,"&gt;="&amp;I$8,операции!$AB:$AB,"&lt;="&amp;I$9,операции!$L:$L,K$9,операции!$O:$O,$F1570)/K1623)</f>
        <v>0</v>
      </c>
      <c r="L1624" s="338">
        <f>IF(L1623=0,0,SUMIFS(операции!$AH:$AH,операции!$AB:$AB,"&gt;="&amp;I$8,операции!$AB:$AB,"&lt;="&amp;I$9,операции!$L:$L,L$9,операции!$O:$O,$F1570)/L1623)</f>
        <v>42342.375</v>
      </c>
      <c r="M1624" s="278"/>
      <c r="N1624" s="217">
        <f>IF(N1623=0,0,SUMIFS(операции!$AH:$AH,операции!$AB:$AB,"&gt;="&amp;N$8,операции!$AB:$AB,"&lt;="&amp;N$9,операции!$O:$O,$F1570)/N1623)</f>
        <v>0</v>
      </c>
      <c r="O1624" s="208"/>
      <c r="P1624" s="217">
        <f>IF(P1623=0,0,SUMIFS(операции!$AH:$AH,операции!$AB:$AB,"&gt;="&amp;N$8,операции!$AB:$AB,"&lt;="&amp;N$9,операции!$L:$L,P$9,операции!$O:$O,$F1570)/P1623)</f>
        <v>0</v>
      </c>
      <c r="Q1624" s="249">
        <f>IF(Q1623=0,0,SUMIFS(операции!$AH:$AH,операции!$AB:$AB,"&gt;="&amp;N$8,операции!$AB:$AB,"&lt;="&amp;N$9,операции!$L:$L,Q$9,операции!$O:$O,$F1570)/Q1623)</f>
        <v>0</v>
      </c>
      <c r="R1624" s="247"/>
      <c r="S1624" s="217">
        <f>IF(S1623=0,0,SUMIFS(операции!$AH:$AH,операции!$AB:$AB,"&gt;="&amp;S$8,операции!$AB:$AB,"&lt;="&amp;S$9,операции!$O:$O,$F1570)/S1623)</f>
        <v>42328.333333333336</v>
      </c>
      <c r="T1624" s="208"/>
      <c r="U1624" s="217">
        <f>IF(U1623=0,0,SUMIFS(операции!$AH:$AH,операции!$AB:$AB,"&gt;="&amp;S$8,операции!$AB:$AB,"&lt;="&amp;S$9,операции!$L:$L,U$9,операции!$O:$O,$F1570)/U1623)</f>
        <v>0</v>
      </c>
      <c r="V1624" s="249">
        <f>IF(V1623=0,0,SUMIFS(операции!$AH:$AH,операции!$AB:$AB,"&gt;="&amp;S$8,операции!$AB:$AB,"&lt;="&amp;S$9,операции!$L:$L,V$9,операции!$O:$O,$F1570)/V1623)</f>
        <v>42328.333333333336</v>
      </c>
      <c r="W1624" s="247"/>
      <c r="X1624" s="217">
        <f>IF(X1623=0,0,SUMIFS(операции!$AH:$AH,операции!$AB:$AB,"&gt;="&amp;X$8,операции!$AB:$AB,"&lt;="&amp;X$9,операции!$O:$O,$F1570)/X1623)</f>
        <v>42350.8</v>
      </c>
      <c r="Y1624" s="208"/>
      <c r="Z1624" s="217">
        <f>IF(Z1623=0,0,SUMIFS(операции!$AH:$AH,операции!$AB:$AB,"&gt;="&amp;X$8,операции!$AB:$AB,"&lt;="&amp;X$9,операции!$L:$L,Z$9,операции!$O:$O,$F1570)/Z1623)</f>
        <v>0</v>
      </c>
      <c r="AA1624" s="249">
        <f>IF(AA1623=0,0,SUMIFS(операции!$AH:$AH,операции!$AB:$AB,"&gt;="&amp;X$8,операции!$AB:$AB,"&lt;="&amp;X$9,операции!$L:$L,AA$9,операции!$O:$O,$F1570)/AA1623)</f>
        <v>42350.8</v>
      </c>
      <c r="AB1624" s="265"/>
      <c r="AC1624" s="37"/>
      <c r="AD1624" s="37"/>
      <c r="AE1624" s="37"/>
      <c r="AF1624" s="37"/>
      <c r="AG1624" s="37"/>
      <c r="AH1624" s="37"/>
      <c r="AI1624" s="37"/>
      <c r="AJ1624" s="37"/>
      <c r="AK1624" s="37"/>
      <c r="AL1624" s="37"/>
      <c r="AM1624" s="37"/>
      <c r="AN1624" s="37"/>
      <c r="AO1624" s="37"/>
      <c r="AP1624" s="37"/>
    </row>
    <row r="1625" spans="1:42" s="111" customFormat="1" ht="11.25">
      <c r="A1625" s="108"/>
      <c r="B1625" s="108"/>
      <c r="C1625" s="209" t="s">
        <v>279</v>
      </c>
      <c r="D1625" s="109"/>
      <c r="E1625" s="109"/>
      <c r="F1625" s="109" t="str">
        <f t="shared" si="2790"/>
        <v>СпортИн</v>
      </c>
      <c r="G1625" s="109"/>
      <c r="H1625" s="307"/>
      <c r="I1625" s="308">
        <f>I1626-K1626-L1626+K1625+L1625</f>
        <v>0</v>
      </c>
      <c r="J1625" s="309">
        <f>I1570+I1588-I1595-I1626</f>
        <v>0</v>
      </c>
      <c r="K1625" s="308">
        <f>K1570+K1588-K1595-K1626</f>
        <v>0</v>
      </c>
      <c r="L1625" s="336">
        <f>L1570+L1588-L1595-L1626</f>
        <v>0</v>
      </c>
      <c r="M1625" s="272"/>
      <c r="N1625" s="110">
        <f>N1626-P1626-Q1626</f>
        <v>0</v>
      </c>
      <c r="O1625" s="215">
        <f>N1570+N1588-N1595-N1626</f>
        <v>0</v>
      </c>
      <c r="P1625" s="110">
        <f>P1570+P1588-P1595-P1626</f>
        <v>0</v>
      </c>
      <c r="Q1625" s="248">
        <f>Q1570+Q1588-Q1595-Q1626</f>
        <v>0</v>
      </c>
      <c r="R1625" s="234"/>
      <c r="S1625" s="110">
        <f>S1626-U1626-V1626</f>
        <v>0</v>
      </c>
      <c r="T1625" s="215">
        <f>S1570+S1588-S1595-S1626</f>
        <v>0</v>
      </c>
      <c r="U1625" s="110">
        <f>U1570+U1588-U1595-U1626</f>
        <v>0</v>
      </c>
      <c r="V1625" s="248">
        <f>V1570+V1588-V1595-V1626</f>
        <v>0</v>
      </c>
      <c r="W1625" s="234"/>
      <c r="X1625" s="110">
        <f>X1626-Z1626-AA1626</f>
        <v>0</v>
      </c>
      <c r="Y1625" s="215">
        <f>X1570+X1588-X1595-X1626</f>
        <v>0</v>
      </c>
      <c r="Z1625" s="110">
        <f>Z1570+Z1588-Z1595-Z1626</f>
        <v>0</v>
      </c>
      <c r="AA1625" s="248">
        <f>AA1570+AA1588-AA1595-AA1626</f>
        <v>0</v>
      </c>
      <c r="AB1625" s="263"/>
      <c r="AC1625" s="108"/>
      <c r="AD1625" s="108"/>
      <c r="AE1625" s="108"/>
      <c r="AF1625" s="108"/>
      <c r="AG1625" s="108"/>
      <c r="AH1625" s="108"/>
      <c r="AI1625" s="108"/>
      <c r="AJ1625" s="108"/>
      <c r="AK1625" s="108"/>
      <c r="AL1625" s="108"/>
      <c r="AM1625" s="108"/>
      <c r="AN1625" s="108"/>
      <c r="AO1625" s="108"/>
      <c r="AP1625" s="108"/>
    </row>
    <row r="1626" spans="1:42" s="93" customFormat="1" ht="15">
      <c r="A1626" s="92"/>
      <c r="B1626" s="92"/>
      <c r="C1626" s="214"/>
      <c r="D1626" s="151" t="s">
        <v>238</v>
      </c>
      <c r="E1626" s="151"/>
      <c r="F1626" s="151" t="str">
        <f t="shared" si="2790"/>
        <v>СпортИн</v>
      </c>
      <c r="G1626" s="151" t="s">
        <v>261</v>
      </c>
      <c r="H1626" s="311"/>
      <c r="I1626" s="312">
        <f>SUMIFS(операции!$V:$V,операции!$T:$T,"&lt;="&amp;I$9,операции!$X:$X,"",операции!$O:$O,$F1570)+SUMIFS(операции!$V:$V,операции!$T:$T,"&lt;="&amp;I$9,операции!$X:$X,"&gt;"&amp;I$9,операции!$O:$O,$F1570)</f>
        <v>4537</v>
      </c>
      <c r="J1626" s="313">
        <f>I1626-I1631-I1637</f>
        <v>0</v>
      </c>
      <c r="K1626" s="312">
        <f>SUMIFS(операции!$V:$V,операции!$T:$T,"&lt;="&amp;I$9,операции!$X:$X,"",операции!$L:$L,K$9,операции!$O:$O,$F1570)+SUMIFS(операции!$V:$V,операции!$T:$T,"&lt;="&amp;I$9,операции!$X:$X,"&gt;"&amp;I$9,операции!$L:$L,K$9,операции!$O:$O,$F1570)</f>
        <v>4537</v>
      </c>
      <c r="L1626" s="314">
        <f>SUMIFS(операции!$V:$V,операции!$T:$T,"&lt;="&amp;I$9,операции!$X:$X,"",операции!$L:$L,L$9,операции!$O:$O,$F1570)+SUMIFS(операции!$V:$V,операции!$T:$T,"&lt;="&amp;I$9,операции!$X:$X,"&gt;"&amp;I$9,операции!$L:$L,L$9,операции!$O:$O,$F1570)</f>
        <v>0</v>
      </c>
      <c r="M1626" s="273"/>
      <c r="N1626" s="152">
        <f>SUMIFS(операции!$V:$V,операции!$T:$T,"&lt;="&amp;N$9,операции!$X:$X,"",операции!$O:$O,$F1570)+SUMIFS(операции!$V:$V,операции!$T:$T,"&lt;="&amp;N$9,операции!$X:$X,"&gt;"&amp;N$9,операции!$O:$O,$F1570)</f>
        <v>6805.5</v>
      </c>
      <c r="O1626" s="170">
        <f>N1626-N1631-N1637</f>
        <v>0</v>
      </c>
      <c r="P1626" s="152">
        <f>SUMIFS(операции!$V:$V,операции!$T:$T,"&lt;="&amp;N$9,операции!$X:$X,"",операции!$L:$L,P$9,операции!$O:$O,$F1570)+SUMIFS(операции!$V:$V,операции!$T:$T,"&lt;="&amp;N$9,операции!$X:$X,"&gt;"&amp;N$9,операции!$L:$L,P$9,операции!$O:$O,$F1570)</f>
        <v>6805.5</v>
      </c>
      <c r="Q1626" s="235">
        <f>SUMIFS(операции!$V:$V,операции!$T:$T,"&lt;="&amp;N$9,операции!$X:$X,"",операции!$L:$L,Q$9,операции!$O:$O,$F1570)+SUMIFS(операции!$V:$V,операции!$T:$T,"&lt;="&amp;N$9,операции!$X:$X,"&gt;"&amp;N$9,операции!$L:$L,Q$9,операции!$O:$O,$F1570)</f>
        <v>0</v>
      </c>
      <c r="R1626" s="236"/>
      <c r="S1626" s="152">
        <f>SUMIFS(операции!$V:$V,операции!$T:$T,"&lt;="&amp;S$9,операции!$X:$X,"",операции!$O:$O,$F1570)+SUMIFS(операции!$V:$V,операции!$T:$T,"&lt;="&amp;S$9,операции!$X:$X,"&gt;"&amp;S$9,операции!$O:$O,$F1570)</f>
        <v>11342.5</v>
      </c>
      <c r="T1626" s="170">
        <f>S1626-S1631-S1637</f>
        <v>0</v>
      </c>
      <c r="U1626" s="152">
        <f>SUMIFS(операции!$V:$V,операции!$T:$T,"&lt;="&amp;S$9,операции!$X:$X,"",операции!$L:$L,U$9,операции!$O:$O,$F1570)+SUMIFS(операции!$V:$V,операции!$T:$T,"&lt;="&amp;S$9,операции!$X:$X,"&gt;"&amp;S$9,операции!$L:$L,U$9,операции!$O:$O,$F1570)</f>
        <v>4537</v>
      </c>
      <c r="V1626" s="235">
        <f>SUMIFS(операции!$V:$V,операции!$T:$T,"&lt;="&amp;S$9,операции!$X:$X,"",операции!$L:$L,V$9,операции!$O:$O,$F1570)+SUMIFS(операции!$V:$V,операции!$T:$T,"&lt;="&amp;S$9,операции!$X:$X,"&gt;"&amp;S$9,операции!$L:$L,V$9,операции!$O:$O,$F1570)</f>
        <v>6805.5</v>
      </c>
      <c r="W1626" s="236"/>
      <c r="X1626" s="152">
        <f>SUMIFS(операции!$V:$V,операции!$T:$T,"&lt;="&amp;X$9,операции!$X:$X,"",операции!$O:$O,$F1570)+SUMIFS(операции!$V:$V,операции!$T:$T,"&lt;="&amp;X$9,операции!$X:$X,"&gt;"&amp;X$9,операции!$O:$O,$F1570)</f>
        <v>4537</v>
      </c>
      <c r="Y1626" s="170">
        <f>X1626-X1631-X1637</f>
        <v>0</v>
      </c>
      <c r="Z1626" s="152">
        <f>SUMIFS(операции!$V:$V,операции!$T:$T,"&lt;="&amp;X$9,операции!$X:$X,"",операции!$L:$L,Z$9,операции!$O:$O,$F1570)+SUMIFS(операции!$V:$V,операции!$T:$T,"&lt;="&amp;X$9,операции!$X:$X,"&gt;"&amp;X$9,операции!$L:$L,Z$9,операции!$O:$O,$F1570)</f>
        <v>4537</v>
      </c>
      <c r="AA1626" s="235">
        <f>SUMIFS(операции!$V:$V,операции!$T:$T,"&lt;="&amp;X$9,операции!$X:$X,"",операции!$L:$L,AA$9,операции!$O:$O,$F1570)+SUMIFS(операции!$V:$V,операции!$T:$T,"&lt;="&amp;X$9,операции!$X:$X,"&gt;"&amp;X$9,операции!$L:$L,AA$9,операции!$O:$O,$F1570)</f>
        <v>0</v>
      </c>
      <c r="AB1626" s="264"/>
      <c r="AC1626" s="92"/>
      <c r="AD1626" s="92"/>
      <c r="AE1626" s="92"/>
      <c r="AF1626" s="92"/>
      <c r="AG1626" s="92"/>
      <c r="AH1626" s="92"/>
      <c r="AI1626" s="92"/>
      <c r="AJ1626" s="92"/>
      <c r="AK1626" s="92"/>
      <c r="AL1626" s="92"/>
      <c r="AM1626" s="92"/>
      <c r="AN1626" s="92"/>
      <c r="AO1626" s="92"/>
      <c r="AP1626" s="92"/>
    </row>
    <row r="1627" spans="1:42" s="192" customFormat="1" ht="11.25">
      <c r="A1627" s="37"/>
      <c r="B1627" s="37"/>
      <c r="C1627" s="37"/>
      <c r="D1627" s="191" t="s">
        <v>255</v>
      </c>
      <c r="E1627" s="191"/>
      <c r="F1627" s="191" t="str">
        <f t="shared" si="2790"/>
        <v>СпортИн</v>
      </c>
      <c r="G1627" s="191" t="s">
        <v>262</v>
      </c>
      <c r="H1627" s="315"/>
      <c r="I1627" s="316">
        <f>IF(I1626=0,0,(SUMIFS(операции!$AF:$AF,операции!$T:$T,"&lt;="&amp;I$9,операции!$X:$X,"",операции!$O:$O,$F1570)+SUMIFS(операции!$AF:$AF,операции!$T:$T,"&lt;="&amp;I$9,операции!$X:$X,"&gt;"&amp;I$9,операции!$O:$O,$F1570))/I1626)</f>
        <v>42169</v>
      </c>
      <c r="J1627" s="317"/>
      <c r="K1627" s="316">
        <f>IF(K1626=0,0,(SUMIFS(операции!$AF:$AF,операции!$T:$T,"&lt;="&amp;I$9,операции!$X:$X,"",операции!$L:$L,K$9,операции!$O:$O,$F1570)+SUMIFS(операции!$AF:$AF,операции!$T:$T,"&lt;="&amp;I$9,операции!$X:$X,"&gt;"&amp;I$9,операции!$L:$L,K$9,операции!$O:$O,$F1570))/K1626)</f>
        <v>42169</v>
      </c>
      <c r="L1627" s="318">
        <f>IF(L1626=0,0,(SUMIFS(операции!$AF:$AF,операции!$T:$T,"&lt;="&amp;I$9,операции!$X:$X,"",операции!$L:$L,L$9,операции!$O:$O,$F1570)+SUMIFS(операции!$AF:$AF,операции!$T:$T,"&lt;="&amp;I$9,операции!$X:$X,"&gt;"&amp;I$9,операции!$L:$L,L$9,операции!$O:$O,$F1570))/L1626)</f>
        <v>0</v>
      </c>
      <c r="M1627" s="274"/>
      <c r="N1627" s="193">
        <f>IF(N1626=0,0,(SUMIFS(операции!$AF:$AF,операции!$T:$T,"&lt;="&amp;N$9,операции!$X:$X,"",операции!$O:$O,$F1570)+SUMIFS(операции!$AF:$AF,операции!$T:$T,"&lt;="&amp;N$9,операции!$X:$X,"&gt;"&amp;N$9,операции!$O:$O,$F1570))/N1626)</f>
        <v>42173.666666666664</v>
      </c>
      <c r="O1627" s="196"/>
      <c r="P1627" s="193">
        <f>IF(P1626=0,0,(SUMIFS(операции!$AF:$AF,операции!$T:$T,"&lt;="&amp;N$9,операции!$X:$X,"",операции!$L:$L,P$9,операции!$O:$O,$F1570)+SUMIFS(операции!$AF:$AF,операции!$T:$T,"&lt;="&amp;N$9,операции!$X:$X,"&gt;"&amp;N$9,операции!$L:$L,P$9,операции!$O:$O,$F1570))/P1626)</f>
        <v>42173.666666666664</v>
      </c>
      <c r="Q1627" s="237">
        <f>IF(Q1626=0,0,(SUMIFS(операции!$AF:$AF,операции!$T:$T,"&lt;="&amp;N$9,операции!$X:$X,"",операции!$L:$L,Q$9,операции!$O:$O,$F1570)+SUMIFS(операции!$AF:$AF,операции!$T:$T,"&lt;="&amp;N$9,операции!$X:$X,"&gt;"&amp;N$9,операции!$L:$L,Q$9,операции!$O:$O,$F1570))/Q1626)</f>
        <v>0</v>
      </c>
      <c r="R1627" s="238"/>
      <c r="S1627" s="193">
        <f>IF(S1626=0,0,(SUMIFS(операции!$AF:$AF,операции!$T:$T,"&lt;="&amp;S$9,операции!$X:$X,"",операции!$O:$O,$F1570)+SUMIFS(операции!$AF:$AF,операции!$T:$T,"&lt;="&amp;S$9,операции!$X:$X,"&gt;"&amp;S$9,операции!$O:$O,$F1570))/S1626)</f>
        <v>42270.2</v>
      </c>
      <c r="T1627" s="196"/>
      <c r="U1627" s="193">
        <f>IF(U1626=0,0,(SUMIFS(операции!$AF:$AF,операции!$T:$T,"&lt;="&amp;S$9,операции!$X:$X,"",операции!$L:$L,U$9,операции!$O:$O,$F1570)+SUMIFS(операции!$AF:$AF,операции!$T:$T,"&lt;="&amp;S$9,операции!$X:$X,"&gt;"&amp;S$9,операции!$L:$L,U$9,операции!$O:$O,$F1570))/U1626)</f>
        <v>42169</v>
      </c>
      <c r="V1627" s="237">
        <f>IF(V1626=0,0,(SUMIFS(операции!$AF:$AF,операции!$T:$T,"&lt;="&amp;S$9,операции!$X:$X,"",операции!$L:$L,V$9,операции!$O:$O,$F1570)+SUMIFS(операции!$AF:$AF,операции!$T:$T,"&lt;="&amp;S$9,операции!$X:$X,"&gt;"&amp;S$9,операции!$L:$L,V$9,операции!$O:$O,$F1570))/V1626)</f>
        <v>42337.666666666664</v>
      </c>
      <c r="W1627" s="238"/>
      <c r="X1627" s="193">
        <f>IF(X1626=0,0,(SUMIFS(операции!$AF:$AF,операции!$T:$T,"&lt;="&amp;X$9,операции!$X:$X,"",операции!$O:$O,$F1570)+SUMIFS(операции!$AF:$AF,операции!$T:$T,"&lt;="&amp;X$9,операции!$X:$X,"&gt;"&amp;X$9,операции!$O:$O,$F1570))/X1626)</f>
        <v>42169</v>
      </c>
      <c r="Y1627" s="196"/>
      <c r="Z1627" s="193">
        <f>IF(Z1626=0,0,(SUMIFS(операции!$AF:$AF,операции!$T:$T,"&lt;="&amp;X$9,операции!$X:$X,"",операции!$L:$L,Z$9,операции!$O:$O,$F1570)+SUMIFS(операции!$AF:$AF,операции!$T:$T,"&lt;="&amp;X$9,операции!$X:$X,"&gt;"&amp;X$9,операции!$L:$L,Z$9,операции!$O:$O,$F1570))/Z1626)</f>
        <v>42169</v>
      </c>
      <c r="AA1627" s="237">
        <f>IF(AA1626=0,0,(SUMIFS(операции!$AF:$AF,операции!$T:$T,"&lt;="&amp;X$9,операции!$X:$X,"",операции!$L:$L,AA$9,операции!$O:$O,$F1570)+SUMIFS(операции!$AF:$AF,операции!$T:$T,"&lt;="&amp;X$9,операции!$X:$X,"&gt;"&amp;X$9,операции!$L:$L,AA$9,операции!$O:$O,$F1570))/AA1626)</f>
        <v>0</v>
      </c>
      <c r="AB1627" s="265"/>
      <c r="AC1627" s="37"/>
      <c r="AD1627" s="37"/>
      <c r="AE1627" s="37"/>
      <c r="AF1627" s="37"/>
      <c r="AG1627" s="37"/>
      <c r="AH1627" s="37"/>
      <c r="AI1627" s="37"/>
      <c r="AJ1627" s="37"/>
      <c r="AK1627" s="37"/>
      <c r="AL1627" s="37"/>
      <c r="AM1627" s="37"/>
      <c r="AN1627" s="37"/>
      <c r="AO1627" s="37"/>
      <c r="AP1627" s="37"/>
    </row>
    <row r="1628" spans="1:42" s="50" customFormat="1" ht="11.25">
      <c r="A1628" s="48"/>
      <c r="B1628" s="48"/>
      <c r="C1628" s="48"/>
      <c r="D1628" s="154" t="s">
        <v>239</v>
      </c>
      <c r="E1628" s="154"/>
      <c r="F1628" s="154" t="str">
        <f t="shared" si="2790"/>
        <v>СпортИн</v>
      </c>
      <c r="G1628" s="154" t="s">
        <v>219</v>
      </c>
      <c r="H1628" s="319"/>
      <c r="I1628" s="320">
        <f>IF(I1626=0,0,I$9-I1627)</f>
        <v>200</v>
      </c>
      <c r="J1628" s="321">
        <f>I1628-SUMIFS(ПОбТЗ!$I:$I,ПОбТЗ!$E:$E,$D1628,ПОбТЗ!$F:$F,$F1628)</f>
        <v>0</v>
      </c>
      <c r="K1628" s="320">
        <f>IF(K1626=0,0,I$9-K1627)</f>
        <v>200</v>
      </c>
      <c r="L1628" s="322">
        <f>IF(L1626=0,0,I$9-L1627)</f>
        <v>0</v>
      </c>
      <c r="M1628" s="275"/>
      <c r="N1628" s="155">
        <f>IF(N1626=0,0,N$9-N1627)</f>
        <v>134.33333333333576</v>
      </c>
      <c r="O1628" s="173">
        <f>N1628-SUMIFS(ПОбТЗ_3!$J:$J,ПОбТЗ_3!$D:$D,$D1628,ПОбТЗ_3!$E:$E,$F1628)</f>
        <v>0</v>
      </c>
      <c r="P1628" s="155">
        <f>IF(P1626=0,0,N$9-P1627)</f>
        <v>134.33333333333576</v>
      </c>
      <c r="Q1628" s="239">
        <f>IF(Q1626=0,0,N$9-Q1627)</f>
        <v>0</v>
      </c>
      <c r="R1628" s="240"/>
      <c r="S1628" s="155">
        <f>IF(S1626=0,0,S$9-S1627)</f>
        <v>67.80000000000291</v>
      </c>
      <c r="T1628" s="173">
        <f>S1628-SUMIFS(ПОбТЗ_3!$K:$K,ПОбТЗ_3!$D:$D,$D1628,ПОбТЗ_3!$E:$E,$F1628)</f>
        <v>0</v>
      </c>
      <c r="U1628" s="155">
        <f>IF(U1626=0,0,S$9-U1627)</f>
        <v>169</v>
      </c>
      <c r="V1628" s="239">
        <f>IF(V1626=0,0,S$9-V1627)</f>
        <v>0.33333333333575865</v>
      </c>
      <c r="W1628" s="240"/>
      <c r="X1628" s="155">
        <f>IF(X1626=0,0,X$9-X1627)</f>
        <v>200</v>
      </c>
      <c r="Y1628" s="173">
        <f>X1628-SUMIFS(ПОбТЗ_3!$L:$L,ПОбТЗ_3!$D:$D,$D1628,ПОбТЗ_3!$E:$E,$F1628)</f>
        <v>0</v>
      </c>
      <c r="Z1628" s="155">
        <f>IF(Z1626=0,0,X$9-Z1627)</f>
        <v>200</v>
      </c>
      <c r="AA1628" s="239">
        <f>IF(AA1626=0,0,X$9-AA1627)</f>
        <v>0</v>
      </c>
      <c r="AB1628" s="230"/>
      <c r="AC1628" s="48"/>
      <c r="AD1628" s="48"/>
      <c r="AE1628" s="48"/>
      <c r="AF1628" s="48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</row>
    <row r="1629" spans="1:42" s="93" customFormat="1" ht="15">
      <c r="A1629" s="92"/>
      <c r="B1629" s="92"/>
      <c r="C1629" s="92"/>
      <c r="D1629" s="198" t="s">
        <v>280</v>
      </c>
      <c r="E1629" s="198"/>
      <c r="F1629" s="198" t="str">
        <f t="shared" si="2790"/>
        <v>СпортИн</v>
      </c>
      <c r="G1629" s="198" t="s">
        <v>219</v>
      </c>
      <c r="H1629" s="323"/>
      <c r="I1629" s="324">
        <f>IF(I1626=0,0,(I1631*I1635+I1637*I1641)/I1626)</f>
        <v>41.5</v>
      </c>
      <c r="J1629" s="321"/>
      <c r="K1629" s="324">
        <f>IF(K1626=0,0,(K1631*K1635+K1637*K1641)/K1626)</f>
        <v>41.5</v>
      </c>
      <c r="L1629" s="325">
        <f>IF(L1626=0,0,(L1631*L1635+L1637*L1641)/L1626)</f>
        <v>0</v>
      </c>
      <c r="M1629" s="276"/>
      <c r="N1629" s="199">
        <f>IF(N1626=0,0,(N1631*N1635+N1637*N1641)/N1626)</f>
        <v>37.666666666671517</v>
      </c>
      <c r="O1629" s="173"/>
      <c r="P1629" s="199">
        <f>IF(P1626=0,0,(P1631*P1635+P1637*P1641)/P1626)</f>
        <v>37.666666666671517</v>
      </c>
      <c r="Q1629" s="241">
        <f>IF(Q1626=0,0,(Q1631*Q1635+Q1637*Q1641)/Q1626)</f>
        <v>0</v>
      </c>
      <c r="R1629" s="242"/>
      <c r="S1629" s="199">
        <f>IF(S1626=0,0,(S1631*S1635+S1637*S1641)/S1626)</f>
        <v>16.800000000001454</v>
      </c>
      <c r="T1629" s="173"/>
      <c r="U1629" s="199">
        <f>IF(U1626=0,0,(U1631*U1635+U1637*U1641)/U1626)</f>
        <v>41.5</v>
      </c>
      <c r="V1629" s="241">
        <f>IF(V1626=0,0,(V1631*V1635+V1637*V1641)/V1626)</f>
        <v>0.33333333333575865</v>
      </c>
      <c r="W1629" s="242"/>
      <c r="X1629" s="199">
        <f>IF(X1626=0,0,(X1631*X1635+X1637*X1641)/X1626)</f>
        <v>41.5</v>
      </c>
      <c r="Y1629" s="173"/>
      <c r="Z1629" s="199">
        <f>IF(Z1626=0,0,(Z1631*Z1635+Z1637*Z1641)/Z1626)</f>
        <v>41.5</v>
      </c>
      <c r="AA1629" s="241">
        <f>IF(AA1626=0,0,(AA1631*AA1635+AA1637*AA1641)/AA1626)</f>
        <v>0</v>
      </c>
      <c r="AB1629" s="264"/>
      <c r="AC1629" s="92"/>
      <c r="AD1629" s="92"/>
      <c r="AE1629" s="92"/>
      <c r="AF1629" s="92"/>
      <c r="AG1629" s="92"/>
      <c r="AH1629" s="92"/>
      <c r="AI1629" s="92"/>
      <c r="AJ1629" s="92"/>
      <c r="AK1629" s="92"/>
      <c r="AL1629" s="92"/>
      <c r="AM1629" s="92"/>
      <c r="AN1629" s="92"/>
      <c r="AO1629" s="92"/>
      <c r="AP1629" s="92"/>
    </row>
    <row r="1630" spans="1:42" s="50" customFormat="1" ht="11.25">
      <c r="A1630" s="48"/>
      <c r="B1630" s="48"/>
      <c r="C1630" s="48"/>
      <c r="D1630" s="154" t="s">
        <v>281</v>
      </c>
      <c r="E1630" s="154"/>
      <c r="F1630" s="154" t="str">
        <f t="shared" si="2790"/>
        <v>СпортИн</v>
      </c>
      <c r="G1630" s="154" t="s">
        <v>219</v>
      </c>
      <c r="H1630" s="319"/>
      <c r="I1630" s="320">
        <f>I1628-I1629</f>
        <v>158.5</v>
      </c>
      <c r="J1630" s="321"/>
      <c r="K1630" s="320">
        <f>K1628-K1629</f>
        <v>158.5</v>
      </c>
      <c r="L1630" s="322">
        <f>L1628-L1629</f>
        <v>0</v>
      </c>
      <c r="M1630" s="275"/>
      <c r="N1630" s="155">
        <f>N1628-N1629</f>
        <v>96.666666666664241</v>
      </c>
      <c r="O1630" s="173"/>
      <c r="P1630" s="155">
        <f>P1628-P1629</f>
        <v>96.666666666664241</v>
      </c>
      <c r="Q1630" s="239">
        <f>Q1628-Q1629</f>
        <v>0</v>
      </c>
      <c r="R1630" s="240"/>
      <c r="S1630" s="155">
        <f>S1628-S1629</f>
        <v>51.000000000001457</v>
      </c>
      <c r="T1630" s="173"/>
      <c r="U1630" s="155">
        <f>U1628-U1629</f>
        <v>127.5</v>
      </c>
      <c r="V1630" s="239">
        <f>V1628-V1629</f>
        <v>0</v>
      </c>
      <c r="W1630" s="240"/>
      <c r="X1630" s="155">
        <f>X1628-X1629</f>
        <v>158.5</v>
      </c>
      <c r="Y1630" s="173"/>
      <c r="Z1630" s="155">
        <f>Z1628-Z1629</f>
        <v>158.5</v>
      </c>
      <c r="AA1630" s="239">
        <f>AA1628-AA1629</f>
        <v>0</v>
      </c>
      <c r="AB1630" s="230"/>
      <c r="AC1630" s="48"/>
      <c r="AD1630" s="48"/>
      <c r="AE1630" s="48"/>
      <c r="AF1630" s="48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</row>
    <row r="1631" spans="1:42" s="5" customFormat="1">
      <c r="A1631" s="1"/>
      <c r="B1631" s="1"/>
      <c r="C1631" s="1"/>
      <c r="D1631" s="168"/>
      <c r="E1631" s="168" t="s">
        <v>282</v>
      </c>
      <c r="F1631" s="168" t="str">
        <f t="shared" si="2790"/>
        <v>СпортИн</v>
      </c>
      <c r="G1631" s="168" t="s">
        <v>261</v>
      </c>
      <c r="H1631" s="326"/>
      <c r="I1631" s="327">
        <f>SUMIFS(операции!$V:$V,операции!$T:$T,"&lt;="&amp;I$9,операции!$X:$X,"",операции!$AB:$AB,"&lt;&gt;"&amp;"",операции!$AB:$AB,"&lt;="&amp;I$9,операции!$O:$O,$F1570)+SUMIFS(операции!$V:$V,операции!$T:$T,"&lt;="&amp;I$9,операции!$X:$X,"&gt;"&amp;I$9,операции!$AB:$AB,"&lt;&gt;"&amp;"",операции!$AB:$AB,"&lt;="&amp;I$9,операции!$O:$O,$F1570)</f>
        <v>4537</v>
      </c>
      <c r="J1631" s="313">
        <f>I1631-K1631-L1631</f>
        <v>0</v>
      </c>
      <c r="K1631" s="327">
        <f>SUMIFS(операции!$V:$V,операции!$T:$T,"&lt;="&amp;I$9,операции!$X:$X,"",операции!$AB:$AB,"&lt;&gt;"&amp;"",операции!$AB:$AB,"&lt;="&amp;I$9,операции!$L:$L,K$9,операции!$O:$O,$F1570)+SUMIFS(операции!$V:$V,операции!$T:$T,"&lt;="&amp;I$9,операции!$X:$X,"&gt;"&amp;I$9,операции!$AB:$AB,"&lt;&gt;"&amp;"",операции!$AB:$AB,"&lt;="&amp;I$9,операции!$L:$L,K$9,операции!$O:$O,$F1570)</f>
        <v>4537</v>
      </c>
      <c r="L1631" s="328">
        <f>SUMIFS(операции!$V:$V,операции!$T:$T,"&lt;="&amp;I$9,операции!$X:$X,"",операции!$AB:$AB,"&lt;&gt;"&amp;"",операции!$AB:$AB,"&lt;="&amp;I$9,операции!$L:$L,L$9,операции!$O:$O,$F1570)+SUMIFS(операции!$V:$V,операции!$T:$T,"&lt;="&amp;I$9,операции!$X:$X,"&gt;"&amp;I$9,операции!$AB:$AB,"&lt;&gt;"&amp;"",операции!$AB:$AB,"&lt;="&amp;I$9,операции!$L:$L,L$9,операции!$O:$O,$F1570)</f>
        <v>0</v>
      </c>
      <c r="M1631" s="277"/>
      <c r="N1631" s="169">
        <f>SUMIFS(операции!$V:$V,операции!$T:$T,"&lt;="&amp;N$9,операции!$X:$X,"",операции!$AB:$AB,"&lt;&gt;"&amp;"",операции!$AB:$AB,"&lt;="&amp;N$9,операции!$O:$O,$F1570)+SUMIFS(операции!$V:$V,операции!$T:$T,"&lt;="&amp;N$9,операции!$X:$X,"&gt;"&amp;N$9,операции!$AB:$AB,"&lt;&gt;"&amp;"",операции!$AB:$AB,"&lt;="&amp;N$9,операции!$O:$O,$F1570)</f>
        <v>6805.5</v>
      </c>
      <c r="O1631" s="170">
        <f>N1631-P1631-Q1631</f>
        <v>0</v>
      </c>
      <c r="P1631" s="169">
        <f>SUMIFS(операции!$V:$V,операции!$T:$T,"&lt;="&amp;N$9,операции!$X:$X,"",операции!$AB:$AB,"&lt;&gt;"&amp;"",операции!$AB:$AB,"&lt;="&amp;N$9,операции!$L:$L,P$9,операции!$O:$O,$F1570)+SUMIFS(операции!$V:$V,операции!$T:$T,"&lt;="&amp;N$9,операции!$X:$X,"&gt;"&amp;N$9,операции!$AB:$AB,"&lt;&gt;"&amp;"",операции!$AB:$AB,"&lt;="&amp;N$9,операции!$L:$L,P$9,операции!$O:$O,$F1570)</f>
        <v>6805.5</v>
      </c>
      <c r="Q1631" s="243">
        <f>SUMIFS(операции!$V:$V,операции!$T:$T,"&lt;="&amp;N$9,операции!$X:$X,"",операции!$AB:$AB,"&lt;&gt;"&amp;"",операции!$AB:$AB,"&lt;="&amp;N$9,операции!$L:$L,Q$9,операции!$O:$O,$F1570)+SUMIFS(операции!$V:$V,операции!$T:$T,"&lt;="&amp;N$9,операции!$X:$X,"&gt;"&amp;N$9,операции!$AB:$AB,"&lt;&gt;"&amp;"",операции!$AB:$AB,"&lt;="&amp;N$9,операции!$L:$L,Q$9,операции!$O:$O,$F1570)</f>
        <v>0</v>
      </c>
      <c r="R1631" s="244"/>
      <c r="S1631" s="169">
        <f>SUMIFS(операции!$V:$V,операции!$T:$T,"&lt;="&amp;S$9,операции!$X:$X,"",операции!$AB:$AB,"&lt;&gt;"&amp;"",операции!$AB:$AB,"&lt;="&amp;S$9,операции!$O:$O,$F1570)+SUMIFS(операции!$V:$V,операции!$T:$T,"&lt;="&amp;S$9,операции!$X:$X,"&gt;"&amp;S$9,операции!$AB:$AB,"&lt;&gt;"&amp;"",операции!$AB:$AB,"&lt;="&amp;S$9,операции!$O:$O,$F1570)</f>
        <v>4537</v>
      </c>
      <c r="T1631" s="170">
        <f>S1631-U1631-V1631</f>
        <v>0</v>
      </c>
      <c r="U1631" s="169">
        <f>SUMIFS(операции!$V:$V,операции!$T:$T,"&lt;="&amp;S$9,операции!$X:$X,"",операции!$AB:$AB,"&lt;&gt;"&amp;"",операции!$AB:$AB,"&lt;="&amp;S$9,операции!$L:$L,U$9,операции!$O:$O,$F1570)+SUMIFS(операции!$V:$V,операции!$T:$T,"&lt;="&amp;S$9,операции!$X:$X,"&gt;"&amp;S$9,операции!$AB:$AB,"&lt;&gt;"&amp;"",операции!$AB:$AB,"&lt;="&amp;S$9,операции!$L:$L,U$9,операции!$O:$O,$F1570)</f>
        <v>4537</v>
      </c>
      <c r="V1631" s="243">
        <f>SUMIFS(операции!$V:$V,операции!$T:$T,"&lt;="&amp;S$9,операции!$X:$X,"",операции!$AB:$AB,"&lt;&gt;"&amp;"",операции!$AB:$AB,"&lt;="&amp;S$9,операции!$L:$L,V$9,операции!$O:$O,$F1570)+SUMIFS(операции!$V:$V,операции!$T:$T,"&lt;="&amp;S$9,операции!$X:$X,"&gt;"&amp;S$9,операции!$AB:$AB,"&lt;&gt;"&amp;"",операции!$AB:$AB,"&lt;="&amp;S$9,операции!$L:$L,V$9,операции!$O:$O,$F1570)</f>
        <v>0</v>
      </c>
      <c r="W1631" s="244"/>
      <c r="X1631" s="169">
        <f>SUMIFS(операции!$V:$V,операции!$T:$T,"&lt;="&amp;X$9,операции!$X:$X,"",операции!$AB:$AB,"&lt;&gt;"&amp;"",операции!$AB:$AB,"&lt;="&amp;X$9,операции!$O:$O,$F1570)+SUMIFS(операции!$V:$V,операции!$T:$T,"&lt;="&amp;X$9,операции!$X:$X,"&gt;"&amp;X$9,операции!$AB:$AB,"&lt;&gt;"&amp;"",операции!$AB:$AB,"&lt;="&amp;X$9,операции!$O:$O,$F1570)</f>
        <v>4537</v>
      </c>
      <c r="Y1631" s="170">
        <f>X1631-Z1631-AA1631</f>
        <v>0</v>
      </c>
      <c r="Z1631" s="169">
        <f>SUMIFS(операции!$V:$V,операции!$T:$T,"&lt;="&amp;X$9,операции!$X:$X,"",операции!$AB:$AB,"&lt;&gt;"&amp;"",операции!$AB:$AB,"&lt;="&amp;X$9,операции!$L:$L,Z$9,операции!$O:$O,$F1570)+SUMIFS(операции!$V:$V,операции!$T:$T,"&lt;="&amp;X$9,операции!$X:$X,"&gt;"&amp;X$9,операции!$AB:$AB,"&lt;&gt;"&amp;"",операции!$AB:$AB,"&lt;="&amp;X$9,операции!$L:$L,Z$9,операции!$O:$O,$F1570)</f>
        <v>4537</v>
      </c>
      <c r="AA1631" s="243">
        <f>SUMIFS(операции!$V:$V,операции!$T:$T,"&lt;="&amp;X$9,операции!$X:$X,"",операции!$AB:$AB,"&lt;&gt;"&amp;"",операции!$AB:$AB,"&lt;="&amp;X$9,операции!$L:$L,AA$9,операции!$O:$O,$F1570)+SUMIFS(операции!$V:$V,операции!$T:$T,"&lt;="&amp;X$9,операции!$X:$X,"&gt;"&amp;X$9,операции!$AB:$AB,"&lt;&gt;"&amp;"",операции!$AB:$AB,"&lt;="&amp;X$9,операции!$L:$L,AA$9,операции!$O:$O,$F1570)</f>
        <v>0</v>
      </c>
      <c r="AB1631" s="266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</row>
    <row r="1632" spans="1:42" s="192" customFormat="1" ht="11.25">
      <c r="A1632" s="37"/>
      <c r="B1632" s="37"/>
      <c r="C1632" s="37"/>
      <c r="D1632" s="191"/>
      <c r="E1632" s="191" t="s">
        <v>255</v>
      </c>
      <c r="F1632" s="191" t="str">
        <f t="shared" si="2790"/>
        <v>СпортИн</v>
      </c>
      <c r="G1632" s="191" t="s">
        <v>262</v>
      </c>
      <c r="H1632" s="315"/>
      <c r="I1632" s="316">
        <f>IF(I1631=0,0,(SUMIFS(операции!$AF:$AF,операции!$T:$T,"&lt;="&amp;I$9,операции!$X:$X,"",операции!$AB:$AB,"&lt;&gt;"&amp;"",операции!$AB:$AB,"&lt;="&amp;I$9,операции!$O:$O,$F1570)+SUMIFS(операции!$AF:$AF,операции!$T:$T,"&lt;="&amp;I$9,операции!$X:$X,"&gt;"&amp;I$9,операции!$AB:$AB,"&lt;&gt;"&amp;"",операции!$AB:$AB,"&lt;="&amp;I$9,операции!$O:$O,$F1570))/I1631)</f>
        <v>42169</v>
      </c>
      <c r="J1632" s="317"/>
      <c r="K1632" s="316">
        <f>IF(K1631=0,0,(SUMIFS(операции!$AF:$AF,операции!$T:$T,"&lt;="&amp;I$9,операции!$X:$X,"",операции!$AB:$AB,"&lt;&gt;"&amp;"",операции!$AB:$AB,"&lt;="&amp;I$9,операции!$L:$L,K$9,операции!$O:$O,$F1570)+SUMIFS(операции!$AF:$AF,операции!$T:$T,"&lt;="&amp;I$9,операции!$X:$X,"&gt;"&amp;I$9,операции!$AB:$AB,"&lt;&gt;"&amp;"",операции!$AB:$AB,"&lt;="&amp;I$9,операции!$L:$L,K$9,операции!$O:$O,$F1570))/K1631)</f>
        <v>42169</v>
      </c>
      <c r="L1632" s="318">
        <f>IF(L1631=0,0,(SUMIFS(операции!$AF:$AF,операции!$T:$T,"&lt;="&amp;I$9,операции!$X:$X,"",операции!$AB:$AB,"&lt;&gt;"&amp;"",операции!$AB:$AB,"&lt;="&amp;I$9,операции!$L:$L,L$9,операции!$O:$O,$F1570)+SUMIFS(операции!$AF:$AF,операции!$T:$T,"&lt;="&amp;I$9,операции!$X:$X,"&gt;"&amp;I$9,операции!$AB:$AB,"&lt;&gt;"&amp;"",операции!$AB:$AB,"&lt;="&amp;I$9,операции!$L:$L,L$9,операции!$O:$O,$F1570))/L1631)</f>
        <v>0</v>
      </c>
      <c r="M1632" s="274"/>
      <c r="N1632" s="193">
        <f>IF(N1631=0,0,(SUMIFS(операции!$AF:$AF,операции!$T:$T,"&lt;="&amp;N$9,операции!$X:$X,"",операции!$AB:$AB,"&lt;&gt;"&amp;"",операции!$AB:$AB,"&lt;="&amp;N$9,операции!$O:$O,$F1570)+SUMIFS(операции!$AF:$AF,операции!$T:$T,"&lt;="&amp;N$9,операции!$X:$X,"&gt;"&amp;N$9,операции!$AB:$AB,"&lt;&gt;"&amp;"",операции!$AB:$AB,"&lt;="&amp;N$9,операции!$O:$O,$F1570))/N1631)</f>
        <v>42173.666666666664</v>
      </c>
      <c r="O1632" s="196"/>
      <c r="P1632" s="193">
        <f>IF(P1631=0,0,(SUMIFS(операции!$AF:$AF,операции!$T:$T,"&lt;="&amp;N$9,операции!$X:$X,"",операции!$AB:$AB,"&lt;&gt;"&amp;"",операции!$AB:$AB,"&lt;="&amp;N$9,операции!$L:$L,P$9,операции!$O:$O,$F1570)+SUMIFS(операции!$AF:$AF,операции!$T:$T,"&lt;="&amp;N$9,операции!$X:$X,"&gt;"&amp;N$9,операции!$AB:$AB,"&lt;&gt;"&amp;"",операции!$AB:$AB,"&lt;="&amp;N$9,операции!$L:$L,P$9,операции!$O:$O,$F1570))/P1631)</f>
        <v>42173.666666666664</v>
      </c>
      <c r="Q1632" s="237">
        <f>IF(Q1631=0,0,(SUMIFS(операции!$AF:$AF,операции!$T:$T,"&lt;="&amp;N$9,операции!$X:$X,"",операции!$AB:$AB,"&lt;&gt;"&amp;"",операции!$AB:$AB,"&lt;="&amp;N$9,операции!$L:$L,Q$9,операции!$O:$O,$F1570)+SUMIFS(операции!$AF:$AF,операции!$T:$T,"&lt;="&amp;N$9,операции!$X:$X,"&gt;"&amp;N$9,операции!$AB:$AB,"&lt;&gt;"&amp;"",операции!$AB:$AB,"&lt;="&amp;N$9,операции!$L:$L,Q$9,операции!$O:$O,$F1570))/Q1631)</f>
        <v>0</v>
      </c>
      <c r="R1632" s="238"/>
      <c r="S1632" s="193">
        <f>IF(S1631=0,0,(SUMIFS(операции!$AF:$AF,операции!$T:$T,"&lt;="&amp;S$9,операции!$X:$X,"",операции!$AB:$AB,"&lt;&gt;"&amp;"",операции!$AB:$AB,"&lt;="&amp;S$9,операции!$O:$O,$F1570)+SUMIFS(операции!$AF:$AF,операции!$T:$T,"&lt;="&amp;S$9,операции!$X:$X,"&gt;"&amp;S$9,операции!$AB:$AB,"&lt;&gt;"&amp;"",операции!$AB:$AB,"&lt;="&amp;S$9,операции!$O:$O,$F1570))/S1631)</f>
        <v>42169</v>
      </c>
      <c r="T1632" s="196"/>
      <c r="U1632" s="193">
        <f>IF(U1631=0,0,(SUMIFS(операции!$AF:$AF,операции!$T:$T,"&lt;="&amp;S$9,операции!$X:$X,"",операции!$AB:$AB,"&lt;&gt;"&amp;"",операции!$AB:$AB,"&lt;="&amp;S$9,операции!$L:$L,U$9,операции!$O:$O,$F1570)+SUMIFS(операции!$AF:$AF,операции!$T:$T,"&lt;="&amp;S$9,операции!$X:$X,"&gt;"&amp;S$9,операции!$AB:$AB,"&lt;&gt;"&amp;"",операции!$AB:$AB,"&lt;="&amp;S$9,операции!$L:$L,U$9,операции!$O:$O,$F1570))/U1631)</f>
        <v>42169</v>
      </c>
      <c r="V1632" s="237">
        <f>IF(V1631=0,0,(SUMIFS(операции!$AF:$AF,операции!$T:$T,"&lt;="&amp;S$9,операции!$X:$X,"",операции!$AB:$AB,"&lt;&gt;"&amp;"",операции!$AB:$AB,"&lt;="&amp;S$9,операции!$L:$L,V$9,операции!$O:$O,$F1570)+SUMIFS(операции!$AF:$AF,операции!$T:$T,"&lt;="&amp;S$9,операции!$X:$X,"&gt;"&amp;S$9,операции!$AB:$AB,"&lt;&gt;"&amp;"",операции!$AB:$AB,"&lt;="&amp;S$9,операции!$L:$L,V$9,операции!$O:$O,$F1570))/V1631)</f>
        <v>0</v>
      </c>
      <c r="W1632" s="238"/>
      <c r="X1632" s="193">
        <f>IF(X1631=0,0,(SUMIFS(операции!$AF:$AF,операции!$T:$T,"&lt;="&amp;X$9,операции!$X:$X,"",операции!$AB:$AB,"&lt;&gt;"&amp;"",операции!$AB:$AB,"&lt;="&amp;X$9,операции!$O:$O,$F1570)+SUMIFS(операции!$AF:$AF,операции!$T:$T,"&lt;="&amp;X$9,операции!$X:$X,"&gt;"&amp;X$9,операции!$AB:$AB,"&lt;&gt;"&amp;"",операции!$AB:$AB,"&lt;="&amp;X$9,операции!$O:$O,$F1570))/X1631)</f>
        <v>42169</v>
      </c>
      <c r="Y1632" s="196"/>
      <c r="Z1632" s="193">
        <f>IF(Z1631=0,0,(SUMIFS(операции!$AF:$AF,операции!$T:$T,"&lt;="&amp;X$9,операции!$X:$X,"",операции!$AB:$AB,"&lt;&gt;"&amp;"",операции!$AB:$AB,"&lt;="&amp;X$9,операции!$L:$L,Z$9,операции!$O:$O,$F1570)+SUMIFS(операции!$AF:$AF,операции!$T:$T,"&lt;="&amp;X$9,операции!$X:$X,"&gt;"&amp;X$9,операции!$AB:$AB,"&lt;&gt;"&amp;"",операции!$AB:$AB,"&lt;="&amp;X$9,операции!$L:$L,Z$9,операции!$O:$O,$F1570))/Z1631)</f>
        <v>42169</v>
      </c>
      <c r="AA1632" s="237">
        <f>IF(AA1631=0,0,(SUMIFS(операции!$AF:$AF,операции!$T:$T,"&lt;="&amp;X$9,операции!$X:$X,"",операции!$AB:$AB,"&lt;&gt;"&amp;"",операции!$AB:$AB,"&lt;="&amp;X$9,операции!$L:$L,AA$9,операции!$O:$O,$F1570)+SUMIFS(операции!$AF:$AF,операции!$T:$T,"&lt;="&amp;X$9,операции!$X:$X,"&gt;"&amp;X$9,операции!$AB:$AB,"&lt;&gt;"&amp;"",операции!$AB:$AB,"&lt;="&amp;X$9,операции!$L:$L,AA$9,операции!$O:$O,$F1570))/AA1631)</f>
        <v>0</v>
      </c>
      <c r="AB1632" s="265"/>
      <c r="AC1632" s="37"/>
      <c r="AD1632" s="37"/>
      <c r="AE1632" s="37"/>
      <c r="AF1632" s="37"/>
      <c r="AG1632" s="37"/>
      <c r="AH1632" s="37"/>
      <c r="AI1632" s="37"/>
      <c r="AJ1632" s="37"/>
      <c r="AK1632" s="37"/>
      <c r="AL1632" s="37"/>
      <c r="AM1632" s="37"/>
      <c r="AN1632" s="37"/>
      <c r="AO1632" s="37"/>
      <c r="AP1632" s="37"/>
    </row>
    <row r="1633" spans="1:42" s="192" customFormat="1" ht="11.25">
      <c r="A1633" s="37"/>
      <c r="B1633" s="37"/>
      <c r="C1633" s="37"/>
      <c r="D1633" s="191"/>
      <c r="E1633" s="191" t="s">
        <v>283</v>
      </c>
      <c r="F1633" s="191" t="str">
        <f t="shared" si="2790"/>
        <v>СпортИн</v>
      </c>
      <c r="G1633" s="191" t="s">
        <v>219</v>
      </c>
      <c r="H1633" s="315"/>
      <c r="I1633" s="329">
        <f>IF(I1631=0,0,I$9-I1632)</f>
        <v>200</v>
      </c>
      <c r="J1633" s="317"/>
      <c r="K1633" s="329">
        <f>IF(K1631=0,0,I$9-K1632)</f>
        <v>200</v>
      </c>
      <c r="L1633" s="330">
        <f>IF(L1631=0,0,I$9-L1632)</f>
        <v>0</v>
      </c>
      <c r="M1633" s="274"/>
      <c r="N1633" s="156">
        <f>IF(N1631=0,0,N$9-N1632)</f>
        <v>134.33333333333576</v>
      </c>
      <c r="O1633" s="196"/>
      <c r="P1633" s="156">
        <f>IF(P1631=0,0,N$9-P1632)</f>
        <v>134.33333333333576</v>
      </c>
      <c r="Q1633" s="245">
        <f>IF(Q1631=0,0,N$9-Q1632)</f>
        <v>0</v>
      </c>
      <c r="R1633" s="238"/>
      <c r="S1633" s="156">
        <f>IF(S1631=0,0,S$9-S1632)</f>
        <v>169</v>
      </c>
      <c r="T1633" s="196"/>
      <c r="U1633" s="156">
        <f>IF(U1631=0,0,S$9-U1632)</f>
        <v>169</v>
      </c>
      <c r="V1633" s="245">
        <f>IF(V1631=0,0,S$9-V1632)</f>
        <v>0</v>
      </c>
      <c r="W1633" s="238"/>
      <c r="X1633" s="156">
        <f>IF(X1631=0,0,X$9-X1632)</f>
        <v>200</v>
      </c>
      <c r="Y1633" s="196"/>
      <c r="Z1633" s="156">
        <f>IF(Z1631=0,0,X$9-Z1632)</f>
        <v>200</v>
      </c>
      <c r="AA1633" s="245">
        <f>IF(AA1631=0,0,X$9-AA1632)</f>
        <v>0</v>
      </c>
      <c r="AB1633" s="265"/>
      <c r="AC1633" s="37"/>
      <c r="AD1633" s="37"/>
      <c r="AE1633" s="37"/>
      <c r="AF1633" s="37"/>
      <c r="AG1633" s="37"/>
      <c r="AH1633" s="37"/>
      <c r="AI1633" s="37"/>
      <c r="AJ1633" s="37"/>
      <c r="AK1633" s="37"/>
      <c r="AL1633" s="37"/>
      <c r="AM1633" s="37"/>
      <c r="AN1633" s="37"/>
      <c r="AO1633" s="37"/>
      <c r="AP1633" s="37"/>
    </row>
    <row r="1634" spans="1:42" s="192" customFormat="1" ht="11.25">
      <c r="A1634" s="37"/>
      <c r="B1634" s="37"/>
      <c r="C1634" s="37"/>
      <c r="D1634" s="191"/>
      <c r="E1634" s="191" t="s">
        <v>259</v>
      </c>
      <c r="F1634" s="191" t="str">
        <f t="shared" si="2790"/>
        <v>СпортИн</v>
      </c>
      <c r="G1634" s="191" t="s">
        <v>262</v>
      </c>
      <c r="H1634" s="315"/>
      <c r="I1634" s="316">
        <f>IF(I1631=0,0,(SUMIFS(операции!$AH:$AH,операции!$T:$T,"&lt;="&amp;I$9,операции!$X:$X,"",операции!$AB:$AB,"&lt;&gt;"&amp;"",операции!$AB:$AB,"&lt;="&amp;I$9,операции!$O:$O,$F1570)+SUMIFS(операции!$AH:$AH,операции!$T:$T,"&lt;="&amp;I$9,операции!$X:$X,"&gt;"&amp;I$9,операции!$AB:$AB,"&lt;&gt;"&amp;"",операции!$AB:$AB,"&lt;="&amp;I$9,операции!$O:$O,$F1570))/I1631)</f>
        <v>42210.5</v>
      </c>
      <c r="J1634" s="317"/>
      <c r="K1634" s="316">
        <f>IF(K1631=0,0,(SUMIFS(операции!$AH:$AH,операции!$T:$T,"&lt;="&amp;I$9,операции!$X:$X,"",операции!$AB:$AB,"&lt;&gt;"&amp;"",операции!$AB:$AB,"&lt;="&amp;I$9,операции!$L:$L,K$9,операции!$O:$O,$F1570)+SUMIFS(операции!$AH:$AH,операции!$T:$T,"&lt;="&amp;I$9,операции!$X:$X,"&gt;"&amp;I$9,операции!$AB:$AB,"&lt;&gt;"&amp;"",операции!$AB:$AB,"&lt;="&amp;I$9,операции!$L:$L,K$9,операции!$O:$O,$F1570))/K1631)</f>
        <v>42210.5</v>
      </c>
      <c r="L1634" s="318">
        <f>IF(L1631=0,0,(SUMIFS(операции!$AH:$AH,операции!$T:$T,"&lt;="&amp;I$9,операции!$X:$X,"",операции!$AB:$AB,"&lt;&gt;"&amp;"",операции!$AB:$AB,"&lt;="&amp;I$9,операции!$L:$L,L$9,операции!$O:$O,$F1570)+SUMIFS(операции!$AH:$AH,операции!$T:$T,"&lt;="&amp;I$9,операции!$X:$X,"&gt;"&amp;I$9,операции!$AB:$AB,"&lt;&gt;"&amp;"",операции!$AB:$AB,"&lt;="&amp;I$9,операции!$L:$L,L$9,операции!$O:$O,$F1570))/L1631)</f>
        <v>0</v>
      </c>
      <c r="M1634" s="274"/>
      <c r="N1634" s="193">
        <f>IF(N1631=0,0,(SUMIFS(операции!$AH:$AH,операции!$T:$T,"&lt;="&amp;N$9,операции!$X:$X,"",операции!$AB:$AB,"&lt;&gt;"&amp;"",операции!$AB:$AB,"&lt;="&amp;N$9,операции!$O:$O,$F1570)+SUMIFS(операции!$AH:$AH,операции!$T:$T,"&lt;="&amp;N$9,операции!$X:$X,"&gt;"&amp;N$9,операции!$AB:$AB,"&lt;&gt;"&amp;"",операции!$AB:$AB,"&lt;="&amp;N$9,операции!$O:$O,$F1570))/N1631)</f>
        <v>42211.333333333336</v>
      </c>
      <c r="O1634" s="196"/>
      <c r="P1634" s="193">
        <f>IF(P1631=0,0,(SUMIFS(операции!$AH:$AH,операции!$T:$T,"&lt;="&amp;N$9,операции!$X:$X,"",операции!$AB:$AB,"&lt;&gt;"&amp;"",операции!$AB:$AB,"&lt;="&amp;N$9,операции!$L:$L,P$9,операции!$O:$O,$F1570)+SUMIFS(операции!$AH:$AH,операции!$T:$T,"&lt;="&amp;N$9,операции!$X:$X,"&gt;"&amp;N$9,операции!$AB:$AB,"&lt;&gt;"&amp;"",операции!$AB:$AB,"&lt;="&amp;N$9,операции!$L:$L,P$9,операции!$O:$O,$F1570))/P1631)</f>
        <v>42211.333333333336</v>
      </c>
      <c r="Q1634" s="237">
        <f>IF(Q1631=0,0,(SUMIFS(операции!$AH:$AH,операции!$T:$T,"&lt;="&amp;N$9,операции!$X:$X,"",операции!$AB:$AB,"&lt;&gt;"&amp;"",операции!$AB:$AB,"&lt;="&amp;N$9,операции!$L:$L,Q$9,операции!$O:$O,$F1570)+SUMIFS(операции!$AH:$AH,операции!$T:$T,"&lt;="&amp;N$9,операции!$X:$X,"&gt;"&amp;N$9,операции!$AB:$AB,"&lt;&gt;"&amp;"",операции!$AB:$AB,"&lt;="&amp;N$9,операции!$L:$L,Q$9,операции!$O:$O,$F1570))/Q1631)</f>
        <v>0</v>
      </c>
      <c r="R1634" s="238"/>
      <c r="S1634" s="193">
        <f>IF(S1631=0,0,(SUMIFS(операции!$AH:$AH,операции!$T:$T,"&lt;="&amp;S$9,операции!$X:$X,"",операции!$AB:$AB,"&lt;&gt;"&amp;"",операции!$AB:$AB,"&lt;="&amp;S$9,операции!$O:$O,$F1570)+SUMIFS(операции!$AH:$AH,операции!$T:$T,"&lt;="&amp;S$9,операции!$X:$X,"&gt;"&amp;S$9,операции!$AB:$AB,"&lt;&gt;"&amp;"",операции!$AB:$AB,"&lt;="&amp;S$9,операции!$O:$O,$F1570))/S1631)</f>
        <v>42210.5</v>
      </c>
      <c r="T1634" s="196"/>
      <c r="U1634" s="193">
        <f>IF(U1631=0,0,(SUMIFS(операции!$AH:$AH,операции!$T:$T,"&lt;="&amp;S$9,операции!$X:$X,"",операции!$AB:$AB,"&lt;&gt;"&amp;"",операции!$AB:$AB,"&lt;="&amp;S$9,операции!$L:$L,U$9,операции!$O:$O,$F1570)+SUMIFS(операции!$AH:$AH,операции!$T:$T,"&lt;="&amp;S$9,операции!$X:$X,"&gt;"&amp;S$9,операции!$AB:$AB,"&lt;&gt;"&amp;"",операции!$AB:$AB,"&lt;="&amp;S$9,операции!$L:$L,U$9,операции!$O:$O,$F1570))/U1631)</f>
        <v>42210.5</v>
      </c>
      <c r="V1634" s="237">
        <f>IF(V1631=0,0,(SUMIFS(операции!$AH:$AH,операции!$T:$T,"&lt;="&amp;S$9,операции!$X:$X,"",операции!$AB:$AB,"&lt;&gt;"&amp;"",операции!$AB:$AB,"&lt;="&amp;S$9,операции!$L:$L,V$9,операции!$O:$O,$F1570)+SUMIFS(операции!$AH:$AH,операции!$T:$T,"&lt;="&amp;S$9,операции!$X:$X,"&gt;"&amp;S$9,операции!$AB:$AB,"&lt;&gt;"&amp;"",операции!$AB:$AB,"&lt;="&amp;S$9,операции!$L:$L,V$9,операции!$O:$O,$F1570))/V1631)</f>
        <v>0</v>
      </c>
      <c r="W1634" s="238"/>
      <c r="X1634" s="193">
        <f>IF(X1631=0,0,(SUMIFS(операции!$AH:$AH,операции!$T:$T,"&lt;="&amp;X$9,операции!$X:$X,"",операции!$AB:$AB,"&lt;&gt;"&amp;"",операции!$AB:$AB,"&lt;="&amp;X$9,операции!$O:$O,$F1570)+SUMIFS(операции!$AH:$AH,операции!$T:$T,"&lt;="&amp;X$9,операции!$X:$X,"&gt;"&amp;X$9,операции!$AB:$AB,"&lt;&gt;"&amp;"",операции!$AB:$AB,"&lt;="&amp;X$9,операции!$O:$O,$F1570))/X1631)</f>
        <v>42210.5</v>
      </c>
      <c r="Y1634" s="196"/>
      <c r="Z1634" s="193">
        <f>IF(Z1631=0,0,(SUMIFS(операции!$AH:$AH,операции!$T:$T,"&lt;="&amp;X$9,операции!$X:$X,"",операции!$AB:$AB,"&lt;&gt;"&amp;"",операции!$AB:$AB,"&lt;="&amp;X$9,операции!$L:$L,Z$9,операции!$O:$O,$F1570)+SUMIFS(операции!$AH:$AH,операции!$T:$T,"&lt;="&amp;X$9,операции!$X:$X,"&gt;"&amp;X$9,операции!$AB:$AB,"&lt;&gt;"&amp;"",операции!$AB:$AB,"&lt;="&amp;X$9,операции!$L:$L,Z$9,операции!$O:$O,$F1570))/Z1631)</f>
        <v>42210.5</v>
      </c>
      <c r="AA1634" s="237">
        <f>IF(AA1631=0,0,(SUMIFS(операции!$AH:$AH,операции!$T:$T,"&lt;="&amp;X$9,операции!$X:$X,"",операции!$AB:$AB,"&lt;&gt;"&amp;"",операции!$AB:$AB,"&lt;="&amp;X$9,операции!$L:$L,AA$9,операции!$O:$O,$F1570)+SUMIFS(операции!$AH:$AH,операции!$T:$T,"&lt;="&amp;X$9,операции!$X:$X,"&gt;"&amp;X$9,операции!$AB:$AB,"&lt;&gt;"&amp;"",операции!$AB:$AB,"&lt;="&amp;X$9,операции!$L:$L,AA$9,операции!$O:$O,$F1570))/AA1631)</f>
        <v>0</v>
      </c>
      <c r="AB1634" s="265"/>
      <c r="AC1634" s="37"/>
      <c r="AD1634" s="37"/>
      <c r="AE1634" s="37"/>
      <c r="AF1634" s="37"/>
      <c r="AG1634" s="37"/>
      <c r="AH1634" s="37"/>
      <c r="AI1634" s="37"/>
      <c r="AJ1634" s="37"/>
      <c r="AK1634" s="37"/>
      <c r="AL1634" s="37"/>
      <c r="AM1634" s="37"/>
      <c r="AN1634" s="37"/>
      <c r="AO1634" s="37"/>
      <c r="AP1634" s="37"/>
    </row>
    <row r="1635" spans="1:42" s="192" customFormat="1" ht="11.25">
      <c r="A1635" s="37"/>
      <c r="B1635" s="37"/>
      <c r="C1635" s="37"/>
      <c r="D1635" s="191"/>
      <c r="E1635" s="191" t="s">
        <v>284</v>
      </c>
      <c r="F1635" s="191" t="str">
        <f t="shared" si="2790"/>
        <v>СпортИн</v>
      </c>
      <c r="G1635" s="191" t="s">
        <v>219</v>
      </c>
      <c r="H1635" s="315"/>
      <c r="I1635" s="329">
        <f>I1634-I1632</f>
        <v>41.5</v>
      </c>
      <c r="J1635" s="317"/>
      <c r="K1635" s="329">
        <f>K1634-K1632</f>
        <v>41.5</v>
      </c>
      <c r="L1635" s="330">
        <f>L1634-L1632</f>
        <v>0</v>
      </c>
      <c r="M1635" s="274"/>
      <c r="N1635" s="156">
        <f>N1634-N1632</f>
        <v>37.666666666671517</v>
      </c>
      <c r="O1635" s="196"/>
      <c r="P1635" s="156">
        <f>P1634-P1632</f>
        <v>37.666666666671517</v>
      </c>
      <c r="Q1635" s="245">
        <f>Q1634-Q1632</f>
        <v>0</v>
      </c>
      <c r="R1635" s="238"/>
      <c r="S1635" s="156">
        <f>S1634-S1632</f>
        <v>41.5</v>
      </c>
      <c r="T1635" s="196"/>
      <c r="U1635" s="156">
        <f>U1634-U1632</f>
        <v>41.5</v>
      </c>
      <c r="V1635" s="245">
        <f>V1634-V1632</f>
        <v>0</v>
      </c>
      <c r="W1635" s="238"/>
      <c r="X1635" s="156">
        <f>X1634-X1632</f>
        <v>41.5</v>
      </c>
      <c r="Y1635" s="196"/>
      <c r="Z1635" s="156">
        <f>Z1634-Z1632</f>
        <v>41.5</v>
      </c>
      <c r="AA1635" s="245">
        <f>AA1634-AA1632</f>
        <v>0</v>
      </c>
      <c r="AB1635" s="265"/>
      <c r="AC1635" s="37"/>
      <c r="AD1635" s="37"/>
      <c r="AE1635" s="37"/>
      <c r="AF1635" s="37"/>
      <c r="AG1635" s="37"/>
      <c r="AH1635" s="37"/>
      <c r="AI1635" s="37"/>
      <c r="AJ1635" s="37"/>
      <c r="AK1635" s="37"/>
      <c r="AL1635" s="37"/>
      <c r="AM1635" s="37"/>
      <c r="AN1635" s="37"/>
      <c r="AO1635" s="37"/>
      <c r="AP1635" s="37"/>
    </row>
    <row r="1636" spans="1:42" s="192" customFormat="1" ht="11.25">
      <c r="A1636" s="37"/>
      <c r="B1636" s="37"/>
      <c r="C1636" s="37"/>
      <c r="D1636" s="191"/>
      <c r="E1636" s="191" t="s">
        <v>285</v>
      </c>
      <c r="F1636" s="191" t="str">
        <f t="shared" si="2790"/>
        <v>СпортИн</v>
      </c>
      <c r="G1636" s="191" t="s">
        <v>219</v>
      </c>
      <c r="H1636" s="315"/>
      <c r="I1636" s="329">
        <f>I1633-I1635</f>
        <v>158.5</v>
      </c>
      <c r="J1636" s="317"/>
      <c r="K1636" s="329">
        <f>K1633-K1635</f>
        <v>158.5</v>
      </c>
      <c r="L1636" s="330">
        <f>L1633-L1635</f>
        <v>0</v>
      </c>
      <c r="M1636" s="274"/>
      <c r="N1636" s="156">
        <f>N1633-N1635</f>
        <v>96.666666666664241</v>
      </c>
      <c r="O1636" s="196"/>
      <c r="P1636" s="156">
        <f>P1633-P1635</f>
        <v>96.666666666664241</v>
      </c>
      <c r="Q1636" s="245">
        <f>Q1633-Q1635</f>
        <v>0</v>
      </c>
      <c r="R1636" s="238"/>
      <c r="S1636" s="156">
        <f>S1633-S1635</f>
        <v>127.5</v>
      </c>
      <c r="T1636" s="196"/>
      <c r="U1636" s="156">
        <f>U1633-U1635</f>
        <v>127.5</v>
      </c>
      <c r="V1636" s="245">
        <f>V1633-V1635</f>
        <v>0</v>
      </c>
      <c r="W1636" s="238"/>
      <c r="X1636" s="156">
        <f>X1633-X1635</f>
        <v>158.5</v>
      </c>
      <c r="Y1636" s="196"/>
      <c r="Z1636" s="156">
        <f>Z1633-Z1635</f>
        <v>158.5</v>
      </c>
      <c r="AA1636" s="245">
        <f>AA1633-AA1635</f>
        <v>0</v>
      </c>
      <c r="AB1636" s="265"/>
      <c r="AC1636" s="37"/>
      <c r="AD1636" s="37"/>
      <c r="AE1636" s="37"/>
      <c r="AF1636" s="37"/>
      <c r="AG1636" s="37"/>
      <c r="AH1636" s="37"/>
      <c r="AI1636" s="37"/>
      <c r="AJ1636" s="37"/>
      <c r="AK1636" s="37"/>
      <c r="AL1636" s="37"/>
      <c r="AM1636" s="37"/>
      <c r="AN1636" s="37"/>
      <c r="AO1636" s="37"/>
      <c r="AP1636" s="37"/>
    </row>
    <row r="1637" spans="1:42" s="5" customFormat="1">
      <c r="A1637" s="1"/>
      <c r="B1637" s="1"/>
      <c r="C1637" s="1"/>
      <c r="D1637" s="168"/>
      <c r="E1637" s="168" t="s">
        <v>286</v>
      </c>
      <c r="F1637" s="168" t="str">
        <f t="shared" si="2790"/>
        <v>СпортИн</v>
      </c>
      <c r="G1637" s="168" t="s">
        <v>261</v>
      </c>
      <c r="H1637" s="326"/>
      <c r="I1637" s="327">
        <f>SUMIFS(операции!$V:$V,операции!$T:$T,"&lt;="&amp;I$9,операции!$X:$X,"",операции!$AB:$AB,"",операции!$O:$O,$F1570)+SUMIFS(операции!$V:$V,операции!$T:$T,"&lt;="&amp;I$9,операции!$X:$X,"&gt;"&amp;I$9,операции!$AB:$AB,"",операции!$O:$O,$F1570)+SUMIFS(операции!$V:$V,операции!$T:$T,"&lt;="&amp;I$9,операции!$X:$X,"",операции!$AB:$AB,"&gt;"&amp;I$9,операции!$O:$O,$F1570)+SUMIFS(операции!$V:$V,операции!$T:$T,"&lt;="&amp;I$9,операции!$X:$X,"&gt;"&amp;I$9,операции!$AB:$AB,"&gt;"&amp;I$9,операции!$O:$O,$F1570)</f>
        <v>0</v>
      </c>
      <c r="J1637" s="313">
        <f>I1637-K1637-L1637</f>
        <v>0</v>
      </c>
      <c r="K1637" s="327">
        <f>SUMIFS(операции!$V:$V,операции!$T:$T,"&lt;="&amp;I$9,операции!$X:$X,"",операции!$AB:$AB,"",операции!$L:$L,K$9,операции!$O:$O,$F1570)+SUMIFS(операции!$V:$V,операции!$T:$T,"&lt;="&amp;I$9,операции!$X:$X,"&gt;"&amp;I$9,операции!$AB:$AB,"",операции!$L:$L,K$9,операции!$O:$O,$F1570)+SUMIFS(операции!$V:$V,операции!$T:$T,"&lt;="&amp;I$9,операции!$X:$X,"",операции!$AB:$AB,"&gt;"&amp;I$9,операции!$L:$L,K$9,операции!$O:$O,$F1570)+SUMIFS(операции!$V:$V,операции!$T:$T,"&lt;="&amp;I$9,операции!$X:$X,"&gt;"&amp;I$9,операции!$AB:$AB,"&gt;"&amp;I$9,операции!$L:$L,K$9,операции!$O:$O,$F1570)</f>
        <v>0</v>
      </c>
      <c r="L1637" s="328">
        <f>SUMIFS(операции!$V:$V,операции!$T:$T,"&lt;="&amp;I$9,операции!$X:$X,"",операции!$AB:$AB,"",операции!$L:$L,L$9,операции!$O:$O,$F1570)+SUMIFS(операции!$V:$V,операции!$T:$T,"&lt;="&amp;I$9,операции!$X:$X,"&gt;"&amp;I$9,операции!$AB:$AB,"",операции!$L:$L,L$9,операции!$O:$O,$F1570)+SUMIFS(операции!$V:$V,операции!$T:$T,"&lt;="&amp;I$9,операции!$X:$X,"",операции!$AB:$AB,"&gt;"&amp;I$9,операции!$L:$L,L$9,операции!$O:$O,$F1570)+SUMIFS(операции!$V:$V,операции!$T:$T,"&lt;="&amp;I$9,операции!$X:$X,"&gt;"&amp;I$9,операции!$AB:$AB,"&gt;"&amp;I$9,операции!$L:$L,L$9,операции!$O:$O,$F1570)</f>
        <v>0</v>
      </c>
      <c r="M1637" s="277"/>
      <c r="N1637" s="169">
        <f>SUMIFS(операции!$V:$V,операции!$T:$T,"&lt;="&amp;N$9,операции!$X:$X,"",операции!$AB:$AB,"",операции!$O:$O,$F1570)+SUMIFS(операции!$V:$V,операции!$T:$T,"&lt;="&amp;N$9,операции!$X:$X,"&gt;"&amp;N$9,операции!$AB:$AB,"",операции!$O:$O,$F1570)+SUMIFS(операции!$V:$V,операции!$T:$T,"&lt;="&amp;N$9,операции!$X:$X,"",операции!$AB:$AB,"&gt;"&amp;N$9,операции!$O:$O,$F1570)+SUMIFS(операции!$V:$V,операции!$T:$T,"&lt;="&amp;N$9,операции!$X:$X,"&gt;"&amp;N$9,операции!$AB:$AB,"&gt;"&amp;N$9,операции!$O:$O,$F1570)</f>
        <v>0</v>
      </c>
      <c r="O1637" s="170">
        <f>N1637-P1637-Q1637</f>
        <v>0</v>
      </c>
      <c r="P1637" s="169">
        <f>SUMIFS(операции!$V:$V,операции!$T:$T,"&lt;="&amp;N$9,операции!$X:$X,"",операции!$AB:$AB,"",операции!$L:$L,P$9,операции!$O:$O,$F1570)+SUMIFS(операции!$V:$V,операции!$T:$T,"&lt;="&amp;N$9,операции!$X:$X,"&gt;"&amp;N$9,операции!$AB:$AB,"",операции!$L:$L,P$9,операции!$O:$O,$F1570)+SUMIFS(операции!$V:$V,операции!$T:$T,"&lt;="&amp;N$9,операции!$X:$X,"",операции!$AB:$AB,"&gt;"&amp;N$9,операции!$L:$L,P$9,операции!$O:$O,$F1570)+SUMIFS(операции!$V:$V,операции!$T:$T,"&lt;="&amp;N$9,операции!$X:$X,"&gt;"&amp;N$9,операции!$AB:$AB,"&gt;"&amp;N$9,операции!$L:$L,P$9,операции!$O:$O,$F1570)</f>
        <v>0</v>
      </c>
      <c r="Q1637" s="243">
        <f>SUMIFS(операции!$V:$V,операции!$T:$T,"&lt;="&amp;N$9,операции!$X:$X,"",операции!$AB:$AB,"",операции!$L:$L,Q$9,операции!$O:$O,$F1570)+SUMIFS(операции!$V:$V,операции!$T:$T,"&lt;="&amp;N$9,операции!$X:$X,"&gt;"&amp;N$9,операции!$AB:$AB,"",операции!$L:$L,Q$9,операции!$O:$O,$F1570)+SUMIFS(операции!$V:$V,операции!$T:$T,"&lt;="&amp;N$9,операции!$X:$X,"",операции!$AB:$AB,"&gt;"&amp;N$9,операции!$L:$L,Q$9,операции!$O:$O,$F1570)+SUMIFS(операции!$V:$V,операции!$T:$T,"&lt;="&amp;N$9,операции!$X:$X,"&gt;"&amp;N$9,операции!$AB:$AB,"&gt;"&amp;N$9,операции!$L:$L,Q$9,операции!$O:$O,$F1570)</f>
        <v>0</v>
      </c>
      <c r="R1637" s="244"/>
      <c r="S1637" s="169">
        <f>SUMIFS(операции!$V:$V,операции!$T:$T,"&lt;="&amp;S$9,операции!$X:$X,"",операции!$AB:$AB,"",операции!$O:$O,$F1570)+SUMIFS(операции!$V:$V,операции!$T:$T,"&lt;="&amp;S$9,операции!$X:$X,"&gt;"&amp;S$9,операции!$AB:$AB,"",операции!$O:$O,$F1570)+SUMIFS(операции!$V:$V,операции!$T:$T,"&lt;="&amp;S$9,операции!$X:$X,"",операции!$AB:$AB,"&gt;"&amp;S$9,операции!$O:$O,$F1570)+SUMIFS(операции!$V:$V,операции!$T:$T,"&lt;="&amp;S$9,операции!$X:$X,"&gt;"&amp;S$9,операции!$AB:$AB,"&gt;"&amp;S$9,операции!$O:$O,$F1570)</f>
        <v>6805.5</v>
      </c>
      <c r="T1637" s="170">
        <f>S1637-U1637-V1637</f>
        <v>0</v>
      </c>
      <c r="U1637" s="169">
        <f>SUMIFS(операции!$V:$V,операции!$T:$T,"&lt;="&amp;S$9,операции!$X:$X,"",операции!$AB:$AB,"",операции!$L:$L,U$9,операции!$O:$O,$F1570)+SUMIFS(операции!$V:$V,операции!$T:$T,"&lt;="&amp;S$9,операции!$X:$X,"&gt;"&amp;S$9,операции!$AB:$AB,"",операции!$L:$L,U$9,операции!$O:$O,$F1570)+SUMIFS(операции!$V:$V,операции!$T:$T,"&lt;="&amp;S$9,операции!$X:$X,"",операции!$AB:$AB,"&gt;"&amp;S$9,операции!$L:$L,U$9,операции!$O:$O,$F1570)+SUMIFS(операции!$V:$V,операции!$T:$T,"&lt;="&amp;S$9,операции!$X:$X,"&gt;"&amp;S$9,операции!$AB:$AB,"&gt;"&amp;S$9,операции!$L:$L,U$9,операции!$O:$O,$F1570)</f>
        <v>0</v>
      </c>
      <c r="V1637" s="243">
        <f>SUMIFS(операции!$V:$V,операции!$T:$T,"&lt;="&amp;S$9,операции!$X:$X,"",операции!$AB:$AB,"",операции!$L:$L,V$9,операции!$O:$O,$F1570)+SUMIFS(операции!$V:$V,операции!$T:$T,"&lt;="&amp;S$9,операции!$X:$X,"&gt;"&amp;S$9,операции!$AB:$AB,"",операции!$L:$L,V$9,операции!$O:$O,$F1570)+SUMIFS(операции!$V:$V,операции!$T:$T,"&lt;="&amp;S$9,операции!$X:$X,"",операции!$AB:$AB,"&gt;"&amp;S$9,операции!$L:$L,V$9,операции!$O:$O,$F1570)+SUMIFS(операции!$V:$V,операции!$T:$T,"&lt;="&amp;S$9,операции!$X:$X,"&gt;"&amp;S$9,операции!$AB:$AB,"&gt;"&amp;S$9,операции!$L:$L,V$9,операции!$O:$O,$F1570)</f>
        <v>6805.5</v>
      </c>
      <c r="W1637" s="244"/>
      <c r="X1637" s="169">
        <f>SUMIFS(операции!$V:$V,операции!$T:$T,"&lt;="&amp;X$9,операции!$X:$X,"",операции!$AB:$AB,"",операции!$O:$O,$F1570)+SUMIFS(операции!$V:$V,операции!$T:$T,"&lt;="&amp;X$9,операции!$X:$X,"&gt;"&amp;X$9,операции!$AB:$AB,"",операции!$O:$O,$F1570)+SUMIFS(операции!$V:$V,операции!$T:$T,"&lt;="&amp;X$9,операции!$X:$X,"",операции!$AB:$AB,"&gt;"&amp;X$9,операции!$O:$O,$F1570)+SUMIFS(операции!$V:$V,операции!$T:$T,"&lt;="&amp;X$9,операции!$X:$X,"&gt;"&amp;X$9,операции!$AB:$AB,"&gt;"&amp;X$9,операции!$O:$O,$F1570)</f>
        <v>0</v>
      </c>
      <c r="Y1637" s="170">
        <f>X1637-Z1637-AA1637</f>
        <v>0</v>
      </c>
      <c r="Z1637" s="169">
        <f>SUMIFS(операции!$V:$V,операции!$T:$T,"&lt;="&amp;X$9,операции!$X:$X,"",операции!$AB:$AB,"",операции!$L:$L,Z$9,операции!$O:$O,$F1570)+SUMIFS(операции!$V:$V,операции!$T:$T,"&lt;="&amp;X$9,операции!$X:$X,"&gt;"&amp;X$9,операции!$AB:$AB,"",операции!$L:$L,Z$9,операции!$O:$O,$F1570)+SUMIFS(операции!$V:$V,операции!$T:$T,"&lt;="&amp;X$9,операции!$X:$X,"",операции!$AB:$AB,"&gt;"&amp;X$9,операции!$L:$L,Z$9,операции!$O:$O,$F1570)+SUMIFS(операции!$V:$V,операции!$T:$T,"&lt;="&amp;X$9,операции!$X:$X,"&gt;"&amp;X$9,операции!$AB:$AB,"&gt;"&amp;X$9,операции!$L:$L,Z$9,операции!$O:$O,$F1570)</f>
        <v>0</v>
      </c>
      <c r="AA1637" s="243">
        <f>SUMIFS(операции!$V:$V,операции!$T:$T,"&lt;="&amp;X$9,операции!$X:$X,"",операции!$AB:$AB,"",операции!$L:$L,AA$9,операции!$O:$O,$F1570)+SUMIFS(операции!$V:$V,операции!$T:$T,"&lt;="&amp;X$9,операции!$X:$X,"&gt;"&amp;X$9,операции!$AB:$AB,"",операции!$L:$L,AA$9,операции!$O:$O,$F1570)+SUMIFS(операции!$V:$V,операции!$T:$T,"&lt;="&amp;X$9,операции!$X:$X,"",операции!$AB:$AB,"&gt;"&amp;X$9,операции!$L:$L,AA$9,операции!$O:$O,$F1570)+SUMIFS(операции!$V:$V,операции!$T:$T,"&lt;="&amp;X$9,операции!$X:$X,"&gt;"&amp;X$9,операции!$AB:$AB,"&gt;"&amp;X$9,операции!$L:$L,AA$9,операции!$O:$O,$F1570)</f>
        <v>0</v>
      </c>
      <c r="AB1637" s="266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</row>
    <row r="1638" spans="1:42" s="192" customFormat="1" ht="11.25">
      <c r="A1638" s="37"/>
      <c r="B1638" s="37"/>
      <c r="C1638" s="37"/>
      <c r="D1638" s="191"/>
      <c r="E1638" s="191" t="s">
        <v>255</v>
      </c>
      <c r="F1638" s="191" t="str">
        <f t="shared" si="2790"/>
        <v>СпортИн</v>
      </c>
      <c r="G1638" s="191" t="s">
        <v>262</v>
      </c>
      <c r="H1638" s="315"/>
      <c r="I1638" s="316">
        <f>IF(I1637=0,0,(SUMIFS(операции!$AF:$AF,операции!$T:$T,"&lt;="&amp;I$9,операции!$X:$X,"",операции!$AB:$AB,"",операции!$O:$O,$F1570)+SUMIFS(операции!$AF:$AF,операции!$T:$T,"&lt;="&amp;I$9,операции!$X:$X,"&gt;"&amp;I$9,операции!$AB:$AB,"",операции!$O:$O,$F1570)+SUMIFS(операции!$AF:$AF,операции!$T:$T,"&lt;="&amp;I$9,операции!$X:$X,"",операции!$AB:$AB,"&gt;"&amp;I$9,операции!$O:$O,$F1570)+SUMIFS(операции!$AF:$AF,операции!$T:$T,"&lt;="&amp;I$9,операции!$X:$X,"&gt;"&amp;I$9,операции!$AB:$AB,"&gt;"&amp;I$9,операции!$O:$O,$F1570))/I1637)</f>
        <v>0</v>
      </c>
      <c r="J1638" s="317"/>
      <c r="K1638" s="316">
        <f>IF(K1637=0,0,(SUMIFS(операции!$AF:$AF,операции!$T:$T,"&lt;="&amp;I$9,операции!$X:$X,"",операции!$AB:$AB,"",операции!$L:$L,K$9,операции!$O:$O,$F1570)+SUMIFS(операции!$AF:$AF,операции!$T:$T,"&lt;="&amp;I$9,операции!$X:$X,"&gt;"&amp;I$9,операции!$AB:$AB,"",операции!$L:$L,K$9,операции!$O:$O,$F1570)+SUMIFS(операции!$AF:$AF,операции!$T:$T,"&lt;="&amp;I$9,операции!$X:$X,"",операции!$AB:$AB,"&gt;"&amp;I$9,операции!$L:$L,K$9,операции!$O:$O,$F1570)+SUMIFS(операции!$AF:$AF,операции!$T:$T,"&lt;="&amp;I$9,операции!$X:$X,"&gt;"&amp;I$9,операции!$AB:$AB,"&gt;"&amp;I$9,операции!$L:$L,K$9,операции!$O:$O,$F1570))/K1637)</f>
        <v>0</v>
      </c>
      <c r="L1638" s="318">
        <f>IF(L1637=0,0,(SUMIFS(операции!$AF:$AF,операции!$T:$T,"&lt;="&amp;I$9,операции!$X:$X,"",операции!$AB:$AB,"",операции!$L:$L,L$9,операции!$O:$O,$F1570)+SUMIFS(операции!$AF:$AF,операции!$T:$T,"&lt;="&amp;I$9,операции!$X:$X,"&gt;"&amp;I$9,операции!$AB:$AB,"",операции!$L:$L,L$9,операции!$O:$O,$F1570)+SUMIFS(операции!$AF:$AF,операции!$T:$T,"&lt;="&amp;I$9,операции!$X:$X,"",операции!$AB:$AB,"&gt;"&amp;I$9,операции!$L:$L,L$9,операции!$O:$O,$F1570)+SUMIFS(операции!$AF:$AF,операции!$T:$T,"&lt;="&amp;I$9,операции!$X:$X,"&gt;"&amp;I$9,операции!$AB:$AB,"&gt;"&amp;I$9,операции!$L:$L,L$9,операции!$O:$O,$F1570))/L1637)</f>
        <v>0</v>
      </c>
      <c r="M1638" s="274"/>
      <c r="N1638" s="193">
        <f>IF(N1637=0,0,(SUMIFS(операции!$AF:$AF,операции!$T:$T,"&lt;="&amp;N$9,операции!$X:$X,"",операции!$AB:$AB,"",операции!$O:$O,$F1570)+SUMIFS(операции!$AF:$AF,операции!$T:$T,"&lt;="&amp;N$9,операции!$X:$X,"&gt;"&amp;N$9,операции!$AB:$AB,"",операции!$O:$O,$F1570)+SUMIFS(операции!$AF:$AF,операции!$T:$T,"&lt;="&amp;N$9,операции!$X:$X,"",операции!$AB:$AB,"&gt;"&amp;N$9,операции!$O:$O,$F1570)+SUMIFS(операции!$AF:$AF,операции!$T:$T,"&lt;="&amp;N$9,операции!$X:$X,"&gt;"&amp;N$9,операции!$AB:$AB,"&gt;"&amp;N$9,операции!$O:$O,$F1570))/N1637)</f>
        <v>0</v>
      </c>
      <c r="O1638" s="196"/>
      <c r="P1638" s="193">
        <f>IF(P1637=0,0,(SUMIFS(операции!$AF:$AF,операции!$T:$T,"&lt;="&amp;N$9,операции!$X:$X,"",операции!$AB:$AB,"",операции!$L:$L,P$9,операции!$O:$O,$F1570)+SUMIFS(операции!$AF:$AF,операции!$T:$T,"&lt;="&amp;N$9,операции!$X:$X,"&gt;"&amp;N$9,операции!$AB:$AB,"",операции!$L:$L,P$9,операции!$O:$O,$F1570)+SUMIFS(операции!$AF:$AF,операции!$T:$T,"&lt;="&amp;N$9,операции!$X:$X,"",операции!$AB:$AB,"&gt;"&amp;N$9,операции!$L:$L,P$9,операции!$O:$O,$F1570)+SUMIFS(операции!$AF:$AF,операции!$T:$T,"&lt;="&amp;N$9,операции!$X:$X,"&gt;"&amp;N$9,операции!$AB:$AB,"&gt;"&amp;N$9,операции!$L:$L,P$9,операции!$O:$O,$F1570))/P1637)</f>
        <v>0</v>
      </c>
      <c r="Q1638" s="237">
        <f>IF(Q1637=0,0,(SUMIFS(операции!$AF:$AF,операции!$T:$T,"&lt;="&amp;N$9,операции!$X:$X,"",операции!$AB:$AB,"",операции!$L:$L,Q$9,операции!$O:$O,$F1570)+SUMIFS(операции!$AF:$AF,операции!$T:$T,"&lt;="&amp;N$9,операции!$X:$X,"&gt;"&amp;N$9,операции!$AB:$AB,"",операции!$L:$L,Q$9,операции!$O:$O,$F1570)+SUMIFS(операции!$AF:$AF,операции!$T:$T,"&lt;="&amp;N$9,операции!$X:$X,"",операции!$AB:$AB,"&gt;"&amp;N$9,операции!$L:$L,Q$9,операции!$O:$O,$F1570)+SUMIFS(операции!$AF:$AF,операции!$T:$T,"&lt;="&amp;N$9,операции!$X:$X,"&gt;"&amp;N$9,операции!$AB:$AB,"&gt;"&amp;N$9,операции!$L:$L,Q$9,операции!$O:$O,$F1570))/Q1637)</f>
        <v>0</v>
      </c>
      <c r="R1638" s="238"/>
      <c r="S1638" s="193">
        <f>IF(S1637=0,0,(SUMIFS(операции!$AF:$AF,операции!$T:$T,"&lt;="&amp;S$9,операции!$X:$X,"",операции!$AB:$AB,"",операции!$O:$O,$F1570)+SUMIFS(операции!$AF:$AF,операции!$T:$T,"&lt;="&amp;S$9,операции!$X:$X,"&gt;"&amp;S$9,операции!$AB:$AB,"",операции!$O:$O,$F1570)+SUMIFS(операции!$AF:$AF,операции!$T:$T,"&lt;="&amp;S$9,операции!$X:$X,"",операции!$AB:$AB,"&gt;"&amp;S$9,операции!$O:$O,$F1570)+SUMIFS(операции!$AF:$AF,операции!$T:$T,"&lt;="&amp;S$9,операции!$X:$X,"&gt;"&amp;S$9,операции!$AB:$AB,"&gt;"&amp;S$9,операции!$O:$O,$F1570))/S1637)</f>
        <v>42337.666666666664</v>
      </c>
      <c r="T1638" s="196"/>
      <c r="U1638" s="193">
        <f>IF(U1637=0,0,(SUMIFS(операции!$AF:$AF,операции!$T:$T,"&lt;="&amp;S$9,операции!$X:$X,"",операции!$AB:$AB,"",операции!$L:$L,U$9,операции!$O:$O,$F1570)+SUMIFS(операции!$AF:$AF,операции!$T:$T,"&lt;="&amp;S$9,операции!$X:$X,"&gt;"&amp;S$9,операции!$AB:$AB,"",операции!$L:$L,U$9,операции!$O:$O,$F1570)+SUMIFS(операции!$AF:$AF,операции!$T:$T,"&lt;="&amp;S$9,операции!$X:$X,"",операции!$AB:$AB,"&gt;"&amp;S$9,операции!$L:$L,U$9,операции!$O:$O,$F1570)+SUMIFS(операции!$AF:$AF,операции!$T:$T,"&lt;="&amp;S$9,операции!$X:$X,"&gt;"&amp;S$9,операции!$AB:$AB,"&gt;"&amp;S$9,операции!$L:$L,U$9,операции!$O:$O,$F1570))/U1637)</f>
        <v>0</v>
      </c>
      <c r="V1638" s="237">
        <f>IF(V1637=0,0,(SUMIFS(операции!$AF:$AF,операции!$T:$T,"&lt;="&amp;S$9,операции!$X:$X,"",операции!$AB:$AB,"",операции!$L:$L,V$9,операции!$O:$O,$F1570)+SUMIFS(операции!$AF:$AF,операции!$T:$T,"&lt;="&amp;S$9,операции!$X:$X,"&gt;"&amp;S$9,операции!$AB:$AB,"",операции!$L:$L,V$9,операции!$O:$O,$F1570)+SUMIFS(операции!$AF:$AF,операции!$T:$T,"&lt;="&amp;S$9,операции!$X:$X,"",операции!$AB:$AB,"&gt;"&amp;S$9,операции!$L:$L,V$9,операции!$O:$O,$F1570)+SUMIFS(операции!$AF:$AF,операции!$T:$T,"&lt;="&amp;S$9,операции!$X:$X,"&gt;"&amp;S$9,операции!$AB:$AB,"&gt;"&amp;S$9,операции!$L:$L,V$9,операции!$O:$O,$F1570))/V1637)</f>
        <v>42337.666666666664</v>
      </c>
      <c r="W1638" s="238"/>
      <c r="X1638" s="193">
        <f>IF(X1637=0,0,(SUMIFS(операции!$AF:$AF,операции!$T:$T,"&lt;="&amp;X$9,операции!$X:$X,"",операции!$AB:$AB,"",операции!$O:$O,$F1570)+SUMIFS(операции!$AF:$AF,операции!$T:$T,"&lt;="&amp;X$9,операции!$X:$X,"&gt;"&amp;X$9,операции!$AB:$AB,"",операции!$O:$O,$F1570)+SUMIFS(операции!$AF:$AF,операции!$T:$T,"&lt;="&amp;X$9,операции!$X:$X,"",операции!$AB:$AB,"&gt;"&amp;X$9,операции!$O:$O,$F1570)+SUMIFS(операции!$AF:$AF,операции!$T:$T,"&lt;="&amp;X$9,операции!$X:$X,"&gt;"&amp;X$9,операции!$AB:$AB,"&gt;"&amp;X$9,операции!$O:$O,$F1570))/X1637)</f>
        <v>0</v>
      </c>
      <c r="Y1638" s="196"/>
      <c r="Z1638" s="193">
        <f>IF(Z1637=0,0,(SUMIFS(операции!$AF:$AF,операции!$T:$T,"&lt;="&amp;X$9,операции!$X:$X,"",операции!$AB:$AB,"",операции!$L:$L,Z$9,операции!$O:$O,$F1570)+SUMIFS(операции!$AF:$AF,операции!$T:$T,"&lt;="&amp;X$9,операции!$X:$X,"&gt;"&amp;X$9,операции!$AB:$AB,"",операции!$L:$L,Z$9,операции!$O:$O,$F1570)+SUMIFS(операции!$AF:$AF,операции!$T:$T,"&lt;="&amp;X$9,операции!$X:$X,"",операции!$AB:$AB,"&gt;"&amp;X$9,операции!$L:$L,Z$9,операции!$O:$O,$F1570)+SUMIFS(операции!$AF:$AF,операции!$T:$T,"&lt;="&amp;X$9,операции!$X:$X,"&gt;"&amp;X$9,операции!$AB:$AB,"&gt;"&amp;X$9,операции!$L:$L,Z$9,операции!$O:$O,$F1570))/Z1637)</f>
        <v>0</v>
      </c>
      <c r="AA1638" s="237">
        <f>IF(AA1637=0,0,(SUMIFS(операции!$AF:$AF,операции!$T:$T,"&lt;="&amp;X$9,операции!$X:$X,"",операции!$AB:$AB,"",операции!$L:$L,AA$9,операции!$O:$O,$F1570)+SUMIFS(операции!$AF:$AF,операции!$T:$T,"&lt;="&amp;X$9,операции!$X:$X,"&gt;"&amp;X$9,операции!$AB:$AB,"",операции!$L:$L,AA$9,операции!$O:$O,$F1570)+SUMIFS(операции!$AF:$AF,операции!$T:$T,"&lt;="&amp;X$9,операции!$X:$X,"",операции!$AB:$AB,"&gt;"&amp;X$9,операции!$L:$L,AA$9,операции!$O:$O,$F1570)+SUMIFS(операции!$AF:$AF,операции!$T:$T,"&lt;="&amp;X$9,операции!$X:$X,"&gt;"&amp;X$9,операции!$AB:$AB,"&gt;"&amp;X$9,операции!$L:$L,AA$9,операции!$O:$O,$F1570))/AA1637)</f>
        <v>0</v>
      </c>
      <c r="AB1638" s="265"/>
      <c r="AC1638" s="37"/>
      <c r="AD1638" s="37"/>
      <c r="AE1638" s="37"/>
      <c r="AF1638" s="37"/>
      <c r="AG1638" s="37"/>
      <c r="AH1638" s="37"/>
      <c r="AI1638" s="37"/>
      <c r="AJ1638" s="37"/>
      <c r="AK1638" s="37"/>
      <c r="AL1638" s="37"/>
      <c r="AM1638" s="37"/>
      <c r="AN1638" s="37"/>
      <c r="AO1638" s="37"/>
      <c r="AP1638" s="37"/>
    </row>
    <row r="1639" spans="1:42" s="192" customFormat="1" ht="11.25">
      <c r="A1639" s="37"/>
      <c r="B1639" s="37"/>
      <c r="C1639" s="37"/>
      <c r="D1639" s="191"/>
      <c r="E1639" s="191" t="s">
        <v>287</v>
      </c>
      <c r="F1639" s="191" t="str">
        <f t="shared" ref="F1639:F1642" si="2923">F1638</f>
        <v>СпортИн</v>
      </c>
      <c r="G1639" s="191" t="s">
        <v>219</v>
      </c>
      <c r="H1639" s="315"/>
      <c r="I1639" s="329">
        <f>IF(I1637=0,0,I$9-I1638)</f>
        <v>0</v>
      </c>
      <c r="J1639" s="317"/>
      <c r="K1639" s="329">
        <f>IF(K1637=0,0,I$9-K1638)</f>
        <v>0</v>
      </c>
      <c r="L1639" s="330">
        <f>IF(L1637=0,0,I$9-L1638)</f>
        <v>0</v>
      </c>
      <c r="M1639" s="274"/>
      <c r="N1639" s="156">
        <f>IF(N1637=0,0,N$9-N1638)</f>
        <v>0</v>
      </c>
      <c r="O1639" s="196"/>
      <c r="P1639" s="156">
        <f>IF(P1637=0,0,N$9-P1638)</f>
        <v>0</v>
      </c>
      <c r="Q1639" s="245">
        <f>IF(Q1637=0,0,N$9-Q1638)</f>
        <v>0</v>
      </c>
      <c r="R1639" s="238"/>
      <c r="S1639" s="156">
        <f>IF(S1637=0,0,S$9-S1638)</f>
        <v>0.33333333333575865</v>
      </c>
      <c r="T1639" s="196"/>
      <c r="U1639" s="156">
        <f>IF(U1637=0,0,S$9-U1638)</f>
        <v>0</v>
      </c>
      <c r="V1639" s="245">
        <f>IF(V1637=0,0,S$9-V1638)</f>
        <v>0.33333333333575865</v>
      </c>
      <c r="W1639" s="238"/>
      <c r="X1639" s="156">
        <f>IF(X1637=0,0,X$9-X1638)</f>
        <v>0</v>
      </c>
      <c r="Y1639" s="196"/>
      <c r="Z1639" s="156">
        <f>IF(Z1637=0,0,X$9-Z1638)</f>
        <v>0</v>
      </c>
      <c r="AA1639" s="245">
        <f>IF(AA1637=0,0,X$9-AA1638)</f>
        <v>0</v>
      </c>
      <c r="AB1639" s="265"/>
      <c r="AC1639" s="37"/>
      <c r="AD1639" s="37"/>
      <c r="AE1639" s="37"/>
      <c r="AF1639" s="37"/>
      <c r="AG1639" s="37"/>
      <c r="AH1639" s="37"/>
      <c r="AI1639" s="37"/>
      <c r="AJ1639" s="37"/>
      <c r="AK1639" s="37"/>
      <c r="AL1639" s="37"/>
      <c r="AM1639" s="37"/>
      <c r="AN1639" s="37"/>
      <c r="AO1639" s="37"/>
      <c r="AP1639" s="37"/>
    </row>
    <row r="1640" spans="1:42" s="192" customFormat="1" ht="11.25">
      <c r="A1640" s="37"/>
      <c r="B1640" s="37"/>
      <c r="C1640" s="37"/>
      <c r="D1640" s="191"/>
      <c r="E1640" s="191" t="s">
        <v>311</v>
      </c>
      <c r="F1640" s="191" t="str">
        <f t="shared" si="2923"/>
        <v>СпортИн</v>
      </c>
      <c r="G1640" s="191" t="s">
        <v>262</v>
      </c>
      <c r="H1640" s="315"/>
      <c r="I1640" s="316">
        <f>I$9</f>
        <v>42369</v>
      </c>
      <c r="J1640" s="317"/>
      <c r="K1640" s="316">
        <f>I$9</f>
        <v>42369</v>
      </c>
      <c r="L1640" s="318">
        <f>I$9</f>
        <v>42369</v>
      </c>
      <c r="M1640" s="274"/>
      <c r="N1640" s="193">
        <f>N$9</f>
        <v>42308</v>
      </c>
      <c r="O1640" s="196"/>
      <c r="P1640" s="193">
        <f>N$9</f>
        <v>42308</v>
      </c>
      <c r="Q1640" s="237">
        <f>N$9</f>
        <v>42308</v>
      </c>
      <c r="R1640" s="238"/>
      <c r="S1640" s="193">
        <f>S$9</f>
        <v>42338</v>
      </c>
      <c r="T1640" s="196"/>
      <c r="U1640" s="193">
        <f>S$9</f>
        <v>42338</v>
      </c>
      <c r="V1640" s="237">
        <f>S$9</f>
        <v>42338</v>
      </c>
      <c r="W1640" s="238"/>
      <c r="X1640" s="193">
        <f>X$9</f>
        <v>42369</v>
      </c>
      <c r="Y1640" s="196"/>
      <c r="Z1640" s="193">
        <f>X$9</f>
        <v>42369</v>
      </c>
      <c r="AA1640" s="237">
        <f>X$9</f>
        <v>42369</v>
      </c>
      <c r="AB1640" s="265"/>
      <c r="AC1640" s="37"/>
      <c r="AD1640" s="37"/>
      <c r="AE1640" s="37"/>
      <c r="AF1640" s="37"/>
      <c r="AG1640" s="37"/>
      <c r="AH1640" s="37"/>
      <c r="AI1640" s="37"/>
      <c r="AJ1640" s="37"/>
      <c r="AK1640" s="37"/>
      <c r="AL1640" s="37"/>
      <c r="AM1640" s="37"/>
      <c r="AN1640" s="37"/>
      <c r="AO1640" s="37"/>
      <c r="AP1640" s="37"/>
    </row>
    <row r="1641" spans="1:42" s="192" customFormat="1" ht="11.25">
      <c r="A1641" s="37"/>
      <c r="B1641" s="37"/>
      <c r="C1641" s="37"/>
      <c r="D1641" s="191"/>
      <c r="E1641" s="191" t="s">
        <v>288</v>
      </c>
      <c r="F1641" s="191" t="str">
        <f t="shared" si="2923"/>
        <v>СпортИн</v>
      </c>
      <c r="G1641" s="191" t="s">
        <v>219</v>
      </c>
      <c r="H1641" s="315"/>
      <c r="I1641" s="329">
        <f>IF(I1637=0,0,I1640-I1638)</f>
        <v>0</v>
      </c>
      <c r="J1641" s="317"/>
      <c r="K1641" s="329">
        <f>IF(K1637=0,0,K1640-K1638)</f>
        <v>0</v>
      </c>
      <c r="L1641" s="330">
        <f>IF(L1637=0,0,L1640-L1638)</f>
        <v>0</v>
      </c>
      <c r="M1641" s="274"/>
      <c r="N1641" s="156">
        <f>IF(N1637=0,0,N1640-N1638)</f>
        <v>0</v>
      </c>
      <c r="O1641" s="196"/>
      <c r="P1641" s="156">
        <f>IF(P1637=0,0,P1640-P1638)</f>
        <v>0</v>
      </c>
      <c r="Q1641" s="245">
        <f>IF(Q1637=0,0,Q1640-Q1638)</f>
        <v>0</v>
      </c>
      <c r="R1641" s="238"/>
      <c r="S1641" s="156">
        <f>IF(S1637=0,0,S1640-S1638)</f>
        <v>0.33333333333575865</v>
      </c>
      <c r="T1641" s="196"/>
      <c r="U1641" s="156">
        <f>IF(U1637=0,0,U1640-U1638)</f>
        <v>0</v>
      </c>
      <c r="V1641" s="245">
        <f>IF(V1637=0,0,V1640-V1638)</f>
        <v>0.33333333333575865</v>
      </c>
      <c r="W1641" s="238"/>
      <c r="X1641" s="156">
        <f>IF(X1637=0,0,X1640-X1638)</f>
        <v>0</v>
      </c>
      <c r="Y1641" s="196"/>
      <c r="Z1641" s="156">
        <f>IF(Z1637=0,0,Z1640-Z1638)</f>
        <v>0</v>
      </c>
      <c r="AA1641" s="245">
        <f>IF(AA1637=0,0,AA1640-AA1638)</f>
        <v>0</v>
      </c>
      <c r="AB1641" s="265"/>
      <c r="AC1641" s="37"/>
      <c r="AD1641" s="37"/>
      <c r="AE1641" s="37"/>
      <c r="AF1641" s="37"/>
      <c r="AG1641" s="37"/>
      <c r="AH1641" s="37"/>
      <c r="AI1641" s="37"/>
      <c r="AJ1641" s="37"/>
      <c r="AK1641" s="37"/>
      <c r="AL1641" s="37"/>
      <c r="AM1641" s="37"/>
      <c r="AN1641" s="37"/>
      <c r="AO1641" s="37"/>
      <c r="AP1641" s="37"/>
    </row>
    <row r="1642" spans="1:42" s="192" customFormat="1" ht="12" thickBot="1">
      <c r="A1642" s="37"/>
      <c r="B1642" s="37"/>
      <c r="C1642" s="37"/>
      <c r="D1642" s="297"/>
      <c r="E1642" s="297" t="s">
        <v>289</v>
      </c>
      <c r="F1642" s="297" t="str">
        <f t="shared" si="2923"/>
        <v>СпортИн</v>
      </c>
      <c r="G1642" s="297" t="s">
        <v>219</v>
      </c>
      <c r="H1642" s="377"/>
      <c r="I1642" s="378">
        <f>I1639-I1641</f>
        <v>0</v>
      </c>
      <c r="J1642" s="379"/>
      <c r="K1642" s="378">
        <f>K1639-K1641</f>
        <v>0</v>
      </c>
      <c r="L1642" s="380">
        <f>L1639-L1641</f>
        <v>0</v>
      </c>
      <c r="M1642" s="300"/>
      <c r="N1642" s="298">
        <f>N1639-N1641</f>
        <v>0</v>
      </c>
      <c r="O1642" s="299"/>
      <c r="P1642" s="298">
        <f>P1639-P1641</f>
        <v>0</v>
      </c>
      <c r="Q1642" s="301">
        <f>Q1639-Q1641</f>
        <v>0</v>
      </c>
      <c r="R1642" s="302"/>
      <c r="S1642" s="298">
        <f>S1639-S1641</f>
        <v>0</v>
      </c>
      <c r="T1642" s="299"/>
      <c r="U1642" s="298">
        <f>U1639-U1641</f>
        <v>0</v>
      </c>
      <c r="V1642" s="301">
        <f>V1639-V1641</f>
        <v>0</v>
      </c>
      <c r="W1642" s="302"/>
      <c r="X1642" s="298">
        <f>X1639-X1641</f>
        <v>0</v>
      </c>
      <c r="Y1642" s="299"/>
      <c r="Z1642" s="298">
        <f>Z1639-Z1641</f>
        <v>0</v>
      </c>
      <c r="AA1642" s="301">
        <f>AA1639-AA1641</f>
        <v>0</v>
      </c>
      <c r="AB1642" s="265"/>
      <c r="AC1642" s="37"/>
      <c r="AD1642" s="37"/>
      <c r="AE1642" s="37"/>
      <c r="AF1642" s="37"/>
      <c r="AG1642" s="37"/>
      <c r="AH1642" s="37"/>
      <c r="AI1642" s="37"/>
      <c r="AJ1642" s="37"/>
      <c r="AK1642" s="37"/>
      <c r="AL1642" s="37"/>
      <c r="AM1642" s="37"/>
      <c r="AN1642" s="37"/>
      <c r="AO1642" s="37"/>
      <c r="AP1642" s="37"/>
    </row>
    <row r="1643" spans="1:42" s="111" customFormat="1" ht="11.25">
      <c r="A1643" s="108"/>
      <c r="B1643" s="108"/>
      <c r="C1643" s="108" t="s">
        <v>271</v>
      </c>
      <c r="D1643" s="291"/>
      <c r="E1643" s="291"/>
      <c r="F1643" s="291" t="str">
        <f>F1644</f>
        <v>С-спортКид</v>
      </c>
      <c r="G1643" s="291"/>
      <c r="H1643" s="373"/>
      <c r="I1643" s="374">
        <f>I1644-K1644-L1644</f>
        <v>0</v>
      </c>
      <c r="J1643" s="375">
        <f>N1643+N1661+N1699+SUM(O:O)+S1643+S1661+S1699+SUM(T:T)+X1643+X1661+X1699+SUM(Y:Y)</f>
        <v>3.7104683769939584E-9</v>
      </c>
      <c r="K1643" s="373"/>
      <c r="L1643" s="376"/>
      <c r="M1643" s="293"/>
      <c r="N1643" s="292">
        <f>N1644-P1644-Q1644</f>
        <v>0</v>
      </c>
      <c r="O1643" s="294"/>
      <c r="P1643" s="291"/>
      <c r="Q1643" s="295"/>
      <c r="R1643" s="296"/>
      <c r="S1643" s="292">
        <f>S1644-U1644-V1644</f>
        <v>0</v>
      </c>
      <c r="T1643" s="294"/>
      <c r="U1643" s="291"/>
      <c r="V1643" s="295"/>
      <c r="W1643" s="296"/>
      <c r="X1643" s="292">
        <f>X1644-Z1644-AA1644</f>
        <v>0</v>
      </c>
      <c r="Y1643" s="294"/>
      <c r="Z1643" s="291"/>
      <c r="AA1643" s="295"/>
      <c r="AB1643" s="263"/>
      <c r="AC1643" s="108"/>
      <c r="AD1643" s="108"/>
      <c r="AE1643" s="108"/>
      <c r="AF1643" s="108"/>
      <c r="AG1643" s="108"/>
      <c r="AH1643" s="108"/>
      <c r="AI1643" s="108"/>
      <c r="AJ1643" s="108"/>
      <c r="AK1643" s="108"/>
      <c r="AL1643" s="108"/>
      <c r="AM1643" s="108"/>
      <c r="AN1643" s="108"/>
      <c r="AO1643" s="108"/>
      <c r="AP1643" s="108"/>
    </row>
    <row r="1644" spans="1:42" s="93" customFormat="1" ht="15">
      <c r="A1644" s="92"/>
      <c r="B1644" s="92"/>
      <c r="C1644" s="92"/>
      <c r="D1644" s="151" t="s">
        <v>256</v>
      </c>
      <c r="E1644" s="151"/>
      <c r="F1644" s="286" t="str">
        <f>микс!$H$39</f>
        <v>С-спортКид</v>
      </c>
      <c r="G1644" s="151" t="s">
        <v>261</v>
      </c>
      <c r="H1644" s="311"/>
      <c r="I1644" s="312">
        <f>SUMIFS(операции!$V:$V,операции!$T:$T,"&lt;"&amp;I$8,операции!$X:$X,"",операции!$O:$O,$F1644)+SUMIFS(операции!$V:$V,операции!$T:$T,"&lt;"&amp;I$8,операции!$X:$X,"&gt;="&amp;I$8,операции!$O:$O,$F1644)</f>
        <v>0</v>
      </c>
      <c r="J1644" s="313">
        <f>I1644-I1649-I1655</f>
        <v>0</v>
      </c>
      <c r="K1644" s="312">
        <f>SUMIFS(операции!$V:$V,операции!$T:$T,"&lt;"&amp;I$8,операции!$X:$X,"",операции!$L:$L,K$9,операции!$O:$O,$F1644)+SUMIFS(операции!$V:$V,операции!$T:$T,"&lt;"&amp;I$8,операции!$X:$X,"&gt;="&amp;I$8,операции!$L:$L,K$9,операции!$O:$O,$F1644)</f>
        <v>0</v>
      </c>
      <c r="L1644" s="314">
        <f>SUMIFS(операции!$V:$V,операции!$T:$T,"&lt;"&amp;I$8,операции!$X:$X,"",операции!$L:$L,L$9,операции!$O:$O,$F1644)+SUMIFS(операции!$V:$V,операции!$T:$T,"&lt;"&amp;I$8,операции!$X:$X,"&gt;="&amp;I$8,операции!$L:$L,L$9,операции!$O:$O,$F1644)</f>
        <v>0</v>
      </c>
      <c r="M1644" s="273"/>
      <c r="N1644" s="152">
        <f>SUMIFS(операции!$V:$V,операции!$T:$T,"&lt;"&amp;N$8,операции!$X:$X,"",операции!$O:$O,$F1644)+SUMIFS(операции!$V:$V,операции!$T:$T,"&lt;"&amp;N$8,операции!$X:$X,"&gt;="&amp;N$8,операции!$O:$O,$F1644)</f>
        <v>0</v>
      </c>
      <c r="O1644" s="170">
        <f>N1644-N1649-N1655</f>
        <v>0</v>
      </c>
      <c r="P1644" s="152">
        <f>SUMIFS(операции!$V:$V,операции!$T:$T,"&lt;"&amp;N$8,операции!$X:$X,"",операции!$L:$L,P$9,операции!$O:$O,$F1644)+SUMIFS(операции!$V:$V,операции!$T:$T,"&lt;"&amp;N$8,операции!$X:$X,"&gt;="&amp;N$8,операции!$L:$L,P$9,операции!$O:$O,$F1644)</f>
        <v>0</v>
      </c>
      <c r="Q1644" s="235">
        <f>SUMIFS(операции!$V:$V,операции!$T:$T,"&lt;"&amp;N$8,операции!$X:$X,"",операции!$L:$L,Q$9,операции!$O:$O,$F1644)+SUMIFS(операции!$V:$V,операции!$T:$T,"&lt;"&amp;N$8,операции!$X:$X,"&gt;="&amp;N$8,операции!$L:$L,Q$9,операции!$O:$O,$F1644)</f>
        <v>0</v>
      </c>
      <c r="R1644" s="236"/>
      <c r="S1644" s="152">
        <f>SUMIFS(операции!$V:$V,операции!$T:$T,"&lt;"&amp;S$8,операции!$X:$X,"",операции!$O:$O,$F1644)+SUMIFS(операции!$V:$V,операции!$T:$T,"&lt;"&amp;S$8,операции!$X:$X,"&gt;="&amp;S$8,операции!$O:$O,$F1644)</f>
        <v>0</v>
      </c>
      <c r="T1644" s="170">
        <f>S1644-S1649-S1655</f>
        <v>0</v>
      </c>
      <c r="U1644" s="152">
        <f>SUMIFS(операции!$V:$V,операции!$T:$T,"&lt;"&amp;S$8,операции!$X:$X,"",операции!$L:$L,U$9,операции!$O:$O,$F1644)+SUMIFS(операции!$V:$V,операции!$T:$T,"&lt;"&amp;S$8,операции!$X:$X,"&gt;="&amp;S$8,операции!$L:$L,U$9,операции!$O:$O,$F1644)</f>
        <v>0</v>
      </c>
      <c r="V1644" s="235">
        <f>SUMIFS(операции!$V:$V,операции!$T:$T,"&lt;"&amp;S$8,операции!$X:$X,"",операции!$L:$L,V$9,операции!$O:$O,$F1644)+SUMIFS(операции!$V:$V,операции!$T:$T,"&lt;"&amp;S$8,операции!$X:$X,"&gt;="&amp;S$8,операции!$L:$L,V$9,операции!$O:$O,$F1644)</f>
        <v>0</v>
      </c>
      <c r="W1644" s="236"/>
      <c r="X1644" s="152">
        <f>SUMIFS(операции!$V:$V,операции!$T:$T,"&lt;"&amp;X$8,операции!$X:$X,"",операции!$O:$O,$F1644)+SUMIFS(операции!$V:$V,операции!$T:$T,"&lt;"&amp;X$8,операции!$X:$X,"&gt;="&amp;X$8,операции!$O:$O,$F1644)</f>
        <v>21750</v>
      </c>
      <c r="Y1644" s="170">
        <f>X1644-X1649-X1655</f>
        <v>0</v>
      </c>
      <c r="Z1644" s="152">
        <f>SUMIFS(операции!$V:$V,операции!$T:$T,"&lt;"&amp;X$8,операции!$X:$X,"",операции!$L:$L,Z$9,операции!$O:$O,$F1644)+SUMIFS(операции!$V:$V,операции!$T:$T,"&lt;"&amp;X$8,операции!$X:$X,"&gt;="&amp;X$8,операции!$L:$L,Z$9,операции!$O:$O,$F1644)</f>
        <v>0</v>
      </c>
      <c r="AA1644" s="235">
        <f>SUMIFS(операции!$V:$V,операции!$T:$T,"&lt;"&amp;X$8,операции!$X:$X,"",операции!$L:$L,AA$9,операции!$O:$O,$F1644)+SUMIFS(операции!$V:$V,операции!$T:$T,"&lt;"&amp;X$8,операции!$X:$X,"&gt;="&amp;X$8,операции!$L:$L,AA$9,операции!$O:$O,$F1644)</f>
        <v>21750</v>
      </c>
      <c r="AB1644" s="264"/>
      <c r="AC1644" s="92"/>
      <c r="AD1644" s="92"/>
      <c r="AE1644" s="92"/>
      <c r="AF1644" s="92"/>
      <c r="AG1644" s="92"/>
      <c r="AH1644" s="92"/>
      <c r="AI1644" s="92"/>
      <c r="AJ1644" s="92"/>
      <c r="AK1644" s="92"/>
      <c r="AL1644" s="92"/>
      <c r="AM1644" s="92"/>
      <c r="AN1644" s="92"/>
      <c r="AO1644" s="92"/>
      <c r="AP1644" s="92"/>
    </row>
    <row r="1645" spans="1:42" s="192" customFormat="1" ht="11.25">
      <c r="A1645" s="37"/>
      <c r="B1645" s="37"/>
      <c r="C1645" s="37"/>
      <c r="D1645" s="191" t="s">
        <v>255</v>
      </c>
      <c r="E1645" s="191"/>
      <c r="F1645" s="191" t="str">
        <f>F1644</f>
        <v>С-спортКид</v>
      </c>
      <c r="G1645" s="191" t="s">
        <v>262</v>
      </c>
      <c r="H1645" s="315"/>
      <c r="I1645" s="316">
        <f>IF(I1644=0,0,(SUMIFS(операции!$AF:$AF,операции!$T:$T,"&lt;"&amp;I$8,операции!$X:$X,"",операции!$O:$O,$F1644)+SUMIFS(операции!$AF:$AF,операции!$T:$T,"&lt;"&amp;I$8,операции!$X:$X,"&gt;="&amp;I$8,операции!$O:$O,$F1644))/I1644)</f>
        <v>0</v>
      </c>
      <c r="J1645" s="317"/>
      <c r="K1645" s="316">
        <f>IF(K1644=0,0,(SUMIFS(операции!$AF:$AF,операции!$T:$T,"&lt;"&amp;I$8,операции!$X:$X,"",операции!$L:$L,K$9,операции!$O:$O,$F1644)+SUMIFS(операции!$AF:$AF,операции!$T:$T,"&lt;"&amp;I$8,операции!$X:$X,"&gt;="&amp;I$8,операции!$L:$L,K$9,операции!$O:$O,$F1644))/K1644)</f>
        <v>0</v>
      </c>
      <c r="L1645" s="318">
        <f>IF(L1644=0,0,(SUMIFS(операции!$AF:$AF,операции!$T:$T,"&lt;"&amp;I$8,операции!$X:$X,"",операции!$L:$L,L$9,операции!$O:$O,$F1644)+SUMIFS(операции!$AF:$AF,операции!$T:$T,"&lt;"&amp;I$8,операции!$X:$X,"&gt;="&amp;I$8,операции!$L:$L,L$9,операции!$O:$O,$F1644))/L1644)</f>
        <v>0</v>
      </c>
      <c r="M1645" s="274"/>
      <c r="N1645" s="193">
        <f>IF(N1644=0,0,(SUMIFS(операции!$AF:$AF,операции!$T:$T,"&lt;"&amp;N$8,операции!$X:$X,"",операции!$O:$O,$F1644)+SUMIFS(операции!$AF:$AF,операции!$T:$T,"&lt;"&amp;N$8,операции!$X:$X,"&gt;="&amp;N$8,операции!$O:$O,$F1644))/N1644)</f>
        <v>0</v>
      </c>
      <c r="O1645" s="196"/>
      <c r="P1645" s="193">
        <f>IF(P1644=0,0,(SUMIFS(операции!$AF:$AF,операции!$T:$T,"&lt;"&amp;N$8,операции!$X:$X,"",операции!$L:$L,P$9,операции!$O:$O,$F1644)+SUMIFS(операции!$AF:$AF,операции!$T:$T,"&lt;"&amp;N$8,операции!$X:$X,"&gt;="&amp;N$8,операции!$L:$L,P$9,операции!$O:$O,$F1644))/P1644)</f>
        <v>0</v>
      </c>
      <c r="Q1645" s="237">
        <f>IF(Q1644=0,0,(SUMIFS(операции!$AF:$AF,операции!$T:$T,"&lt;"&amp;N$8,операции!$X:$X,"",операции!$L:$L,Q$9,операции!$O:$O,$F1644)+SUMIFS(операции!$AF:$AF,операции!$T:$T,"&lt;"&amp;N$8,операции!$X:$X,"&gt;="&amp;N$8,операции!$L:$L,Q$9,операции!$O:$O,$F1644))/Q1644)</f>
        <v>0</v>
      </c>
      <c r="R1645" s="238"/>
      <c r="S1645" s="193">
        <f>IF(S1644=0,0,(SUMIFS(операции!$AF:$AF,операции!$T:$T,"&lt;"&amp;S$8,операции!$X:$X,"",операции!$O:$O,$F1644)+SUMIFS(операции!$AF:$AF,операции!$T:$T,"&lt;"&amp;S$8,операции!$X:$X,"&gt;="&amp;S$8,операции!$O:$O,$F1644))/S1644)</f>
        <v>0</v>
      </c>
      <c r="T1645" s="196"/>
      <c r="U1645" s="193">
        <f>IF(U1644=0,0,(SUMIFS(операции!$AF:$AF,операции!$T:$T,"&lt;"&amp;S$8,операции!$X:$X,"",операции!$L:$L,U$9,операции!$O:$O,$F1644)+SUMIFS(операции!$AF:$AF,операции!$T:$T,"&lt;"&amp;S$8,операции!$X:$X,"&gt;="&amp;S$8,операции!$L:$L,U$9,операции!$O:$O,$F1644))/U1644)</f>
        <v>0</v>
      </c>
      <c r="V1645" s="237">
        <f>IF(V1644=0,0,(SUMIFS(операции!$AF:$AF,операции!$T:$T,"&lt;"&amp;S$8,операции!$X:$X,"",операции!$L:$L,V$9,операции!$O:$O,$F1644)+SUMIFS(операции!$AF:$AF,операции!$T:$T,"&lt;"&amp;S$8,операции!$X:$X,"&gt;="&amp;S$8,операции!$L:$L,V$9,операции!$O:$O,$F1644))/V1644)</f>
        <v>0</v>
      </c>
      <c r="W1645" s="238"/>
      <c r="X1645" s="193">
        <f>IF(X1644=0,0,(SUMIFS(операции!$AF:$AF,операции!$T:$T,"&lt;"&amp;X$8,операции!$X:$X,"",операции!$O:$O,$F1644)+SUMIFS(операции!$AF:$AF,операции!$T:$T,"&lt;"&amp;X$8,операции!$X:$X,"&gt;="&amp;X$8,операции!$O:$O,$F1644))/X1644)</f>
        <v>42333.723678160917</v>
      </c>
      <c r="Y1645" s="196"/>
      <c r="Z1645" s="193">
        <f>IF(Z1644=0,0,(SUMIFS(операции!$AF:$AF,операции!$T:$T,"&lt;"&amp;X$8,операции!$X:$X,"",операции!$L:$L,Z$9,операции!$O:$O,$F1644)+SUMIFS(операции!$AF:$AF,операции!$T:$T,"&lt;"&amp;X$8,операции!$X:$X,"&gt;="&amp;X$8,операции!$L:$L,Z$9,операции!$O:$O,$F1644))/Z1644)</f>
        <v>0</v>
      </c>
      <c r="AA1645" s="237">
        <f>IF(AA1644=0,0,(SUMIFS(операции!$AF:$AF,операции!$T:$T,"&lt;"&amp;X$8,операции!$X:$X,"",операции!$L:$L,AA$9,операции!$O:$O,$F1644)+SUMIFS(операции!$AF:$AF,операции!$T:$T,"&lt;"&amp;X$8,операции!$X:$X,"&gt;="&amp;X$8,операции!$L:$L,AA$9,операции!$O:$O,$F1644))/AA1644)</f>
        <v>42333.723678160917</v>
      </c>
      <c r="AB1645" s="265"/>
      <c r="AC1645" s="37"/>
      <c r="AD1645" s="37"/>
      <c r="AE1645" s="37"/>
      <c r="AF1645" s="37"/>
      <c r="AG1645" s="37"/>
      <c r="AH1645" s="37"/>
      <c r="AI1645" s="37"/>
      <c r="AJ1645" s="37"/>
      <c r="AK1645" s="37"/>
      <c r="AL1645" s="37"/>
      <c r="AM1645" s="37"/>
      <c r="AN1645" s="37"/>
      <c r="AO1645" s="37"/>
      <c r="AP1645" s="37"/>
    </row>
    <row r="1646" spans="1:42" s="50" customFormat="1" ht="11.25">
      <c r="A1646" s="48"/>
      <c r="B1646" s="48"/>
      <c r="C1646" s="48"/>
      <c r="D1646" s="154" t="s">
        <v>257</v>
      </c>
      <c r="E1646" s="154"/>
      <c r="F1646" s="154" t="str">
        <f t="shared" ref="F1646:F1712" si="2924">F1645</f>
        <v>С-спортКид</v>
      </c>
      <c r="G1646" s="154" t="s">
        <v>219</v>
      </c>
      <c r="H1646" s="319"/>
      <c r="I1646" s="320">
        <f>IF(I1644=0,0,I$8-I1645)</f>
        <v>0</v>
      </c>
      <c r="J1646" s="321">
        <f>I1646-IF(I1644=0,0,(I1649*I1651+I1655*I1657)/I1644)</f>
        <v>0</v>
      </c>
      <c r="K1646" s="320">
        <f>IF(K1644=0,0,I$8-K1645)</f>
        <v>0</v>
      </c>
      <c r="L1646" s="322">
        <f>IF(L1644=0,0,I$8-L1645)</f>
        <v>0</v>
      </c>
      <c r="M1646" s="275"/>
      <c r="N1646" s="155">
        <f>IF(N1644=0,0,N$8-N1645)</f>
        <v>0</v>
      </c>
      <c r="O1646" s="173">
        <f>N1646-IF(N1644=0,0,(N1649*N1651+N1655*N1657)/N1644)</f>
        <v>0</v>
      </c>
      <c r="P1646" s="155">
        <f>IF(P1644=0,0,N$8-P1645)</f>
        <v>0</v>
      </c>
      <c r="Q1646" s="239">
        <f>IF(Q1644=0,0,N$8-Q1645)</f>
        <v>0</v>
      </c>
      <c r="R1646" s="240"/>
      <c r="S1646" s="155">
        <f>IF(S1644=0,0,S$8-S1645)</f>
        <v>0</v>
      </c>
      <c r="T1646" s="173">
        <f>S1646-IF(S1644=0,0,(S1649*S1651+S1655*S1657)/S1644)</f>
        <v>0</v>
      </c>
      <c r="U1646" s="155">
        <f>IF(U1644=0,0,S$8-U1645)</f>
        <v>0</v>
      </c>
      <c r="V1646" s="239">
        <f>IF(V1644=0,0,S$8-V1645)</f>
        <v>0</v>
      </c>
      <c r="W1646" s="240"/>
      <c r="X1646" s="155">
        <f>IF(X1644=0,0,X$8-X1645)</f>
        <v>5.2763218390828115</v>
      </c>
      <c r="Y1646" s="173">
        <f>X1646-IF(X1644=0,0,(X1649*X1651+X1655*X1657)/X1644)</f>
        <v>0</v>
      </c>
      <c r="Z1646" s="155">
        <f>IF(Z1644=0,0,X$8-Z1645)</f>
        <v>0</v>
      </c>
      <c r="AA1646" s="239">
        <f>IF(AA1644=0,0,X$8-AA1645)</f>
        <v>5.2763218390828115</v>
      </c>
      <c r="AB1646" s="230"/>
      <c r="AC1646" s="48"/>
      <c r="AD1646" s="48"/>
      <c r="AE1646" s="48"/>
      <c r="AF1646" s="48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</row>
    <row r="1647" spans="1:42" s="93" customFormat="1" ht="15">
      <c r="A1647" s="92"/>
      <c r="B1647" s="92"/>
      <c r="C1647" s="92"/>
      <c r="D1647" s="198" t="s">
        <v>267</v>
      </c>
      <c r="E1647" s="198"/>
      <c r="F1647" s="198" t="str">
        <f t="shared" si="2924"/>
        <v>С-спортКид</v>
      </c>
      <c r="G1647" s="198" t="s">
        <v>219</v>
      </c>
      <c r="H1647" s="323"/>
      <c r="I1647" s="324">
        <f>IF(I1644=0,0,(I1649*I1653+I1655*I1659)/I1644)</f>
        <v>0</v>
      </c>
      <c r="J1647" s="321"/>
      <c r="K1647" s="324">
        <f t="shared" ref="K1647" si="2925">IF(K1644=0,0,(K1649*K1653+K1655*K1659)/K1644)</f>
        <v>0</v>
      </c>
      <c r="L1647" s="325">
        <f>IF(L1644=0,0,(L1649*L1653+L1655*L1659)/L1644)</f>
        <v>0</v>
      </c>
      <c r="M1647" s="276"/>
      <c r="N1647" s="199">
        <f>IF(N1644=0,0,(N1649*N1653+N1655*N1659)/N1644)</f>
        <v>0</v>
      </c>
      <c r="O1647" s="173"/>
      <c r="P1647" s="199">
        <f t="shared" ref="P1647" si="2926">IF(P1644=0,0,(P1649*P1653+P1655*P1659)/P1644)</f>
        <v>0</v>
      </c>
      <c r="Q1647" s="241">
        <f>IF(Q1644=0,0,(Q1649*Q1653+Q1655*Q1659)/Q1644)</f>
        <v>0</v>
      </c>
      <c r="R1647" s="242"/>
      <c r="S1647" s="199">
        <f>IF(S1644=0,0,(S1649*S1653+S1655*S1659)/S1644)</f>
        <v>0</v>
      </c>
      <c r="T1647" s="173"/>
      <c r="U1647" s="199">
        <f t="shared" ref="U1647" si="2927">IF(U1644=0,0,(U1649*U1653+U1655*U1659)/U1644)</f>
        <v>0</v>
      </c>
      <c r="V1647" s="241">
        <f>IF(V1644=0,0,(V1649*V1653+V1655*V1659)/V1644)</f>
        <v>0</v>
      </c>
      <c r="W1647" s="242"/>
      <c r="X1647" s="199">
        <f>IF(X1644=0,0,(X1649*X1653+X1655*X1659)/X1644)</f>
        <v>5.2763218390828115</v>
      </c>
      <c r="Y1647" s="173"/>
      <c r="Z1647" s="199">
        <f t="shared" ref="Z1647" si="2928">IF(Z1644=0,0,(Z1649*Z1653+Z1655*Z1659)/Z1644)</f>
        <v>0</v>
      </c>
      <c r="AA1647" s="241">
        <f>IF(AA1644=0,0,(AA1649*AA1653+AA1655*AA1659)/AA1644)</f>
        <v>5.2763218390828115</v>
      </c>
      <c r="AB1647" s="264"/>
      <c r="AC1647" s="92"/>
      <c r="AD1647" s="92"/>
      <c r="AE1647" s="92"/>
      <c r="AF1647" s="92"/>
      <c r="AG1647" s="92"/>
      <c r="AH1647" s="92"/>
      <c r="AI1647" s="92"/>
      <c r="AJ1647" s="92"/>
      <c r="AK1647" s="92"/>
      <c r="AL1647" s="92"/>
      <c r="AM1647" s="92"/>
      <c r="AN1647" s="92"/>
      <c r="AO1647" s="92"/>
      <c r="AP1647" s="92"/>
    </row>
    <row r="1648" spans="1:42" s="50" customFormat="1" ht="11.25">
      <c r="A1648" s="48"/>
      <c r="B1648" s="48"/>
      <c r="C1648" s="48"/>
      <c r="D1648" s="154" t="s">
        <v>270</v>
      </c>
      <c r="E1648" s="154"/>
      <c r="F1648" s="154" t="str">
        <f t="shared" si="2924"/>
        <v>С-спортКид</v>
      </c>
      <c r="G1648" s="154" t="s">
        <v>219</v>
      </c>
      <c r="H1648" s="319"/>
      <c r="I1648" s="320">
        <f>I1646-I1647</f>
        <v>0</v>
      </c>
      <c r="J1648" s="321"/>
      <c r="K1648" s="320">
        <f t="shared" ref="K1648" si="2929">K1646-K1647</f>
        <v>0</v>
      </c>
      <c r="L1648" s="322">
        <f t="shared" ref="L1648" si="2930">L1646-L1647</f>
        <v>0</v>
      </c>
      <c r="M1648" s="275"/>
      <c r="N1648" s="155">
        <f>N1646-N1647</f>
        <v>0</v>
      </c>
      <c r="O1648" s="173"/>
      <c r="P1648" s="155">
        <f t="shared" ref="P1648" si="2931">P1646-P1647</f>
        <v>0</v>
      </c>
      <c r="Q1648" s="239">
        <f t="shared" ref="Q1648" si="2932">Q1646-Q1647</f>
        <v>0</v>
      </c>
      <c r="R1648" s="240"/>
      <c r="S1648" s="155">
        <f>S1646-S1647</f>
        <v>0</v>
      </c>
      <c r="T1648" s="173"/>
      <c r="U1648" s="155">
        <f t="shared" ref="U1648" si="2933">U1646-U1647</f>
        <v>0</v>
      </c>
      <c r="V1648" s="239">
        <f t="shared" ref="V1648" si="2934">V1646-V1647</f>
        <v>0</v>
      </c>
      <c r="W1648" s="240"/>
      <c r="X1648" s="155">
        <f>X1646-X1647</f>
        <v>0</v>
      </c>
      <c r="Y1648" s="173"/>
      <c r="Z1648" s="155">
        <f t="shared" ref="Z1648" si="2935">Z1646-Z1647</f>
        <v>0</v>
      </c>
      <c r="AA1648" s="239">
        <f t="shared" ref="AA1648" si="2936">AA1646-AA1647</f>
        <v>0</v>
      </c>
      <c r="AB1648" s="230"/>
      <c r="AC1648" s="48"/>
      <c r="AD1648" s="48"/>
      <c r="AE1648" s="48"/>
      <c r="AF1648" s="48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</row>
    <row r="1649" spans="1:42" s="5" customFormat="1">
      <c r="A1649" s="1"/>
      <c r="B1649" s="1"/>
      <c r="C1649" s="1"/>
      <c r="D1649" s="168"/>
      <c r="E1649" s="168" t="s">
        <v>258</v>
      </c>
      <c r="F1649" s="168" t="str">
        <f t="shared" si="2924"/>
        <v>С-спортКид</v>
      </c>
      <c r="G1649" s="168" t="s">
        <v>261</v>
      </c>
      <c r="H1649" s="326"/>
      <c r="I1649" s="327">
        <f>SUMIFS(операции!$V:$V,операции!$T:$T,"&lt;"&amp;I$8,операции!$X:$X,"",операции!$AB:$AB,"&lt;&gt;"&amp;"",операции!$AB:$AB,"&lt;"&amp;I$8,операции!$O:$O,$F1644)+SUMIFS(операции!$V:$V,операции!$T:$T,"&lt;"&amp;I$8,операции!$X:$X,"&gt;="&amp;I$8,операции!$AB:$AB,"&lt;&gt;"&amp;"",операции!$AB:$AB,"&lt;"&amp;I$8,операции!$O:$O,$F1644)</f>
        <v>0</v>
      </c>
      <c r="J1649" s="313">
        <f>I1649-K1649-L1649</f>
        <v>0</v>
      </c>
      <c r="K1649" s="327">
        <f>SUMIFS(операции!$V:$V,операции!$T:$T,"&lt;"&amp;I$8,операции!$X:$X,"",операции!$AB:$AB,"&lt;&gt;"&amp;"",операции!$AB:$AB,"&lt;"&amp;I$8,операции!$L:$L,K$9,операции!$O:$O,$F1644)+SUMIFS(операции!$V:$V,операции!$T:$T,"&lt;"&amp;I$8,операции!$X:$X,"&gt;="&amp;I$8,операции!$AB:$AB,"&lt;&gt;"&amp;"",операции!$AB:$AB,"&lt;"&amp;I$8,операции!$L:$L,K$9,операции!$O:$O,$F1644)</f>
        <v>0</v>
      </c>
      <c r="L1649" s="328">
        <f>SUMIFS(операции!$V:$V,операции!$T:$T,"&lt;"&amp;I$8,операции!$X:$X,"",операции!$AB:$AB,"&lt;&gt;"&amp;"",операции!$AB:$AB,"&lt;"&amp;I$8,операции!$L:$L,L$9,операции!$O:$O,$F1644)+SUMIFS(операции!$V:$V,операции!$T:$T,"&lt;"&amp;I$8,операции!$X:$X,"&gt;="&amp;I$8,операции!$AB:$AB,"&lt;&gt;"&amp;"",операции!$AB:$AB,"&lt;"&amp;I$8,операции!$L:$L,L$9,операции!$O:$O,$F1644)</f>
        <v>0</v>
      </c>
      <c r="M1649" s="277"/>
      <c r="N1649" s="169">
        <f>SUMIFS(операции!$V:$V,операции!$T:$T,"&lt;"&amp;N$8,операции!$X:$X,"",операции!$AB:$AB,"&lt;&gt;"&amp;"",операции!$AB:$AB,"&lt;"&amp;N$8,операции!$O:$O,$F1644)+SUMIFS(операции!$V:$V,операции!$T:$T,"&lt;"&amp;N$8,операции!$X:$X,"&gt;="&amp;N$8,операции!$AB:$AB,"&lt;&gt;"&amp;"",операции!$AB:$AB,"&lt;"&amp;N$8,операции!$O:$O,$F1644)</f>
        <v>0</v>
      </c>
      <c r="O1649" s="170">
        <f>N1649-P1649-Q1649</f>
        <v>0</v>
      </c>
      <c r="P1649" s="169">
        <f>SUMIFS(операции!$V:$V,операции!$T:$T,"&lt;"&amp;N$8,операции!$X:$X,"",операции!$AB:$AB,"&lt;&gt;"&amp;"",операции!$AB:$AB,"&lt;"&amp;N$8,операции!$L:$L,P$9,операции!$O:$O,$F1644)+SUMIFS(операции!$V:$V,операции!$T:$T,"&lt;"&amp;N$8,операции!$X:$X,"&gt;="&amp;N$8,операции!$AB:$AB,"&lt;&gt;"&amp;"",операции!$AB:$AB,"&lt;"&amp;N$8,операции!$L:$L,P$9,операции!$O:$O,$F1644)</f>
        <v>0</v>
      </c>
      <c r="Q1649" s="243">
        <f>SUMIFS(операции!$V:$V,операции!$T:$T,"&lt;"&amp;N$8,операции!$X:$X,"",операции!$AB:$AB,"&lt;&gt;"&amp;"",операции!$AB:$AB,"&lt;"&amp;N$8,операции!$L:$L,Q$9,операции!$O:$O,$F1644)+SUMIFS(операции!$V:$V,операции!$T:$T,"&lt;"&amp;N$8,операции!$X:$X,"&gt;="&amp;N$8,операции!$AB:$AB,"&lt;&gt;"&amp;"",операции!$AB:$AB,"&lt;"&amp;N$8,операции!$L:$L,Q$9,операции!$O:$O,$F1644)</f>
        <v>0</v>
      </c>
      <c r="R1649" s="244"/>
      <c r="S1649" s="169">
        <f>SUMIFS(операции!$V:$V,операции!$T:$T,"&lt;"&amp;S$8,операции!$X:$X,"",операции!$AB:$AB,"&lt;&gt;"&amp;"",операции!$AB:$AB,"&lt;"&amp;S$8,операции!$O:$O,$F1644)+SUMIFS(операции!$V:$V,операции!$T:$T,"&lt;"&amp;S$8,операции!$X:$X,"&gt;="&amp;S$8,операции!$AB:$AB,"&lt;&gt;"&amp;"",операции!$AB:$AB,"&lt;"&amp;S$8,операции!$O:$O,$F1644)</f>
        <v>0</v>
      </c>
      <c r="T1649" s="170">
        <f>S1649-U1649-V1649</f>
        <v>0</v>
      </c>
      <c r="U1649" s="169">
        <f>SUMIFS(операции!$V:$V,операции!$T:$T,"&lt;"&amp;S$8,операции!$X:$X,"",операции!$AB:$AB,"&lt;&gt;"&amp;"",операции!$AB:$AB,"&lt;"&amp;S$8,операции!$L:$L,U$9,операции!$O:$O,$F1644)+SUMIFS(операции!$V:$V,операции!$T:$T,"&lt;"&amp;S$8,операции!$X:$X,"&gt;="&amp;S$8,операции!$AB:$AB,"&lt;&gt;"&amp;"",операции!$AB:$AB,"&lt;"&amp;S$8,операции!$L:$L,U$9,операции!$O:$O,$F1644)</f>
        <v>0</v>
      </c>
      <c r="V1649" s="243">
        <f>SUMIFS(операции!$V:$V,операции!$T:$T,"&lt;"&amp;S$8,операции!$X:$X,"",операции!$AB:$AB,"&lt;&gt;"&amp;"",операции!$AB:$AB,"&lt;"&amp;S$8,операции!$L:$L,V$9,операции!$O:$O,$F1644)+SUMIFS(операции!$V:$V,операции!$T:$T,"&lt;"&amp;S$8,операции!$X:$X,"&gt;="&amp;S$8,операции!$AB:$AB,"&lt;&gt;"&amp;"",операции!$AB:$AB,"&lt;"&amp;S$8,операции!$L:$L,V$9,операции!$O:$O,$F1644)</f>
        <v>0</v>
      </c>
      <c r="W1649" s="244"/>
      <c r="X1649" s="169">
        <f>SUMIFS(операции!$V:$V,операции!$T:$T,"&lt;"&amp;X$8,операции!$X:$X,"",операции!$AB:$AB,"&lt;&gt;"&amp;"",операции!$AB:$AB,"&lt;"&amp;X$8,операции!$O:$O,$F1644)+SUMIFS(операции!$V:$V,операции!$T:$T,"&lt;"&amp;X$8,операции!$X:$X,"&gt;="&amp;X$8,операции!$AB:$AB,"&lt;&gt;"&amp;"",операции!$AB:$AB,"&lt;"&amp;X$8,операции!$O:$O,$F1644)</f>
        <v>0</v>
      </c>
      <c r="Y1649" s="170">
        <f>X1649-Z1649-AA1649</f>
        <v>0</v>
      </c>
      <c r="Z1649" s="169">
        <f>SUMIFS(операции!$V:$V,операции!$T:$T,"&lt;"&amp;X$8,операции!$X:$X,"",операции!$AB:$AB,"&lt;&gt;"&amp;"",операции!$AB:$AB,"&lt;"&amp;X$8,операции!$L:$L,Z$9,операции!$O:$O,$F1644)+SUMIFS(операции!$V:$V,операции!$T:$T,"&lt;"&amp;X$8,операции!$X:$X,"&gt;="&amp;X$8,операции!$AB:$AB,"&lt;&gt;"&amp;"",операции!$AB:$AB,"&lt;"&amp;X$8,операции!$L:$L,Z$9,операции!$O:$O,$F1644)</f>
        <v>0</v>
      </c>
      <c r="AA1649" s="243">
        <f>SUMIFS(операции!$V:$V,операции!$T:$T,"&lt;"&amp;X$8,операции!$X:$X,"",операции!$AB:$AB,"&lt;&gt;"&amp;"",операции!$AB:$AB,"&lt;"&amp;X$8,операции!$L:$L,AA$9,операции!$O:$O,$F1644)+SUMIFS(операции!$V:$V,операции!$T:$T,"&lt;"&amp;X$8,операции!$X:$X,"&gt;="&amp;X$8,операции!$AB:$AB,"&lt;&gt;"&amp;"",операции!$AB:$AB,"&lt;"&amp;X$8,операции!$L:$L,AA$9,операции!$O:$O,$F1644)</f>
        <v>0</v>
      </c>
      <c r="AB1649" s="266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</row>
    <row r="1650" spans="1:42" s="192" customFormat="1" ht="11.25">
      <c r="A1650" s="37"/>
      <c r="B1650" s="37"/>
      <c r="C1650" s="37"/>
      <c r="D1650" s="191"/>
      <c r="E1650" s="191" t="s">
        <v>255</v>
      </c>
      <c r="F1650" s="191" t="str">
        <f t="shared" si="2924"/>
        <v>С-спортКид</v>
      </c>
      <c r="G1650" s="191" t="s">
        <v>262</v>
      </c>
      <c r="H1650" s="315"/>
      <c r="I1650" s="316">
        <f>IF(I1649=0,0,(SUMIFS(операции!$AF:$AF,операции!$T:$T,"&lt;"&amp;I$8,операции!$X:$X,"",операции!$AB:$AB,"&lt;&gt;"&amp;"",операции!$AB:$AB,"&lt;"&amp;I$8,операции!$O:$O,$F1644)+SUMIFS(операции!$AF:$AF,операции!$T:$T,"&lt;"&amp;I$8,операции!$X:$X,"&gt;="&amp;I$8,операции!$AB:$AB,"&lt;&gt;"&amp;"",операции!$AB:$AB,"&lt;"&amp;I$8,операции!$O:$O,$F1644))/I1649)</f>
        <v>0</v>
      </c>
      <c r="J1650" s="317"/>
      <c r="K1650" s="316">
        <f>IF(K1649=0,0,(SUMIFS(операции!$AF:$AF,операции!$T:$T,"&lt;"&amp;I$8,операции!$X:$X,"",операции!$AB:$AB,"&lt;&gt;"&amp;"",операции!$AB:$AB,"&lt;"&amp;I$8,операции!$L:$L,K$9,операции!$O:$O,$F1644)+SUMIFS(операции!$AF:$AF,операции!$T:$T,"&lt;"&amp;I$8,операции!$X:$X,"&gt;="&amp;I$8,операции!$AB:$AB,"&lt;&gt;"&amp;"",операции!$AB:$AB,"&lt;"&amp;I$8,операции!$L:$L,K$9,операции!$O:$O,$F1644))/K1649)</f>
        <v>0</v>
      </c>
      <c r="L1650" s="318">
        <f>IF(L1649=0,0,(SUMIFS(операции!$AF:$AF,операции!$T:$T,"&lt;"&amp;I$8,операции!$X:$X,"",операции!$AB:$AB,"&lt;&gt;"&amp;"",операции!$AB:$AB,"&lt;"&amp;I$8,операции!$L:$L,L$9,операции!$O:$O,$F1644)+SUMIFS(операции!$AF:$AF,операции!$T:$T,"&lt;"&amp;I$8,операции!$X:$X,"&gt;="&amp;I$8,операции!$AB:$AB,"&lt;&gt;"&amp;"",операции!$AB:$AB,"&lt;"&amp;I$8,операции!$L:$L,L$9,операции!$O:$O,$F1644))/L1649)</f>
        <v>0</v>
      </c>
      <c r="M1650" s="274"/>
      <c r="N1650" s="193">
        <f>IF(N1649=0,0,(SUMIFS(операции!$AF:$AF,операции!$T:$T,"&lt;"&amp;N$8,операции!$X:$X,"",операции!$AB:$AB,"&lt;&gt;"&amp;"",операции!$AB:$AB,"&lt;"&amp;N$8,операции!$O:$O,$F1644)+SUMIFS(операции!$AF:$AF,операции!$T:$T,"&lt;"&amp;N$8,операции!$X:$X,"&gt;="&amp;N$8,операции!$AB:$AB,"&lt;&gt;"&amp;"",операции!$AB:$AB,"&lt;"&amp;N$8,операции!$O:$O,$F1644))/N1649)</f>
        <v>0</v>
      </c>
      <c r="O1650" s="196"/>
      <c r="P1650" s="193">
        <f>IF(P1649=0,0,(SUMIFS(операции!$AF:$AF,операции!$T:$T,"&lt;"&amp;N$8,операции!$X:$X,"",операции!$AB:$AB,"&lt;&gt;"&amp;"",операции!$AB:$AB,"&lt;"&amp;N$8,операции!$L:$L,P$9,операции!$O:$O,$F1644)+SUMIFS(операции!$AF:$AF,операции!$T:$T,"&lt;"&amp;N$8,операции!$X:$X,"&gt;="&amp;N$8,операции!$AB:$AB,"&lt;&gt;"&amp;"",операции!$AB:$AB,"&lt;"&amp;N$8,операции!$L:$L,P$9,операции!$O:$O,$F1644))/P1649)</f>
        <v>0</v>
      </c>
      <c r="Q1650" s="237">
        <f>IF(Q1649=0,0,(SUMIFS(операции!$AF:$AF,операции!$T:$T,"&lt;"&amp;N$8,операции!$X:$X,"",операции!$AB:$AB,"&lt;&gt;"&amp;"",операции!$AB:$AB,"&lt;"&amp;N$8,операции!$L:$L,Q$9,операции!$O:$O,$F1644)+SUMIFS(операции!$AF:$AF,операции!$T:$T,"&lt;"&amp;N$8,операции!$X:$X,"&gt;="&amp;N$8,операции!$AB:$AB,"&lt;&gt;"&amp;"",операции!$AB:$AB,"&lt;"&amp;N$8,операции!$L:$L,Q$9,операции!$O:$O,$F1644))/Q1649)</f>
        <v>0</v>
      </c>
      <c r="R1650" s="238"/>
      <c r="S1650" s="193">
        <f>IF(S1649=0,0,(SUMIFS(операции!$AF:$AF,операции!$T:$T,"&lt;"&amp;S$8,операции!$X:$X,"",операции!$AB:$AB,"&lt;&gt;"&amp;"",операции!$AB:$AB,"&lt;"&amp;S$8,операции!$O:$O,$F1644)+SUMIFS(операции!$AF:$AF,операции!$T:$T,"&lt;"&amp;S$8,операции!$X:$X,"&gt;="&amp;S$8,операции!$AB:$AB,"&lt;&gt;"&amp;"",операции!$AB:$AB,"&lt;"&amp;S$8,операции!$O:$O,$F1644))/S1649)</f>
        <v>0</v>
      </c>
      <c r="T1650" s="196"/>
      <c r="U1650" s="193">
        <f>IF(U1649=0,0,(SUMIFS(операции!$AF:$AF,операции!$T:$T,"&lt;"&amp;S$8,операции!$X:$X,"",операции!$AB:$AB,"&lt;&gt;"&amp;"",операции!$AB:$AB,"&lt;"&amp;S$8,операции!$L:$L,U$9,операции!$O:$O,$F1644)+SUMIFS(операции!$AF:$AF,операции!$T:$T,"&lt;"&amp;S$8,операции!$X:$X,"&gt;="&amp;S$8,операции!$AB:$AB,"&lt;&gt;"&amp;"",операции!$AB:$AB,"&lt;"&amp;S$8,операции!$L:$L,U$9,операции!$O:$O,$F1644))/U1649)</f>
        <v>0</v>
      </c>
      <c r="V1650" s="237">
        <f>IF(V1649=0,0,(SUMIFS(операции!$AF:$AF,операции!$T:$T,"&lt;"&amp;S$8,операции!$X:$X,"",операции!$AB:$AB,"&lt;&gt;"&amp;"",операции!$AB:$AB,"&lt;"&amp;S$8,операции!$L:$L,V$9,операции!$O:$O,$F1644)+SUMIFS(операции!$AF:$AF,операции!$T:$T,"&lt;"&amp;S$8,операции!$X:$X,"&gt;="&amp;S$8,операции!$AB:$AB,"&lt;&gt;"&amp;"",операции!$AB:$AB,"&lt;"&amp;S$8,операции!$L:$L,V$9,операции!$O:$O,$F1644))/V1649)</f>
        <v>0</v>
      </c>
      <c r="W1650" s="238"/>
      <c r="X1650" s="193">
        <f>IF(X1649=0,0,(SUMIFS(операции!$AF:$AF,операции!$T:$T,"&lt;"&amp;X$8,операции!$X:$X,"",операции!$AB:$AB,"&lt;&gt;"&amp;"",операции!$AB:$AB,"&lt;"&amp;X$8,операции!$O:$O,$F1644)+SUMIFS(операции!$AF:$AF,операции!$T:$T,"&lt;"&amp;X$8,операции!$X:$X,"&gt;="&amp;X$8,операции!$AB:$AB,"&lt;&gt;"&amp;"",операции!$AB:$AB,"&lt;"&amp;X$8,операции!$O:$O,$F1644))/X1649)</f>
        <v>0</v>
      </c>
      <c r="Y1650" s="196"/>
      <c r="Z1650" s="193">
        <f>IF(Z1649=0,0,(SUMIFS(операции!$AF:$AF,операции!$T:$T,"&lt;"&amp;X$8,операции!$X:$X,"",операции!$AB:$AB,"&lt;&gt;"&amp;"",операции!$AB:$AB,"&lt;"&amp;X$8,операции!$L:$L,Z$9,операции!$O:$O,$F1644)+SUMIFS(операции!$AF:$AF,операции!$T:$T,"&lt;"&amp;X$8,операции!$X:$X,"&gt;="&amp;X$8,операции!$AB:$AB,"&lt;&gt;"&amp;"",операции!$AB:$AB,"&lt;"&amp;X$8,операции!$L:$L,Z$9,операции!$O:$O,$F1644))/Z1649)</f>
        <v>0</v>
      </c>
      <c r="AA1650" s="237">
        <f>IF(AA1649=0,0,(SUMIFS(операции!$AF:$AF,операции!$T:$T,"&lt;"&amp;X$8,операции!$X:$X,"",операции!$AB:$AB,"&lt;&gt;"&amp;"",операции!$AB:$AB,"&lt;"&amp;X$8,операции!$L:$L,AA$9,операции!$O:$O,$F1644)+SUMIFS(операции!$AF:$AF,операции!$T:$T,"&lt;"&amp;X$8,операции!$X:$X,"&gt;="&amp;X$8,операции!$AB:$AB,"&lt;&gt;"&amp;"",операции!$AB:$AB,"&lt;"&amp;X$8,операции!$L:$L,AA$9,операции!$O:$O,$F1644))/AA1649)</f>
        <v>0</v>
      </c>
      <c r="AB1650" s="265"/>
      <c r="AC1650" s="37"/>
      <c r="AD1650" s="37"/>
      <c r="AE1650" s="37"/>
      <c r="AF1650" s="37"/>
      <c r="AG1650" s="37"/>
      <c r="AH1650" s="37"/>
      <c r="AI1650" s="37"/>
      <c r="AJ1650" s="37"/>
      <c r="AK1650" s="37"/>
      <c r="AL1650" s="37"/>
      <c r="AM1650" s="37"/>
      <c r="AN1650" s="37"/>
      <c r="AO1650" s="37"/>
      <c r="AP1650" s="37"/>
    </row>
    <row r="1651" spans="1:42" s="192" customFormat="1" ht="11.25">
      <c r="A1651" s="37"/>
      <c r="B1651" s="37"/>
      <c r="C1651" s="37"/>
      <c r="D1651" s="191"/>
      <c r="E1651" s="191" t="s">
        <v>260</v>
      </c>
      <c r="F1651" s="191" t="str">
        <f t="shared" si="2924"/>
        <v>С-спортКид</v>
      </c>
      <c r="G1651" s="191" t="s">
        <v>219</v>
      </c>
      <c r="H1651" s="315"/>
      <c r="I1651" s="329">
        <f>IF(I1649=0,0,I$8-I1650)</f>
        <v>0</v>
      </c>
      <c r="J1651" s="317"/>
      <c r="K1651" s="329">
        <f>IF(K1649=0,0,I$8-K1650)</f>
        <v>0</v>
      </c>
      <c r="L1651" s="330">
        <f>IF(L1649=0,0,I$8-L1650)</f>
        <v>0</v>
      </c>
      <c r="M1651" s="274"/>
      <c r="N1651" s="156">
        <f>IF(N1649=0,0,N$8-N1650)</f>
        <v>0</v>
      </c>
      <c r="O1651" s="196"/>
      <c r="P1651" s="156">
        <f>IF(P1649=0,0,N$8-P1650)</f>
        <v>0</v>
      </c>
      <c r="Q1651" s="245">
        <f>IF(Q1649=0,0,N$8-Q1650)</f>
        <v>0</v>
      </c>
      <c r="R1651" s="238"/>
      <c r="S1651" s="156">
        <f>IF(S1649=0,0,S$8-S1650)</f>
        <v>0</v>
      </c>
      <c r="T1651" s="196"/>
      <c r="U1651" s="156">
        <f>IF(U1649=0,0,S$8-U1650)</f>
        <v>0</v>
      </c>
      <c r="V1651" s="245">
        <f>IF(V1649=0,0,S$8-V1650)</f>
        <v>0</v>
      </c>
      <c r="W1651" s="238"/>
      <c r="X1651" s="156">
        <f>IF(X1649=0,0,X$8-X1650)</f>
        <v>0</v>
      </c>
      <c r="Y1651" s="196"/>
      <c r="Z1651" s="156">
        <f>IF(Z1649=0,0,X$8-Z1650)</f>
        <v>0</v>
      </c>
      <c r="AA1651" s="245">
        <f>IF(AA1649=0,0,X$8-AA1650)</f>
        <v>0</v>
      </c>
      <c r="AB1651" s="265"/>
      <c r="AC1651" s="37"/>
      <c r="AD1651" s="37"/>
      <c r="AE1651" s="37"/>
      <c r="AF1651" s="37"/>
      <c r="AG1651" s="37"/>
      <c r="AH1651" s="37"/>
      <c r="AI1651" s="37"/>
      <c r="AJ1651" s="37"/>
      <c r="AK1651" s="37"/>
      <c r="AL1651" s="37"/>
      <c r="AM1651" s="37"/>
      <c r="AN1651" s="37"/>
      <c r="AO1651" s="37"/>
      <c r="AP1651" s="37"/>
    </row>
    <row r="1652" spans="1:42" s="192" customFormat="1" ht="11.25">
      <c r="A1652" s="37"/>
      <c r="B1652" s="37"/>
      <c r="C1652" s="37"/>
      <c r="D1652" s="191"/>
      <c r="E1652" s="191" t="s">
        <v>259</v>
      </c>
      <c r="F1652" s="191" t="str">
        <f t="shared" si="2924"/>
        <v>С-спортКид</v>
      </c>
      <c r="G1652" s="191" t="s">
        <v>262</v>
      </c>
      <c r="H1652" s="315"/>
      <c r="I1652" s="316">
        <f>IF(I1649=0,0,(SUMIFS(операции!$AH:$AH,операции!$T:$T,"&lt;"&amp;I$8,операции!$X:$X,"",операции!$AB:$AB,"&lt;&gt;"&amp;"",операции!$AB:$AB,"&lt;"&amp;I$8,операции!$O:$O,$F1644)+SUMIFS(операции!$AH:$AH,операции!$T:$T,"&lt;"&amp;I$8,операции!$X:$X,"&gt;="&amp;I$8,операции!$AB:$AB,"&lt;&gt;"&amp;"",операции!$AB:$AB,"&lt;"&amp;I$8,операции!$O:$O,$F1644))/I1649)</f>
        <v>0</v>
      </c>
      <c r="J1652" s="317"/>
      <c r="K1652" s="316">
        <f>IF(K1649=0,0,(SUMIFS(операции!$AH:$AH,операции!$T:$T,"&lt;"&amp;I$8,операции!$X:$X,"",операции!$AB:$AB,"&lt;&gt;"&amp;"",операции!$AB:$AB,"&lt;"&amp;I$8,операции!$L:$L,K$9,операции!$O:$O,$F1644)+SUMIFS(операции!$AH:$AH,операции!$T:$T,"&lt;"&amp;I$8,операции!$X:$X,"&gt;="&amp;I$8,операции!$AB:$AB,"&lt;&gt;"&amp;"",операции!$AB:$AB,"&lt;"&amp;I$8,операции!$L:$L,K$9,операции!$O:$O,$F1644))/K1649)</f>
        <v>0</v>
      </c>
      <c r="L1652" s="318">
        <f>IF(L1649=0,0,(SUMIFS(операции!$AH:$AH,операции!$T:$T,"&lt;"&amp;I$8,операции!$X:$X,"",операции!$AB:$AB,"&lt;&gt;"&amp;"",операции!$AB:$AB,"&lt;"&amp;I$8,операции!$L:$L,L$9,операции!$O:$O,$F1644)+SUMIFS(операции!$AH:$AH,операции!$T:$T,"&lt;"&amp;I$8,операции!$X:$X,"&gt;="&amp;I$8,операции!$AB:$AB,"&lt;&gt;"&amp;"",операции!$AB:$AB,"&lt;"&amp;I$8,операции!$L:$L,L$9,операции!$O:$O,$F1644))/L1649)</f>
        <v>0</v>
      </c>
      <c r="M1652" s="274"/>
      <c r="N1652" s="193">
        <f>IF(N1649=0,0,(SUMIFS(операции!$AH:$AH,операции!$T:$T,"&lt;"&amp;N$8,операции!$X:$X,"",операции!$AB:$AB,"&lt;&gt;"&amp;"",операции!$AB:$AB,"&lt;"&amp;N$8,операции!$O:$O,$F1644)+SUMIFS(операции!$AH:$AH,операции!$T:$T,"&lt;"&amp;N$8,операции!$X:$X,"&gt;="&amp;N$8,операции!$AB:$AB,"&lt;&gt;"&amp;"",операции!$AB:$AB,"&lt;"&amp;N$8,операции!$O:$O,$F1644))/N1649)</f>
        <v>0</v>
      </c>
      <c r="O1652" s="196"/>
      <c r="P1652" s="193">
        <f>IF(P1649=0,0,(SUMIFS(операции!$AH:$AH,операции!$T:$T,"&lt;"&amp;N$8,операции!$X:$X,"",операции!$AB:$AB,"&lt;&gt;"&amp;"",операции!$AB:$AB,"&lt;"&amp;N$8,операции!$L:$L,P$9,операции!$O:$O,$F1644)+SUMIFS(операции!$AH:$AH,операции!$T:$T,"&lt;"&amp;N$8,операции!$X:$X,"&gt;="&amp;N$8,операции!$AB:$AB,"&lt;&gt;"&amp;"",операции!$AB:$AB,"&lt;"&amp;N$8,операции!$L:$L,P$9,операции!$O:$O,$F1644))/P1649)</f>
        <v>0</v>
      </c>
      <c r="Q1652" s="237">
        <f>IF(Q1649=0,0,(SUMIFS(операции!$AH:$AH,операции!$T:$T,"&lt;"&amp;N$8,операции!$X:$X,"",операции!$AB:$AB,"&lt;&gt;"&amp;"",операции!$AB:$AB,"&lt;"&amp;N$8,операции!$L:$L,Q$9,операции!$O:$O,$F1644)+SUMIFS(операции!$AH:$AH,операции!$T:$T,"&lt;"&amp;N$8,операции!$X:$X,"&gt;="&amp;N$8,операции!$AB:$AB,"&lt;&gt;"&amp;"",операции!$AB:$AB,"&lt;"&amp;N$8,операции!$L:$L,Q$9,операции!$O:$O,$F1644))/Q1649)</f>
        <v>0</v>
      </c>
      <c r="R1652" s="238"/>
      <c r="S1652" s="193">
        <f>IF(S1649=0,0,(SUMIFS(операции!$AH:$AH,операции!$T:$T,"&lt;"&amp;S$8,операции!$X:$X,"",операции!$AB:$AB,"&lt;&gt;"&amp;"",операции!$AB:$AB,"&lt;"&amp;S$8,операции!$O:$O,$F1644)+SUMIFS(операции!$AH:$AH,операции!$T:$T,"&lt;"&amp;S$8,операции!$X:$X,"&gt;="&amp;S$8,операции!$AB:$AB,"&lt;&gt;"&amp;"",операции!$AB:$AB,"&lt;"&amp;S$8,операции!$O:$O,$F1644))/S1649)</f>
        <v>0</v>
      </c>
      <c r="T1652" s="196"/>
      <c r="U1652" s="193">
        <f>IF(U1649=0,0,(SUMIFS(операции!$AH:$AH,операции!$T:$T,"&lt;"&amp;S$8,операции!$X:$X,"",операции!$AB:$AB,"&lt;&gt;"&amp;"",операции!$AB:$AB,"&lt;"&amp;S$8,операции!$L:$L,U$9,операции!$O:$O,$F1644)+SUMIFS(операции!$AH:$AH,операции!$T:$T,"&lt;"&amp;S$8,операции!$X:$X,"&gt;="&amp;S$8,операции!$AB:$AB,"&lt;&gt;"&amp;"",операции!$AB:$AB,"&lt;"&amp;S$8,операции!$L:$L,U$9,операции!$O:$O,$F1644))/U1649)</f>
        <v>0</v>
      </c>
      <c r="V1652" s="237">
        <f>IF(V1649=0,0,(SUMIFS(операции!$AH:$AH,операции!$T:$T,"&lt;"&amp;S$8,операции!$X:$X,"",операции!$AB:$AB,"&lt;&gt;"&amp;"",операции!$AB:$AB,"&lt;"&amp;S$8,операции!$L:$L,V$9,операции!$O:$O,$F1644)+SUMIFS(операции!$AH:$AH,операции!$T:$T,"&lt;"&amp;S$8,операции!$X:$X,"&gt;="&amp;S$8,операции!$AB:$AB,"&lt;&gt;"&amp;"",операции!$AB:$AB,"&lt;"&amp;S$8,операции!$L:$L,V$9,операции!$O:$O,$F1644))/V1649)</f>
        <v>0</v>
      </c>
      <c r="W1652" s="238"/>
      <c r="X1652" s="193">
        <f>IF(X1649=0,0,(SUMIFS(операции!$AH:$AH,операции!$T:$T,"&lt;"&amp;X$8,операции!$X:$X,"",операции!$AB:$AB,"&lt;&gt;"&amp;"",операции!$AB:$AB,"&lt;"&amp;X$8,операции!$O:$O,$F1644)+SUMIFS(операции!$AH:$AH,операции!$T:$T,"&lt;"&amp;X$8,операции!$X:$X,"&gt;="&amp;X$8,операции!$AB:$AB,"&lt;&gt;"&amp;"",операции!$AB:$AB,"&lt;"&amp;X$8,операции!$O:$O,$F1644))/X1649)</f>
        <v>0</v>
      </c>
      <c r="Y1652" s="196"/>
      <c r="Z1652" s="193">
        <f>IF(Z1649=0,0,(SUMIFS(операции!$AH:$AH,операции!$T:$T,"&lt;"&amp;X$8,операции!$X:$X,"",операции!$AB:$AB,"&lt;&gt;"&amp;"",операции!$AB:$AB,"&lt;"&amp;X$8,операции!$L:$L,Z$9,операции!$O:$O,$F1644)+SUMIFS(операции!$AH:$AH,операции!$T:$T,"&lt;"&amp;X$8,операции!$X:$X,"&gt;="&amp;X$8,операции!$AB:$AB,"&lt;&gt;"&amp;"",операции!$AB:$AB,"&lt;"&amp;X$8,операции!$L:$L,Z$9,операции!$O:$O,$F1644))/Z1649)</f>
        <v>0</v>
      </c>
      <c r="AA1652" s="237">
        <f>IF(AA1649=0,0,(SUMIFS(операции!$AH:$AH,операции!$T:$T,"&lt;"&amp;X$8,операции!$X:$X,"",операции!$AB:$AB,"&lt;&gt;"&amp;"",операции!$AB:$AB,"&lt;"&amp;X$8,операции!$L:$L,AA$9,операции!$O:$O,$F1644)+SUMIFS(операции!$AH:$AH,операции!$T:$T,"&lt;"&amp;X$8,операции!$X:$X,"&gt;="&amp;X$8,операции!$AB:$AB,"&lt;&gt;"&amp;"",операции!$AB:$AB,"&lt;"&amp;X$8,операции!$L:$L,AA$9,операции!$O:$O,$F1644))/AA1649)</f>
        <v>0</v>
      </c>
      <c r="AB1652" s="265"/>
      <c r="AC1652" s="37"/>
      <c r="AD1652" s="37"/>
      <c r="AE1652" s="37"/>
      <c r="AF1652" s="37"/>
      <c r="AG1652" s="37"/>
      <c r="AH1652" s="37"/>
      <c r="AI1652" s="37"/>
      <c r="AJ1652" s="37"/>
      <c r="AK1652" s="37"/>
      <c r="AL1652" s="37"/>
      <c r="AM1652" s="37"/>
      <c r="AN1652" s="37"/>
      <c r="AO1652" s="37"/>
      <c r="AP1652" s="37"/>
    </row>
    <row r="1653" spans="1:42" s="192" customFormat="1" ht="11.25">
      <c r="A1653" s="37"/>
      <c r="B1653" s="37"/>
      <c r="C1653" s="37"/>
      <c r="D1653" s="191"/>
      <c r="E1653" s="191" t="s">
        <v>265</v>
      </c>
      <c r="F1653" s="191" t="str">
        <f t="shared" si="2924"/>
        <v>С-спортКид</v>
      </c>
      <c r="G1653" s="191" t="s">
        <v>219</v>
      </c>
      <c r="H1653" s="315"/>
      <c r="I1653" s="329">
        <f>I1652-I1650</f>
        <v>0</v>
      </c>
      <c r="J1653" s="317"/>
      <c r="K1653" s="329">
        <f t="shared" ref="K1653" si="2937">K1652-K1650</f>
        <v>0</v>
      </c>
      <c r="L1653" s="330">
        <f>L1652-L1650</f>
        <v>0</v>
      </c>
      <c r="M1653" s="274"/>
      <c r="N1653" s="156">
        <f>N1652-N1650</f>
        <v>0</v>
      </c>
      <c r="O1653" s="196"/>
      <c r="P1653" s="156">
        <f t="shared" ref="P1653" si="2938">P1652-P1650</f>
        <v>0</v>
      </c>
      <c r="Q1653" s="245">
        <f>Q1652-Q1650</f>
        <v>0</v>
      </c>
      <c r="R1653" s="238"/>
      <c r="S1653" s="156">
        <f>S1652-S1650</f>
        <v>0</v>
      </c>
      <c r="T1653" s="196"/>
      <c r="U1653" s="156">
        <f t="shared" ref="U1653" si="2939">U1652-U1650</f>
        <v>0</v>
      </c>
      <c r="V1653" s="245">
        <f>V1652-V1650</f>
        <v>0</v>
      </c>
      <c r="W1653" s="238"/>
      <c r="X1653" s="156">
        <f>X1652-X1650</f>
        <v>0</v>
      </c>
      <c r="Y1653" s="196"/>
      <c r="Z1653" s="156">
        <f t="shared" ref="Z1653" si="2940">Z1652-Z1650</f>
        <v>0</v>
      </c>
      <c r="AA1653" s="245">
        <f>AA1652-AA1650</f>
        <v>0</v>
      </c>
      <c r="AB1653" s="265"/>
      <c r="AC1653" s="37"/>
      <c r="AD1653" s="37"/>
      <c r="AE1653" s="37"/>
      <c r="AF1653" s="37"/>
      <c r="AG1653" s="37"/>
      <c r="AH1653" s="37"/>
      <c r="AI1653" s="37"/>
      <c r="AJ1653" s="37"/>
      <c r="AK1653" s="37"/>
      <c r="AL1653" s="37"/>
      <c r="AM1653" s="37"/>
      <c r="AN1653" s="37"/>
      <c r="AO1653" s="37"/>
      <c r="AP1653" s="37"/>
    </row>
    <row r="1654" spans="1:42" s="192" customFormat="1" ht="11.25">
      <c r="A1654" s="37"/>
      <c r="B1654" s="37"/>
      <c r="C1654" s="37"/>
      <c r="D1654" s="191"/>
      <c r="E1654" s="191" t="s">
        <v>268</v>
      </c>
      <c r="F1654" s="191" t="str">
        <f t="shared" si="2924"/>
        <v>С-спортКид</v>
      </c>
      <c r="G1654" s="191" t="s">
        <v>219</v>
      </c>
      <c r="H1654" s="315"/>
      <c r="I1654" s="329">
        <f>I1651-I1653</f>
        <v>0</v>
      </c>
      <c r="J1654" s="317"/>
      <c r="K1654" s="329">
        <f t="shared" ref="K1654" si="2941">K1651-K1653</f>
        <v>0</v>
      </c>
      <c r="L1654" s="330">
        <f t="shared" ref="L1654" si="2942">L1651-L1653</f>
        <v>0</v>
      </c>
      <c r="M1654" s="274"/>
      <c r="N1654" s="156">
        <f>N1651-N1653</f>
        <v>0</v>
      </c>
      <c r="O1654" s="196"/>
      <c r="P1654" s="156">
        <f t="shared" ref="P1654" si="2943">P1651-P1653</f>
        <v>0</v>
      </c>
      <c r="Q1654" s="245">
        <f t="shared" ref="Q1654" si="2944">Q1651-Q1653</f>
        <v>0</v>
      </c>
      <c r="R1654" s="238"/>
      <c r="S1654" s="156">
        <f>S1651-S1653</f>
        <v>0</v>
      </c>
      <c r="T1654" s="196"/>
      <c r="U1654" s="156">
        <f t="shared" ref="U1654" si="2945">U1651-U1653</f>
        <v>0</v>
      </c>
      <c r="V1654" s="245">
        <f t="shared" ref="V1654" si="2946">V1651-V1653</f>
        <v>0</v>
      </c>
      <c r="W1654" s="238"/>
      <c r="X1654" s="156">
        <f>X1651-X1653</f>
        <v>0</v>
      </c>
      <c r="Y1654" s="196"/>
      <c r="Z1654" s="156">
        <f t="shared" ref="Z1654" si="2947">Z1651-Z1653</f>
        <v>0</v>
      </c>
      <c r="AA1654" s="245">
        <f t="shared" ref="AA1654" si="2948">AA1651-AA1653</f>
        <v>0</v>
      </c>
      <c r="AB1654" s="265"/>
      <c r="AC1654" s="37"/>
      <c r="AD1654" s="37"/>
      <c r="AE1654" s="37"/>
      <c r="AF1654" s="37"/>
      <c r="AG1654" s="37"/>
      <c r="AH1654" s="37"/>
      <c r="AI1654" s="37"/>
      <c r="AJ1654" s="37"/>
      <c r="AK1654" s="37"/>
      <c r="AL1654" s="37"/>
      <c r="AM1654" s="37"/>
      <c r="AN1654" s="37"/>
      <c r="AO1654" s="37"/>
      <c r="AP1654" s="37"/>
    </row>
    <row r="1655" spans="1:42" s="5" customFormat="1">
      <c r="A1655" s="1"/>
      <c r="B1655" s="1"/>
      <c r="C1655" s="1"/>
      <c r="D1655" s="168"/>
      <c r="E1655" s="168" t="s">
        <v>276</v>
      </c>
      <c r="F1655" s="168" t="str">
        <f t="shared" si="2924"/>
        <v>С-спортКид</v>
      </c>
      <c r="G1655" s="168" t="s">
        <v>261</v>
      </c>
      <c r="H1655" s="326"/>
      <c r="I1655" s="327">
        <f>SUMIFS(операции!$V:$V,операции!$T:$T,"&lt;"&amp;I$8,операции!$X:$X,"",операции!$AB:$AB,"",операции!$O:$O,$F1644)+SUMIFS(операции!$V:$V,операции!$T:$T,"&lt;"&amp;I$8,операции!$X:$X,"&gt;="&amp;I$8,операции!$AB:$AB,"",операции!$O:$O,$F1644)+SUMIFS(операции!$V:$V,операции!$T:$T,"&lt;"&amp;I$8,операции!$X:$X,"",операции!$AB:$AB,"&gt;="&amp;I$8,операции!$O:$O,$F1644)+SUMIFS(операции!$V:$V,операции!$T:$T,"&lt;"&amp;I$8,операции!$X:$X,"&gt;="&amp;I$8,операции!$AB:$AB,"&gt;="&amp;I$8,операции!$O:$O,$F1644)</f>
        <v>0</v>
      </c>
      <c r="J1655" s="313">
        <f>I1655-K1655-L1655</f>
        <v>0</v>
      </c>
      <c r="K1655" s="327">
        <f>SUMIFS(операции!$V:$V,операции!$T:$T,"&lt;"&amp;I$8,операции!$X:$X,"",операции!$AB:$AB,"",операции!$L:$L,K$9,операции!$O:$O,$F1644)+SUMIFS(операции!$V:$V,операции!$T:$T,"&lt;"&amp;I$8,операции!$X:$X,"&gt;="&amp;I$8,операции!$AB:$AB,"",операции!$L:$L,K$9,операции!$O:$O,$F1644)+SUMIFS(операции!$V:$V,операции!$T:$T,"&lt;"&amp;I$8,операции!$X:$X,"",операции!$AB:$AB,"&gt;="&amp;I$8,операции!$L:$L,K$9,операции!$O:$O,$F1644)+SUMIFS(операции!$V:$V,операции!$T:$T,"&lt;"&amp;I$8,операции!$X:$X,"&gt;="&amp;I$8,операции!$AB:$AB,"&gt;="&amp;I$8,операции!$L:$L,K$9,операции!$O:$O,$F1644)</f>
        <v>0</v>
      </c>
      <c r="L1655" s="328">
        <f>SUMIFS(операции!$V:$V,операции!$T:$T,"&lt;"&amp;I$8,операции!$X:$X,"",операции!$AB:$AB,"",операции!$L:$L,L$9,операции!$O:$O,$F1644)+SUMIFS(операции!$V:$V,операции!$T:$T,"&lt;"&amp;I$8,операции!$X:$X,"&gt;="&amp;I$8,операции!$AB:$AB,"",операции!$L:$L,L$9,операции!$O:$O,$F1644)+SUMIFS(операции!$V:$V,операции!$T:$T,"&lt;"&amp;I$8,операции!$X:$X,"",операции!$AB:$AB,"&gt;="&amp;I$8,операции!$L:$L,L$9,операции!$O:$O,$F1644)+SUMIFS(операции!$V:$V,операции!$T:$T,"&lt;"&amp;I$8,операции!$X:$X,"&gt;="&amp;I$8,операции!$AB:$AB,"&gt;="&amp;I$8,операции!$L:$L,L$9,операции!$O:$O,$F1644)</f>
        <v>0</v>
      </c>
      <c r="M1655" s="277"/>
      <c r="N1655" s="169">
        <f>SUMIFS(операции!$V:$V,операции!$T:$T,"&lt;"&amp;N$8,операции!$X:$X,"",операции!$AB:$AB,"",операции!$O:$O,$F1644)+SUMIFS(операции!$V:$V,операции!$T:$T,"&lt;"&amp;N$8,операции!$X:$X,"&gt;="&amp;N$8,операции!$AB:$AB,"",операции!$O:$O,$F1644)+SUMIFS(операции!$V:$V,операции!$T:$T,"&lt;"&amp;N$8,операции!$X:$X,"",операции!$AB:$AB,"&gt;="&amp;N$8,операции!$O:$O,$F1644)+SUMIFS(операции!$V:$V,операции!$T:$T,"&lt;"&amp;N$8,операции!$X:$X,"&gt;="&amp;N$8,операции!$AB:$AB,"&gt;="&amp;N$8,операции!$O:$O,$F1644)</f>
        <v>0</v>
      </c>
      <c r="O1655" s="170">
        <f>N1655-P1655-Q1655</f>
        <v>0</v>
      </c>
      <c r="P1655" s="169">
        <f>SUMIFS(операции!$V:$V,операции!$T:$T,"&lt;"&amp;N$8,операции!$X:$X,"",операции!$AB:$AB,"",операции!$L:$L,P$9,операции!$O:$O,$F1644)+SUMIFS(операции!$V:$V,операции!$T:$T,"&lt;"&amp;N$8,операции!$X:$X,"&gt;="&amp;N$8,операции!$AB:$AB,"",операции!$L:$L,P$9,операции!$O:$O,$F1644)+SUMIFS(операции!$V:$V,операции!$T:$T,"&lt;"&amp;N$8,операции!$X:$X,"",операции!$AB:$AB,"&gt;="&amp;N$8,операции!$L:$L,P$9,операции!$O:$O,$F1644)+SUMIFS(операции!$V:$V,операции!$T:$T,"&lt;"&amp;N$8,операции!$X:$X,"&gt;="&amp;N$8,операции!$AB:$AB,"&gt;="&amp;N$8,операции!$L:$L,P$9,операции!$O:$O,$F1644)</f>
        <v>0</v>
      </c>
      <c r="Q1655" s="243">
        <f>SUMIFS(операции!$V:$V,операции!$T:$T,"&lt;"&amp;N$8,операции!$X:$X,"",операции!$AB:$AB,"",операции!$L:$L,Q$9,операции!$O:$O,$F1644)+SUMIFS(операции!$V:$V,операции!$T:$T,"&lt;"&amp;N$8,операции!$X:$X,"&gt;="&amp;N$8,операции!$AB:$AB,"",операции!$L:$L,Q$9,операции!$O:$O,$F1644)+SUMIFS(операции!$V:$V,операции!$T:$T,"&lt;"&amp;N$8,операции!$X:$X,"",операции!$AB:$AB,"&gt;="&amp;N$8,операции!$L:$L,Q$9,операции!$O:$O,$F1644)+SUMIFS(операции!$V:$V,операции!$T:$T,"&lt;"&amp;N$8,операции!$X:$X,"&gt;="&amp;N$8,операции!$AB:$AB,"&gt;="&amp;N$8,операции!$L:$L,Q$9,операции!$O:$O,$F1644)</f>
        <v>0</v>
      </c>
      <c r="R1655" s="244"/>
      <c r="S1655" s="169">
        <f>SUMIFS(операции!$V:$V,операции!$T:$T,"&lt;"&amp;S$8,операции!$X:$X,"",операции!$AB:$AB,"",операции!$O:$O,$F1644)+SUMIFS(операции!$V:$V,операции!$T:$T,"&lt;"&amp;S$8,операции!$X:$X,"&gt;="&amp;S$8,операции!$AB:$AB,"",операции!$O:$O,$F1644)+SUMIFS(операции!$V:$V,операции!$T:$T,"&lt;"&amp;S$8,операции!$X:$X,"",операции!$AB:$AB,"&gt;="&amp;S$8,операции!$O:$O,$F1644)+SUMIFS(операции!$V:$V,операции!$T:$T,"&lt;"&amp;S$8,операции!$X:$X,"&gt;="&amp;S$8,операции!$AB:$AB,"&gt;="&amp;S$8,операции!$O:$O,$F1644)</f>
        <v>0</v>
      </c>
      <c r="T1655" s="170">
        <f>S1655-U1655-V1655</f>
        <v>0</v>
      </c>
      <c r="U1655" s="169">
        <f>SUMIFS(операции!$V:$V,операции!$T:$T,"&lt;"&amp;S$8,операции!$X:$X,"",операции!$AB:$AB,"",операции!$L:$L,U$9,операции!$O:$O,$F1644)+SUMIFS(операции!$V:$V,операции!$T:$T,"&lt;"&amp;S$8,операции!$X:$X,"&gt;="&amp;S$8,операции!$AB:$AB,"",операции!$L:$L,U$9,операции!$O:$O,$F1644)+SUMIFS(операции!$V:$V,операции!$T:$T,"&lt;"&amp;S$8,операции!$X:$X,"",операции!$AB:$AB,"&gt;="&amp;S$8,операции!$L:$L,U$9,операции!$O:$O,$F1644)+SUMIFS(операции!$V:$V,операции!$T:$T,"&lt;"&amp;S$8,операции!$X:$X,"&gt;="&amp;S$8,операции!$AB:$AB,"&gt;="&amp;S$8,операции!$L:$L,U$9,операции!$O:$O,$F1644)</f>
        <v>0</v>
      </c>
      <c r="V1655" s="243">
        <f>SUMIFS(операции!$V:$V,операции!$T:$T,"&lt;"&amp;S$8,операции!$X:$X,"",операции!$AB:$AB,"",операции!$L:$L,V$9,операции!$O:$O,$F1644)+SUMIFS(операции!$V:$V,операции!$T:$T,"&lt;"&amp;S$8,операции!$X:$X,"&gt;="&amp;S$8,операции!$AB:$AB,"",операции!$L:$L,V$9,операции!$O:$O,$F1644)+SUMIFS(операции!$V:$V,операции!$T:$T,"&lt;"&amp;S$8,операции!$X:$X,"",операции!$AB:$AB,"&gt;="&amp;S$8,операции!$L:$L,V$9,операции!$O:$O,$F1644)+SUMIFS(операции!$V:$V,операции!$T:$T,"&lt;"&amp;S$8,операции!$X:$X,"&gt;="&amp;S$8,операции!$AB:$AB,"&gt;="&amp;S$8,операции!$L:$L,V$9,операции!$O:$O,$F1644)</f>
        <v>0</v>
      </c>
      <c r="W1655" s="244"/>
      <c r="X1655" s="169">
        <f>SUMIFS(операции!$V:$V,операции!$T:$T,"&lt;"&amp;X$8,операции!$X:$X,"",операции!$AB:$AB,"",операции!$O:$O,$F1644)+SUMIFS(операции!$V:$V,операции!$T:$T,"&lt;"&amp;X$8,операции!$X:$X,"&gt;="&amp;X$8,операции!$AB:$AB,"",операции!$O:$O,$F1644)+SUMIFS(операции!$V:$V,операции!$T:$T,"&lt;"&amp;X$8,операции!$X:$X,"",операции!$AB:$AB,"&gt;="&amp;X$8,операции!$O:$O,$F1644)+SUMIFS(операции!$V:$V,операции!$T:$T,"&lt;"&amp;X$8,операции!$X:$X,"&gt;="&amp;X$8,операции!$AB:$AB,"&gt;="&amp;X$8,операции!$O:$O,$F1644)</f>
        <v>21750</v>
      </c>
      <c r="Y1655" s="170">
        <f>X1655-Z1655-AA1655</f>
        <v>0</v>
      </c>
      <c r="Z1655" s="169">
        <f>SUMIFS(операции!$V:$V,операции!$T:$T,"&lt;"&amp;X$8,операции!$X:$X,"",операции!$AB:$AB,"",операции!$L:$L,Z$9,операции!$O:$O,$F1644)+SUMIFS(операции!$V:$V,операции!$T:$T,"&lt;"&amp;X$8,операции!$X:$X,"&gt;="&amp;X$8,операции!$AB:$AB,"",операции!$L:$L,Z$9,операции!$O:$O,$F1644)+SUMIFS(операции!$V:$V,операции!$T:$T,"&lt;"&amp;X$8,операции!$X:$X,"",операции!$AB:$AB,"&gt;="&amp;X$8,операции!$L:$L,Z$9,операции!$O:$O,$F1644)+SUMIFS(операции!$V:$V,операции!$T:$T,"&lt;"&amp;X$8,операции!$X:$X,"&gt;="&amp;X$8,операции!$AB:$AB,"&gt;="&amp;X$8,операции!$L:$L,Z$9,операции!$O:$O,$F1644)</f>
        <v>0</v>
      </c>
      <c r="AA1655" s="243">
        <f>SUMIFS(операции!$V:$V,операции!$T:$T,"&lt;"&amp;X$8,операции!$X:$X,"",операции!$AB:$AB,"",операции!$L:$L,AA$9,операции!$O:$O,$F1644)+SUMIFS(операции!$V:$V,операции!$T:$T,"&lt;"&amp;X$8,операции!$X:$X,"&gt;="&amp;X$8,операции!$AB:$AB,"",операции!$L:$L,AA$9,операции!$O:$O,$F1644)+SUMIFS(операции!$V:$V,операции!$T:$T,"&lt;"&amp;X$8,операции!$X:$X,"",операции!$AB:$AB,"&gt;="&amp;X$8,операции!$L:$L,AA$9,операции!$O:$O,$F1644)+SUMIFS(операции!$V:$V,операции!$T:$T,"&lt;"&amp;X$8,операции!$X:$X,"&gt;="&amp;X$8,операции!$AB:$AB,"&gt;="&amp;X$8,операции!$L:$L,AA$9,операции!$O:$O,$F1644)</f>
        <v>21750</v>
      </c>
      <c r="AB1655" s="266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</row>
    <row r="1656" spans="1:42" s="192" customFormat="1" ht="11.25">
      <c r="A1656" s="37"/>
      <c r="B1656" s="37"/>
      <c r="C1656" s="37"/>
      <c r="D1656" s="191"/>
      <c r="E1656" s="191" t="s">
        <v>255</v>
      </c>
      <c r="F1656" s="191" t="str">
        <f t="shared" si="2924"/>
        <v>С-спортКид</v>
      </c>
      <c r="G1656" s="191" t="s">
        <v>262</v>
      </c>
      <c r="H1656" s="315"/>
      <c r="I1656" s="316">
        <f>IF(I1655=0,0,(SUMIFS(операции!$AF:$AF,операции!$T:$T,"&lt;"&amp;I$8,операции!$X:$X,"",операции!$AB:$AB,"",операции!$O:$O,$F1644)+SUMIFS(операции!$AF:$AF,операции!$T:$T,"&lt;"&amp;I$8,операции!$X:$X,"&gt;="&amp;I$8,операции!$AB:$AB,"",операции!$O:$O,$F1644)+SUMIFS(операции!$AF:$AF,операции!$T:$T,"&lt;"&amp;I$8,операции!$X:$X,"",операции!$AB:$AB,"&gt;="&amp;I$8,операции!$O:$O,$F1644)+SUMIFS(операции!$AF:$AF,операции!$T:$T,"&lt;"&amp;I$8,операции!$X:$X,"&gt;="&amp;I$8,операции!$AB:$AB,"&gt;="&amp;I$8,операции!$O:$O,$F1644))/I1655)</f>
        <v>0</v>
      </c>
      <c r="J1656" s="317"/>
      <c r="K1656" s="316">
        <f>IF(K1655=0,0,(SUMIFS(операции!$AF:$AF,операции!$T:$T,"&lt;"&amp;I$8,операции!$X:$X,"",операции!$AB:$AB,"",операции!$L:$L,K$9,операции!$O:$O,$F1644)+SUMIFS(операции!$AF:$AF,операции!$T:$T,"&lt;"&amp;I$8,операции!$X:$X,"&gt;="&amp;I$8,операции!$AB:$AB,"",операции!$L:$L,K$9,операции!$O:$O,$F1644)+SUMIFS(операции!$AF:$AF,операции!$T:$T,"&lt;"&amp;I$8,операции!$X:$X,"",операции!$AB:$AB,"&gt;="&amp;I$8,операции!$L:$L,K$9,операции!$O:$O,$F1644)+SUMIFS(операции!$AF:$AF,операции!$T:$T,"&lt;"&amp;I$8,операции!$X:$X,"&gt;="&amp;I$8,операции!$AB:$AB,"&gt;="&amp;I$8,операции!$L:$L,K$9,операции!$O:$O,$F1644))/K1655)</f>
        <v>0</v>
      </c>
      <c r="L1656" s="318">
        <f>IF(L1655=0,0,(SUMIFS(операции!$AF:$AF,операции!$T:$T,"&lt;"&amp;I$8,операции!$X:$X,"",операции!$AB:$AB,"",операции!$L:$L,L$9,операции!$O:$O,$F1644)+SUMIFS(операции!$AF:$AF,операции!$T:$T,"&lt;"&amp;I$8,операции!$X:$X,"&gt;="&amp;I$8,операции!$AB:$AB,"",операции!$L:$L,L$9,операции!$O:$O,$F1644)+SUMIFS(операции!$AF:$AF,операции!$T:$T,"&lt;"&amp;I$8,операции!$X:$X,"",операции!$AB:$AB,"&gt;="&amp;I$8,операции!$L:$L,L$9,операции!$O:$O,$F1644)+SUMIFS(операции!$AF:$AF,операции!$T:$T,"&lt;"&amp;I$8,операции!$X:$X,"&gt;="&amp;I$8,операции!$AB:$AB,"&gt;="&amp;I$8,операции!$L:$L,L$9,операции!$O:$O,$F1644))/L1655)</f>
        <v>0</v>
      </c>
      <c r="M1656" s="274"/>
      <c r="N1656" s="193">
        <f>IF(N1655=0,0,(SUMIFS(операции!$AF:$AF,операции!$T:$T,"&lt;"&amp;N$8,операции!$X:$X,"",операции!$AB:$AB,"",операции!$O:$O,$F1644)+SUMIFS(операции!$AF:$AF,операции!$T:$T,"&lt;"&amp;N$8,операции!$X:$X,"&gt;="&amp;N$8,операции!$AB:$AB,"",операции!$O:$O,$F1644)+SUMIFS(операции!$AF:$AF,операции!$T:$T,"&lt;"&amp;N$8,операции!$X:$X,"",операции!$AB:$AB,"&gt;="&amp;N$8,операции!$O:$O,$F1644)+SUMIFS(операции!$AF:$AF,операции!$T:$T,"&lt;"&amp;N$8,операции!$X:$X,"&gt;="&amp;N$8,операции!$AB:$AB,"&gt;="&amp;N$8,операции!$O:$O,$F1644))/N1655)</f>
        <v>0</v>
      </c>
      <c r="O1656" s="196"/>
      <c r="P1656" s="193">
        <f>IF(P1655=0,0,(SUMIFS(операции!$AF:$AF,операции!$T:$T,"&lt;"&amp;N$8,операции!$X:$X,"",операции!$AB:$AB,"",операции!$L:$L,P$9,операции!$O:$O,$F1644)+SUMIFS(операции!$AF:$AF,операции!$T:$T,"&lt;"&amp;N$8,операции!$X:$X,"&gt;="&amp;N$8,операции!$AB:$AB,"",операции!$L:$L,P$9,операции!$O:$O,$F1644)+SUMIFS(операции!$AF:$AF,операции!$T:$T,"&lt;"&amp;N$8,операции!$X:$X,"",операции!$AB:$AB,"&gt;="&amp;N$8,операции!$L:$L,P$9,операции!$O:$O,$F1644)+SUMIFS(операции!$AF:$AF,операции!$T:$T,"&lt;"&amp;N$8,операции!$X:$X,"&gt;="&amp;N$8,операции!$AB:$AB,"&gt;="&amp;N$8,операции!$L:$L,P$9,операции!$O:$O,$F1644))/P1655)</f>
        <v>0</v>
      </c>
      <c r="Q1656" s="237">
        <f>IF(Q1655=0,0,(SUMIFS(операции!$AF:$AF,операции!$T:$T,"&lt;"&amp;N$8,операции!$X:$X,"",операции!$AB:$AB,"",операции!$L:$L,Q$9,операции!$O:$O,$F1644)+SUMIFS(операции!$AF:$AF,операции!$T:$T,"&lt;"&amp;N$8,операции!$X:$X,"&gt;="&amp;N$8,операции!$AB:$AB,"",операции!$L:$L,Q$9,операции!$O:$O,$F1644)+SUMIFS(операции!$AF:$AF,операции!$T:$T,"&lt;"&amp;N$8,операции!$X:$X,"",операции!$AB:$AB,"&gt;="&amp;N$8,операции!$L:$L,Q$9,операции!$O:$O,$F1644)+SUMIFS(операции!$AF:$AF,операции!$T:$T,"&lt;"&amp;N$8,операции!$X:$X,"&gt;="&amp;N$8,операции!$AB:$AB,"&gt;="&amp;N$8,операции!$L:$L,Q$9,операции!$O:$O,$F1644))/Q1655)</f>
        <v>0</v>
      </c>
      <c r="R1656" s="238"/>
      <c r="S1656" s="193">
        <f>IF(S1655=0,0,(SUMIFS(операции!$AF:$AF,операции!$T:$T,"&lt;"&amp;S$8,операции!$X:$X,"",операции!$AB:$AB,"",операции!$O:$O,$F1644)+SUMIFS(операции!$AF:$AF,операции!$T:$T,"&lt;"&amp;S$8,операции!$X:$X,"&gt;="&amp;S$8,операции!$AB:$AB,"",операции!$O:$O,$F1644)+SUMIFS(операции!$AF:$AF,операции!$T:$T,"&lt;"&amp;S$8,операции!$X:$X,"",операции!$AB:$AB,"&gt;="&amp;S$8,операции!$O:$O,$F1644)+SUMIFS(операции!$AF:$AF,операции!$T:$T,"&lt;"&amp;S$8,операции!$X:$X,"&gt;="&amp;S$8,операции!$AB:$AB,"&gt;="&amp;S$8,операции!$O:$O,$F1644))/S1655)</f>
        <v>0</v>
      </c>
      <c r="T1656" s="196"/>
      <c r="U1656" s="193">
        <f>IF(U1655=0,0,(SUMIFS(операции!$AF:$AF,операции!$T:$T,"&lt;"&amp;S$8,операции!$X:$X,"",операции!$AB:$AB,"",операции!$L:$L,U$9,операции!$O:$O,$F1644)+SUMIFS(операции!$AF:$AF,операции!$T:$T,"&lt;"&amp;S$8,операции!$X:$X,"&gt;="&amp;S$8,операции!$AB:$AB,"",операции!$L:$L,U$9,операции!$O:$O,$F1644)+SUMIFS(операции!$AF:$AF,операции!$T:$T,"&lt;"&amp;S$8,операции!$X:$X,"",операции!$AB:$AB,"&gt;="&amp;S$8,операции!$L:$L,U$9,операции!$O:$O,$F1644)+SUMIFS(операции!$AF:$AF,операции!$T:$T,"&lt;"&amp;S$8,операции!$X:$X,"&gt;="&amp;S$8,операции!$AB:$AB,"&gt;="&amp;S$8,операции!$L:$L,U$9,операции!$O:$O,$F1644))/U1655)</f>
        <v>0</v>
      </c>
      <c r="V1656" s="237">
        <f>IF(V1655=0,0,(SUMIFS(операции!$AF:$AF,операции!$T:$T,"&lt;"&amp;S$8,операции!$X:$X,"",операции!$AB:$AB,"",операции!$L:$L,V$9,операции!$O:$O,$F1644)+SUMIFS(операции!$AF:$AF,операции!$T:$T,"&lt;"&amp;S$8,операции!$X:$X,"&gt;="&amp;S$8,операции!$AB:$AB,"",операции!$L:$L,V$9,операции!$O:$O,$F1644)+SUMIFS(операции!$AF:$AF,операции!$T:$T,"&lt;"&amp;S$8,операции!$X:$X,"",операции!$AB:$AB,"&gt;="&amp;S$8,операции!$L:$L,V$9,операции!$O:$O,$F1644)+SUMIFS(операции!$AF:$AF,операции!$T:$T,"&lt;"&amp;S$8,операции!$X:$X,"&gt;="&amp;S$8,операции!$AB:$AB,"&gt;="&amp;S$8,операции!$L:$L,V$9,операции!$O:$O,$F1644))/V1655)</f>
        <v>0</v>
      </c>
      <c r="W1656" s="238"/>
      <c r="X1656" s="193">
        <f>IF(X1655=0,0,(SUMIFS(операции!$AF:$AF,операции!$T:$T,"&lt;"&amp;X$8,операции!$X:$X,"",операции!$AB:$AB,"",операции!$O:$O,$F1644)+SUMIFS(операции!$AF:$AF,операции!$T:$T,"&lt;"&amp;X$8,операции!$X:$X,"&gt;="&amp;X$8,операции!$AB:$AB,"",операции!$O:$O,$F1644)+SUMIFS(операции!$AF:$AF,операции!$T:$T,"&lt;"&amp;X$8,операции!$X:$X,"",операции!$AB:$AB,"&gt;="&amp;X$8,операции!$O:$O,$F1644)+SUMIFS(операции!$AF:$AF,операции!$T:$T,"&lt;"&amp;X$8,операции!$X:$X,"&gt;="&amp;X$8,операции!$AB:$AB,"&gt;="&amp;X$8,операции!$O:$O,$F1644))/X1655)</f>
        <v>42333.723678160917</v>
      </c>
      <c r="Y1656" s="196"/>
      <c r="Z1656" s="193">
        <f>IF(Z1655=0,0,(SUMIFS(операции!$AF:$AF,операции!$T:$T,"&lt;"&amp;X$8,операции!$X:$X,"",операции!$AB:$AB,"",операции!$L:$L,Z$9,операции!$O:$O,$F1644)+SUMIFS(операции!$AF:$AF,операции!$T:$T,"&lt;"&amp;X$8,операции!$X:$X,"&gt;="&amp;X$8,операции!$AB:$AB,"",операции!$L:$L,Z$9,операции!$O:$O,$F1644)+SUMIFS(операции!$AF:$AF,операции!$T:$T,"&lt;"&amp;X$8,операции!$X:$X,"",операции!$AB:$AB,"&gt;="&amp;X$8,операции!$L:$L,Z$9,операции!$O:$O,$F1644)+SUMIFS(операции!$AF:$AF,операции!$T:$T,"&lt;"&amp;X$8,операции!$X:$X,"&gt;="&amp;X$8,операции!$AB:$AB,"&gt;="&amp;X$8,операции!$L:$L,Z$9,операции!$O:$O,$F1644))/Z1655)</f>
        <v>0</v>
      </c>
      <c r="AA1656" s="237">
        <f>IF(AA1655=0,0,(SUMIFS(операции!$AF:$AF,операции!$T:$T,"&lt;"&amp;X$8,операции!$X:$X,"",операции!$AB:$AB,"",операции!$L:$L,AA$9,операции!$O:$O,$F1644)+SUMIFS(операции!$AF:$AF,операции!$T:$T,"&lt;"&amp;X$8,операции!$X:$X,"&gt;="&amp;X$8,операции!$AB:$AB,"",операции!$L:$L,AA$9,операции!$O:$O,$F1644)+SUMIFS(операции!$AF:$AF,операции!$T:$T,"&lt;"&amp;X$8,операции!$X:$X,"",операции!$AB:$AB,"&gt;="&amp;X$8,операции!$L:$L,AA$9,операции!$O:$O,$F1644)+SUMIFS(операции!$AF:$AF,операции!$T:$T,"&lt;"&amp;X$8,операции!$X:$X,"&gt;="&amp;X$8,операции!$AB:$AB,"&gt;="&amp;X$8,операции!$L:$L,AA$9,операции!$O:$O,$F1644))/AA1655)</f>
        <v>42333.723678160917</v>
      </c>
      <c r="AB1656" s="265"/>
      <c r="AC1656" s="37"/>
      <c r="AD1656" s="37"/>
      <c r="AE1656" s="37"/>
      <c r="AF1656" s="37"/>
      <c r="AG1656" s="37"/>
      <c r="AH1656" s="37"/>
      <c r="AI1656" s="37"/>
      <c r="AJ1656" s="37"/>
      <c r="AK1656" s="37"/>
      <c r="AL1656" s="37"/>
      <c r="AM1656" s="37"/>
      <c r="AN1656" s="37"/>
      <c r="AO1656" s="37"/>
      <c r="AP1656" s="37"/>
    </row>
    <row r="1657" spans="1:42" s="192" customFormat="1" ht="11.25">
      <c r="A1657" s="37"/>
      <c r="B1657" s="37"/>
      <c r="C1657" s="37"/>
      <c r="D1657" s="191"/>
      <c r="E1657" s="191" t="s">
        <v>263</v>
      </c>
      <c r="F1657" s="191" t="str">
        <f t="shared" si="2924"/>
        <v>С-спортКид</v>
      </c>
      <c r="G1657" s="191" t="s">
        <v>219</v>
      </c>
      <c r="H1657" s="315"/>
      <c r="I1657" s="329">
        <f>IF(I1655=0,0,I$8-I1656)</f>
        <v>0</v>
      </c>
      <c r="J1657" s="317"/>
      <c r="K1657" s="329">
        <f>IF(K1655=0,0,I$8-K1656)</f>
        <v>0</v>
      </c>
      <c r="L1657" s="330">
        <f>IF(L1655=0,0,I$8-L1656)</f>
        <v>0</v>
      </c>
      <c r="M1657" s="274"/>
      <c r="N1657" s="156">
        <f>IF(N1655=0,0,N$8-N1656)</f>
        <v>0</v>
      </c>
      <c r="O1657" s="196"/>
      <c r="P1657" s="156">
        <f>IF(P1655=0,0,N$8-P1656)</f>
        <v>0</v>
      </c>
      <c r="Q1657" s="245">
        <f>IF(Q1655=0,0,N$8-Q1656)</f>
        <v>0</v>
      </c>
      <c r="R1657" s="238"/>
      <c r="S1657" s="156">
        <f>IF(S1655=0,0,S$8-S1656)</f>
        <v>0</v>
      </c>
      <c r="T1657" s="196"/>
      <c r="U1657" s="156">
        <f>IF(U1655=0,0,S$8-U1656)</f>
        <v>0</v>
      </c>
      <c r="V1657" s="245">
        <f>IF(V1655=0,0,S$8-V1656)</f>
        <v>0</v>
      </c>
      <c r="W1657" s="238"/>
      <c r="X1657" s="156">
        <f>IF(X1655=0,0,X$8-X1656)</f>
        <v>5.2763218390828115</v>
      </c>
      <c r="Y1657" s="196"/>
      <c r="Z1657" s="156">
        <f>IF(Z1655=0,0,X$8-Z1656)</f>
        <v>0</v>
      </c>
      <c r="AA1657" s="245">
        <f>IF(AA1655=0,0,X$8-AA1656)</f>
        <v>5.2763218390828115</v>
      </c>
      <c r="AB1657" s="265"/>
      <c r="AC1657" s="37"/>
      <c r="AD1657" s="37"/>
      <c r="AE1657" s="37"/>
      <c r="AF1657" s="37"/>
      <c r="AG1657" s="37"/>
      <c r="AH1657" s="37"/>
      <c r="AI1657" s="37"/>
      <c r="AJ1657" s="37"/>
      <c r="AK1657" s="37"/>
      <c r="AL1657" s="37"/>
      <c r="AM1657" s="37"/>
      <c r="AN1657" s="37"/>
      <c r="AO1657" s="37"/>
      <c r="AP1657" s="37"/>
    </row>
    <row r="1658" spans="1:42" s="192" customFormat="1" ht="11.25">
      <c r="A1658" s="37"/>
      <c r="B1658" s="37"/>
      <c r="C1658" s="37"/>
      <c r="D1658" s="191"/>
      <c r="E1658" s="191" t="s">
        <v>311</v>
      </c>
      <c r="F1658" s="191" t="str">
        <f t="shared" si="2924"/>
        <v>С-спортКид</v>
      </c>
      <c r="G1658" s="191" t="s">
        <v>262</v>
      </c>
      <c r="H1658" s="315"/>
      <c r="I1658" s="316">
        <f>I$8</f>
        <v>42278</v>
      </c>
      <c r="J1658" s="317"/>
      <c r="K1658" s="316">
        <f>I$8</f>
        <v>42278</v>
      </c>
      <c r="L1658" s="318">
        <f>I$8</f>
        <v>42278</v>
      </c>
      <c r="M1658" s="274"/>
      <c r="N1658" s="193">
        <f>N$8</f>
        <v>42278</v>
      </c>
      <c r="O1658" s="196"/>
      <c r="P1658" s="193">
        <f>N$8</f>
        <v>42278</v>
      </c>
      <c r="Q1658" s="237">
        <f>N$8</f>
        <v>42278</v>
      </c>
      <c r="R1658" s="238"/>
      <c r="S1658" s="193">
        <f>S$8</f>
        <v>42309</v>
      </c>
      <c r="T1658" s="196"/>
      <c r="U1658" s="193">
        <f>S$8</f>
        <v>42309</v>
      </c>
      <c r="V1658" s="237">
        <f>S$8</f>
        <v>42309</v>
      </c>
      <c r="W1658" s="238"/>
      <c r="X1658" s="193">
        <f>X$8</f>
        <v>42339</v>
      </c>
      <c r="Y1658" s="196"/>
      <c r="Z1658" s="193">
        <f>X$8</f>
        <v>42339</v>
      </c>
      <c r="AA1658" s="237">
        <f>X$8</f>
        <v>42339</v>
      </c>
      <c r="AB1658" s="265"/>
      <c r="AC1658" s="37"/>
      <c r="AD1658" s="37"/>
      <c r="AE1658" s="37"/>
      <c r="AF1658" s="37"/>
      <c r="AG1658" s="37"/>
      <c r="AH1658" s="37"/>
      <c r="AI1658" s="37"/>
      <c r="AJ1658" s="37"/>
      <c r="AK1658" s="37"/>
      <c r="AL1658" s="37"/>
      <c r="AM1658" s="37"/>
      <c r="AN1658" s="37"/>
      <c r="AO1658" s="37"/>
      <c r="AP1658" s="37"/>
    </row>
    <row r="1659" spans="1:42" s="192" customFormat="1" ht="11.25">
      <c r="A1659" s="37"/>
      <c r="B1659" s="37"/>
      <c r="C1659" s="37"/>
      <c r="D1659" s="191"/>
      <c r="E1659" s="191" t="s">
        <v>264</v>
      </c>
      <c r="F1659" s="191" t="str">
        <f t="shared" si="2924"/>
        <v>С-спортКид</v>
      </c>
      <c r="G1659" s="191" t="s">
        <v>219</v>
      </c>
      <c r="H1659" s="315"/>
      <c r="I1659" s="329">
        <f>IF(I1655=0,0,I1658-I1656)</f>
        <v>0</v>
      </c>
      <c r="J1659" s="317"/>
      <c r="K1659" s="329">
        <f>IF(K1655=0,0,K1658-K1656)</f>
        <v>0</v>
      </c>
      <c r="L1659" s="330">
        <f>IF(L1655=0,0,L1658-L1656)</f>
        <v>0</v>
      </c>
      <c r="M1659" s="274"/>
      <c r="N1659" s="156">
        <f>IF(N1655=0,0,N1658-N1656)</f>
        <v>0</v>
      </c>
      <c r="O1659" s="196"/>
      <c r="P1659" s="156">
        <f>IF(P1655=0,0,P1658-P1656)</f>
        <v>0</v>
      </c>
      <c r="Q1659" s="245">
        <f>IF(Q1655=0,0,Q1658-Q1656)</f>
        <v>0</v>
      </c>
      <c r="R1659" s="238"/>
      <c r="S1659" s="156">
        <f>IF(S1655=0,0,S1658-S1656)</f>
        <v>0</v>
      </c>
      <c r="T1659" s="196"/>
      <c r="U1659" s="156">
        <f>IF(U1655=0,0,U1658-U1656)</f>
        <v>0</v>
      </c>
      <c r="V1659" s="245">
        <f>IF(V1655=0,0,V1658-V1656)</f>
        <v>0</v>
      </c>
      <c r="W1659" s="238"/>
      <c r="X1659" s="156">
        <f>IF(X1655=0,0,X1658-X1656)</f>
        <v>5.2763218390828115</v>
      </c>
      <c r="Y1659" s="196"/>
      <c r="Z1659" s="156">
        <f>IF(Z1655=0,0,Z1658-Z1656)</f>
        <v>0</v>
      </c>
      <c r="AA1659" s="245">
        <f>IF(AA1655=0,0,AA1658-AA1656)</f>
        <v>5.2763218390828115</v>
      </c>
      <c r="AB1659" s="265"/>
      <c r="AC1659" s="37"/>
      <c r="AD1659" s="37"/>
      <c r="AE1659" s="37"/>
      <c r="AF1659" s="37"/>
      <c r="AG1659" s="37"/>
      <c r="AH1659" s="37"/>
      <c r="AI1659" s="37"/>
      <c r="AJ1659" s="37"/>
      <c r="AK1659" s="37"/>
      <c r="AL1659" s="37"/>
      <c r="AM1659" s="37"/>
      <c r="AN1659" s="37"/>
      <c r="AO1659" s="37"/>
      <c r="AP1659" s="37"/>
    </row>
    <row r="1660" spans="1:42" s="192" customFormat="1" ht="11.25">
      <c r="A1660" s="37"/>
      <c r="B1660" s="37"/>
      <c r="C1660" s="37"/>
      <c r="D1660" s="207"/>
      <c r="E1660" s="207" t="s">
        <v>269</v>
      </c>
      <c r="F1660" s="207" t="str">
        <f t="shared" si="2924"/>
        <v>С-спортКид</v>
      </c>
      <c r="G1660" s="207" t="s">
        <v>219</v>
      </c>
      <c r="H1660" s="331"/>
      <c r="I1660" s="332">
        <f>I1657-I1659</f>
        <v>0</v>
      </c>
      <c r="J1660" s="333"/>
      <c r="K1660" s="332">
        <f t="shared" ref="K1660" si="2949">K1657-K1659</f>
        <v>0</v>
      </c>
      <c r="L1660" s="334">
        <f>L1657-L1659</f>
        <v>0</v>
      </c>
      <c r="M1660" s="278"/>
      <c r="N1660" s="162">
        <f>N1657-N1659</f>
        <v>0</v>
      </c>
      <c r="O1660" s="208"/>
      <c r="P1660" s="162">
        <f t="shared" ref="P1660" si="2950">P1657-P1659</f>
        <v>0</v>
      </c>
      <c r="Q1660" s="246">
        <f>Q1657-Q1659</f>
        <v>0</v>
      </c>
      <c r="R1660" s="247"/>
      <c r="S1660" s="162">
        <f>S1657-S1659</f>
        <v>0</v>
      </c>
      <c r="T1660" s="208"/>
      <c r="U1660" s="162">
        <f t="shared" ref="U1660" si="2951">U1657-U1659</f>
        <v>0</v>
      </c>
      <c r="V1660" s="246">
        <f>V1657-V1659</f>
        <v>0</v>
      </c>
      <c r="W1660" s="247"/>
      <c r="X1660" s="162">
        <f>X1657-X1659</f>
        <v>0</v>
      </c>
      <c r="Y1660" s="208"/>
      <c r="Z1660" s="162">
        <f t="shared" ref="Z1660" si="2952">Z1657-Z1659</f>
        <v>0</v>
      </c>
      <c r="AA1660" s="246">
        <f>AA1657-AA1659</f>
        <v>0</v>
      </c>
      <c r="AB1660" s="265"/>
      <c r="AC1660" s="37"/>
      <c r="AD1660" s="37"/>
      <c r="AE1660" s="37"/>
      <c r="AF1660" s="37"/>
      <c r="AG1660" s="37"/>
      <c r="AH1660" s="37"/>
      <c r="AI1660" s="37"/>
      <c r="AJ1660" s="37"/>
      <c r="AK1660" s="37"/>
      <c r="AL1660" s="37"/>
      <c r="AM1660" s="37"/>
      <c r="AN1660" s="37"/>
      <c r="AO1660" s="37"/>
      <c r="AP1660" s="37"/>
    </row>
    <row r="1661" spans="1:42" s="111" customFormat="1" ht="11.25">
      <c r="A1661" s="108"/>
      <c r="B1661" s="108"/>
      <c r="C1661" s="108" t="s">
        <v>272</v>
      </c>
      <c r="D1661" s="109"/>
      <c r="E1661" s="109"/>
      <c r="F1661" s="109" t="str">
        <f t="shared" si="2924"/>
        <v>С-спортКид</v>
      </c>
      <c r="G1661" s="109"/>
      <c r="H1661" s="307"/>
      <c r="I1661" s="308">
        <f>I1662-K1662-L1662</f>
        <v>0</v>
      </c>
      <c r="J1661" s="335"/>
      <c r="K1661" s="308"/>
      <c r="L1661" s="336"/>
      <c r="M1661" s="272"/>
      <c r="N1661" s="110">
        <f>N1662-P1662-Q1662</f>
        <v>0</v>
      </c>
      <c r="O1661" s="105"/>
      <c r="P1661" s="110"/>
      <c r="Q1661" s="248"/>
      <c r="R1661" s="234"/>
      <c r="S1661" s="110">
        <f>S1662-U1662-V1662</f>
        <v>0</v>
      </c>
      <c r="T1661" s="105"/>
      <c r="U1661" s="110"/>
      <c r="V1661" s="248"/>
      <c r="W1661" s="234"/>
      <c r="X1661" s="110">
        <f>X1662-Z1662-AA1662</f>
        <v>0</v>
      </c>
      <c r="Y1661" s="105"/>
      <c r="Z1661" s="110"/>
      <c r="AA1661" s="248"/>
      <c r="AB1661" s="263"/>
      <c r="AC1661" s="108"/>
      <c r="AD1661" s="108"/>
      <c r="AE1661" s="108"/>
      <c r="AF1661" s="108"/>
      <c r="AG1661" s="108"/>
      <c r="AH1661" s="108"/>
      <c r="AI1661" s="108"/>
      <c r="AJ1661" s="108"/>
      <c r="AK1661" s="108"/>
      <c r="AL1661" s="108"/>
      <c r="AM1661" s="108"/>
      <c r="AN1661" s="108"/>
      <c r="AO1661" s="108"/>
      <c r="AP1661" s="108"/>
    </row>
    <row r="1662" spans="1:42" s="5" customFormat="1">
      <c r="A1662" s="1"/>
      <c r="B1662" s="1"/>
      <c r="C1662" s="1"/>
      <c r="D1662" s="168" t="s">
        <v>273</v>
      </c>
      <c r="E1662" s="168"/>
      <c r="F1662" s="168" t="str">
        <f t="shared" si="2924"/>
        <v>С-спортКид</v>
      </c>
      <c r="G1662" s="168" t="s">
        <v>261</v>
      </c>
      <c r="H1662" s="326"/>
      <c r="I1662" s="327">
        <f>SUMIFS(операции!$V:$V,операции!$T:$T,"&gt;="&amp;I$8,операции!$T:$T,"&lt;="&amp;I$9,операции!$O:$O,$F1644)</f>
        <v>33704.57</v>
      </c>
      <c r="J1662" s="313"/>
      <c r="K1662" s="327">
        <f>SUMIFS(операции!$V:$V,операции!$T:$T,"&gt;="&amp;I$8,операции!$T:$T,"&lt;="&amp;I$9,операции!$L:$L,K$9,операции!$O:$O,$F1644)</f>
        <v>0</v>
      </c>
      <c r="L1662" s="328">
        <f>SUMIFS(операции!$V:$V,операции!$T:$T,"&gt;="&amp;I$8,операции!$T:$T,"&lt;="&amp;I$9,операции!$L:$L,L$9,операции!$O:$O,$F1644)</f>
        <v>33704.57</v>
      </c>
      <c r="M1662" s="277"/>
      <c r="N1662" s="169">
        <f>SUMIFS(операции!$V:$V,операции!$T:$T,"&gt;="&amp;N$8,операции!$T:$T,"&lt;="&amp;N$9,операции!$O:$O,$F1644)</f>
        <v>0</v>
      </c>
      <c r="O1662" s="170"/>
      <c r="P1662" s="169">
        <f>SUMIFS(операции!$V:$V,операции!$T:$T,"&gt;="&amp;N$8,операции!$T:$T,"&lt;="&amp;N$9,операции!$L:$L,P$9,операции!$O:$O,$F1644)</f>
        <v>0</v>
      </c>
      <c r="Q1662" s="243">
        <f>SUMIFS(операции!$V:$V,операции!$T:$T,"&gt;="&amp;N$8,операции!$T:$T,"&lt;="&amp;N$9,операции!$L:$L,Q$9,операции!$O:$O,$F1644)</f>
        <v>0</v>
      </c>
      <c r="R1662" s="244"/>
      <c r="S1662" s="169">
        <f>SUMIFS(операции!$V:$V,операции!$T:$T,"&gt;="&amp;S$8,операции!$T:$T,"&lt;="&amp;S$9,операции!$O:$O,$F1644)</f>
        <v>25834.57</v>
      </c>
      <c r="T1662" s="170"/>
      <c r="U1662" s="169">
        <f>SUMIFS(операции!$V:$V,операции!$T:$T,"&gt;="&amp;S$8,операции!$T:$T,"&lt;="&amp;S$9,операции!$L:$L,U$9,операции!$O:$O,$F1644)</f>
        <v>0</v>
      </c>
      <c r="V1662" s="243">
        <f>SUMIFS(операции!$V:$V,операции!$T:$T,"&gt;="&amp;S$8,операции!$T:$T,"&lt;="&amp;S$9,операции!$L:$L,V$9,операции!$O:$O,$F1644)</f>
        <v>25834.57</v>
      </c>
      <c r="W1662" s="244"/>
      <c r="X1662" s="169">
        <f>SUMIFS(операции!$V:$V,операции!$T:$T,"&gt;="&amp;X$8,операции!$T:$T,"&lt;="&amp;X$9,операции!$O:$O,$F1644)</f>
        <v>7870</v>
      </c>
      <c r="Y1662" s="170"/>
      <c r="Z1662" s="169">
        <f>SUMIFS(операции!$V:$V,операции!$T:$T,"&gt;="&amp;X$8,операции!$T:$T,"&lt;="&amp;X$9,операции!$L:$L,Z$9,операции!$O:$O,$F1644)</f>
        <v>0</v>
      </c>
      <c r="AA1662" s="243">
        <f>SUMIFS(операции!$V:$V,операции!$T:$T,"&gt;="&amp;X$8,операции!$T:$T,"&lt;="&amp;X$9,операции!$L:$L,AA$9,операции!$O:$O,$F1644)</f>
        <v>7870</v>
      </c>
      <c r="AB1662" s="266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</row>
    <row r="1663" spans="1:42" s="192" customFormat="1" ht="11.25">
      <c r="A1663" s="37"/>
      <c r="B1663" s="37"/>
      <c r="C1663" s="37"/>
      <c r="D1663" s="207" t="s">
        <v>255</v>
      </c>
      <c r="E1663" s="207"/>
      <c r="F1663" s="207" t="str">
        <f t="shared" si="2924"/>
        <v>С-спортКид</v>
      </c>
      <c r="G1663" s="207" t="s">
        <v>262</v>
      </c>
      <c r="H1663" s="331"/>
      <c r="I1663" s="337">
        <f>IF(I1662=0,0,SUMIFS(операции!$AF:$AF,операции!$T:$T,"&gt;="&amp;I$8,операции!$T:$T,"&lt;="&amp;I$9,операции!$O:$O,$F1644)/I1662)</f>
        <v>42338.636421707801</v>
      </c>
      <c r="J1663" s="333"/>
      <c r="K1663" s="337">
        <f>IF(K1662=0,0,SUMIFS(операции!$AF:$AF,операции!$T:$T,"&gt;="&amp;I$8,операции!$T:$T,"&lt;="&amp;I$9,операции!$L:$L,K$9,операции!$O:$O,$F1644)/K1662)</f>
        <v>0</v>
      </c>
      <c r="L1663" s="338">
        <f>IF(L1662=0,0,SUMIFS(операции!$AF:$AF,операции!$T:$T,"&gt;="&amp;I$8,операции!$T:$T,"&lt;="&amp;I$9,операции!$L:$L,L$9,операции!$O:$O,$F1644)/L1662)</f>
        <v>42338.636421707801</v>
      </c>
      <c r="M1663" s="278"/>
      <c r="N1663" s="217">
        <f>IF(N1662=0,0,SUMIFS(операции!$AF:$AF,операции!$T:$T,"&gt;="&amp;N$8,операции!$T:$T,"&lt;="&amp;N$9,операции!$O:$O,$F1644)/N1662)</f>
        <v>0</v>
      </c>
      <c r="O1663" s="208"/>
      <c r="P1663" s="217">
        <f>IF(P1662=0,0,SUMIFS(операции!$AF:$AF,операции!$T:$T,"&gt;="&amp;N$8,операции!$T:$T,"&lt;="&amp;N$9,операции!$L:$L,P$9,операции!$O:$O,$F1644)/P1662)</f>
        <v>0</v>
      </c>
      <c r="Q1663" s="249">
        <f>IF(Q1662=0,0,SUMIFS(операции!$AF:$AF,операции!$T:$T,"&gt;="&amp;N$8,операции!$T:$T,"&lt;="&amp;N$9,операции!$L:$L,Q$9,операции!$O:$O,$F1644)/Q1662)</f>
        <v>0</v>
      </c>
      <c r="R1663" s="247"/>
      <c r="S1663" s="217">
        <f>IF(S1662=0,0,SUMIFS(операции!$AF:$AF,операции!$T:$T,"&gt;="&amp;S$8,операции!$T:$T,"&lt;="&amp;S$9,операции!$O:$O,$F1644)/S1662)</f>
        <v>42330.605269605803</v>
      </c>
      <c r="T1663" s="208"/>
      <c r="U1663" s="217">
        <f>IF(U1662=0,0,SUMIFS(операции!$AF:$AF,операции!$T:$T,"&gt;="&amp;S$8,операции!$T:$T,"&lt;="&amp;S$9,операции!$L:$L,U$9,операции!$O:$O,$F1644)/U1662)</f>
        <v>0</v>
      </c>
      <c r="V1663" s="249">
        <f>IF(V1662=0,0,SUMIFS(операции!$AF:$AF,операции!$T:$T,"&gt;="&amp;S$8,операции!$T:$T,"&lt;="&amp;S$9,операции!$L:$L,V$9,операции!$O:$O,$F1644)/V1662)</f>
        <v>42330.605269605803</v>
      </c>
      <c r="W1663" s="247"/>
      <c r="X1663" s="217">
        <f>IF(X1662=0,0,SUMIFS(операции!$AF:$AF,операции!$T:$T,"&gt;="&amp;X$8,операции!$T:$T,"&lt;="&amp;X$9,операции!$O:$O,$F1644)/X1662)</f>
        <v>42365</v>
      </c>
      <c r="Y1663" s="208"/>
      <c r="Z1663" s="217">
        <f>IF(Z1662=0,0,SUMIFS(операции!$AF:$AF,операции!$T:$T,"&gt;="&amp;X$8,операции!$T:$T,"&lt;="&amp;X$9,операции!$L:$L,Z$9,операции!$O:$O,$F1644)/Z1662)</f>
        <v>0</v>
      </c>
      <c r="AA1663" s="249">
        <f>IF(AA1662=0,0,SUMIFS(операции!$AF:$AF,операции!$T:$T,"&gt;="&amp;X$8,операции!$T:$T,"&lt;="&amp;X$9,операции!$L:$L,AA$9,операции!$O:$O,$F1644)/AA1662)</f>
        <v>42365</v>
      </c>
      <c r="AB1663" s="265"/>
      <c r="AC1663" s="37"/>
      <c r="AD1663" s="37"/>
      <c r="AE1663" s="37"/>
      <c r="AF1663" s="37"/>
      <c r="AG1663" s="37"/>
      <c r="AH1663" s="37"/>
      <c r="AI1663" s="37"/>
      <c r="AJ1663" s="37"/>
      <c r="AK1663" s="37"/>
      <c r="AL1663" s="37"/>
      <c r="AM1663" s="37"/>
      <c r="AN1663" s="37"/>
      <c r="AO1663" s="37"/>
      <c r="AP1663" s="37"/>
    </row>
    <row r="1664" spans="1:42" s="93" customFormat="1" ht="15">
      <c r="A1664" s="92"/>
      <c r="B1664" s="92"/>
      <c r="C1664" s="92"/>
      <c r="D1664" s="212" t="s">
        <v>274</v>
      </c>
      <c r="E1664" s="212"/>
      <c r="F1664" s="212" t="str">
        <f t="shared" si="2924"/>
        <v>С-спортКид</v>
      </c>
      <c r="G1664" s="212" t="s">
        <v>261</v>
      </c>
      <c r="H1664" s="339"/>
      <c r="I1664" s="340">
        <f>SUMIFS(операции!$Z:$Z,операции!$X:$X,"&gt;="&amp;I$8,операции!$X:$X,"&lt;="&amp;I$9,операции!$O:$O,$F1644)</f>
        <v>30601</v>
      </c>
      <c r="J1664" s="341">
        <f>I1664-I1677-I1687</f>
        <v>0</v>
      </c>
      <c r="K1664" s="340">
        <f>SUMIFS(операции!$Z:$Z,операции!$X:$X,"&gt;="&amp;I$8,операции!$X:$X,"&lt;="&amp;I$9,операции!$L:$L,K$9,операции!$O:$O,$F1644)</f>
        <v>0</v>
      </c>
      <c r="L1664" s="342">
        <f>SUMIFS(операции!$Z:$Z,операции!$X:$X,"&gt;="&amp;I$8,операции!$X:$X,"&lt;="&amp;I$9,операции!$L:$L,L$9,операции!$O:$O,$F1644)</f>
        <v>30601</v>
      </c>
      <c r="M1664" s="279"/>
      <c r="N1664" s="213">
        <f>SUMIFS(операции!$Z:$Z,операции!$X:$X,"&gt;="&amp;N$8,операции!$X:$X,"&lt;="&amp;N$9,операции!$O:$O,$F1644)</f>
        <v>0</v>
      </c>
      <c r="O1664" s="216">
        <f>N1664-N1677-N1687</f>
        <v>0</v>
      </c>
      <c r="P1664" s="213">
        <f>SUMIFS(операции!$Z:$Z,операции!$X:$X,"&gt;="&amp;N$8,операции!$X:$X,"&lt;="&amp;N$9,операции!$L:$L,P$9,операции!$O:$O,$F1644)</f>
        <v>0</v>
      </c>
      <c r="Q1664" s="250">
        <f>SUMIFS(операции!$Z:$Z,операции!$X:$X,"&gt;="&amp;N$8,операции!$X:$X,"&lt;="&amp;N$9,операции!$L:$L,Q$9,операции!$O:$O,$F1644)</f>
        <v>0</v>
      </c>
      <c r="R1664" s="251"/>
      <c r="S1664" s="213">
        <f>SUMIFS(операции!$Z:$Z,операции!$X:$X,"&gt;="&amp;S$8,операции!$X:$X,"&lt;="&amp;S$9,операции!$O:$O,$F1644)</f>
        <v>5021</v>
      </c>
      <c r="T1664" s="216">
        <f>S1664-S1677-S1687</f>
        <v>0</v>
      </c>
      <c r="U1664" s="213">
        <f>SUMIFS(операции!$Z:$Z,операции!$X:$X,"&gt;="&amp;S$8,операции!$X:$X,"&lt;="&amp;S$9,операции!$L:$L,U$9,операции!$O:$O,$F1644)</f>
        <v>0</v>
      </c>
      <c r="V1664" s="250">
        <f>SUMIFS(операции!$Z:$Z,операции!$X:$X,"&gt;="&amp;S$8,операции!$X:$X,"&lt;="&amp;S$9,операции!$L:$L,V$9,операции!$O:$O,$F1644)</f>
        <v>5021</v>
      </c>
      <c r="W1664" s="251"/>
      <c r="X1664" s="213">
        <f>SUMIFS(операции!$Z:$Z,операции!$X:$X,"&gt;="&amp;X$8,операции!$X:$X,"&lt;="&amp;X$9,операции!$O:$O,$F1644)</f>
        <v>25580</v>
      </c>
      <c r="Y1664" s="216">
        <f>X1664-X1677-X1687</f>
        <v>0</v>
      </c>
      <c r="Z1664" s="213">
        <f>SUMIFS(операции!$Z:$Z,операции!$X:$X,"&gt;="&amp;X$8,операции!$X:$X,"&lt;="&amp;X$9,операции!$L:$L,Z$9,операции!$O:$O,$F1644)</f>
        <v>0</v>
      </c>
      <c r="AA1664" s="250">
        <f>SUMIFS(операции!$Z:$Z,операции!$X:$X,"&gt;="&amp;X$8,операции!$X:$X,"&lt;="&amp;X$9,операции!$L:$L,AA$9,операции!$O:$O,$F1644)</f>
        <v>25580</v>
      </c>
      <c r="AB1664" s="264"/>
      <c r="AC1664" s="92"/>
      <c r="AD1664" s="92"/>
      <c r="AE1664" s="92"/>
      <c r="AF1664" s="92"/>
      <c r="AG1664" s="92"/>
      <c r="AH1664" s="92"/>
      <c r="AI1664" s="92"/>
      <c r="AJ1664" s="92"/>
      <c r="AK1664" s="92"/>
      <c r="AL1664" s="92"/>
      <c r="AM1664" s="92"/>
      <c r="AN1664" s="92"/>
      <c r="AO1664" s="92"/>
      <c r="AP1664" s="92"/>
    </row>
    <row r="1665" spans="1:42" s="407" customFormat="1" ht="11.25">
      <c r="A1665" s="404"/>
      <c r="B1665" s="404"/>
      <c r="C1665" s="404"/>
      <c r="D1665" s="405" t="s">
        <v>332</v>
      </c>
      <c r="E1665" s="405"/>
      <c r="F1665" s="405" t="str">
        <f>F1663</f>
        <v>С-спортКид</v>
      </c>
      <c r="G1665" s="405" t="s">
        <v>218</v>
      </c>
      <c r="H1665" s="408"/>
      <c r="I1665" s="408">
        <f>IF(I$31=0,0,I1664/I$31)</f>
        <v>8.2487460159319584E-3</v>
      </c>
      <c r="J1665" s="409"/>
      <c r="K1665" s="408">
        <f t="shared" ref="K1665" si="2953">IF(K$31=0,0,K1664/K$31)</f>
        <v>0</v>
      </c>
      <c r="L1665" s="410">
        <f t="shared" ref="L1665" si="2954">IF(L$31=0,0,L1664/L$31)</f>
        <v>1.2708573687799587E-2</v>
      </c>
      <c r="M1665" s="411"/>
      <c r="N1665" s="412">
        <f t="shared" ref="N1665" si="2955">IF(N$31=0,0,N1664/N$31)</f>
        <v>0</v>
      </c>
      <c r="O1665" s="413"/>
      <c r="P1665" s="412">
        <f t="shared" ref="P1665" si="2956">IF(P$31=0,0,P1664/P$31)</f>
        <v>0</v>
      </c>
      <c r="Q1665" s="414">
        <f t="shared" ref="Q1665" si="2957">IF(Q$31=0,0,Q1664/Q$31)</f>
        <v>0</v>
      </c>
      <c r="R1665" s="415"/>
      <c r="S1665" s="412">
        <f t="shared" ref="S1665" si="2958">IF(S$31=0,0,S1664/S$31)</f>
        <v>2.8292185417776012E-3</v>
      </c>
      <c r="T1665" s="413"/>
      <c r="U1665" s="412">
        <f t="shared" ref="U1665" si="2959">IF(U$31=0,0,U1664/U$31)</f>
        <v>0</v>
      </c>
      <c r="V1665" s="414">
        <f t="shared" ref="V1665" si="2960">IF(V$31=0,0,V1664/V$31)</f>
        <v>4.3853826401383479E-3</v>
      </c>
      <c r="W1665" s="415"/>
      <c r="X1665" s="412">
        <f t="shared" ref="X1665" si="2961">IF(X$31=0,0,X1664/X$31)</f>
        <v>2.205024144928186E-2</v>
      </c>
      <c r="Y1665" s="413"/>
      <c r="Z1665" s="412">
        <f t="shared" ref="Z1665" si="2962">IF(Z$31=0,0,Z1664/Z$31)</f>
        <v>0</v>
      </c>
      <c r="AA1665" s="414">
        <f t="shared" ref="AA1665" si="2963">IF(AA$31=0,0,AA1664/AA$31)</f>
        <v>2.5879294035520799E-2</v>
      </c>
      <c r="AB1665" s="406"/>
      <c r="AC1665" s="404"/>
      <c r="AD1665" s="404"/>
      <c r="AE1665" s="404"/>
      <c r="AF1665" s="404"/>
      <c r="AG1665" s="404"/>
      <c r="AH1665" s="404"/>
      <c r="AI1665" s="404"/>
      <c r="AJ1665" s="404"/>
      <c r="AK1665" s="404"/>
      <c r="AL1665" s="404"/>
      <c r="AM1665" s="404"/>
      <c r="AN1665" s="404"/>
      <c r="AO1665" s="404"/>
      <c r="AP1665" s="404"/>
    </row>
    <row r="1666" spans="1:42" s="192" customFormat="1" ht="11.25">
      <c r="A1666" s="37"/>
      <c r="B1666" s="37"/>
      <c r="C1666" s="37"/>
      <c r="D1666" s="191" t="s">
        <v>331</v>
      </c>
      <c r="E1666" s="191"/>
      <c r="F1666" s="191" t="str">
        <f>F1664</f>
        <v>С-спортКид</v>
      </c>
      <c r="G1666" s="191" t="s">
        <v>334</v>
      </c>
      <c r="H1666" s="315"/>
      <c r="I1666" s="329">
        <f>SUMIFS(операции!$R:$R,операции!$X:$X,"&gt;="&amp;I$8,операции!$X:$X,"&lt;="&amp;I$9,операции!$O:$O,$F1644)</f>
        <v>6</v>
      </c>
      <c r="J1666" s="317">
        <f>I1666-K1666-L1666</f>
        <v>0</v>
      </c>
      <c r="K1666" s="329">
        <f>SUMIFS(операции!$R:$R,операции!$X:$X,"&gt;="&amp;I$8,операции!$X:$X,"&lt;="&amp;I$9,операции!$L:$L,K$9,операции!$O:$O,$F1644)</f>
        <v>0</v>
      </c>
      <c r="L1666" s="330">
        <f>SUMIFS(операции!$R:$R,операции!$X:$X,"&gt;="&amp;I$8,операции!$X:$X,"&lt;="&amp;I$9,операции!$L:$L,L$9,операции!$O:$O,$F1644)</f>
        <v>6</v>
      </c>
      <c r="M1666" s="402"/>
      <c r="N1666" s="156">
        <f>SUMIFS(операции!$R:$R,операции!$X:$X,"&gt;="&amp;N$8,операции!$X:$X,"&lt;="&amp;N$9,операции!$O:$O,$F1644)</f>
        <v>0</v>
      </c>
      <c r="O1666" s="196">
        <f t="shared" ref="O1666" si="2964">N1666-P1666-Q1666</f>
        <v>0</v>
      </c>
      <c r="P1666" s="156">
        <f>SUMIFS(операции!$R:$R,операции!$X:$X,"&gt;="&amp;N$8,операции!$X:$X,"&lt;="&amp;N$9,операции!$L:$L,P$9,операции!$O:$O,$F1644)</f>
        <v>0</v>
      </c>
      <c r="Q1666" s="245">
        <f>SUMIFS(операции!$R:$R,операции!$X:$X,"&gt;="&amp;N$8,операции!$X:$X,"&lt;="&amp;N$9,операции!$L:$L,Q$9,операции!$O:$O,$F1644)</f>
        <v>0</v>
      </c>
      <c r="R1666" s="403"/>
      <c r="S1666" s="156">
        <f>SUMIFS(операции!$R:$R,операции!$X:$X,"&gt;="&amp;S$8,операции!$X:$X,"&lt;="&amp;S$9,операции!$O:$O,$F1644)</f>
        <v>1</v>
      </c>
      <c r="T1666" s="196">
        <f t="shared" ref="T1666" si="2965">S1666-U1666-V1666</f>
        <v>0</v>
      </c>
      <c r="U1666" s="156">
        <f>SUMIFS(операции!$R:$R,операции!$X:$X,"&gt;="&amp;S$8,операции!$X:$X,"&lt;="&amp;S$9,операции!$L:$L,U$9,операции!$O:$O,$F1644)</f>
        <v>0</v>
      </c>
      <c r="V1666" s="245">
        <f>SUMIFS(операции!$R:$R,операции!$X:$X,"&gt;="&amp;S$8,операции!$X:$X,"&lt;="&amp;S$9,операции!$L:$L,V$9,операции!$O:$O,$F1644)</f>
        <v>1</v>
      </c>
      <c r="W1666" s="403"/>
      <c r="X1666" s="156">
        <f>SUMIFS(операции!$R:$R,операции!$X:$X,"&gt;="&amp;X$8,операции!$X:$X,"&lt;="&amp;X$9,операции!$O:$O,$F1644)</f>
        <v>5</v>
      </c>
      <c r="Y1666" s="196">
        <f t="shared" ref="Y1666" si="2966">X1666-Z1666-AA1666</f>
        <v>0</v>
      </c>
      <c r="Z1666" s="156">
        <f>SUMIFS(операции!$R:$R,операции!$X:$X,"&gt;="&amp;X$8,операции!$X:$X,"&lt;="&amp;X$9,операции!$L:$L,Z$9,операции!$O:$O,$F1644)</f>
        <v>0</v>
      </c>
      <c r="AA1666" s="245">
        <f>SUMIFS(операции!$R:$R,операции!$X:$X,"&gt;="&amp;X$8,операции!$X:$X,"&lt;="&amp;X$9,операции!$L:$L,AA$9,операции!$O:$O,$F1644)</f>
        <v>5</v>
      </c>
      <c r="AB1666" s="265"/>
      <c r="AC1666" s="37"/>
      <c r="AD1666" s="37"/>
      <c r="AE1666" s="37"/>
      <c r="AF1666" s="37"/>
      <c r="AG1666" s="37"/>
      <c r="AH1666" s="37"/>
      <c r="AI1666" s="37"/>
      <c r="AJ1666" s="37"/>
      <c r="AK1666" s="37"/>
      <c r="AL1666" s="37"/>
      <c r="AM1666" s="37"/>
      <c r="AN1666" s="37"/>
      <c r="AO1666" s="37"/>
      <c r="AP1666" s="37"/>
    </row>
    <row r="1667" spans="1:42" s="192" customFormat="1" ht="11.25">
      <c r="A1667" s="37"/>
      <c r="B1667" s="37"/>
      <c r="C1667" s="37"/>
      <c r="D1667" s="191" t="s">
        <v>333</v>
      </c>
      <c r="E1667" s="191"/>
      <c r="F1667" s="191" t="str">
        <f t="shared" si="2924"/>
        <v>С-спортКид</v>
      </c>
      <c r="G1667" s="191" t="s">
        <v>261</v>
      </c>
      <c r="H1667" s="315"/>
      <c r="I1667" s="329">
        <f>IF(I1666=0,0,I1664/I1666)</f>
        <v>5100.166666666667</v>
      </c>
      <c r="J1667" s="317"/>
      <c r="K1667" s="329">
        <f t="shared" ref="K1667" si="2967">IF(K1666=0,0,K1664/K1666)</f>
        <v>0</v>
      </c>
      <c r="L1667" s="330">
        <f t="shared" ref="L1667" si="2968">IF(L1666=0,0,L1664/L1666)</f>
        <v>5100.166666666667</v>
      </c>
      <c r="M1667" s="402"/>
      <c r="N1667" s="156">
        <f>IF(N1666=0,0,N1664/N1666)</f>
        <v>0</v>
      </c>
      <c r="O1667" s="196"/>
      <c r="P1667" s="156">
        <f>IF(P1666=0,0,P1664/P1666)</f>
        <v>0</v>
      </c>
      <c r="Q1667" s="245">
        <f>IF(Q1666=0,0,Q1664/Q1666)</f>
        <v>0</v>
      </c>
      <c r="R1667" s="403"/>
      <c r="S1667" s="156">
        <f>IF(S1666=0,0,S1664/S1666)</f>
        <v>5021</v>
      </c>
      <c r="T1667" s="196"/>
      <c r="U1667" s="156">
        <f>IF(U1666=0,0,U1664/U1666)</f>
        <v>0</v>
      </c>
      <c r="V1667" s="245">
        <f>IF(V1666=0,0,V1664/V1666)</f>
        <v>5021</v>
      </c>
      <c r="W1667" s="403"/>
      <c r="X1667" s="156">
        <f>IF(X1666=0,0,X1664/X1666)</f>
        <v>5116</v>
      </c>
      <c r="Y1667" s="196"/>
      <c r="Z1667" s="156">
        <f>IF(Z1666=0,0,Z1664/Z1666)</f>
        <v>0</v>
      </c>
      <c r="AA1667" s="245">
        <f>IF(AA1666=0,0,AA1664/AA1666)</f>
        <v>5116</v>
      </c>
      <c r="AB1667" s="265"/>
      <c r="AC1667" s="37"/>
      <c r="AD1667" s="37"/>
      <c r="AE1667" s="37"/>
      <c r="AF1667" s="37"/>
      <c r="AG1667" s="37"/>
      <c r="AH1667" s="37"/>
      <c r="AI1667" s="37"/>
      <c r="AJ1667" s="37"/>
      <c r="AK1667" s="37"/>
      <c r="AL1667" s="37"/>
      <c r="AM1667" s="37"/>
      <c r="AN1667" s="37"/>
      <c r="AO1667" s="37"/>
      <c r="AP1667" s="37"/>
    </row>
    <row r="1668" spans="1:42" s="192" customFormat="1" ht="11.25">
      <c r="A1668" s="37"/>
      <c r="B1668" s="37"/>
      <c r="C1668" s="37"/>
      <c r="D1668" s="191" t="s">
        <v>290</v>
      </c>
      <c r="E1668" s="191"/>
      <c r="F1668" s="191" t="str">
        <f>F1664</f>
        <v>С-спортКид</v>
      </c>
      <c r="G1668" s="191" t="s">
        <v>262</v>
      </c>
      <c r="H1668" s="315"/>
      <c r="I1668" s="316">
        <f>IF(I1664=0,0,SUMIFS(операции!$AG:$AG,операции!$X:$X,"&gt;="&amp;I$8,операции!$X:$X,"&lt;="&amp;I$9,операции!$O:$O,$F1644)/I1664)</f>
        <v>42341.530603575047</v>
      </c>
      <c r="J1668" s="317"/>
      <c r="K1668" s="316">
        <f>IF(K1664=0,0,SUMIFS(операции!$AG:$AG,операции!$X:$X,"&gt;="&amp;I$8,операции!$X:$X,"&lt;="&amp;I$9,операции!$L:$L,K$9,операции!$O:$O,$F1644)/K1664)</f>
        <v>0</v>
      </c>
      <c r="L1668" s="318">
        <f>IF(L1664=0,0,SUMIFS(операции!$AG:$AG,операции!$X:$X,"&gt;="&amp;I$8,операции!$X:$X,"&lt;="&amp;I$9,операции!$L:$L,L$9,операции!$O:$O,$F1644)/L1664)</f>
        <v>42341.530603575047</v>
      </c>
      <c r="M1668" s="274"/>
      <c r="N1668" s="193">
        <f>IF(N1664=0,0,SUMIFS(операции!$AG:$AG,операции!$X:$X,"&gt;="&amp;N$8,операции!$X:$X,"&lt;="&amp;N$9,операции!$O:$O,$F1644)/N1664)</f>
        <v>0</v>
      </c>
      <c r="O1668" s="196"/>
      <c r="P1668" s="193">
        <f>IF(P1664=0,0,SUMIFS(операции!$AG:$AG,операции!$X:$X,"&gt;="&amp;N$8,операции!$X:$X,"&lt;="&amp;N$9,операции!$L:$L,P$9,операции!$O:$O,$F1644)/P1664)</f>
        <v>0</v>
      </c>
      <c r="Q1668" s="237">
        <f>IF(Q1664=0,0,SUMIFS(операции!$AG:$AG,операции!$X:$X,"&gt;="&amp;N$8,операции!$X:$X,"&lt;="&amp;N$9,операции!$L:$L,Q$9,операции!$O:$O,$F1644)/Q1664)</f>
        <v>0</v>
      </c>
      <c r="R1668" s="238"/>
      <c r="S1668" s="193">
        <f>IF(S1664=0,0,SUMIFS(операции!$AG:$AG,операции!$X:$X,"&gt;="&amp;S$8,операции!$X:$X,"&lt;="&amp;S$9,операции!$O:$O,$F1644)/S1664)</f>
        <v>42326</v>
      </c>
      <c r="T1668" s="196"/>
      <c r="U1668" s="193">
        <f>IF(U1664=0,0,SUMIFS(операции!$AG:$AG,операции!$X:$X,"&gt;="&amp;S$8,операции!$X:$X,"&lt;="&amp;S$9,операции!$L:$L,U$9,операции!$O:$O,$F1644)/U1664)</f>
        <v>0</v>
      </c>
      <c r="V1668" s="237">
        <f>IF(V1664=0,0,SUMIFS(операции!$AG:$AG,операции!$X:$X,"&gt;="&amp;S$8,операции!$X:$X,"&lt;="&amp;S$9,операции!$L:$L,V$9,операции!$O:$O,$F1644)/V1664)</f>
        <v>42326</v>
      </c>
      <c r="W1668" s="238"/>
      <c r="X1668" s="193">
        <f>IF(X1664=0,0,SUMIFS(операции!$AG:$AG,операции!$X:$X,"&gt;="&amp;X$8,операции!$X:$X,"&lt;="&amp;X$9,операции!$O:$O,$F1644)/X1664)</f>
        <v>42344.579046129787</v>
      </c>
      <c r="Y1668" s="196"/>
      <c r="Z1668" s="193">
        <f>IF(Z1664=0,0,SUMIFS(операции!$AG:$AG,операции!$X:$X,"&gt;="&amp;X$8,операции!$X:$X,"&lt;="&amp;X$9,операции!$L:$L,Z$9,операции!$O:$O,$F1644)/Z1664)</f>
        <v>0</v>
      </c>
      <c r="AA1668" s="237">
        <f>IF(AA1664=0,0,SUMIFS(операции!$AG:$AG,операции!$X:$X,"&gt;="&amp;X$8,операции!$X:$X,"&lt;="&amp;X$9,операции!$L:$L,AA$9,операции!$O:$O,$F1644)/AA1664)</f>
        <v>42344.579046129787</v>
      </c>
      <c r="AB1668" s="265"/>
      <c r="AC1668" s="37"/>
      <c r="AD1668" s="37"/>
      <c r="AE1668" s="37"/>
      <c r="AF1668" s="37"/>
      <c r="AG1668" s="37"/>
      <c r="AH1668" s="37"/>
      <c r="AI1668" s="37"/>
      <c r="AJ1668" s="37"/>
      <c r="AK1668" s="37"/>
      <c r="AL1668" s="37"/>
      <c r="AM1668" s="37"/>
      <c r="AN1668" s="37"/>
      <c r="AO1668" s="37"/>
      <c r="AP1668" s="37"/>
    </row>
    <row r="1669" spans="1:42" s="93" customFormat="1" ht="15">
      <c r="A1669" s="92"/>
      <c r="B1669" s="92"/>
      <c r="C1669" s="92"/>
      <c r="D1669" s="151" t="s">
        <v>275</v>
      </c>
      <c r="E1669" s="151"/>
      <c r="F1669" s="151" t="str">
        <f t="shared" si="2924"/>
        <v>С-спортКид</v>
      </c>
      <c r="G1669" s="151" t="s">
        <v>261</v>
      </c>
      <c r="H1669" s="311"/>
      <c r="I1669" s="312">
        <f>SUMIFS(операции!$V:$V,операции!$X:$X,"&gt;="&amp;I$8,операции!$X:$X,"&lt;="&amp;I$9,операции!$O:$O,$F1644)</f>
        <v>25834.57</v>
      </c>
      <c r="J1669" s="313">
        <f>I1669-I1679-I1689</f>
        <v>0</v>
      </c>
      <c r="K1669" s="312">
        <f>SUMIFS(операции!$V:$V,операции!$X:$X,"&gt;="&amp;I$8,операции!$X:$X,"&lt;="&amp;I$9,операции!$L:$L,K$9,операции!$O:$O,$F1644)</f>
        <v>0</v>
      </c>
      <c r="L1669" s="314">
        <f>SUMIFS(операции!$V:$V,операции!$X:$X,"&gt;="&amp;I$8,операции!$X:$X,"&lt;="&amp;I$9,операции!$L:$L,L$9,операции!$O:$O,$F1644)</f>
        <v>25834.57</v>
      </c>
      <c r="M1669" s="273"/>
      <c r="N1669" s="152">
        <f>SUMIFS(операции!$V:$V,операции!$X:$X,"&gt;="&amp;N$8,операции!$X:$X,"&lt;="&amp;N$9,операции!$O:$O,$F1644)</f>
        <v>0</v>
      </c>
      <c r="O1669" s="170">
        <f>N1669-N1679-N1689</f>
        <v>0</v>
      </c>
      <c r="P1669" s="152">
        <f>SUMIFS(операции!$V:$V,операции!$X:$X,"&gt;="&amp;N$8,операции!$X:$X,"&lt;="&amp;N$9,операции!$L:$L,P$9,операции!$O:$O,$F1644)</f>
        <v>0</v>
      </c>
      <c r="Q1669" s="235">
        <f>SUMIFS(операции!$V:$V,операции!$X:$X,"&gt;="&amp;N$8,операции!$X:$X,"&lt;="&amp;N$9,операции!$L:$L,Q$9,операции!$O:$O,$F1644)</f>
        <v>0</v>
      </c>
      <c r="R1669" s="236"/>
      <c r="S1669" s="152">
        <f>SUMIFS(операции!$V:$V,операции!$X:$X,"&gt;="&amp;S$8,операции!$X:$X,"&lt;="&amp;S$9,операции!$O:$O,$F1644)</f>
        <v>4084.57</v>
      </c>
      <c r="T1669" s="170">
        <f>S1669-S1679-S1689</f>
        <v>0</v>
      </c>
      <c r="U1669" s="152">
        <f>SUMIFS(операции!$V:$V,операции!$X:$X,"&gt;="&amp;S$8,операции!$X:$X,"&lt;="&amp;S$9,операции!$L:$L,U$9,операции!$O:$O,$F1644)</f>
        <v>0</v>
      </c>
      <c r="V1669" s="235">
        <f>SUMIFS(операции!$V:$V,операции!$X:$X,"&gt;="&amp;S$8,операции!$X:$X,"&lt;="&amp;S$9,операции!$L:$L,V$9,операции!$O:$O,$F1644)</f>
        <v>4084.57</v>
      </c>
      <c r="W1669" s="236"/>
      <c r="X1669" s="152">
        <f>SUMIFS(операции!$V:$V,операции!$X:$X,"&gt;="&amp;X$8,операции!$X:$X,"&lt;="&amp;X$9,операции!$O:$O,$F1644)</f>
        <v>21750</v>
      </c>
      <c r="Y1669" s="170">
        <f>X1669-X1679-X1689</f>
        <v>0</v>
      </c>
      <c r="Z1669" s="152">
        <f>SUMIFS(операции!$V:$V,операции!$X:$X,"&gt;="&amp;X$8,операции!$X:$X,"&lt;="&amp;X$9,операции!$L:$L,Z$9,операции!$O:$O,$F1644)</f>
        <v>0</v>
      </c>
      <c r="AA1669" s="235">
        <f>SUMIFS(операции!$V:$V,операции!$X:$X,"&gt;="&amp;X$8,операции!$X:$X,"&lt;="&amp;X$9,операции!$L:$L,AA$9,операции!$O:$O,$F1644)</f>
        <v>21750</v>
      </c>
      <c r="AB1669" s="264"/>
      <c r="AC1669" s="92"/>
      <c r="AD1669" s="92"/>
      <c r="AE1669" s="92"/>
      <c r="AF1669" s="92"/>
      <c r="AG1669" s="92"/>
      <c r="AH1669" s="92"/>
      <c r="AI1669" s="92"/>
      <c r="AJ1669" s="92"/>
      <c r="AK1669" s="92"/>
      <c r="AL1669" s="92"/>
      <c r="AM1669" s="92"/>
      <c r="AN1669" s="92"/>
      <c r="AO1669" s="92"/>
      <c r="AP1669" s="92"/>
    </row>
    <row r="1670" spans="1:42" s="192" customFormat="1" ht="11.25">
      <c r="A1670" s="37"/>
      <c r="B1670" s="37"/>
      <c r="C1670" s="37"/>
      <c r="D1670" s="191" t="s">
        <v>291</v>
      </c>
      <c r="E1670" s="191"/>
      <c r="F1670" s="191" t="str">
        <f t="shared" si="2924"/>
        <v>С-спортКид</v>
      </c>
      <c r="G1670" s="191" t="s">
        <v>262</v>
      </c>
      <c r="H1670" s="315"/>
      <c r="I1670" s="316">
        <f>IF(I1669=0,0,SUMIFS(операции!$AF:$AF,операции!$X:$X,"&gt;="&amp;I$8,операции!$X:$X,"&lt;="&amp;I$9,операции!$O:$O,$F1644)/I1669)</f>
        <v>42330.605269605803</v>
      </c>
      <c r="J1670" s="317"/>
      <c r="K1670" s="316">
        <f>IF(K1669=0,0,SUMIFS(операции!$AF:$AF,операции!$X:$X,"&gt;="&amp;I$8,операции!$X:$X,"&lt;="&amp;I$9,операции!$L:$L,K$9,операции!$O:$O,$F1644)/K1669)</f>
        <v>0</v>
      </c>
      <c r="L1670" s="318">
        <f>IF(L1669=0,0,SUMIFS(операции!$AF:$AF,операции!$X:$X,"&gt;="&amp;I$8,операции!$X:$X,"&lt;="&amp;I$9,операции!$L:$L,L$9,операции!$O:$O,$F1644)/L1669)</f>
        <v>42330.605269605803</v>
      </c>
      <c r="M1670" s="274"/>
      <c r="N1670" s="193">
        <f>IF(N1669=0,0,SUMIFS(операции!$AF:$AF,операции!$X:$X,"&gt;="&amp;N$8,операции!$X:$X,"&lt;="&amp;N$9,операции!$O:$O,$F1644)/N1669)</f>
        <v>0</v>
      </c>
      <c r="O1670" s="196"/>
      <c r="P1670" s="193">
        <f>IF(P1669=0,0,SUMIFS(операции!$AF:$AF,операции!$X:$X,"&gt;="&amp;N$8,операции!$X:$X,"&lt;="&amp;N$9,операции!$L:$L,P$9,операции!$O:$O,$F1644)/P1669)</f>
        <v>0</v>
      </c>
      <c r="Q1670" s="237">
        <f>IF(Q1669=0,0,SUMIFS(операции!$AF:$AF,операции!$X:$X,"&gt;="&amp;N$8,операции!$X:$X,"&lt;="&amp;N$9,операции!$L:$L,Q$9,операции!$O:$O,$F1644)/Q1669)</f>
        <v>0</v>
      </c>
      <c r="R1670" s="238"/>
      <c r="S1670" s="193">
        <f>IF(S1669=0,0,SUMIFS(операции!$AF:$AF,операции!$X:$X,"&gt;="&amp;S$8,операции!$X:$X,"&lt;="&amp;S$9,операции!$O:$O,$F1644)/S1669)</f>
        <v>42314</v>
      </c>
      <c r="T1670" s="196"/>
      <c r="U1670" s="193">
        <f>IF(U1669=0,0,SUMIFS(операции!$AF:$AF,операции!$X:$X,"&gt;="&amp;S$8,операции!$X:$X,"&lt;="&amp;S$9,операции!$L:$L,U$9,операции!$O:$O,$F1644)/U1669)</f>
        <v>0</v>
      </c>
      <c r="V1670" s="237">
        <f>IF(V1669=0,0,SUMIFS(операции!$AF:$AF,операции!$X:$X,"&gt;="&amp;S$8,операции!$X:$X,"&lt;="&amp;S$9,операции!$L:$L,V$9,операции!$O:$O,$F1644)/V1669)</f>
        <v>42314</v>
      </c>
      <c r="W1670" s="238"/>
      <c r="X1670" s="193">
        <f>IF(X1669=0,0,SUMIFS(операции!$AF:$AF,операции!$X:$X,"&gt;="&amp;X$8,операции!$X:$X,"&lt;="&amp;X$9,операции!$O:$O,$F1644)/X1669)</f>
        <v>42333.723678160917</v>
      </c>
      <c r="Y1670" s="196"/>
      <c r="Z1670" s="193">
        <f>IF(Z1669=0,0,SUMIFS(операции!$AF:$AF,операции!$X:$X,"&gt;="&amp;X$8,операции!$X:$X,"&lt;="&amp;X$9,операции!$L:$L,Z$9,операции!$O:$O,$F1644)/Z1669)</f>
        <v>0</v>
      </c>
      <c r="AA1670" s="237">
        <f>IF(AA1669=0,0,SUMIFS(операции!$AF:$AF,операции!$X:$X,"&gt;="&amp;X$8,операции!$X:$X,"&lt;="&amp;X$9,операции!$L:$L,AA$9,операции!$O:$O,$F1644)/AA1669)</f>
        <v>42333.723678160917</v>
      </c>
      <c r="AB1670" s="265"/>
      <c r="AC1670" s="37"/>
      <c r="AD1670" s="37"/>
      <c r="AE1670" s="37"/>
      <c r="AF1670" s="37"/>
      <c r="AG1670" s="37"/>
      <c r="AH1670" s="37"/>
      <c r="AI1670" s="37"/>
      <c r="AJ1670" s="37"/>
      <c r="AK1670" s="37"/>
      <c r="AL1670" s="37"/>
      <c r="AM1670" s="37"/>
      <c r="AN1670" s="37"/>
      <c r="AO1670" s="37"/>
      <c r="AP1670" s="37"/>
    </row>
    <row r="1671" spans="1:42" s="192" customFormat="1" ht="11.25">
      <c r="A1671" s="37"/>
      <c r="B1671" s="37"/>
      <c r="C1671" s="37"/>
      <c r="D1671" s="191" t="s">
        <v>308</v>
      </c>
      <c r="E1671" s="191"/>
      <c r="F1671" s="191" t="str">
        <f t="shared" si="2924"/>
        <v>С-спортКид</v>
      </c>
      <c r="G1671" s="191" t="s">
        <v>262</v>
      </c>
      <c r="H1671" s="315"/>
      <c r="I1671" s="316">
        <f>IF(I1669=0,0,(I1679*I1681+I1689*I1691)/I1669)</f>
        <v>42354.799815905593</v>
      </c>
      <c r="J1671" s="317"/>
      <c r="K1671" s="316">
        <f t="shared" ref="K1671:L1671" si="2969">IF(K1669=0,0,(K1679*K1681+K1689*K1691)/K1669)</f>
        <v>0</v>
      </c>
      <c r="L1671" s="318">
        <f t="shared" si="2969"/>
        <v>42354.799815905593</v>
      </c>
      <c r="M1671" s="274"/>
      <c r="N1671" s="193">
        <f>IF(N1669=0,0,(N1679*N1681+N1689*N1691)/N1669)</f>
        <v>0</v>
      </c>
      <c r="O1671" s="196"/>
      <c r="P1671" s="193">
        <f t="shared" ref="P1671:Q1671" si="2970">IF(P1669=0,0,(P1679*P1681+P1689*P1691)/P1669)</f>
        <v>0</v>
      </c>
      <c r="Q1671" s="237">
        <f t="shared" si="2970"/>
        <v>0</v>
      </c>
      <c r="R1671" s="238"/>
      <c r="S1671" s="193">
        <f>IF(S1669=0,0,(S1679*S1681+S1689*S1691)/S1669)</f>
        <v>42324</v>
      </c>
      <c r="T1671" s="196"/>
      <c r="U1671" s="193">
        <f t="shared" ref="U1671:V1671" si="2971">IF(U1669=0,0,(U1679*U1681+U1689*U1691)/U1669)</f>
        <v>0</v>
      </c>
      <c r="V1671" s="237">
        <f t="shared" si="2971"/>
        <v>42324</v>
      </c>
      <c r="W1671" s="238"/>
      <c r="X1671" s="193">
        <f>IF(X1669=0,0,(X1679*X1681+X1689*X1691)/X1669)</f>
        <v>42360.583908045977</v>
      </c>
      <c r="Y1671" s="196"/>
      <c r="Z1671" s="193">
        <f t="shared" ref="Z1671:AA1671" si="2972">IF(Z1669=0,0,(Z1679*Z1681+Z1689*Z1691)/Z1669)</f>
        <v>0</v>
      </c>
      <c r="AA1671" s="237">
        <f t="shared" si="2972"/>
        <v>42360.583908045977</v>
      </c>
      <c r="AB1671" s="265"/>
      <c r="AC1671" s="37"/>
      <c r="AD1671" s="37"/>
      <c r="AE1671" s="37"/>
      <c r="AF1671" s="37"/>
      <c r="AG1671" s="37"/>
      <c r="AH1671" s="37"/>
      <c r="AI1671" s="37"/>
      <c r="AJ1671" s="37"/>
      <c r="AK1671" s="37"/>
      <c r="AL1671" s="37"/>
      <c r="AM1671" s="37"/>
      <c r="AN1671" s="37"/>
      <c r="AO1671" s="37"/>
      <c r="AP1671" s="37"/>
    </row>
    <row r="1672" spans="1:42" s="93" customFormat="1" ht="15">
      <c r="A1672" s="92"/>
      <c r="B1672" s="92"/>
      <c r="C1672" s="92"/>
      <c r="D1672" s="151" t="s">
        <v>278</v>
      </c>
      <c r="E1672" s="151"/>
      <c r="F1672" s="151" t="str">
        <f t="shared" si="2924"/>
        <v>С-спортКид</v>
      </c>
      <c r="G1672" s="151" t="s">
        <v>261</v>
      </c>
      <c r="H1672" s="311"/>
      <c r="I1672" s="312">
        <f>I1664-I1669</f>
        <v>4766.43</v>
      </c>
      <c r="J1672" s="313">
        <f>I1672-K1672-L1672</f>
        <v>0</v>
      </c>
      <c r="K1672" s="312">
        <f t="shared" ref="K1672:L1672" si="2973">K1664-K1669</f>
        <v>0</v>
      </c>
      <c r="L1672" s="314">
        <f t="shared" si="2973"/>
        <v>4766.43</v>
      </c>
      <c r="M1672" s="273"/>
      <c r="N1672" s="152">
        <f>N1664-N1669</f>
        <v>0</v>
      </c>
      <c r="O1672" s="170">
        <f>N1672-P1672-Q1672</f>
        <v>0</v>
      </c>
      <c r="P1672" s="152">
        <f t="shared" ref="P1672:Q1672" si="2974">P1664-P1669</f>
        <v>0</v>
      </c>
      <c r="Q1672" s="235">
        <f t="shared" si="2974"/>
        <v>0</v>
      </c>
      <c r="R1672" s="236"/>
      <c r="S1672" s="152">
        <f>S1664-S1669</f>
        <v>936.42999999999984</v>
      </c>
      <c r="T1672" s="170">
        <f>S1672-U1672-V1672</f>
        <v>0</v>
      </c>
      <c r="U1672" s="152">
        <f t="shared" ref="U1672:V1672" si="2975">U1664-U1669</f>
        <v>0</v>
      </c>
      <c r="V1672" s="235">
        <f t="shared" si="2975"/>
        <v>936.42999999999984</v>
      </c>
      <c r="W1672" s="236"/>
      <c r="X1672" s="152">
        <f>X1664-X1669</f>
        <v>3830</v>
      </c>
      <c r="Y1672" s="170">
        <f>X1672-Z1672-AA1672</f>
        <v>0</v>
      </c>
      <c r="Z1672" s="152">
        <f t="shared" ref="Z1672:AA1672" si="2976">Z1664-Z1669</f>
        <v>0</v>
      </c>
      <c r="AA1672" s="235">
        <f t="shared" si="2976"/>
        <v>3830</v>
      </c>
      <c r="AB1672" s="264"/>
      <c r="AC1672" s="92"/>
      <c r="AD1672" s="92"/>
      <c r="AE1672" s="92"/>
      <c r="AF1672" s="92"/>
      <c r="AG1672" s="92"/>
      <c r="AH1672" s="92"/>
      <c r="AI1672" s="92"/>
      <c r="AJ1672" s="92"/>
      <c r="AK1672" s="92"/>
      <c r="AL1672" s="92"/>
      <c r="AM1672" s="92"/>
      <c r="AN1672" s="92"/>
      <c r="AO1672" s="92"/>
      <c r="AP1672" s="92"/>
    </row>
    <row r="1673" spans="1:42" s="211" customFormat="1">
      <c r="A1673" s="210"/>
      <c r="B1673" s="210"/>
      <c r="C1673" s="210"/>
      <c r="D1673" s="218" t="s">
        <v>277</v>
      </c>
      <c r="E1673" s="218"/>
      <c r="F1673" s="218" t="str">
        <f t="shared" si="2924"/>
        <v>С-спортКид</v>
      </c>
      <c r="G1673" s="218" t="s">
        <v>218</v>
      </c>
      <c r="H1673" s="343"/>
      <c r="I1673" s="344">
        <f>IF(I1664=0,0,(I1672/I1664))</f>
        <v>0.15576059605895234</v>
      </c>
      <c r="J1673" s="345"/>
      <c r="K1673" s="344">
        <f t="shared" ref="K1673" si="2977">IF(K1664=0,0,(K1672/K1664))</f>
        <v>0</v>
      </c>
      <c r="L1673" s="346">
        <f t="shared" ref="L1673" si="2978">IF(L1664=0,0,(L1672/L1664))</f>
        <v>0.15576059605895234</v>
      </c>
      <c r="M1673" s="280"/>
      <c r="N1673" s="219">
        <f>IF(N1664=0,0,(N1672/N1664))</f>
        <v>0</v>
      </c>
      <c r="O1673" s="220"/>
      <c r="P1673" s="219">
        <f t="shared" ref="P1673" si="2979">IF(P1664=0,0,(P1672/P1664))</f>
        <v>0</v>
      </c>
      <c r="Q1673" s="252">
        <f t="shared" ref="Q1673" si="2980">IF(Q1664=0,0,(Q1672/Q1664))</f>
        <v>0</v>
      </c>
      <c r="R1673" s="253"/>
      <c r="S1673" s="219">
        <f>IF(S1664=0,0,(S1672/S1664))</f>
        <v>0.18650268870742875</v>
      </c>
      <c r="T1673" s="220"/>
      <c r="U1673" s="219">
        <f t="shared" ref="U1673" si="2981">IF(U1664=0,0,(U1672/U1664))</f>
        <v>0</v>
      </c>
      <c r="V1673" s="252">
        <f t="shared" ref="V1673" si="2982">IF(V1664=0,0,(V1672/V1664))</f>
        <v>0.18650268870742875</v>
      </c>
      <c r="W1673" s="253"/>
      <c r="X1673" s="219">
        <f>IF(X1664=0,0,(X1672/X1664))</f>
        <v>0.14972634870992962</v>
      </c>
      <c r="Y1673" s="220"/>
      <c r="Z1673" s="219">
        <f t="shared" ref="Z1673" si="2983">IF(Z1664=0,0,(Z1672/Z1664))</f>
        <v>0</v>
      </c>
      <c r="AA1673" s="252">
        <f t="shared" ref="AA1673" si="2984">IF(AA1664=0,0,(AA1672/AA1664))</f>
        <v>0.14972634870992962</v>
      </c>
      <c r="AB1673" s="267"/>
      <c r="AC1673" s="210"/>
      <c r="AD1673" s="210"/>
      <c r="AE1673" s="210"/>
      <c r="AF1673" s="210"/>
      <c r="AG1673" s="210"/>
      <c r="AH1673" s="210"/>
      <c r="AI1673" s="210"/>
      <c r="AJ1673" s="210"/>
      <c r="AK1673" s="210"/>
      <c r="AL1673" s="210"/>
      <c r="AM1673" s="210"/>
      <c r="AN1673" s="210"/>
      <c r="AO1673" s="210"/>
      <c r="AP1673" s="210"/>
    </row>
    <row r="1674" spans="1:42" s="93" customFormat="1" ht="15">
      <c r="A1674" s="92"/>
      <c r="B1674" s="92"/>
      <c r="C1674" s="92"/>
      <c r="D1674" s="198" t="s">
        <v>220</v>
      </c>
      <c r="E1674" s="198"/>
      <c r="F1674" s="198" t="str">
        <f t="shared" si="2924"/>
        <v>С-спортКид</v>
      </c>
      <c r="G1674" s="198" t="s">
        <v>219</v>
      </c>
      <c r="H1674" s="323"/>
      <c r="I1674" s="324">
        <f>I1668-I1670</f>
        <v>10.925333969244093</v>
      </c>
      <c r="J1674" s="321">
        <f>I1674-SUMIFS(ПОбТЗ!$I:$I,ПОбТЗ!$E:$E,$D1674,ПОбТЗ!$F:$F,$F1674)</f>
        <v>0</v>
      </c>
      <c r="K1674" s="324">
        <f t="shared" ref="K1674:L1674" si="2985">K1668-K1670</f>
        <v>0</v>
      </c>
      <c r="L1674" s="325">
        <f t="shared" si="2985"/>
        <v>10.925333969244093</v>
      </c>
      <c r="M1674" s="276"/>
      <c r="N1674" s="199">
        <f>N1668-N1670</f>
        <v>0</v>
      </c>
      <c r="O1674" s="173">
        <f>N1674-SUMIFS(ПОбТЗ_3!$J:$J,ПОбТЗ_3!$D:$D,$D1674,ПОбТЗ_3!$E:$E,$F1674)</f>
        <v>0</v>
      </c>
      <c r="P1674" s="199">
        <f t="shared" ref="P1674:Q1674" si="2986">P1668-P1670</f>
        <v>0</v>
      </c>
      <c r="Q1674" s="241">
        <f t="shared" si="2986"/>
        <v>0</v>
      </c>
      <c r="R1674" s="242"/>
      <c r="S1674" s="199">
        <f>S1668-S1670</f>
        <v>12</v>
      </c>
      <c r="T1674" s="173">
        <f>S1674-SUMIFS(ПОбТЗ_3!$K:$K,ПОбТЗ_3!$D:$D,$D1674,ПОбТЗ_3!$E:$E,$F1674)</f>
        <v>0</v>
      </c>
      <c r="U1674" s="199">
        <f t="shared" ref="U1674:V1674" si="2987">U1668-U1670</f>
        <v>0</v>
      </c>
      <c r="V1674" s="241">
        <f t="shared" si="2987"/>
        <v>12</v>
      </c>
      <c r="W1674" s="242"/>
      <c r="X1674" s="199">
        <f>X1668-X1670</f>
        <v>10.855367968870269</v>
      </c>
      <c r="Y1674" s="173">
        <f>X1674-SUMIFS(ПОбТЗ_3!$L:$L,ПОбТЗ_3!$D:$D,$D1674,ПОбТЗ_3!$E:$E,$F1674)</f>
        <v>0</v>
      </c>
      <c r="Z1674" s="199">
        <f t="shared" ref="Z1674:AA1674" si="2988">Z1668-Z1670</f>
        <v>0</v>
      </c>
      <c r="AA1674" s="241">
        <f t="shared" si="2988"/>
        <v>10.855367968870269</v>
      </c>
      <c r="AB1674" s="264"/>
      <c r="AC1674" s="92"/>
      <c r="AD1674" s="92"/>
      <c r="AE1674" s="92"/>
      <c r="AF1674" s="92"/>
      <c r="AG1674" s="92"/>
      <c r="AH1674" s="92"/>
      <c r="AI1674" s="92"/>
      <c r="AJ1674" s="92"/>
      <c r="AK1674" s="92"/>
      <c r="AL1674" s="92"/>
      <c r="AM1674" s="92"/>
      <c r="AN1674" s="92"/>
      <c r="AO1674" s="92"/>
      <c r="AP1674" s="92"/>
    </row>
    <row r="1675" spans="1:42" s="5" customFormat="1">
      <c r="A1675" s="1"/>
      <c r="B1675" s="1"/>
      <c r="C1675" s="1"/>
      <c r="D1675" s="227" t="s">
        <v>309</v>
      </c>
      <c r="E1675" s="227"/>
      <c r="F1675" s="227" t="str">
        <f t="shared" si="2924"/>
        <v>С-спортКид</v>
      </c>
      <c r="G1675" s="227" t="s">
        <v>219</v>
      </c>
      <c r="H1675" s="347"/>
      <c r="I1675" s="348">
        <f>I1671-I1670</f>
        <v>24.19454629979009</v>
      </c>
      <c r="J1675" s="321"/>
      <c r="K1675" s="348">
        <f t="shared" ref="K1675:L1675" si="2989">K1671-K1670</f>
        <v>0</v>
      </c>
      <c r="L1675" s="349">
        <f t="shared" si="2989"/>
        <v>24.19454629979009</v>
      </c>
      <c r="M1675" s="281"/>
      <c r="N1675" s="228">
        <f>N1671-N1670</f>
        <v>0</v>
      </c>
      <c r="O1675" s="173"/>
      <c r="P1675" s="228">
        <f t="shared" ref="P1675:Q1675" si="2990">P1671-P1670</f>
        <v>0</v>
      </c>
      <c r="Q1675" s="254">
        <f t="shared" si="2990"/>
        <v>0</v>
      </c>
      <c r="R1675" s="255"/>
      <c r="S1675" s="228">
        <f>S1671-S1670</f>
        <v>10</v>
      </c>
      <c r="T1675" s="173"/>
      <c r="U1675" s="228">
        <f t="shared" ref="U1675:V1675" si="2991">U1671-U1670</f>
        <v>0</v>
      </c>
      <c r="V1675" s="254">
        <f t="shared" si="2991"/>
        <v>10</v>
      </c>
      <c r="W1675" s="255"/>
      <c r="X1675" s="228">
        <f>X1671-X1670</f>
        <v>26.860229885060107</v>
      </c>
      <c r="Y1675" s="173"/>
      <c r="Z1675" s="228">
        <f t="shared" ref="Z1675:AA1675" si="2992">Z1671-Z1670</f>
        <v>0</v>
      </c>
      <c r="AA1675" s="254">
        <f t="shared" si="2992"/>
        <v>26.860229885060107</v>
      </c>
      <c r="AB1675" s="266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</row>
    <row r="1676" spans="1:42" s="5" customFormat="1">
      <c r="A1676" s="1"/>
      <c r="B1676" s="1"/>
      <c r="C1676" s="1"/>
      <c r="D1676" s="225" t="s">
        <v>310</v>
      </c>
      <c r="E1676" s="225"/>
      <c r="F1676" s="225" t="str">
        <f t="shared" si="2924"/>
        <v>С-спортКид</v>
      </c>
      <c r="G1676" s="225" t="s">
        <v>219</v>
      </c>
      <c r="H1676" s="350"/>
      <c r="I1676" s="351">
        <f>I1674-I1675</f>
        <v>-13.269212330545997</v>
      </c>
      <c r="J1676" s="352"/>
      <c r="K1676" s="351">
        <f t="shared" ref="K1676" si="2993">K1674-K1675</f>
        <v>0</v>
      </c>
      <c r="L1676" s="353">
        <f t="shared" ref="L1676" si="2994">L1674-L1675</f>
        <v>-13.269212330545997</v>
      </c>
      <c r="M1676" s="282"/>
      <c r="N1676" s="226">
        <f>N1674-N1675</f>
        <v>0</v>
      </c>
      <c r="O1676" s="181"/>
      <c r="P1676" s="226">
        <f t="shared" ref="P1676" si="2995">P1674-P1675</f>
        <v>0</v>
      </c>
      <c r="Q1676" s="256">
        <f t="shared" ref="Q1676" si="2996">Q1674-Q1675</f>
        <v>0</v>
      </c>
      <c r="R1676" s="257"/>
      <c r="S1676" s="226">
        <f>S1674-S1675</f>
        <v>2</v>
      </c>
      <c r="T1676" s="181"/>
      <c r="U1676" s="226">
        <f t="shared" ref="U1676" si="2997">U1674-U1675</f>
        <v>0</v>
      </c>
      <c r="V1676" s="256">
        <f t="shared" ref="V1676" si="2998">V1674-V1675</f>
        <v>2</v>
      </c>
      <c r="W1676" s="257"/>
      <c r="X1676" s="226">
        <f>X1674-X1675</f>
        <v>-16.004861916189839</v>
      </c>
      <c r="Y1676" s="181"/>
      <c r="Z1676" s="226">
        <f t="shared" ref="Z1676" si="2999">Z1674-Z1675</f>
        <v>0</v>
      </c>
      <c r="AA1676" s="256">
        <f t="shared" ref="AA1676" si="3000">AA1674-AA1675</f>
        <v>-16.004861916189839</v>
      </c>
      <c r="AB1676" s="266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</row>
    <row r="1677" spans="1:42" s="5" customFormat="1">
      <c r="A1677" s="1"/>
      <c r="B1677" s="1"/>
      <c r="C1677" s="1"/>
      <c r="D1677" s="223"/>
      <c r="E1677" s="223" t="s">
        <v>293</v>
      </c>
      <c r="F1677" s="223" t="str">
        <f t="shared" si="2924"/>
        <v>С-спортКид</v>
      </c>
      <c r="G1677" s="223" t="s">
        <v>261</v>
      </c>
      <c r="H1677" s="354"/>
      <c r="I1677" s="355">
        <f>SUMIFS(операции!$Z:$Z,операции!$X:$X,"&gt;="&amp;I$8,операции!$X:$X,"&lt;="&amp;I$9,операции!$AB:$AB,"&lt;&gt;"&amp;"",операции!$O:$O,$F1644)</f>
        <v>22043</v>
      </c>
      <c r="J1677" s="341">
        <f>I1677-K1677-L1677</f>
        <v>0</v>
      </c>
      <c r="K1677" s="355">
        <f>SUMIFS(операции!$Z:$Z,операции!$X:$X,"&gt;="&amp;I$8,операции!$X:$X,"&lt;="&amp;I$9,операции!$AB:$AB,"&lt;&gt;"&amp;"",операции!$L:$L,K$9,операции!$O:$O,$F1644)</f>
        <v>0</v>
      </c>
      <c r="L1677" s="356">
        <f>SUMIFS(операции!$Z:$Z,операции!$X:$X,"&gt;="&amp;I$8,операции!$X:$X,"&lt;="&amp;I$9,операции!$AB:$AB,"&lt;&gt;"&amp;"",операции!$L:$L,L$9,операции!$O:$O,$F1644)</f>
        <v>22043</v>
      </c>
      <c r="M1677" s="283"/>
      <c r="N1677" s="224">
        <f>SUMIFS(операции!$Z:$Z,операции!$X:$X,"&gt;="&amp;N$8,операции!$X:$X,"&lt;="&amp;N$9,операции!$AB:$AB,"&lt;&gt;"&amp;"",операции!$O:$O,$F1644)</f>
        <v>0</v>
      </c>
      <c r="O1677" s="216">
        <f>N1677-P1677-Q1677</f>
        <v>0</v>
      </c>
      <c r="P1677" s="224">
        <f>SUMIFS(операции!$Z:$Z,операции!$X:$X,"&gt;="&amp;N$8,операции!$X:$X,"&lt;="&amp;N$9,операции!$AB:$AB,"&lt;&gt;"&amp;"",операции!$L:$L,P$9,операции!$O:$O,$F1644)</f>
        <v>0</v>
      </c>
      <c r="Q1677" s="258">
        <f>SUMIFS(операции!$Z:$Z,операции!$X:$X,"&gt;="&amp;N$8,операции!$X:$X,"&lt;="&amp;N$9,операции!$AB:$AB,"&lt;&gt;"&amp;"",операции!$L:$L,Q$9,операции!$O:$O,$F1644)</f>
        <v>0</v>
      </c>
      <c r="R1677" s="259"/>
      <c r="S1677" s="224">
        <f>SUMIFS(операции!$Z:$Z,операции!$X:$X,"&gt;="&amp;S$8,операции!$X:$X,"&lt;="&amp;S$9,операции!$AB:$AB,"&lt;&gt;"&amp;"",операции!$O:$O,$F1644)</f>
        <v>5021</v>
      </c>
      <c r="T1677" s="216">
        <f>S1677-U1677-V1677</f>
        <v>0</v>
      </c>
      <c r="U1677" s="224">
        <f>SUMIFS(операции!$Z:$Z,операции!$X:$X,"&gt;="&amp;S$8,операции!$X:$X,"&lt;="&amp;S$9,операции!$AB:$AB,"&lt;&gt;"&amp;"",операции!$L:$L,U$9,операции!$O:$O,$F1644)</f>
        <v>0</v>
      </c>
      <c r="V1677" s="258">
        <f>SUMIFS(операции!$Z:$Z,операции!$X:$X,"&gt;="&amp;S$8,операции!$X:$X,"&lt;="&amp;S$9,операции!$AB:$AB,"&lt;&gt;"&amp;"",операции!$L:$L,V$9,операции!$O:$O,$F1644)</f>
        <v>5021</v>
      </c>
      <c r="W1677" s="259"/>
      <c r="X1677" s="224">
        <f>SUMIFS(операции!$Z:$Z,операции!$X:$X,"&gt;="&amp;X$8,операции!$X:$X,"&lt;="&amp;X$9,операции!$AB:$AB,"&lt;&gt;"&amp;"",операции!$O:$O,$F1644)</f>
        <v>17022</v>
      </c>
      <c r="Y1677" s="216">
        <f>X1677-Z1677-AA1677</f>
        <v>0</v>
      </c>
      <c r="Z1677" s="224">
        <f>SUMIFS(операции!$Z:$Z,операции!$X:$X,"&gt;="&amp;X$8,операции!$X:$X,"&lt;="&amp;X$9,операции!$AB:$AB,"&lt;&gt;"&amp;"",операции!$L:$L,Z$9,операции!$O:$O,$F1644)</f>
        <v>0</v>
      </c>
      <c r="AA1677" s="258">
        <f>SUMIFS(операции!$Z:$Z,операции!$X:$X,"&gt;="&amp;X$8,операции!$X:$X,"&lt;="&amp;X$9,операции!$AB:$AB,"&lt;&gt;"&amp;"",операции!$L:$L,AA$9,операции!$O:$O,$F1644)</f>
        <v>17022</v>
      </c>
      <c r="AB1677" s="266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</row>
    <row r="1678" spans="1:42" s="192" customFormat="1" ht="11.25">
      <c r="A1678" s="37"/>
      <c r="B1678" s="37"/>
      <c r="C1678" s="37"/>
      <c r="D1678" s="191"/>
      <c r="E1678" s="191" t="s">
        <v>295</v>
      </c>
      <c r="F1678" s="191" t="str">
        <f t="shared" si="2924"/>
        <v>С-спортКид</v>
      </c>
      <c r="G1678" s="191" t="s">
        <v>262</v>
      </c>
      <c r="H1678" s="315"/>
      <c r="I1678" s="316">
        <f>IF(I1677=0,0,SUMIFS(операции!$AG:$AG,операции!$X:$X,"&gt;="&amp;I$8,операции!$X:$X,"&lt;="&amp;I$9,операции!$AB:$AB,"&lt;&gt;"&amp;"",операции!$O:$O,$F1644)/I1677)</f>
        <v>42341.222519620744</v>
      </c>
      <c r="J1678" s="317"/>
      <c r="K1678" s="316">
        <f>IF(K1677=0,0,SUMIFS(операции!$AG:$AG,операции!$X:$X,"&gt;="&amp;I$8,операции!$X:$X,"&lt;="&amp;I$9,операции!$AB:$AB,"&lt;&gt;"&amp;"",операции!$L:$L,K$9,операции!$O:$O,$F1644)/K1677)</f>
        <v>0</v>
      </c>
      <c r="L1678" s="318">
        <f>IF(L1677=0,0,SUMIFS(операции!$AG:$AG,операции!$X:$X,"&gt;="&amp;I$8,операции!$X:$X,"&lt;="&amp;I$9,операции!$AB:$AB,"&lt;&gt;"&amp;"",операции!$L:$L,L$9,операции!$O:$O,$F1644)/L1677)</f>
        <v>42341.222519620744</v>
      </c>
      <c r="M1678" s="274"/>
      <c r="N1678" s="193">
        <f>IF(N1677=0,0,SUMIFS(операции!$AG:$AG,операции!$X:$X,"&gt;="&amp;N$8,операции!$X:$X,"&lt;="&amp;N$9,операции!$AB:$AB,"&lt;&gt;"&amp;"",операции!$O:$O,$F1644)/N1677)</f>
        <v>0</v>
      </c>
      <c r="O1678" s="196"/>
      <c r="P1678" s="193">
        <f>IF(P1677=0,0,SUMIFS(операции!$AG:$AG,операции!$X:$X,"&gt;="&amp;N$8,операции!$X:$X,"&lt;="&amp;N$9,операции!$AB:$AB,"&lt;&gt;"&amp;"",операции!$L:$L,P$9,операции!$O:$O,$F1644)/P1677)</f>
        <v>0</v>
      </c>
      <c r="Q1678" s="237">
        <f>IF(Q1677=0,0,SUMIFS(операции!$AG:$AG,операции!$X:$X,"&gt;="&amp;N$8,операции!$X:$X,"&lt;="&amp;N$9,операции!$AB:$AB,"&lt;&gt;"&amp;"",операции!$L:$L,Q$9,операции!$O:$O,$F1644)/Q1677)</f>
        <v>0</v>
      </c>
      <c r="R1678" s="238"/>
      <c r="S1678" s="193">
        <f>IF(S1677=0,0,SUMIFS(операции!$AG:$AG,операции!$X:$X,"&gt;="&amp;S$8,операции!$X:$X,"&lt;="&amp;S$9,операции!$AB:$AB,"&lt;&gt;"&amp;"",операции!$O:$O,$F1644)/S1677)</f>
        <v>42326</v>
      </c>
      <c r="T1678" s="196"/>
      <c r="U1678" s="193">
        <f>IF(U1677=0,0,SUMIFS(операции!$AG:$AG,операции!$X:$X,"&gt;="&amp;S$8,операции!$X:$X,"&lt;="&amp;S$9,операции!$AB:$AB,"&lt;&gt;"&amp;"",операции!$L:$L,U$9,операции!$O:$O,$F1644)/U1677)</f>
        <v>0</v>
      </c>
      <c r="V1678" s="237">
        <f>IF(V1677=0,0,SUMIFS(операции!$AG:$AG,операции!$X:$X,"&gt;="&amp;S$8,операции!$X:$X,"&lt;="&amp;S$9,операции!$AB:$AB,"&lt;&gt;"&amp;"",операции!$L:$L,V$9,операции!$O:$O,$F1644)/V1677)</f>
        <v>42326</v>
      </c>
      <c r="W1678" s="238"/>
      <c r="X1678" s="193">
        <f>IF(X1677=0,0,SUMIFS(операции!$AG:$AG,операции!$X:$X,"&gt;="&amp;X$8,операции!$X:$X,"&lt;="&amp;X$9,операции!$AB:$AB,"&lt;&gt;"&amp;"",операции!$O:$O,$F1644)/X1677)</f>
        <v>42345.712724709199</v>
      </c>
      <c r="Y1678" s="196"/>
      <c r="Z1678" s="193">
        <f>IF(Z1677=0,0,SUMIFS(операции!$AG:$AG,операции!$X:$X,"&gt;="&amp;X$8,операции!$X:$X,"&lt;="&amp;X$9,операции!$AB:$AB,"&lt;&gt;"&amp;"",операции!$L:$L,Z$9,операции!$O:$O,$F1644)/Z1677)</f>
        <v>0</v>
      </c>
      <c r="AA1678" s="237">
        <f>IF(AA1677=0,0,SUMIFS(операции!$AG:$AG,операции!$X:$X,"&gt;="&amp;X$8,операции!$X:$X,"&lt;="&amp;X$9,операции!$AB:$AB,"&lt;&gt;"&amp;"",операции!$L:$L,AA$9,операции!$O:$O,$F1644)/AA1677)</f>
        <v>42345.712724709199</v>
      </c>
      <c r="AB1678" s="265"/>
      <c r="AC1678" s="37"/>
      <c r="AD1678" s="37"/>
      <c r="AE1678" s="37"/>
      <c r="AF1678" s="37"/>
      <c r="AG1678" s="37"/>
      <c r="AH1678" s="37"/>
      <c r="AI1678" s="37"/>
      <c r="AJ1678" s="37"/>
      <c r="AK1678" s="37"/>
      <c r="AL1678" s="37"/>
      <c r="AM1678" s="37"/>
      <c r="AN1678" s="37"/>
      <c r="AO1678" s="37"/>
      <c r="AP1678" s="37"/>
    </row>
    <row r="1679" spans="1:42" s="93" customFormat="1" ht="15">
      <c r="A1679" s="92"/>
      <c r="B1679" s="92"/>
      <c r="C1679" s="92"/>
      <c r="D1679" s="151"/>
      <c r="E1679" s="151" t="s">
        <v>292</v>
      </c>
      <c r="F1679" s="151" t="str">
        <f t="shared" si="2924"/>
        <v>С-спортКид</v>
      </c>
      <c r="G1679" s="151" t="s">
        <v>261</v>
      </c>
      <c r="H1679" s="311"/>
      <c r="I1679" s="312">
        <f>SUMIFS(операции!$V:$V,операции!$X:$X,"&gt;="&amp;I$8,операции!$X:$X,"&lt;="&amp;I$9,операции!$AB:$AB,"&lt;&gt;"&amp;"",операции!$O:$O,$F1644)</f>
        <v>18894.57</v>
      </c>
      <c r="J1679" s="313">
        <f>I1679-K1679-L1679</f>
        <v>0</v>
      </c>
      <c r="K1679" s="312">
        <f>SUMIFS(операции!$V:$V,операции!$X:$X,"&gt;="&amp;I$8,операции!$X:$X,"&lt;="&amp;I$9,операции!$AB:$AB,"&lt;&gt;"&amp;"",операции!$L:$L,K$9,операции!$O:$O,$F1644)</f>
        <v>0</v>
      </c>
      <c r="L1679" s="314">
        <f>SUMIFS(операции!$V:$V,операции!$X:$X,"&gt;="&amp;I$8,операции!$X:$X,"&lt;="&amp;I$9,операции!$AB:$AB,"&lt;&gt;"&amp;"",операции!$L:$L,L$9,операции!$O:$O,$F1644)</f>
        <v>18894.57</v>
      </c>
      <c r="M1679" s="273"/>
      <c r="N1679" s="152">
        <f>SUMIFS(операции!$V:$V,операции!$X:$X,"&gt;="&amp;N$8,операции!$X:$X,"&lt;="&amp;N$9,операции!$AB:$AB,"&lt;&gt;"&amp;"",операции!$O:$O,$F1644)</f>
        <v>0</v>
      </c>
      <c r="O1679" s="170">
        <f>N1679-P1679-Q1679</f>
        <v>0</v>
      </c>
      <c r="P1679" s="152">
        <f>SUMIFS(операции!$V:$V,операции!$X:$X,"&gt;="&amp;N$8,операции!$X:$X,"&lt;="&amp;N$9,операции!$AB:$AB,"&lt;&gt;"&amp;"",операции!$L:$L,P$9,операции!$O:$O,$F1644)</f>
        <v>0</v>
      </c>
      <c r="Q1679" s="235">
        <f>SUMIFS(операции!$V:$V,операции!$X:$X,"&gt;="&amp;N$8,операции!$X:$X,"&lt;="&amp;N$9,операции!$AB:$AB,"&lt;&gt;"&amp;"",операции!$L:$L,Q$9,операции!$O:$O,$F1644)</f>
        <v>0</v>
      </c>
      <c r="R1679" s="236"/>
      <c r="S1679" s="152">
        <f>SUMIFS(операции!$V:$V,операции!$X:$X,"&gt;="&amp;S$8,операции!$X:$X,"&lt;="&amp;S$9,операции!$AB:$AB,"&lt;&gt;"&amp;"",операции!$O:$O,$F1644)</f>
        <v>4084.57</v>
      </c>
      <c r="T1679" s="170">
        <f>S1679-U1679-V1679</f>
        <v>0</v>
      </c>
      <c r="U1679" s="152">
        <f>SUMIFS(операции!$V:$V,операции!$X:$X,"&gt;="&amp;S$8,операции!$X:$X,"&lt;="&amp;S$9,операции!$AB:$AB,"&lt;&gt;"&amp;"",операции!$L:$L,U$9,операции!$O:$O,$F1644)</f>
        <v>0</v>
      </c>
      <c r="V1679" s="235">
        <f>SUMIFS(операции!$V:$V,операции!$X:$X,"&gt;="&amp;S$8,операции!$X:$X,"&lt;="&amp;S$9,операции!$AB:$AB,"&lt;&gt;"&amp;"",операции!$L:$L,V$9,операции!$O:$O,$F1644)</f>
        <v>4084.57</v>
      </c>
      <c r="W1679" s="236"/>
      <c r="X1679" s="152">
        <f>SUMIFS(операции!$V:$V,операции!$X:$X,"&gt;="&amp;X$8,операции!$X:$X,"&lt;="&amp;X$9,операции!$AB:$AB,"&lt;&gt;"&amp;"",операции!$O:$O,$F1644)</f>
        <v>14810</v>
      </c>
      <c r="Y1679" s="170">
        <f>X1679-Z1679-AA1679</f>
        <v>0</v>
      </c>
      <c r="Z1679" s="152">
        <f>SUMIFS(операции!$V:$V,операции!$X:$X,"&gt;="&amp;X$8,операции!$X:$X,"&lt;="&amp;X$9,операции!$AB:$AB,"&lt;&gt;"&amp;"",операции!$L:$L,Z$9,операции!$O:$O,$F1644)</f>
        <v>0</v>
      </c>
      <c r="AA1679" s="235">
        <f>SUMIFS(операции!$V:$V,операции!$X:$X,"&gt;="&amp;X$8,операции!$X:$X,"&lt;="&amp;X$9,операции!$AB:$AB,"&lt;&gt;"&amp;"",операции!$L:$L,AA$9,операции!$O:$O,$F1644)</f>
        <v>14810</v>
      </c>
      <c r="AB1679" s="264"/>
      <c r="AC1679" s="92"/>
      <c r="AD1679" s="92"/>
      <c r="AE1679" s="92"/>
      <c r="AF1679" s="92"/>
      <c r="AG1679" s="92"/>
      <c r="AH1679" s="92"/>
      <c r="AI1679" s="92"/>
      <c r="AJ1679" s="92"/>
      <c r="AK1679" s="92"/>
      <c r="AL1679" s="92"/>
      <c r="AM1679" s="92"/>
      <c r="AN1679" s="92"/>
      <c r="AO1679" s="92"/>
      <c r="AP1679" s="92"/>
    </row>
    <row r="1680" spans="1:42" s="192" customFormat="1" ht="11.25">
      <c r="A1680" s="37"/>
      <c r="B1680" s="37"/>
      <c r="C1680" s="37"/>
      <c r="D1680" s="191"/>
      <c r="E1680" s="191" t="s">
        <v>294</v>
      </c>
      <c r="F1680" s="191" t="str">
        <f t="shared" si="2924"/>
        <v>С-спортКид</v>
      </c>
      <c r="G1680" s="191" t="s">
        <v>262</v>
      </c>
      <c r="H1680" s="315"/>
      <c r="I1680" s="316">
        <f>IF(I1679=0,0,SUMIFS(операции!$AF:$AF,операции!$X:$X,"&gt;="&amp;I$8,операции!$X:$X,"&lt;="&amp;I$9,операции!$AB:$AB,"&lt;&gt;"&amp;"",операции!$O:$O,$F1644)/I1679)</f>
        <v>42329.725682034579</v>
      </c>
      <c r="J1680" s="317"/>
      <c r="K1680" s="316">
        <f>IF(K1679=0,0,SUMIFS(операции!$AF:$AF,операции!$X:$X,"&gt;="&amp;I$8,операции!$X:$X,"&lt;="&amp;I$9,операции!$AB:$AB,"&lt;&gt;"&amp;"",операции!$L:$L,K$9,операции!$O:$O,$F1644)/K1679)</f>
        <v>0</v>
      </c>
      <c r="L1680" s="318">
        <f>IF(L1679=0,0,SUMIFS(операции!$AF:$AF,операции!$X:$X,"&gt;="&amp;I$8,операции!$X:$X,"&lt;="&amp;I$9,операции!$AB:$AB,"&lt;&gt;"&amp;"",операции!$L:$L,L$9,операции!$O:$O,$F1644)/L1679)</f>
        <v>42329.725682034579</v>
      </c>
      <c r="M1680" s="274"/>
      <c r="N1680" s="193">
        <f>IF(N1679=0,0,SUMIFS(операции!$AF:$AF,операции!$X:$X,"&gt;="&amp;N$8,операции!$X:$X,"&lt;="&amp;N$9,операции!$AB:$AB,"&lt;&gt;"&amp;"",операции!$O:$O,$F1644)/N1679)</f>
        <v>0</v>
      </c>
      <c r="O1680" s="196"/>
      <c r="P1680" s="193">
        <f>IF(P1679=0,0,SUMIFS(операции!$AF:$AF,операции!$X:$X,"&gt;="&amp;N$8,операции!$X:$X,"&lt;="&amp;N$9,операции!$AB:$AB,"&lt;&gt;"&amp;"",операции!$L:$L,P$9,операции!$O:$O,$F1644)/P1679)</f>
        <v>0</v>
      </c>
      <c r="Q1680" s="237">
        <f>IF(Q1679=0,0,SUMIFS(операции!$AF:$AF,операции!$X:$X,"&gt;="&amp;N$8,операции!$X:$X,"&lt;="&amp;N$9,операции!$AB:$AB,"&lt;&gt;"&amp;"",операции!$L:$L,Q$9,операции!$O:$O,$F1644)/Q1679)</f>
        <v>0</v>
      </c>
      <c r="R1680" s="238"/>
      <c r="S1680" s="193">
        <f>IF(S1679=0,0,SUMIFS(операции!$AF:$AF,операции!$X:$X,"&gt;="&amp;S$8,операции!$X:$X,"&lt;="&amp;S$9,операции!$AB:$AB,"&lt;&gt;"&amp;"",операции!$O:$O,$F1644)/S1679)</f>
        <v>42314</v>
      </c>
      <c r="T1680" s="196"/>
      <c r="U1680" s="193">
        <f>IF(U1679=0,0,SUMIFS(операции!$AF:$AF,операции!$X:$X,"&gt;="&amp;S$8,операции!$X:$X,"&lt;="&amp;S$9,операции!$AB:$AB,"&lt;&gt;"&amp;"",операции!$L:$L,U$9,операции!$O:$O,$F1644)/U1679)</f>
        <v>0</v>
      </c>
      <c r="V1680" s="237">
        <f>IF(V1679=0,0,SUMIFS(операции!$AF:$AF,операции!$X:$X,"&gt;="&amp;S$8,операции!$X:$X,"&lt;="&amp;S$9,операции!$AB:$AB,"&lt;&gt;"&amp;"",операции!$L:$L,V$9,операции!$O:$O,$F1644)/V1679)</f>
        <v>42314</v>
      </c>
      <c r="W1680" s="238"/>
      <c r="X1680" s="193">
        <f>IF(X1679=0,0,SUMIFS(операции!$AF:$AF,операции!$X:$X,"&gt;="&amp;X$8,операции!$X:$X,"&lt;="&amp;X$9,операции!$AB:$AB,"&lt;&gt;"&amp;"",операции!$O:$O,$F1644)/X1679)</f>
        <v>42334.062795408507</v>
      </c>
      <c r="Y1680" s="196"/>
      <c r="Z1680" s="193">
        <f>IF(Z1679=0,0,SUMIFS(операции!$AF:$AF,операции!$X:$X,"&gt;="&amp;X$8,операции!$X:$X,"&lt;="&amp;X$9,операции!$AB:$AB,"&lt;&gt;"&amp;"",операции!$L:$L,Z$9,операции!$O:$O,$F1644)/Z1679)</f>
        <v>0</v>
      </c>
      <c r="AA1680" s="237">
        <f>IF(AA1679=0,0,SUMIFS(операции!$AF:$AF,операции!$X:$X,"&gt;="&amp;X$8,операции!$X:$X,"&lt;="&amp;X$9,операции!$AB:$AB,"&lt;&gt;"&amp;"",операции!$L:$L,AA$9,операции!$O:$O,$F1644)/AA1679)</f>
        <v>42334.062795408507</v>
      </c>
      <c r="AB1680" s="265"/>
      <c r="AC1680" s="37"/>
      <c r="AD1680" s="37"/>
      <c r="AE1680" s="37"/>
      <c r="AF1680" s="37"/>
      <c r="AG1680" s="37"/>
      <c r="AH1680" s="37"/>
      <c r="AI1680" s="37"/>
      <c r="AJ1680" s="37"/>
      <c r="AK1680" s="37"/>
      <c r="AL1680" s="37"/>
      <c r="AM1680" s="37"/>
      <c r="AN1680" s="37"/>
      <c r="AO1680" s="37"/>
      <c r="AP1680" s="37"/>
    </row>
    <row r="1681" spans="1:42" s="192" customFormat="1" ht="11.25">
      <c r="A1681" s="37"/>
      <c r="B1681" s="37"/>
      <c r="C1681" s="37"/>
      <c r="D1681" s="191"/>
      <c r="E1681" s="191" t="s">
        <v>299</v>
      </c>
      <c r="F1681" s="191" t="str">
        <f t="shared" si="2924"/>
        <v>С-спортКид</v>
      </c>
      <c r="G1681" s="191" t="s">
        <v>262</v>
      </c>
      <c r="H1681" s="315"/>
      <c r="I1681" s="316">
        <f>IF(I1679=0,0,SUMIFS(операции!$AH:$AH,операции!$X:$X,"&gt;="&amp;I$8,операции!$X:$X,"&lt;="&amp;I$9,операции!$AB:$AB,"&lt;&gt;"&amp;"",операции!$O:$O,$F1644)/I1679)</f>
        <v>42349.584069920624</v>
      </c>
      <c r="J1681" s="317"/>
      <c r="K1681" s="316">
        <f>IF(K1679=0,0,SUMIFS(операции!$AH:$AH,операции!$X:$X,"&gt;="&amp;I$8,операции!$X:$X,"&lt;="&amp;I$9,операции!$AB:$AB,"&lt;&gt;"&amp;"",операции!$L:$L,K$9,операции!$O:$O,$F1644)/K1679)</f>
        <v>0</v>
      </c>
      <c r="L1681" s="318">
        <f>IF(L1679=0,0,SUMIFS(операции!$AH:$AH,операции!$X:$X,"&gt;="&amp;I$8,операции!$X:$X,"&lt;="&amp;I$9,операции!$AB:$AB,"&lt;&gt;"&amp;"",операции!$L:$L,L$9,операции!$O:$O,$F1644)/L1679)</f>
        <v>42349.584069920624</v>
      </c>
      <c r="M1681" s="274"/>
      <c r="N1681" s="193">
        <f>IF(N1679=0,0,SUMIFS(операции!$AH:$AH,операции!$X:$X,"&gt;="&amp;N$8,операции!$X:$X,"&lt;="&amp;N$9,операции!$AB:$AB,"&lt;&gt;"&amp;"",операции!$O:$O,$F1644)/N1679)</f>
        <v>0</v>
      </c>
      <c r="O1681" s="196"/>
      <c r="P1681" s="193">
        <f>IF(P1679=0,0,SUMIFS(операции!$AH:$AH,операции!$X:$X,"&gt;="&amp;N$8,операции!$X:$X,"&lt;="&amp;N$9,операции!$AB:$AB,"&lt;&gt;"&amp;"",операции!$L:$L,P$9,операции!$O:$O,$F1644)/P1679)</f>
        <v>0</v>
      </c>
      <c r="Q1681" s="237">
        <f>IF(Q1679=0,0,SUMIFS(операции!$AH:$AH,операции!$X:$X,"&gt;="&amp;N$8,операции!$X:$X,"&lt;="&amp;N$9,операции!$AB:$AB,"&lt;&gt;"&amp;"",операции!$L:$L,Q$9,операции!$O:$O,$F1644)/Q1679)</f>
        <v>0</v>
      </c>
      <c r="R1681" s="238"/>
      <c r="S1681" s="193">
        <f>IF(S1679=0,0,SUMIFS(операции!$AH:$AH,операции!$X:$X,"&gt;="&amp;S$8,операции!$X:$X,"&lt;="&amp;S$9,операции!$AB:$AB,"&lt;&gt;"&amp;"",операции!$O:$O,$F1644)/S1679)</f>
        <v>42324</v>
      </c>
      <c r="T1681" s="196"/>
      <c r="U1681" s="193">
        <f>IF(U1679=0,0,SUMIFS(операции!$AH:$AH,операции!$X:$X,"&gt;="&amp;S$8,операции!$X:$X,"&lt;="&amp;S$9,операции!$AB:$AB,"&lt;&gt;"&amp;"",операции!$L:$L,U$9,операции!$O:$O,$F1644)/U1679)</f>
        <v>0</v>
      </c>
      <c r="V1681" s="237">
        <f>IF(V1679=0,0,SUMIFS(операции!$AH:$AH,операции!$X:$X,"&gt;="&amp;S$8,операции!$X:$X,"&lt;="&amp;S$9,операции!$AB:$AB,"&lt;&gt;"&amp;"",операции!$L:$L,V$9,операции!$O:$O,$F1644)/V1679)</f>
        <v>42324</v>
      </c>
      <c r="W1681" s="238"/>
      <c r="X1681" s="193">
        <f>IF(X1679=0,0,SUMIFS(операции!$AH:$AH,операции!$X:$X,"&gt;="&amp;X$8,операции!$X:$X,"&lt;="&amp;X$9,операции!$AB:$AB,"&lt;&gt;"&amp;"",операции!$O:$O,$F1644)/X1679)</f>
        <v>42356.640108035113</v>
      </c>
      <c r="Y1681" s="196"/>
      <c r="Z1681" s="193">
        <f>IF(Z1679=0,0,SUMIFS(операции!$AH:$AH,операции!$X:$X,"&gt;="&amp;X$8,операции!$X:$X,"&lt;="&amp;X$9,операции!$AB:$AB,"&lt;&gt;"&amp;"",операции!$L:$L,Z$9,операции!$O:$O,$F1644)/Z1679)</f>
        <v>0</v>
      </c>
      <c r="AA1681" s="237">
        <f>IF(AA1679=0,0,SUMIFS(операции!$AH:$AH,операции!$X:$X,"&gt;="&amp;X$8,операции!$X:$X,"&lt;="&amp;X$9,операции!$AB:$AB,"&lt;&gt;"&amp;"",операции!$L:$L,AA$9,операции!$O:$O,$F1644)/AA1679)</f>
        <v>42356.640108035113</v>
      </c>
      <c r="AB1681" s="265"/>
      <c r="AC1681" s="37"/>
      <c r="AD1681" s="37"/>
      <c r="AE1681" s="37"/>
      <c r="AF1681" s="37"/>
      <c r="AG1681" s="37"/>
      <c r="AH1681" s="37"/>
      <c r="AI1681" s="37"/>
      <c r="AJ1681" s="37"/>
      <c r="AK1681" s="37"/>
      <c r="AL1681" s="37"/>
      <c r="AM1681" s="37"/>
      <c r="AN1681" s="37"/>
      <c r="AO1681" s="37"/>
      <c r="AP1681" s="37"/>
    </row>
    <row r="1682" spans="1:42" s="5" customFormat="1">
      <c r="A1682" s="1"/>
      <c r="B1682" s="1"/>
      <c r="C1682" s="1"/>
      <c r="D1682" s="168"/>
      <c r="E1682" s="168" t="s">
        <v>296</v>
      </c>
      <c r="F1682" s="168" t="str">
        <f t="shared" si="2924"/>
        <v>С-спортКид</v>
      </c>
      <c r="G1682" s="168" t="s">
        <v>261</v>
      </c>
      <c r="H1682" s="326"/>
      <c r="I1682" s="327">
        <f>I1677-I1679</f>
        <v>3148.4300000000003</v>
      </c>
      <c r="J1682" s="313">
        <f>I1682-K1682-L1682</f>
        <v>0</v>
      </c>
      <c r="K1682" s="327">
        <f t="shared" ref="K1682:L1682" si="3001">K1677-K1679</f>
        <v>0</v>
      </c>
      <c r="L1682" s="328">
        <f t="shared" si="3001"/>
        <v>3148.4300000000003</v>
      </c>
      <c r="M1682" s="277"/>
      <c r="N1682" s="169">
        <f>N1677-N1679</f>
        <v>0</v>
      </c>
      <c r="O1682" s="170">
        <f>N1682-P1682-Q1682</f>
        <v>0</v>
      </c>
      <c r="P1682" s="169">
        <f t="shared" ref="P1682:Q1682" si="3002">P1677-P1679</f>
        <v>0</v>
      </c>
      <c r="Q1682" s="243">
        <f t="shared" si="3002"/>
        <v>0</v>
      </c>
      <c r="R1682" s="244"/>
      <c r="S1682" s="169">
        <f>S1677-S1679</f>
        <v>936.42999999999984</v>
      </c>
      <c r="T1682" s="170">
        <f>S1682-U1682-V1682</f>
        <v>0</v>
      </c>
      <c r="U1682" s="169">
        <f t="shared" ref="U1682:V1682" si="3003">U1677-U1679</f>
        <v>0</v>
      </c>
      <c r="V1682" s="243">
        <f t="shared" si="3003"/>
        <v>936.42999999999984</v>
      </c>
      <c r="W1682" s="244"/>
      <c r="X1682" s="169">
        <f>X1677-X1679</f>
        <v>2212</v>
      </c>
      <c r="Y1682" s="170">
        <f>X1682-Z1682-AA1682</f>
        <v>0</v>
      </c>
      <c r="Z1682" s="169">
        <f t="shared" ref="Z1682:AA1682" si="3004">Z1677-Z1679</f>
        <v>0</v>
      </c>
      <c r="AA1682" s="243">
        <f t="shared" si="3004"/>
        <v>2212</v>
      </c>
      <c r="AB1682" s="266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</row>
    <row r="1683" spans="1:42" s="211" customFormat="1">
      <c r="A1683" s="210"/>
      <c r="B1683" s="210"/>
      <c r="C1683" s="210"/>
      <c r="D1683" s="218"/>
      <c r="E1683" s="218" t="s">
        <v>297</v>
      </c>
      <c r="F1683" s="218" t="str">
        <f t="shared" si="2924"/>
        <v>С-спортКид</v>
      </c>
      <c r="G1683" s="218" t="s">
        <v>218</v>
      </c>
      <c r="H1683" s="343"/>
      <c r="I1683" s="344">
        <f>IF(I1677=0,0,(I1682/I1677))</f>
        <v>0.14283128430794359</v>
      </c>
      <c r="J1683" s="345"/>
      <c r="K1683" s="344">
        <f t="shared" ref="K1683" si="3005">IF(K1677=0,0,(K1682/K1677))</f>
        <v>0</v>
      </c>
      <c r="L1683" s="346">
        <f t="shared" ref="L1683" si="3006">IF(L1677=0,0,(L1682/L1677))</f>
        <v>0.14283128430794359</v>
      </c>
      <c r="M1683" s="280"/>
      <c r="N1683" s="219">
        <f>IF(N1677=0,0,(N1682/N1677))</f>
        <v>0</v>
      </c>
      <c r="O1683" s="220"/>
      <c r="P1683" s="219">
        <f t="shared" ref="P1683" si="3007">IF(P1677=0,0,(P1682/P1677))</f>
        <v>0</v>
      </c>
      <c r="Q1683" s="252">
        <f t="shared" ref="Q1683" si="3008">IF(Q1677=0,0,(Q1682/Q1677))</f>
        <v>0</v>
      </c>
      <c r="R1683" s="253"/>
      <c r="S1683" s="219">
        <f>IF(S1677=0,0,(S1682/S1677))</f>
        <v>0.18650268870742875</v>
      </c>
      <c r="T1683" s="220"/>
      <c r="U1683" s="219">
        <f t="shared" ref="U1683" si="3009">IF(U1677=0,0,(U1682/U1677))</f>
        <v>0</v>
      </c>
      <c r="V1683" s="252">
        <f t="shared" ref="V1683" si="3010">IF(V1677=0,0,(V1682/V1677))</f>
        <v>0.18650268870742875</v>
      </c>
      <c r="W1683" s="253"/>
      <c r="X1683" s="219">
        <f>IF(X1677=0,0,(X1682/X1677))</f>
        <v>0.12994947714722124</v>
      </c>
      <c r="Y1683" s="220"/>
      <c r="Z1683" s="219">
        <f t="shared" ref="Z1683" si="3011">IF(Z1677=0,0,(Z1682/Z1677))</f>
        <v>0</v>
      </c>
      <c r="AA1683" s="252">
        <f t="shared" ref="AA1683" si="3012">IF(AA1677=0,0,(AA1682/AA1677))</f>
        <v>0.12994947714722124</v>
      </c>
      <c r="AB1683" s="267"/>
      <c r="AC1683" s="210"/>
      <c r="AD1683" s="210"/>
      <c r="AE1683" s="210"/>
      <c r="AF1683" s="210"/>
      <c r="AG1683" s="210"/>
      <c r="AH1683" s="210"/>
      <c r="AI1683" s="210"/>
      <c r="AJ1683" s="210"/>
      <c r="AK1683" s="210"/>
      <c r="AL1683" s="210"/>
      <c r="AM1683" s="210"/>
      <c r="AN1683" s="210"/>
      <c r="AO1683" s="210"/>
      <c r="AP1683" s="210"/>
    </row>
    <row r="1684" spans="1:42" s="5" customFormat="1">
      <c r="A1684" s="1"/>
      <c r="B1684" s="1"/>
      <c r="C1684" s="1"/>
      <c r="D1684" s="227"/>
      <c r="E1684" s="227" t="s">
        <v>298</v>
      </c>
      <c r="F1684" s="227" t="str">
        <f t="shared" si="2924"/>
        <v>С-спортКид</v>
      </c>
      <c r="G1684" s="227" t="s">
        <v>219</v>
      </c>
      <c r="H1684" s="347"/>
      <c r="I1684" s="348">
        <f>I1678-I1680</f>
        <v>11.496837586164474</v>
      </c>
      <c r="J1684" s="321"/>
      <c r="K1684" s="348">
        <f t="shared" ref="K1684:L1684" si="3013">K1678-K1680</f>
        <v>0</v>
      </c>
      <c r="L1684" s="349">
        <f t="shared" si="3013"/>
        <v>11.496837586164474</v>
      </c>
      <c r="M1684" s="281"/>
      <c r="N1684" s="228">
        <f>N1678-N1680</f>
        <v>0</v>
      </c>
      <c r="O1684" s="173"/>
      <c r="P1684" s="228">
        <f t="shared" ref="P1684:Q1684" si="3014">P1678-P1680</f>
        <v>0</v>
      </c>
      <c r="Q1684" s="254">
        <f t="shared" si="3014"/>
        <v>0</v>
      </c>
      <c r="R1684" s="255"/>
      <c r="S1684" s="228">
        <f>S1678-S1680</f>
        <v>12</v>
      </c>
      <c r="T1684" s="173"/>
      <c r="U1684" s="228">
        <f t="shared" ref="U1684:V1684" si="3015">U1678-U1680</f>
        <v>0</v>
      </c>
      <c r="V1684" s="254">
        <f t="shared" si="3015"/>
        <v>12</v>
      </c>
      <c r="W1684" s="255"/>
      <c r="X1684" s="228">
        <f>X1678-X1680</f>
        <v>11.649929300692747</v>
      </c>
      <c r="Y1684" s="173"/>
      <c r="Z1684" s="228">
        <f t="shared" ref="Z1684:AA1684" si="3016">Z1678-Z1680</f>
        <v>0</v>
      </c>
      <c r="AA1684" s="254">
        <f t="shared" si="3016"/>
        <v>11.649929300692747</v>
      </c>
      <c r="AB1684" s="266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</row>
    <row r="1685" spans="1:42" s="5" customFormat="1">
      <c r="A1685" s="1"/>
      <c r="B1685" s="1"/>
      <c r="C1685" s="1"/>
      <c r="D1685" s="227"/>
      <c r="E1685" s="227" t="s">
        <v>300</v>
      </c>
      <c r="F1685" s="227" t="str">
        <f t="shared" si="2924"/>
        <v>С-спортКид</v>
      </c>
      <c r="G1685" s="227" t="s">
        <v>219</v>
      </c>
      <c r="H1685" s="347"/>
      <c r="I1685" s="348">
        <f>I1681-I1680</f>
        <v>19.858387886044511</v>
      </c>
      <c r="J1685" s="321"/>
      <c r="K1685" s="348">
        <f t="shared" ref="K1685:L1685" si="3017">K1681-K1680</f>
        <v>0</v>
      </c>
      <c r="L1685" s="349">
        <f t="shared" si="3017"/>
        <v>19.858387886044511</v>
      </c>
      <c r="M1685" s="281"/>
      <c r="N1685" s="228">
        <f>N1681-N1680</f>
        <v>0</v>
      </c>
      <c r="O1685" s="173"/>
      <c r="P1685" s="228">
        <f t="shared" ref="P1685:Q1685" si="3018">P1681-P1680</f>
        <v>0</v>
      </c>
      <c r="Q1685" s="254">
        <f t="shared" si="3018"/>
        <v>0</v>
      </c>
      <c r="R1685" s="255"/>
      <c r="S1685" s="228">
        <f>S1681-S1680</f>
        <v>10</v>
      </c>
      <c r="T1685" s="173"/>
      <c r="U1685" s="228">
        <f t="shared" ref="U1685:V1685" si="3019">U1681-U1680</f>
        <v>0</v>
      </c>
      <c r="V1685" s="254">
        <f t="shared" si="3019"/>
        <v>10</v>
      </c>
      <c r="W1685" s="255"/>
      <c r="X1685" s="228">
        <f>X1681-X1680</f>
        <v>22.577312626606727</v>
      </c>
      <c r="Y1685" s="173"/>
      <c r="Z1685" s="228">
        <f t="shared" ref="Z1685:AA1685" si="3020">Z1681-Z1680</f>
        <v>0</v>
      </c>
      <c r="AA1685" s="254">
        <f t="shared" si="3020"/>
        <v>22.577312626606727</v>
      </c>
      <c r="AB1685" s="266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</row>
    <row r="1686" spans="1:42" s="93" customFormat="1" ht="15">
      <c r="A1686" s="92"/>
      <c r="B1686" s="92"/>
      <c r="C1686" s="92"/>
      <c r="D1686" s="221"/>
      <c r="E1686" s="221" t="s">
        <v>301</v>
      </c>
      <c r="F1686" s="221" t="str">
        <f t="shared" si="2924"/>
        <v>С-спортКид</v>
      </c>
      <c r="G1686" s="221" t="s">
        <v>219</v>
      </c>
      <c r="H1686" s="357"/>
      <c r="I1686" s="358">
        <f>I1684-I1685</f>
        <v>-8.3615502998800366</v>
      </c>
      <c r="J1686" s="352"/>
      <c r="K1686" s="358">
        <f t="shared" ref="K1686" si="3021">K1684-K1685</f>
        <v>0</v>
      </c>
      <c r="L1686" s="359">
        <f t="shared" ref="L1686" si="3022">L1684-L1685</f>
        <v>-8.3615502998800366</v>
      </c>
      <c r="M1686" s="284"/>
      <c r="N1686" s="222">
        <f>N1684-N1685</f>
        <v>0</v>
      </c>
      <c r="O1686" s="181"/>
      <c r="P1686" s="222">
        <f t="shared" ref="P1686" si="3023">P1684-P1685</f>
        <v>0</v>
      </c>
      <c r="Q1686" s="260">
        <f t="shared" ref="Q1686" si="3024">Q1684-Q1685</f>
        <v>0</v>
      </c>
      <c r="R1686" s="261"/>
      <c r="S1686" s="222">
        <f>S1684-S1685</f>
        <v>2</v>
      </c>
      <c r="T1686" s="181"/>
      <c r="U1686" s="222">
        <f t="shared" ref="U1686" si="3025">U1684-U1685</f>
        <v>0</v>
      </c>
      <c r="V1686" s="260">
        <f t="shared" ref="V1686" si="3026">V1684-V1685</f>
        <v>2</v>
      </c>
      <c r="W1686" s="261"/>
      <c r="X1686" s="222">
        <f>X1684-X1685</f>
        <v>-10.927383325913979</v>
      </c>
      <c r="Y1686" s="181"/>
      <c r="Z1686" s="222">
        <f t="shared" ref="Z1686" si="3027">Z1684-Z1685</f>
        <v>0</v>
      </c>
      <c r="AA1686" s="260">
        <f t="shared" ref="AA1686" si="3028">AA1684-AA1685</f>
        <v>-10.927383325913979</v>
      </c>
      <c r="AB1686" s="264"/>
      <c r="AC1686" s="92"/>
      <c r="AD1686" s="92"/>
      <c r="AE1686" s="92"/>
      <c r="AF1686" s="92"/>
      <c r="AG1686" s="92"/>
      <c r="AH1686" s="92"/>
      <c r="AI1686" s="92"/>
      <c r="AJ1686" s="92"/>
      <c r="AK1686" s="92"/>
      <c r="AL1686" s="92"/>
      <c r="AM1686" s="92"/>
      <c r="AN1686" s="92"/>
      <c r="AO1686" s="92"/>
      <c r="AP1686" s="92"/>
    </row>
    <row r="1687" spans="1:42" s="5" customFormat="1">
      <c r="A1687" s="1"/>
      <c r="B1687" s="1"/>
      <c r="C1687" s="1"/>
      <c r="D1687" s="223"/>
      <c r="E1687" s="223" t="s">
        <v>302</v>
      </c>
      <c r="F1687" s="223" t="str">
        <f t="shared" si="2924"/>
        <v>С-спортКид</v>
      </c>
      <c r="G1687" s="223" t="s">
        <v>261</v>
      </c>
      <c r="H1687" s="354"/>
      <c r="I1687" s="355">
        <f>SUMIFS(операции!$Z:$Z,операции!$X:$X,"&gt;="&amp;I$8,операции!$X:$X,"&lt;="&amp;I$9,операции!$AB:$AB,"",операции!$O:$O,$F1644)</f>
        <v>8558</v>
      </c>
      <c r="J1687" s="341">
        <f>I1687-K1687-L1687</f>
        <v>0</v>
      </c>
      <c r="K1687" s="355">
        <f>SUMIFS(операции!$Z:$Z,операции!$X:$X,"&gt;="&amp;I$8,операции!$X:$X,"&lt;="&amp;I$9,операции!$AB:$AB,"",операции!$L:$L,K$9,операции!$O:$O,$F1644)</f>
        <v>0</v>
      </c>
      <c r="L1687" s="356">
        <f>SUMIFS(операции!$Z:$Z,операции!$X:$X,"&gt;="&amp;I$8,операции!$X:$X,"&lt;="&amp;I$9,операции!$AB:$AB,"",операции!$L:$L,L$9,операции!$O:$O,$F1644)</f>
        <v>8558</v>
      </c>
      <c r="M1687" s="283"/>
      <c r="N1687" s="224">
        <f>SUMIFS(операции!$Z:$Z,операции!$X:$X,"&gt;="&amp;N$8,операции!$X:$X,"&lt;="&amp;N$9,операции!$AB:$AB,"",операции!$O:$O,$F1644)</f>
        <v>0</v>
      </c>
      <c r="O1687" s="216">
        <f>N1687-P1687-Q1687</f>
        <v>0</v>
      </c>
      <c r="P1687" s="224">
        <f>SUMIFS(операции!$Z:$Z,операции!$X:$X,"&gt;="&amp;N$8,операции!$X:$X,"&lt;="&amp;N$9,операции!$AB:$AB,"",операции!$L:$L,P$9,операции!$O:$O,$F1644)</f>
        <v>0</v>
      </c>
      <c r="Q1687" s="258">
        <f>SUMIFS(операции!$Z:$Z,операции!$X:$X,"&gt;="&amp;N$8,операции!$X:$X,"&lt;="&amp;N$9,операции!$AB:$AB,"",операции!$L:$L,Q$9,операции!$O:$O,$F1644)</f>
        <v>0</v>
      </c>
      <c r="R1687" s="259"/>
      <c r="S1687" s="224">
        <f>SUMIFS(операции!$Z:$Z,операции!$X:$X,"&gt;="&amp;S$8,операции!$X:$X,"&lt;="&amp;S$9,операции!$AB:$AB,"",операции!$O:$O,$F1644)</f>
        <v>0</v>
      </c>
      <c r="T1687" s="216">
        <f>S1687-U1687-V1687</f>
        <v>0</v>
      </c>
      <c r="U1687" s="224">
        <f>SUMIFS(операции!$Z:$Z,операции!$X:$X,"&gt;="&amp;S$8,операции!$X:$X,"&lt;="&amp;S$9,операции!$AB:$AB,"",операции!$L:$L,U$9,операции!$O:$O,$F1644)</f>
        <v>0</v>
      </c>
      <c r="V1687" s="258">
        <f>SUMIFS(операции!$Z:$Z,операции!$X:$X,"&gt;="&amp;S$8,операции!$X:$X,"&lt;="&amp;S$9,операции!$AB:$AB,"",операции!$L:$L,V$9,операции!$O:$O,$F1644)</f>
        <v>0</v>
      </c>
      <c r="W1687" s="259"/>
      <c r="X1687" s="224">
        <f>SUMIFS(операции!$Z:$Z,операции!$X:$X,"&gt;="&amp;X$8,операции!$X:$X,"&lt;="&amp;X$9,операции!$AB:$AB,"",операции!$O:$O,$F1644)</f>
        <v>8558</v>
      </c>
      <c r="Y1687" s="216">
        <f>X1687-Z1687-AA1687</f>
        <v>0</v>
      </c>
      <c r="Z1687" s="224">
        <f>SUMIFS(операции!$Z:$Z,операции!$X:$X,"&gt;="&amp;X$8,операции!$X:$X,"&lt;="&amp;X$9,операции!$AB:$AB,"",операции!$L:$L,Z$9,операции!$O:$O,$F1644)</f>
        <v>0</v>
      </c>
      <c r="AA1687" s="258">
        <f>SUMIFS(операции!$Z:$Z,операции!$X:$X,"&gt;="&amp;X$8,операции!$X:$X,"&lt;="&amp;X$9,операции!$AB:$AB,"",операции!$L:$L,AA$9,операции!$O:$O,$F1644)</f>
        <v>8558</v>
      </c>
      <c r="AB1687" s="266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</row>
    <row r="1688" spans="1:42" s="192" customFormat="1" ht="11.25">
      <c r="A1688" s="37"/>
      <c r="B1688" s="37"/>
      <c r="C1688" s="37"/>
      <c r="D1688" s="191"/>
      <c r="E1688" s="191" t="s">
        <v>303</v>
      </c>
      <c r="F1688" s="191" t="str">
        <f t="shared" si="2924"/>
        <v>С-спортКид</v>
      </c>
      <c r="G1688" s="191" t="s">
        <v>262</v>
      </c>
      <c r="H1688" s="315"/>
      <c r="I1688" s="316">
        <f>IF(I1687=0,0,SUMIFS(операции!$AG:$AG,операции!$X:$X,"&gt;="&amp;I$8,операции!$X:$X,"&lt;="&amp;I$9,операции!$AB:$AB,"",операции!$O:$O,$F1644)/I1687)</f>
        <v>42342.324141154473</v>
      </c>
      <c r="J1688" s="317"/>
      <c r="K1688" s="316">
        <f>IF(K1687=0,0,SUMIFS(операции!$AG:$AG,операции!$X:$X,"&gt;="&amp;I$8,операции!$X:$X,"&lt;="&amp;I$9,операции!$AB:$AB,"",операции!$L:$L,K$9,операции!$O:$O,$F1644)/K1687)</f>
        <v>0</v>
      </c>
      <c r="L1688" s="318">
        <f>IF(L1687=0,0,SUMIFS(операции!$AG:$AG,операции!$X:$X,"&gt;="&amp;I$8,операции!$X:$X,"&lt;="&amp;I$9,операции!$AB:$AB,"",операции!$L:$L,L$9,операции!$O:$O,$F1644)/L1687)</f>
        <v>42342.324141154473</v>
      </c>
      <c r="M1688" s="274"/>
      <c r="N1688" s="193">
        <f>IF(N1687=0,0,SUMIFS(операции!$AG:$AG,операции!$X:$X,"&gt;="&amp;N$8,операции!$X:$X,"&lt;="&amp;N$9,операции!$AB:$AB,"",операции!$O:$O,$F1644)/N1687)</f>
        <v>0</v>
      </c>
      <c r="O1688" s="196"/>
      <c r="P1688" s="193">
        <f>IF(P1687=0,0,SUMIFS(операции!$AG:$AG,операции!$X:$X,"&gt;="&amp;N$8,операции!$X:$X,"&lt;="&amp;N$9,операции!$AB:$AB,"",операции!$L:$L,P$9,операции!$O:$O,$F1644)/P1687)</f>
        <v>0</v>
      </c>
      <c r="Q1688" s="237">
        <f>IF(Q1687=0,0,SUMIFS(операции!$AG:$AG,операции!$X:$X,"&gt;="&amp;N$8,операции!$X:$X,"&lt;="&amp;N$9,операции!$AB:$AB,"",операции!$L:$L,Q$9,операции!$O:$O,$F1644)/Q1687)</f>
        <v>0</v>
      </c>
      <c r="R1688" s="238"/>
      <c r="S1688" s="193">
        <f>IF(S1687=0,0,SUMIFS(операции!$AG:$AG,операции!$X:$X,"&gt;="&amp;S$8,операции!$X:$X,"&lt;="&amp;S$9,операции!$AB:$AB,"",операции!$O:$O,$F1644)/S1687)</f>
        <v>0</v>
      </c>
      <c r="T1688" s="196"/>
      <c r="U1688" s="193">
        <f>IF(U1687=0,0,SUMIFS(операции!$AG:$AG,операции!$X:$X,"&gt;="&amp;S$8,операции!$X:$X,"&lt;="&amp;S$9,операции!$AB:$AB,"",операции!$L:$L,U$9,операции!$O:$O,$F1644)/U1687)</f>
        <v>0</v>
      </c>
      <c r="V1688" s="237">
        <f>IF(V1687=0,0,SUMIFS(операции!$AG:$AG,операции!$X:$X,"&gt;="&amp;S$8,операции!$X:$X,"&lt;="&amp;S$9,операции!$AB:$AB,"",операции!$L:$L,V$9,операции!$O:$O,$F1644)/V1687)</f>
        <v>0</v>
      </c>
      <c r="W1688" s="238"/>
      <c r="X1688" s="193">
        <f>IF(X1687=0,0,SUMIFS(операции!$AG:$AG,операции!$X:$X,"&gt;="&amp;X$8,операции!$X:$X,"&lt;="&amp;X$9,операции!$AB:$AB,"",операции!$O:$O,$F1644)/X1687)</f>
        <v>42342.324141154473</v>
      </c>
      <c r="Y1688" s="196"/>
      <c r="Z1688" s="193">
        <f>IF(Z1687=0,0,SUMIFS(операции!$AG:$AG,операции!$X:$X,"&gt;="&amp;X$8,операции!$X:$X,"&lt;="&amp;X$9,операции!$AB:$AB,"",операции!$L:$L,Z$9,операции!$O:$O,$F1644)/Z1687)</f>
        <v>0</v>
      </c>
      <c r="AA1688" s="237">
        <f>IF(AA1687=0,0,SUMIFS(операции!$AG:$AG,операции!$X:$X,"&gt;="&amp;X$8,операции!$X:$X,"&lt;="&amp;X$9,операции!$AB:$AB,"",операции!$L:$L,AA$9,операции!$O:$O,$F1644)/AA1687)</f>
        <v>42342.324141154473</v>
      </c>
      <c r="AB1688" s="265"/>
      <c r="AC1688" s="37"/>
      <c r="AD1688" s="37"/>
      <c r="AE1688" s="37"/>
      <c r="AF1688" s="37"/>
      <c r="AG1688" s="37"/>
      <c r="AH1688" s="37"/>
      <c r="AI1688" s="37"/>
      <c r="AJ1688" s="37"/>
      <c r="AK1688" s="37"/>
      <c r="AL1688" s="37"/>
      <c r="AM1688" s="37"/>
      <c r="AN1688" s="37"/>
      <c r="AO1688" s="37"/>
      <c r="AP1688" s="37"/>
    </row>
    <row r="1689" spans="1:42" s="5" customFormat="1">
      <c r="A1689" s="1"/>
      <c r="B1689" s="1"/>
      <c r="C1689" s="1"/>
      <c r="D1689" s="168"/>
      <c r="E1689" s="168" t="s">
        <v>304</v>
      </c>
      <c r="F1689" s="168" t="str">
        <f t="shared" si="2924"/>
        <v>С-спортКид</v>
      </c>
      <c r="G1689" s="168" t="s">
        <v>261</v>
      </c>
      <c r="H1689" s="326"/>
      <c r="I1689" s="327">
        <f>SUMIFS(операции!$V:$V,операции!$X:$X,"&gt;="&amp;I$8,операции!$X:$X,"&lt;="&amp;I$9,операции!$AB:$AB,"",операции!$O:$O,$F1644)</f>
        <v>6940</v>
      </c>
      <c r="J1689" s="313">
        <f>I1689-K1689-L1689</f>
        <v>0</v>
      </c>
      <c r="K1689" s="327">
        <f>SUMIFS(операции!$V:$V,операции!$X:$X,"&gt;="&amp;I$8,операции!$X:$X,"&lt;="&amp;I$9,операции!$AB:$AB,"",операции!$L:$L,K$9,операции!$O:$O,$F1644)</f>
        <v>0</v>
      </c>
      <c r="L1689" s="328">
        <f>SUMIFS(операции!$V:$V,операции!$X:$X,"&gt;="&amp;I$8,операции!$X:$X,"&lt;="&amp;I$9,операции!$AB:$AB,"",операции!$L:$L,L$9,операции!$O:$O,$F1644)</f>
        <v>6940</v>
      </c>
      <c r="M1689" s="277"/>
      <c r="N1689" s="169">
        <f>SUMIFS(операции!$V:$V,операции!$X:$X,"&gt;="&amp;N$8,операции!$X:$X,"&lt;="&amp;N$9,операции!$AB:$AB,"",операции!$O:$O,$F1644)</f>
        <v>0</v>
      </c>
      <c r="O1689" s="170">
        <f>N1689-P1689-Q1689</f>
        <v>0</v>
      </c>
      <c r="P1689" s="169">
        <f>SUMIFS(операции!$V:$V,операции!$X:$X,"&gt;="&amp;N$8,операции!$X:$X,"&lt;="&amp;N$9,операции!$AB:$AB,"",операции!$L:$L,P$9,операции!$O:$O,$F1644)</f>
        <v>0</v>
      </c>
      <c r="Q1689" s="243">
        <f>SUMIFS(операции!$V:$V,операции!$X:$X,"&gt;="&amp;N$8,операции!$X:$X,"&lt;="&amp;N$9,операции!$AB:$AB,"",операции!$L:$L,Q$9,операции!$O:$O,$F1644)</f>
        <v>0</v>
      </c>
      <c r="R1689" s="244"/>
      <c r="S1689" s="169">
        <f>SUMIFS(операции!$V:$V,операции!$X:$X,"&gt;="&amp;S$8,операции!$X:$X,"&lt;="&amp;S$9,операции!$AB:$AB,"",операции!$O:$O,$F1644)</f>
        <v>0</v>
      </c>
      <c r="T1689" s="170">
        <f>S1689-U1689-V1689</f>
        <v>0</v>
      </c>
      <c r="U1689" s="169">
        <f>SUMIFS(операции!$V:$V,операции!$X:$X,"&gt;="&amp;S$8,операции!$X:$X,"&lt;="&amp;S$9,операции!$AB:$AB,"",операции!$L:$L,U$9,операции!$O:$O,$F1644)</f>
        <v>0</v>
      </c>
      <c r="V1689" s="243">
        <f>SUMIFS(операции!$V:$V,операции!$X:$X,"&gt;="&amp;S$8,операции!$X:$X,"&lt;="&amp;S$9,операции!$AB:$AB,"",операции!$L:$L,V$9,операции!$O:$O,$F1644)</f>
        <v>0</v>
      </c>
      <c r="W1689" s="244"/>
      <c r="X1689" s="169">
        <f>SUMIFS(операции!$V:$V,операции!$X:$X,"&gt;="&amp;X$8,операции!$X:$X,"&lt;="&amp;X$9,операции!$AB:$AB,"",операции!$O:$O,$F1644)</f>
        <v>6940</v>
      </c>
      <c r="Y1689" s="170">
        <f>X1689-Z1689-AA1689</f>
        <v>0</v>
      </c>
      <c r="Z1689" s="169">
        <f>SUMIFS(операции!$V:$V,операции!$X:$X,"&gt;="&amp;X$8,операции!$X:$X,"&lt;="&amp;X$9,операции!$AB:$AB,"",операции!$L:$L,Z$9,операции!$O:$O,$F1644)</f>
        <v>0</v>
      </c>
      <c r="AA1689" s="243">
        <f>SUMIFS(операции!$V:$V,операции!$X:$X,"&gt;="&amp;X$8,операции!$X:$X,"&lt;="&amp;X$9,операции!$AB:$AB,"",операции!$L:$L,AA$9,операции!$O:$O,$F1644)</f>
        <v>6940</v>
      </c>
      <c r="AB1689" s="266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</row>
    <row r="1690" spans="1:42" s="192" customFormat="1" ht="11.25">
      <c r="A1690" s="37"/>
      <c r="B1690" s="37"/>
      <c r="C1690" s="37"/>
      <c r="D1690" s="191"/>
      <c r="E1690" s="191" t="s">
        <v>305</v>
      </c>
      <c r="F1690" s="191" t="str">
        <f t="shared" si="2924"/>
        <v>С-спортКид</v>
      </c>
      <c r="G1690" s="191" t="s">
        <v>262</v>
      </c>
      <c r="H1690" s="315"/>
      <c r="I1690" s="316">
        <f>IF(I1689=0,0,SUMIFS(операции!$AF:$AF,операции!$X:$X,"&gt;="&amp;I$8,операции!$X:$X,"&lt;="&amp;I$9,операции!$AB:$AB,"",операции!$O:$O,$F1644)/I1689)</f>
        <v>42333</v>
      </c>
      <c r="J1690" s="317"/>
      <c r="K1690" s="316">
        <f>IF(K1689=0,0,SUMIFS(операции!$AF:$AF,операции!$X:$X,"&gt;="&amp;I$8,операции!$X:$X,"&lt;="&amp;I$9,операции!$AB:$AB,"",операции!$L:$L,K$9,операции!$O:$O,$F1644)/K1689)</f>
        <v>0</v>
      </c>
      <c r="L1690" s="318">
        <f>IF(L1689=0,0,SUMIFS(операции!$AF:$AF,операции!$X:$X,"&gt;="&amp;I$8,операции!$X:$X,"&lt;="&amp;I$9,операции!$AB:$AB,"",операции!$L:$L,L$9,операции!$O:$O,$F1644)/L1689)</f>
        <v>42333</v>
      </c>
      <c r="M1690" s="274"/>
      <c r="N1690" s="193">
        <f>IF(N1689=0,0,SUMIFS(операции!$AF:$AF,операции!$X:$X,"&gt;="&amp;N$8,операции!$X:$X,"&lt;="&amp;N$9,операции!$AB:$AB,"",операции!$O:$O,$F1644)/N1689)</f>
        <v>0</v>
      </c>
      <c r="O1690" s="196"/>
      <c r="P1690" s="193">
        <f>IF(P1689=0,0,SUMIFS(операции!$AF:$AF,операции!$X:$X,"&gt;="&amp;N$8,операции!$X:$X,"&lt;="&amp;N$9,операции!$AB:$AB,"",операции!$L:$L,P$9,операции!$O:$O,$F1644)/P1689)</f>
        <v>0</v>
      </c>
      <c r="Q1690" s="237">
        <f>IF(Q1689=0,0,SUMIFS(операции!$AF:$AF,операции!$X:$X,"&gt;="&amp;N$8,операции!$X:$X,"&lt;="&amp;N$9,операции!$AB:$AB,"",операции!$L:$L,Q$9,операции!$O:$O,$F1644)/Q1689)</f>
        <v>0</v>
      </c>
      <c r="R1690" s="238"/>
      <c r="S1690" s="193">
        <f>IF(S1689=0,0,SUMIFS(операции!$AF:$AF,операции!$X:$X,"&gt;="&amp;S$8,операции!$X:$X,"&lt;="&amp;S$9,операции!$AB:$AB,"",операции!$O:$O,$F1644)/S1689)</f>
        <v>0</v>
      </c>
      <c r="T1690" s="196"/>
      <c r="U1690" s="193">
        <f>IF(U1689=0,0,SUMIFS(операции!$AF:$AF,операции!$X:$X,"&gt;="&amp;S$8,операции!$X:$X,"&lt;="&amp;S$9,операции!$AB:$AB,"",операции!$L:$L,U$9,операции!$O:$O,$F1644)/U1689)</f>
        <v>0</v>
      </c>
      <c r="V1690" s="237">
        <f>IF(V1689=0,0,SUMIFS(операции!$AF:$AF,операции!$X:$X,"&gt;="&amp;S$8,операции!$X:$X,"&lt;="&amp;S$9,операции!$AB:$AB,"",операции!$L:$L,V$9,операции!$O:$O,$F1644)/V1689)</f>
        <v>0</v>
      </c>
      <c r="W1690" s="238"/>
      <c r="X1690" s="193">
        <f>IF(X1689=0,0,SUMIFS(операции!$AF:$AF,операции!$X:$X,"&gt;="&amp;X$8,операции!$X:$X,"&lt;="&amp;X$9,операции!$AB:$AB,"",операции!$O:$O,$F1644)/X1689)</f>
        <v>42333</v>
      </c>
      <c r="Y1690" s="196"/>
      <c r="Z1690" s="193">
        <f>IF(Z1689=0,0,SUMIFS(операции!$AF:$AF,операции!$X:$X,"&gt;="&amp;X$8,операции!$X:$X,"&lt;="&amp;X$9,операции!$AB:$AB,"",операции!$L:$L,Z$9,операции!$O:$O,$F1644)/Z1689)</f>
        <v>0</v>
      </c>
      <c r="AA1690" s="237">
        <f>IF(AA1689=0,0,SUMIFS(операции!$AF:$AF,операции!$X:$X,"&gt;="&amp;X$8,операции!$X:$X,"&lt;="&amp;X$9,операции!$AB:$AB,"",операции!$L:$L,AA$9,операции!$O:$O,$F1644)/AA1689)</f>
        <v>42333</v>
      </c>
      <c r="AB1690" s="265"/>
      <c r="AC1690" s="37"/>
      <c r="AD1690" s="37"/>
      <c r="AE1690" s="37"/>
      <c r="AF1690" s="37"/>
      <c r="AG1690" s="37"/>
      <c r="AH1690" s="37"/>
      <c r="AI1690" s="37"/>
      <c r="AJ1690" s="37"/>
      <c r="AK1690" s="37"/>
      <c r="AL1690" s="37"/>
      <c r="AM1690" s="37"/>
      <c r="AN1690" s="37"/>
      <c r="AO1690" s="37"/>
      <c r="AP1690" s="37"/>
    </row>
    <row r="1691" spans="1:42" s="192" customFormat="1" ht="11.25">
      <c r="A1691" s="37"/>
      <c r="B1691" s="37"/>
      <c r="C1691" s="37"/>
      <c r="D1691" s="191"/>
      <c r="E1691" s="191" t="s">
        <v>307</v>
      </c>
      <c r="F1691" s="191" t="str">
        <f t="shared" si="2924"/>
        <v>С-спортКид</v>
      </c>
      <c r="G1691" s="191" t="s">
        <v>262</v>
      </c>
      <c r="H1691" s="315"/>
      <c r="I1691" s="316">
        <f>I$9</f>
        <v>42369</v>
      </c>
      <c r="J1691" s="317"/>
      <c r="K1691" s="316">
        <f>I$9</f>
        <v>42369</v>
      </c>
      <c r="L1691" s="318">
        <f>I$9</f>
        <v>42369</v>
      </c>
      <c r="M1691" s="274"/>
      <c r="N1691" s="193">
        <f>N$9</f>
        <v>42308</v>
      </c>
      <c r="O1691" s="196"/>
      <c r="P1691" s="193">
        <f>N$9</f>
        <v>42308</v>
      </c>
      <c r="Q1691" s="237">
        <f>N$9</f>
        <v>42308</v>
      </c>
      <c r="R1691" s="238"/>
      <c r="S1691" s="193">
        <f>S$9</f>
        <v>42338</v>
      </c>
      <c r="T1691" s="196"/>
      <c r="U1691" s="193">
        <f>S$9</f>
        <v>42338</v>
      </c>
      <c r="V1691" s="237">
        <f>S$9</f>
        <v>42338</v>
      </c>
      <c r="W1691" s="238"/>
      <c r="X1691" s="193">
        <f>X$9</f>
        <v>42369</v>
      </c>
      <c r="Y1691" s="196"/>
      <c r="Z1691" s="193">
        <f>X$9</f>
        <v>42369</v>
      </c>
      <c r="AA1691" s="237">
        <f>X$9</f>
        <v>42369</v>
      </c>
      <c r="AB1691" s="265"/>
      <c r="AC1691" s="37"/>
      <c r="AD1691" s="37"/>
      <c r="AE1691" s="37"/>
      <c r="AF1691" s="37"/>
      <c r="AG1691" s="37"/>
      <c r="AH1691" s="37"/>
      <c r="AI1691" s="37"/>
      <c r="AJ1691" s="37"/>
      <c r="AK1691" s="37"/>
      <c r="AL1691" s="37"/>
      <c r="AM1691" s="37"/>
      <c r="AN1691" s="37"/>
      <c r="AO1691" s="37"/>
      <c r="AP1691" s="37"/>
    </row>
    <row r="1692" spans="1:42" s="5" customFormat="1">
      <c r="A1692" s="1"/>
      <c r="B1692" s="1"/>
      <c r="C1692" s="1"/>
      <c r="D1692" s="168"/>
      <c r="E1692" s="168" t="s">
        <v>380</v>
      </c>
      <c r="F1692" s="168" t="str">
        <f t="shared" si="2924"/>
        <v>С-спортКид</v>
      </c>
      <c r="G1692" s="168" t="s">
        <v>261</v>
      </c>
      <c r="H1692" s="326"/>
      <c r="I1692" s="327">
        <f>I1687-I1689</f>
        <v>1618</v>
      </c>
      <c r="J1692" s="313">
        <f>I1692-K1692-L1692</f>
        <v>0</v>
      </c>
      <c r="K1692" s="327">
        <f t="shared" ref="K1692:L1692" si="3029">K1687-K1689</f>
        <v>0</v>
      </c>
      <c r="L1692" s="328">
        <f t="shared" si="3029"/>
        <v>1618</v>
      </c>
      <c r="M1692" s="277"/>
      <c r="N1692" s="169">
        <f>N1687-N1689</f>
        <v>0</v>
      </c>
      <c r="O1692" s="170">
        <f>N1692-P1692-Q1692</f>
        <v>0</v>
      </c>
      <c r="P1692" s="169">
        <f t="shared" ref="P1692:Q1692" si="3030">P1687-P1689</f>
        <v>0</v>
      </c>
      <c r="Q1692" s="243">
        <f t="shared" si="3030"/>
        <v>0</v>
      </c>
      <c r="R1692" s="244"/>
      <c r="S1692" s="169">
        <f>S1687-S1689</f>
        <v>0</v>
      </c>
      <c r="T1692" s="170">
        <f>S1692-U1692-V1692</f>
        <v>0</v>
      </c>
      <c r="U1692" s="169">
        <f t="shared" ref="U1692:V1692" si="3031">U1687-U1689</f>
        <v>0</v>
      </c>
      <c r="V1692" s="243">
        <f t="shared" si="3031"/>
        <v>0</v>
      </c>
      <c r="W1692" s="244"/>
      <c r="X1692" s="169">
        <f>X1687-X1689</f>
        <v>1618</v>
      </c>
      <c r="Y1692" s="170">
        <f>X1692-Z1692-AA1692</f>
        <v>0</v>
      </c>
      <c r="Z1692" s="169">
        <f t="shared" ref="Z1692:AA1692" si="3032">Z1687-Z1689</f>
        <v>0</v>
      </c>
      <c r="AA1692" s="243">
        <f t="shared" si="3032"/>
        <v>1618</v>
      </c>
      <c r="AB1692" s="266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</row>
    <row r="1693" spans="1:42" s="211" customFormat="1">
      <c r="A1693" s="210"/>
      <c r="B1693" s="210"/>
      <c r="C1693" s="210"/>
      <c r="D1693" s="218"/>
      <c r="E1693" s="218" t="s">
        <v>381</v>
      </c>
      <c r="F1693" s="218" t="str">
        <f t="shared" si="2924"/>
        <v>С-спортКид</v>
      </c>
      <c r="G1693" s="218" t="s">
        <v>218</v>
      </c>
      <c r="H1693" s="343"/>
      <c r="I1693" s="344">
        <f>IF(I1687=0,0,(I1692/I1687))</f>
        <v>0.18906286515541015</v>
      </c>
      <c r="J1693" s="345"/>
      <c r="K1693" s="344">
        <f t="shared" ref="K1693" si="3033">IF(K1687=0,0,(K1692/K1687))</f>
        <v>0</v>
      </c>
      <c r="L1693" s="346">
        <f t="shared" ref="L1693" si="3034">IF(L1687=0,0,(L1692/L1687))</f>
        <v>0.18906286515541015</v>
      </c>
      <c r="M1693" s="280"/>
      <c r="N1693" s="219">
        <f>IF(N1687=0,0,(N1692/N1687))</f>
        <v>0</v>
      </c>
      <c r="O1693" s="220"/>
      <c r="P1693" s="219">
        <f t="shared" ref="P1693" si="3035">IF(P1687=0,0,(P1692/P1687))</f>
        <v>0</v>
      </c>
      <c r="Q1693" s="252">
        <f t="shared" ref="Q1693" si="3036">IF(Q1687=0,0,(Q1692/Q1687))</f>
        <v>0</v>
      </c>
      <c r="R1693" s="253"/>
      <c r="S1693" s="219">
        <f>IF(S1687=0,0,(S1692/S1687))</f>
        <v>0</v>
      </c>
      <c r="T1693" s="220"/>
      <c r="U1693" s="219">
        <f t="shared" ref="U1693" si="3037">IF(U1687=0,0,(U1692/U1687))</f>
        <v>0</v>
      </c>
      <c r="V1693" s="252">
        <f t="shared" ref="V1693" si="3038">IF(V1687=0,0,(V1692/V1687))</f>
        <v>0</v>
      </c>
      <c r="W1693" s="253"/>
      <c r="X1693" s="219">
        <f>IF(X1687=0,0,(X1692/X1687))</f>
        <v>0.18906286515541015</v>
      </c>
      <c r="Y1693" s="220"/>
      <c r="Z1693" s="219">
        <f t="shared" ref="Z1693" si="3039">IF(Z1687=0,0,(Z1692/Z1687))</f>
        <v>0</v>
      </c>
      <c r="AA1693" s="252">
        <f t="shared" ref="AA1693" si="3040">IF(AA1687=0,0,(AA1692/AA1687))</f>
        <v>0.18906286515541015</v>
      </c>
      <c r="AB1693" s="267"/>
      <c r="AC1693" s="210"/>
      <c r="AD1693" s="210"/>
      <c r="AE1693" s="210"/>
      <c r="AF1693" s="210"/>
      <c r="AG1693" s="210"/>
      <c r="AH1693" s="210"/>
      <c r="AI1693" s="210"/>
      <c r="AJ1693" s="210"/>
      <c r="AK1693" s="210"/>
      <c r="AL1693" s="210"/>
      <c r="AM1693" s="210"/>
      <c r="AN1693" s="210"/>
      <c r="AO1693" s="210"/>
      <c r="AP1693" s="210"/>
    </row>
    <row r="1694" spans="1:42" s="5" customFormat="1">
      <c r="A1694" s="1"/>
      <c r="B1694" s="1"/>
      <c r="C1694" s="1"/>
      <c r="D1694" s="227"/>
      <c r="E1694" s="227" t="s">
        <v>306</v>
      </c>
      <c r="F1694" s="227" t="str">
        <f t="shared" si="2924"/>
        <v>С-спортКид</v>
      </c>
      <c r="G1694" s="227" t="s">
        <v>219</v>
      </c>
      <c r="H1694" s="347"/>
      <c r="I1694" s="348">
        <f>I1688-I1690</f>
        <v>9.3241411544731818</v>
      </c>
      <c r="J1694" s="321"/>
      <c r="K1694" s="348">
        <f t="shared" ref="K1694:L1694" si="3041">K1688-K1690</f>
        <v>0</v>
      </c>
      <c r="L1694" s="349">
        <f t="shared" si="3041"/>
        <v>9.3241411544731818</v>
      </c>
      <c r="M1694" s="281"/>
      <c r="N1694" s="228">
        <f>N1688-N1690</f>
        <v>0</v>
      </c>
      <c r="O1694" s="173"/>
      <c r="P1694" s="228">
        <f t="shared" ref="P1694:Q1694" si="3042">P1688-P1690</f>
        <v>0</v>
      </c>
      <c r="Q1694" s="254">
        <f t="shared" si="3042"/>
        <v>0</v>
      </c>
      <c r="R1694" s="255"/>
      <c r="S1694" s="228">
        <f>S1688-S1690</f>
        <v>0</v>
      </c>
      <c r="T1694" s="173"/>
      <c r="U1694" s="228">
        <f t="shared" ref="U1694:V1694" si="3043">U1688-U1690</f>
        <v>0</v>
      </c>
      <c r="V1694" s="254">
        <f t="shared" si="3043"/>
        <v>0</v>
      </c>
      <c r="W1694" s="255"/>
      <c r="X1694" s="228">
        <f>X1688-X1690</f>
        <v>9.3241411544731818</v>
      </c>
      <c r="Y1694" s="173"/>
      <c r="Z1694" s="228">
        <f t="shared" ref="Z1694:AA1694" si="3044">Z1688-Z1690</f>
        <v>0</v>
      </c>
      <c r="AA1694" s="254">
        <f t="shared" si="3044"/>
        <v>9.3241411544731818</v>
      </c>
      <c r="AB1694" s="266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</row>
    <row r="1695" spans="1:42" s="5" customFormat="1">
      <c r="A1695" s="1"/>
      <c r="B1695" s="1"/>
      <c r="C1695" s="1"/>
      <c r="D1695" s="227"/>
      <c r="E1695" s="227" t="s">
        <v>382</v>
      </c>
      <c r="F1695" s="227" t="str">
        <f t="shared" si="2924"/>
        <v>С-спортКид</v>
      </c>
      <c r="G1695" s="227" t="s">
        <v>219</v>
      </c>
      <c r="H1695" s="347"/>
      <c r="I1695" s="348">
        <f>I1691-I1690</f>
        <v>36</v>
      </c>
      <c r="J1695" s="321"/>
      <c r="K1695" s="348">
        <f t="shared" ref="K1695:L1695" si="3045">K1691-K1690</f>
        <v>42369</v>
      </c>
      <c r="L1695" s="349">
        <f t="shared" si="3045"/>
        <v>36</v>
      </c>
      <c r="M1695" s="281"/>
      <c r="N1695" s="228">
        <f>N1691-N1690</f>
        <v>42308</v>
      </c>
      <c r="O1695" s="173"/>
      <c r="P1695" s="228">
        <f t="shared" ref="P1695:Q1695" si="3046">P1691-P1690</f>
        <v>42308</v>
      </c>
      <c r="Q1695" s="254">
        <f t="shared" si="3046"/>
        <v>42308</v>
      </c>
      <c r="R1695" s="255"/>
      <c r="S1695" s="228">
        <f>S1691-S1690</f>
        <v>42338</v>
      </c>
      <c r="T1695" s="173"/>
      <c r="U1695" s="228">
        <f t="shared" ref="U1695:V1695" si="3047">U1691-U1690</f>
        <v>42338</v>
      </c>
      <c r="V1695" s="254">
        <f t="shared" si="3047"/>
        <v>42338</v>
      </c>
      <c r="W1695" s="255"/>
      <c r="X1695" s="228">
        <f>X1691-X1690</f>
        <v>36</v>
      </c>
      <c r="Y1695" s="173"/>
      <c r="Z1695" s="228">
        <f t="shared" ref="Z1695:AA1695" si="3048">Z1691-Z1690</f>
        <v>42369</v>
      </c>
      <c r="AA1695" s="254">
        <f t="shared" si="3048"/>
        <v>36</v>
      </c>
      <c r="AB1695" s="266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</row>
    <row r="1696" spans="1:42" s="5" customFormat="1">
      <c r="A1696" s="1"/>
      <c r="B1696" s="1"/>
      <c r="C1696" s="1"/>
      <c r="D1696" s="225"/>
      <c r="E1696" s="225" t="s">
        <v>383</v>
      </c>
      <c r="F1696" s="225" t="str">
        <f t="shared" si="2924"/>
        <v>С-спортКид</v>
      </c>
      <c r="G1696" s="225" t="s">
        <v>219</v>
      </c>
      <c r="H1696" s="350"/>
      <c r="I1696" s="351">
        <f>I1694-I1695</f>
        <v>-26.675858845526818</v>
      </c>
      <c r="J1696" s="352"/>
      <c r="K1696" s="351">
        <f t="shared" ref="K1696" si="3049">K1694-K1695</f>
        <v>-42369</v>
      </c>
      <c r="L1696" s="353">
        <f t="shared" ref="L1696" si="3050">L1694-L1695</f>
        <v>-26.675858845526818</v>
      </c>
      <c r="M1696" s="282"/>
      <c r="N1696" s="226">
        <f>N1694-N1695</f>
        <v>-42308</v>
      </c>
      <c r="O1696" s="181"/>
      <c r="P1696" s="226">
        <f t="shared" ref="P1696" si="3051">P1694-P1695</f>
        <v>-42308</v>
      </c>
      <c r="Q1696" s="256">
        <f t="shared" ref="Q1696" si="3052">Q1694-Q1695</f>
        <v>-42308</v>
      </c>
      <c r="R1696" s="257"/>
      <c r="S1696" s="226">
        <f>S1694-S1695</f>
        <v>-42338</v>
      </c>
      <c r="T1696" s="181"/>
      <c r="U1696" s="226">
        <f t="shared" ref="U1696" si="3053">U1694-U1695</f>
        <v>-42338</v>
      </c>
      <c r="V1696" s="256">
        <f t="shared" ref="V1696" si="3054">V1694-V1695</f>
        <v>-42338</v>
      </c>
      <c r="W1696" s="257"/>
      <c r="X1696" s="226">
        <f>X1694-X1695</f>
        <v>-26.675858845526818</v>
      </c>
      <c r="Y1696" s="181"/>
      <c r="Z1696" s="226">
        <f t="shared" ref="Z1696" si="3055">Z1694-Z1695</f>
        <v>-42369</v>
      </c>
      <c r="AA1696" s="256">
        <f t="shared" ref="AA1696" si="3056">AA1694-AA1695</f>
        <v>-26.675858845526818</v>
      </c>
      <c r="AB1696" s="266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</row>
    <row r="1697" spans="1:42" s="5" customFormat="1">
      <c r="A1697" s="1"/>
      <c r="B1697" s="1"/>
      <c r="C1697" s="1"/>
      <c r="D1697" s="168" t="s">
        <v>312</v>
      </c>
      <c r="E1697" s="168"/>
      <c r="F1697" s="168" t="str">
        <f t="shared" si="2924"/>
        <v>С-спортКид</v>
      </c>
      <c r="G1697" s="168" t="s">
        <v>261</v>
      </c>
      <c r="H1697" s="326"/>
      <c r="I1697" s="327">
        <f>SUMIFS(операции!$AC:$AC,операции!$AB:$AB,"&gt;="&amp;I$8,операции!$AB:$AB,"&lt;="&amp;I$9,операции!$O:$O,$F1644)</f>
        <v>18894.57</v>
      </c>
      <c r="J1697" s="313">
        <f>I1697-K1697-L1697</f>
        <v>0</v>
      </c>
      <c r="K1697" s="327">
        <f>SUMIFS(операции!$AC:$AC,операции!$AB:$AB,"&gt;="&amp;I$8,операции!$AB:$AB,"&lt;="&amp;I$9,операции!$L:$L,K$9,операции!$O:$O,$F1644)</f>
        <v>0</v>
      </c>
      <c r="L1697" s="328">
        <f>SUMIFS(операции!$AC:$AC,операции!$AB:$AB,"&gt;="&amp;I$8,операции!$AB:$AB,"&lt;="&amp;I$9,операции!$L:$L,L$9,операции!$O:$O,$F1644)</f>
        <v>18894.57</v>
      </c>
      <c r="M1697" s="277"/>
      <c r="N1697" s="169">
        <f>SUMIFS(операции!$AC:$AC,операции!$AB:$AB,"&gt;="&amp;N$8,операции!$AB:$AB,"&lt;="&amp;N$9,операции!$O:$O,$F1644)</f>
        <v>0</v>
      </c>
      <c r="O1697" s="170">
        <f>N1697-P1697-Q1697</f>
        <v>0</v>
      </c>
      <c r="P1697" s="169">
        <f>SUMIFS(операции!$AC:$AC,операции!$AB:$AB,"&gt;="&amp;N$8,операции!$AB:$AB,"&lt;="&amp;N$9,операции!$L:$L,P$9,операции!$O:$O,$F1644)</f>
        <v>0</v>
      </c>
      <c r="Q1697" s="243">
        <f>SUMIFS(операции!$AC:$AC,операции!$AB:$AB,"&gt;="&amp;N$8,операции!$AB:$AB,"&lt;="&amp;N$9,операции!$L:$L,Q$9,операции!$O:$O,$F1644)</f>
        <v>0</v>
      </c>
      <c r="R1697" s="244"/>
      <c r="S1697" s="169">
        <f>SUMIFS(операции!$AC:$AC,операции!$AB:$AB,"&gt;="&amp;S$8,операции!$AB:$AB,"&lt;="&amp;S$9,операции!$O:$O,$F1644)</f>
        <v>4084.57</v>
      </c>
      <c r="T1697" s="170">
        <f>S1697-U1697-V1697</f>
        <v>0</v>
      </c>
      <c r="U1697" s="169">
        <f>SUMIFS(операции!$AC:$AC,операции!$AB:$AB,"&gt;="&amp;S$8,операции!$AB:$AB,"&lt;="&amp;S$9,операции!$L:$L,U$9,операции!$O:$O,$F1644)</f>
        <v>0</v>
      </c>
      <c r="V1697" s="243">
        <f>SUMIFS(операции!$AC:$AC,операции!$AB:$AB,"&gt;="&amp;S$8,операции!$AB:$AB,"&lt;="&amp;S$9,операции!$L:$L,V$9,операции!$O:$O,$F1644)</f>
        <v>4084.57</v>
      </c>
      <c r="W1697" s="244"/>
      <c r="X1697" s="169">
        <f>SUMIFS(операции!$AC:$AC,операции!$AB:$AB,"&gt;="&amp;X$8,операции!$AB:$AB,"&lt;="&amp;X$9,операции!$O:$O,$F1644)</f>
        <v>14810</v>
      </c>
      <c r="Y1697" s="170">
        <f>X1697-Z1697-AA1697</f>
        <v>0</v>
      </c>
      <c r="Z1697" s="169">
        <f>SUMIFS(операции!$AC:$AC,операции!$AB:$AB,"&gt;="&amp;X$8,операции!$AB:$AB,"&lt;="&amp;X$9,операции!$L:$L,Z$9,операции!$O:$O,$F1644)</f>
        <v>0</v>
      </c>
      <c r="AA1697" s="243">
        <f>SUMIFS(операции!$AC:$AC,операции!$AB:$AB,"&gt;="&amp;X$8,операции!$AB:$AB,"&lt;="&amp;X$9,операции!$L:$L,AA$9,операции!$O:$O,$F1644)</f>
        <v>14810</v>
      </c>
      <c r="AB1697" s="266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</row>
    <row r="1698" spans="1:42" s="192" customFormat="1" ht="11.25">
      <c r="A1698" s="37"/>
      <c r="B1698" s="37"/>
      <c r="C1698" s="37"/>
      <c r="D1698" s="207" t="s">
        <v>255</v>
      </c>
      <c r="E1698" s="207"/>
      <c r="F1698" s="207" t="str">
        <f t="shared" si="2924"/>
        <v>С-спортКид</v>
      </c>
      <c r="G1698" s="207" t="s">
        <v>262</v>
      </c>
      <c r="H1698" s="331"/>
      <c r="I1698" s="337">
        <f>IF(I1697=0,0,SUMIFS(операции!$AH:$AH,операции!$AB:$AB,"&gt;="&amp;I$8,операции!$AB:$AB,"&lt;="&amp;I$9,операции!$O:$O,$F1644)/I1697)</f>
        <v>42349.584069920624</v>
      </c>
      <c r="J1698" s="333"/>
      <c r="K1698" s="337">
        <f>IF(K1697=0,0,SUMIFS(операции!$AH:$AH,операции!$AB:$AB,"&gt;="&amp;I$8,операции!$AB:$AB,"&lt;="&amp;I$9,операции!$L:$L,K$9,операции!$O:$O,$F1644)/K1697)</f>
        <v>0</v>
      </c>
      <c r="L1698" s="338">
        <f>IF(L1697=0,0,SUMIFS(операции!$AH:$AH,операции!$AB:$AB,"&gt;="&amp;I$8,операции!$AB:$AB,"&lt;="&amp;I$9,операции!$L:$L,L$9,операции!$O:$O,$F1644)/L1697)</f>
        <v>42349.584069920624</v>
      </c>
      <c r="M1698" s="278"/>
      <c r="N1698" s="217">
        <f>IF(N1697=0,0,SUMIFS(операции!$AH:$AH,операции!$AB:$AB,"&gt;="&amp;N$8,операции!$AB:$AB,"&lt;="&amp;N$9,операции!$O:$O,$F1644)/N1697)</f>
        <v>0</v>
      </c>
      <c r="O1698" s="208"/>
      <c r="P1698" s="217">
        <f>IF(P1697=0,0,SUMIFS(операции!$AH:$AH,операции!$AB:$AB,"&gt;="&amp;N$8,операции!$AB:$AB,"&lt;="&amp;N$9,операции!$L:$L,P$9,операции!$O:$O,$F1644)/P1697)</f>
        <v>0</v>
      </c>
      <c r="Q1698" s="249">
        <f>IF(Q1697=0,0,SUMIFS(операции!$AH:$AH,операции!$AB:$AB,"&gt;="&amp;N$8,операции!$AB:$AB,"&lt;="&amp;N$9,операции!$L:$L,Q$9,операции!$O:$O,$F1644)/Q1697)</f>
        <v>0</v>
      </c>
      <c r="R1698" s="247"/>
      <c r="S1698" s="217">
        <f>IF(S1697=0,0,SUMIFS(операции!$AH:$AH,операции!$AB:$AB,"&gt;="&amp;S$8,операции!$AB:$AB,"&lt;="&amp;S$9,операции!$O:$O,$F1644)/S1697)</f>
        <v>42324</v>
      </c>
      <c r="T1698" s="208"/>
      <c r="U1698" s="217">
        <f>IF(U1697=0,0,SUMIFS(операции!$AH:$AH,операции!$AB:$AB,"&gt;="&amp;S$8,операции!$AB:$AB,"&lt;="&amp;S$9,операции!$L:$L,U$9,операции!$O:$O,$F1644)/U1697)</f>
        <v>0</v>
      </c>
      <c r="V1698" s="249">
        <f>IF(V1697=0,0,SUMIFS(операции!$AH:$AH,операции!$AB:$AB,"&gt;="&amp;S$8,операции!$AB:$AB,"&lt;="&amp;S$9,операции!$L:$L,V$9,операции!$O:$O,$F1644)/V1697)</f>
        <v>42324</v>
      </c>
      <c r="W1698" s="247"/>
      <c r="X1698" s="217">
        <f>IF(X1697=0,0,SUMIFS(операции!$AH:$AH,операции!$AB:$AB,"&gt;="&amp;X$8,операции!$AB:$AB,"&lt;="&amp;X$9,операции!$O:$O,$F1644)/X1697)</f>
        <v>42356.640108035113</v>
      </c>
      <c r="Y1698" s="208"/>
      <c r="Z1698" s="217">
        <f>IF(Z1697=0,0,SUMIFS(операции!$AH:$AH,операции!$AB:$AB,"&gt;="&amp;X$8,операции!$AB:$AB,"&lt;="&amp;X$9,операции!$L:$L,Z$9,операции!$O:$O,$F1644)/Z1697)</f>
        <v>0</v>
      </c>
      <c r="AA1698" s="249">
        <f>IF(AA1697=0,0,SUMIFS(операции!$AH:$AH,операции!$AB:$AB,"&gt;="&amp;X$8,операции!$AB:$AB,"&lt;="&amp;X$9,операции!$L:$L,AA$9,операции!$O:$O,$F1644)/AA1697)</f>
        <v>42356.640108035113</v>
      </c>
      <c r="AB1698" s="265"/>
      <c r="AC1698" s="37"/>
      <c r="AD1698" s="37"/>
      <c r="AE1698" s="37"/>
      <c r="AF1698" s="37"/>
      <c r="AG1698" s="37"/>
      <c r="AH1698" s="37"/>
      <c r="AI1698" s="37"/>
      <c r="AJ1698" s="37"/>
      <c r="AK1698" s="37"/>
      <c r="AL1698" s="37"/>
      <c r="AM1698" s="37"/>
      <c r="AN1698" s="37"/>
      <c r="AO1698" s="37"/>
      <c r="AP1698" s="37"/>
    </row>
    <row r="1699" spans="1:42" s="111" customFormat="1" ht="11.25">
      <c r="A1699" s="108"/>
      <c r="B1699" s="108"/>
      <c r="C1699" s="209" t="s">
        <v>279</v>
      </c>
      <c r="D1699" s="109"/>
      <c r="E1699" s="109"/>
      <c r="F1699" s="109" t="str">
        <f t="shared" si="2924"/>
        <v>С-спортКид</v>
      </c>
      <c r="G1699" s="109"/>
      <c r="H1699" s="307"/>
      <c r="I1699" s="308">
        <f>I1700-K1700-L1700+K1699+L1699</f>
        <v>0</v>
      </c>
      <c r="J1699" s="309">
        <f>I1644+I1662-I1669-I1700</f>
        <v>0</v>
      </c>
      <c r="K1699" s="308">
        <f>K1644+K1662-K1669-K1700</f>
        <v>0</v>
      </c>
      <c r="L1699" s="336">
        <f>L1644+L1662-L1669-L1700</f>
        <v>0</v>
      </c>
      <c r="M1699" s="272"/>
      <c r="N1699" s="110">
        <f>N1700-P1700-Q1700</f>
        <v>0</v>
      </c>
      <c r="O1699" s="215">
        <f>N1644+N1662-N1669-N1700</f>
        <v>0</v>
      </c>
      <c r="P1699" s="110">
        <f>P1644+P1662-P1669-P1700</f>
        <v>0</v>
      </c>
      <c r="Q1699" s="248">
        <f>Q1644+Q1662-Q1669-Q1700</f>
        <v>0</v>
      </c>
      <c r="R1699" s="234"/>
      <c r="S1699" s="110">
        <f>S1700-U1700-V1700</f>
        <v>0</v>
      </c>
      <c r="T1699" s="215">
        <f>S1644+S1662-S1669-S1700</f>
        <v>0</v>
      </c>
      <c r="U1699" s="110">
        <f>U1644+U1662-U1669-U1700</f>
        <v>0</v>
      </c>
      <c r="V1699" s="248">
        <f>V1644+V1662-V1669-V1700</f>
        <v>0</v>
      </c>
      <c r="W1699" s="234"/>
      <c r="X1699" s="110">
        <f>X1700-Z1700-AA1700</f>
        <v>0</v>
      </c>
      <c r="Y1699" s="215">
        <f>X1644+X1662-X1669-X1700</f>
        <v>0</v>
      </c>
      <c r="Z1699" s="110">
        <f>Z1644+Z1662-Z1669-Z1700</f>
        <v>0</v>
      </c>
      <c r="AA1699" s="248">
        <f>AA1644+AA1662-AA1669-AA1700</f>
        <v>0</v>
      </c>
      <c r="AB1699" s="263"/>
      <c r="AC1699" s="108"/>
      <c r="AD1699" s="108"/>
      <c r="AE1699" s="108"/>
      <c r="AF1699" s="108"/>
      <c r="AG1699" s="108"/>
      <c r="AH1699" s="108"/>
      <c r="AI1699" s="108"/>
      <c r="AJ1699" s="108"/>
      <c r="AK1699" s="108"/>
      <c r="AL1699" s="108"/>
      <c r="AM1699" s="108"/>
      <c r="AN1699" s="108"/>
      <c r="AO1699" s="108"/>
      <c r="AP1699" s="108"/>
    </row>
    <row r="1700" spans="1:42" s="93" customFormat="1" ht="15">
      <c r="A1700" s="92"/>
      <c r="B1700" s="92"/>
      <c r="C1700" s="214"/>
      <c r="D1700" s="151" t="s">
        <v>238</v>
      </c>
      <c r="E1700" s="151"/>
      <c r="F1700" s="151" t="str">
        <f t="shared" si="2924"/>
        <v>С-спортКид</v>
      </c>
      <c r="G1700" s="151" t="s">
        <v>261</v>
      </c>
      <c r="H1700" s="311"/>
      <c r="I1700" s="312">
        <f>SUMIFS(операции!$V:$V,операции!$T:$T,"&lt;="&amp;I$9,операции!$X:$X,"",операции!$O:$O,$F1644)+SUMIFS(операции!$V:$V,операции!$T:$T,"&lt;="&amp;I$9,операции!$X:$X,"&gt;"&amp;I$9,операции!$O:$O,$F1644)</f>
        <v>7870</v>
      </c>
      <c r="J1700" s="313">
        <f>I1700-I1705-I1711</f>
        <v>0</v>
      </c>
      <c r="K1700" s="312">
        <f>SUMIFS(операции!$V:$V,операции!$T:$T,"&lt;="&amp;I$9,операции!$X:$X,"",операции!$L:$L,K$9,операции!$O:$O,$F1644)+SUMIFS(операции!$V:$V,операции!$T:$T,"&lt;="&amp;I$9,операции!$X:$X,"&gt;"&amp;I$9,операции!$L:$L,K$9,операции!$O:$O,$F1644)</f>
        <v>0</v>
      </c>
      <c r="L1700" s="314">
        <f>SUMIFS(операции!$V:$V,операции!$T:$T,"&lt;="&amp;I$9,операции!$X:$X,"",операции!$L:$L,L$9,операции!$O:$O,$F1644)+SUMIFS(операции!$V:$V,операции!$T:$T,"&lt;="&amp;I$9,операции!$X:$X,"&gt;"&amp;I$9,операции!$L:$L,L$9,операции!$O:$O,$F1644)</f>
        <v>7870</v>
      </c>
      <c r="M1700" s="273"/>
      <c r="N1700" s="152">
        <f>SUMIFS(операции!$V:$V,операции!$T:$T,"&lt;="&amp;N$9,операции!$X:$X,"",операции!$O:$O,$F1644)+SUMIFS(операции!$V:$V,операции!$T:$T,"&lt;="&amp;N$9,операции!$X:$X,"&gt;"&amp;N$9,операции!$O:$O,$F1644)</f>
        <v>0</v>
      </c>
      <c r="O1700" s="170">
        <f>N1700-N1705-N1711</f>
        <v>0</v>
      </c>
      <c r="P1700" s="152">
        <f>SUMIFS(операции!$V:$V,операции!$T:$T,"&lt;="&amp;N$9,операции!$X:$X,"",операции!$L:$L,P$9,операции!$O:$O,$F1644)+SUMIFS(операции!$V:$V,операции!$T:$T,"&lt;="&amp;N$9,операции!$X:$X,"&gt;"&amp;N$9,операции!$L:$L,P$9,операции!$O:$O,$F1644)</f>
        <v>0</v>
      </c>
      <c r="Q1700" s="235">
        <f>SUMIFS(операции!$V:$V,операции!$T:$T,"&lt;="&amp;N$9,операции!$X:$X,"",операции!$L:$L,Q$9,операции!$O:$O,$F1644)+SUMIFS(операции!$V:$V,операции!$T:$T,"&lt;="&amp;N$9,операции!$X:$X,"&gt;"&amp;N$9,операции!$L:$L,Q$9,операции!$O:$O,$F1644)</f>
        <v>0</v>
      </c>
      <c r="R1700" s="236"/>
      <c r="S1700" s="152">
        <f>SUMIFS(операции!$V:$V,операции!$T:$T,"&lt;="&amp;S$9,операции!$X:$X,"",операции!$O:$O,$F1644)+SUMIFS(операции!$V:$V,операции!$T:$T,"&lt;="&amp;S$9,операции!$X:$X,"&gt;"&amp;S$9,операции!$O:$O,$F1644)</f>
        <v>21750</v>
      </c>
      <c r="T1700" s="170">
        <f>S1700-S1705-S1711</f>
        <v>0</v>
      </c>
      <c r="U1700" s="152">
        <f>SUMIFS(операции!$V:$V,операции!$T:$T,"&lt;="&amp;S$9,операции!$X:$X,"",операции!$L:$L,U$9,операции!$O:$O,$F1644)+SUMIFS(операции!$V:$V,операции!$T:$T,"&lt;="&amp;S$9,операции!$X:$X,"&gt;"&amp;S$9,операции!$L:$L,U$9,операции!$O:$O,$F1644)</f>
        <v>0</v>
      </c>
      <c r="V1700" s="235">
        <f>SUMIFS(операции!$V:$V,операции!$T:$T,"&lt;="&amp;S$9,операции!$X:$X,"",операции!$L:$L,V$9,операции!$O:$O,$F1644)+SUMIFS(операции!$V:$V,операции!$T:$T,"&lt;="&amp;S$9,операции!$X:$X,"&gt;"&amp;S$9,операции!$L:$L,V$9,операции!$O:$O,$F1644)</f>
        <v>21750</v>
      </c>
      <c r="W1700" s="236"/>
      <c r="X1700" s="152">
        <f>SUMIFS(операции!$V:$V,операции!$T:$T,"&lt;="&amp;X$9,операции!$X:$X,"",операции!$O:$O,$F1644)+SUMIFS(операции!$V:$V,операции!$T:$T,"&lt;="&amp;X$9,операции!$X:$X,"&gt;"&amp;X$9,операции!$O:$O,$F1644)</f>
        <v>7870</v>
      </c>
      <c r="Y1700" s="170">
        <f>X1700-X1705-X1711</f>
        <v>0</v>
      </c>
      <c r="Z1700" s="152">
        <f>SUMIFS(операции!$V:$V,операции!$T:$T,"&lt;="&amp;X$9,операции!$X:$X,"",операции!$L:$L,Z$9,операции!$O:$O,$F1644)+SUMIFS(операции!$V:$V,операции!$T:$T,"&lt;="&amp;X$9,операции!$X:$X,"&gt;"&amp;X$9,операции!$L:$L,Z$9,операции!$O:$O,$F1644)</f>
        <v>0</v>
      </c>
      <c r="AA1700" s="235">
        <f>SUMIFS(операции!$V:$V,операции!$T:$T,"&lt;="&amp;X$9,операции!$X:$X,"",операции!$L:$L,AA$9,операции!$O:$O,$F1644)+SUMIFS(операции!$V:$V,операции!$T:$T,"&lt;="&amp;X$9,операции!$X:$X,"&gt;"&amp;X$9,операции!$L:$L,AA$9,операции!$O:$O,$F1644)</f>
        <v>7870</v>
      </c>
      <c r="AB1700" s="264"/>
      <c r="AC1700" s="92"/>
      <c r="AD1700" s="92"/>
      <c r="AE1700" s="92"/>
      <c r="AF1700" s="92"/>
      <c r="AG1700" s="92"/>
      <c r="AH1700" s="92"/>
      <c r="AI1700" s="92"/>
      <c r="AJ1700" s="92"/>
      <c r="AK1700" s="92"/>
      <c r="AL1700" s="92"/>
      <c r="AM1700" s="92"/>
      <c r="AN1700" s="92"/>
      <c r="AO1700" s="92"/>
      <c r="AP1700" s="92"/>
    </row>
    <row r="1701" spans="1:42" s="192" customFormat="1" ht="11.25">
      <c r="A1701" s="37"/>
      <c r="B1701" s="37"/>
      <c r="C1701" s="37"/>
      <c r="D1701" s="191" t="s">
        <v>255</v>
      </c>
      <c r="E1701" s="191"/>
      <c r="F1701" s="191" t="str">
        <f t="shared" si="2924"/>
        <v>С-спортКид</v>
      </c>
      <c r="G1701" s="191" t="s">
        <v>262</v>
      </c>
      <c r="H1701" s="315"/>
      <c r="I1701" s="316">
        <f>IF(I1700=0,0,(SUMIFS(операции!$AF:$AF,операции!$T:$T,"&lt;="&amp;I$9,операции!$X:$X,"",операции!$O:$O,$F1644)+SUMIFS(операции!$AF:$AF,операции!$T:$T,"&lt;="&amp;I$9,операции!$X:$X,"&gt;"&amp;I$9,операции!$O:$O,$F1644))/I1700)</f>
        <v>42365</v>
      </c>
      <c r="J1701" s="317"/>
      <c r="K1701" s="316">
        <f>IF(K1700=0,0,(SUMIFS(операции!$AF:$AF,операции!$T:$T,"&lt;="&amp;I$9,операции!$X:$X,"",операции!$L:$L,K$9,операции!$O:$O,$F1644)+SUMIFS(операции!$AF:$AF,операции!$T:$T,"&lt;="&amp;I$9,операции!$X:$X,"&gt;"&amp;I$9,операции!$L:$L,K$9,операции!$O:$O,$F1644))/K1700)</f>
        <v>0</v>
      </c>
      <c r="L1701" s="318">
        <f>IF(L1700=0,0,(SUMIFS(операции!$AF:$AF,операции!$T:$T,"&lt;="&amp;I$9,операции!$X:$X,"",операции!$L:$L,L$9,операции!$O:$O,$F1644)+SUMIFS(операции!$AF:$AF,операции!$T:$T,"&lt;="&amp;I$9,операции!$X:$X,"&gt;"&amp;I$9,операции!$L:$L,L$9,операции!$O:$O,$F1644))/L1700)</f>
        <v>42365</v>
      </c>
      <c r="M1701" s="274"/>
      <c r="N1701" s="193">
        <f>IF(N1700=0,0,(SUMIFS(операции!$AF:$AF,операции!$T:$T,"&lt;="&amp;N$9,операции!$X:$X,"",операции!$O:$O,$F1644)+SUMIFS(операции!$AF:$AF,операции!$T:$T,"&lt;="&amp;N$9,операции!$X:$X,"&gt;"&amp;N$9,операции!$O:$O,$F1644))/N1700)</f>
        <v>0</v>
      </c>
      <c r="O1701" s="196"/>
      <c r="P1701" s="193">
        <f>IF(P1700=0,0,(SUMIFS(операции!$AF:$AF,операции!$T:$T,"&lt;="&amp;N$9,операции!$X:$X,"",операции!$L:$L,P$9,операции!$O:$O,$F1644)+SUMIFS(операции!$AF:$AF,операции!$T:$T,"&lt;="&amp;N$9,операции!$X:$X,"&gt;"&amp;N$9,операции!$L:$L,P$9,операции!$O:$O,$F1644))/P1700)</f>
        <v>0</v>
      </c>
      <c r="Q1701" s="237">
        <f>IF(Q1700=0,0,(SUMIFS(операции!$AF:$AF,операции!$T:$T,"&lt;="&amp;N$9,операции!$X:$X,"",операции!$L:$L,Q$9,операции!$O:$O,$F1644)+SUMIFS(операции!$AF:$AF,операции!$T:$T,"&lt;="&amp;N$9,операции!$X:$X,"&gt;"&amp;N$9,операции!$L:$L,Q$9,операции!$O:$O,$F1644))/Q1700)</f>
        <v>0</v>
      </c>
      <c r="R1701" s="238"/>
      <c r="S1701" s="193">
        <f>IF(S1700=0,0,(SUMIFS(операции!$AF:$AF,операции!$T:$T,"&lt;="&amp;S$9,операции!$X:$X,"",операции!$O:$O,$F1644)+SUMIFS(операции!$AF:$AF,операции!$T:$T,"&lt;="&amp;S$9,операции!$X:$X,"&gt;"&amp;S$9,операции!$O:$O,$F1644))/S1700)</f>
        <v>42333.723678160917</v>
      </c>
      <c r="T1701" s="196"/>
      <c r="U1701" s="193">
        <f>IF(U1700=0,0,(SUMIFS(операции!$AF:$AF,операции!$T:$T,"&lt;="&amp;S$9,операции!$X:$X,"",операции!$L:$L,U$9,операции!$O:$O,$F1644)+SUMIFS(операции!$AF:$AF,операции!$T:$T,"&lt;="&amp;S$9,операции!$X:$X,"&gt;"&amp;S$9,операции!$L:$L,U$9,операции!$O:$O,$F1644))/U1700)</f>
        <v>0</v>
      </c>
      <c r="V1701" s="237">
        <f>IF(V1700=0,0,(SUMIFS(операции!$AF:$AF,операции!$T:$T,"&lt;="&amp;S$9,операции!$X:$X,"",операции!$L:$L,V$9,операции!$O:$O,$F1644)+SUMIFS(операции!$AF:$AF,операции!$T:$T,"&lt;="&amp;S$9,операции!$X:$X,"&gt;"&amp;S$9,операции!$L:$L,V$9,операции!$O:$O,$F1644))/V1700)</f>
        <v>42333.723678160917</v>
      </c>
      <c r="W1701" s="238"/>
      <c r="X1701" s="193">
        <f>IF(X1700=0,0,(SUMIFS(операции!$AF:$AF,операции!$T:$T,"&lt;="&amp;X$9,операции!$X:$X,"",операции!$O:$O,$F1644)+SUMIFS(операции!$AF:$AF,операции!$T:$T,"&lt;="&amp;X$9,операции!$X:$X,"&gt;"&amp;X$9,операции!$O:$O,$F1644))/X1700)</f>
        <v>42365</v>
      </c>
      <c r="Y1701" s="196"/>
      <c r="Z1701" s="193">
        <f>IF(Z1700=0,0,(SUMIFS(операции!$AF:$AF,операции!$T:$T,"&lt;="&amp;X$9,операции!$X:$X,"",операции!$L:$L,Z$9,операции!$O:$O,$F1644)+SUMIFS(операции!$AF:$AF,операции!$T:$T,"&lt;="&amp;X$9,операции!$X:$X,"&gt;"&amp;X$9,операции!$L:$L,Z$9,операции!$O:$O,$F1644))/Z1700)</f>
        <v>0</v>
      </c>
      <c r="AA1701" s="237">
        <f>IF(AA1700=0,0,(SUMIFS(операции!$AF:$AF,операции!$T:$T,"&lt;="&amp;X$9,операции!$X:$X,"",операции!$L:$L,AA$9,операции!$O:$O,$F1644)+SUMIFS(операции!$AF:$AF,операции!$T:$T,"&lt;="&amp;X$9,операции!$X:$X,"&gt;"&amp;X$9,операции!$L:$L,AA$9,операции!$O:$O,$F1644))/AA1700)</f>
        <v>42365</v>
      </c>
      <c r="AB1701" s="265"/>
      <c r="AC1701" s="37"/>
      <c r="AD1701" s="37"/>
      <c r="AE1701" s="37"/>
      <c r="AF1701" s="37"/>
      <c r="AG1701" s="37"/>
      <c r="AH1701" s="37"/>
      <c r="AI1701" s="37"/>
      <c r="AJ1701" s="37"/>
      <c r="AK1701" s="37"/>
      <c r="AL1701" s="37"/>
      <c r="AM1701" s="37"/>
      <c r="AN1701" s="37"/>
      <c r="AO1701" s="37"/>
      <c r="AP1701" s="37"/>
    </row>
    <row r="1702" spans="1:42" s="50" customFormat="1" ht="11.25">
      <c r="A1702" s="48"/>
      <c r="B1702" s="48"/>
      <c r="C1702" s="48"/>
      <c r="D1702" s="154" t="s">
        <v>239</v>
      </c>
      <c r="E1702" s="154"/>
      <c r="F1702" s="154" t="str">
        <f t="shared" si="2924"/>
        <v>С-спортКид</v>
      </c>
      <c r="G1702" s="154" t="s">
        <v>219</v>
      </c>
      <c r="H1702" s="319"/>
      <c r="I1702" s="320">
        <f>IF(I1700=0,0,I$9-I1701)</f>
        <v>4</v>
      </c>
      <c r="J1702" s="321">
        <f>I1702-SUMIFS(ПОбТЗ!$I:$I,ПОбТЗ!$E:$E,$D1702,ПОбТЗ!$F:$F,$F1702)</f>
        <v>0</v>
      </c>
      <c r="K1702" s="320">
        <f>IF(K1700=0,0,I$9-K1701)</f>
        <v>0</v>
      </c>
      <c r="L1702" s="322">
        <f>IF(L1700=0,0,I$9-L1701)</f>
        <v>4</v>
      </c>
      <c r="M1702" s="275"/>
      <c r="N1702" s="155">
        <f>IF(N1700=0,0,N$9-N1701)</f>
        <v>0</v>
      </c>
      <c r="O1702" s="173">
        <f>N1702-SUMIFS(ПОбТЗ_3!$J:$J,ПОбТЗ_3!$D:$D,$D1702,ПОбТЗ_3!$E:$E,$F1702)</f>
        <v>0</v>
      </c>
      <c r="P1702" s="155">
        <f>IF(P1700=0,0,N$9-P1701)</f>
        <v>0</v>
      </c>
      <c r="Q1702" s="239">
        <f>IF(Q1700=0,0,N$9-Q1701)</f>
        <v>0</v>
      </c>
      <c r="R1702" s="240"/>
      <c r="S1702" s="155">
        <f>IF(S1700=0,0,S$9-S1701)</f>
        <v>4.2763218390828115</v>
      </c>
      <c r="T1702" s="173">
        <f>S1702-SUMIFS(ПОбТЗ_3!$K:$K,ПОбТЗ_3!$D:$D,$D1702,ПОбТЗ_3!$E:$E,$F1702)</f>
        <v>0</v>
      </c>
      <c r="U1702" s="155">
        <f>IF(U1700=0,0,S$9-U1701)</f>
        <v>0</v>
      </c>
      <c r="V1702" s="239">
        <f>IF(V1700=0,0,S$9-V1701)</f>
        <v>4.2763218390828115</v>
      </c>
      <c r="W1702" s="240"/>
      <c r="X1702" s="155">
        <f>IF(X1700=0,0,X$9-X1701)</f>
        <v>4</v>
      </c>
      <c r="Y1702" s="173">
        <f>X1702-SUMIFS(ПОбТЗ_3!$L:$L,ПОбТЗ_3!$D:$D,$D1702,ПОбТЗ_3!$E:$E,$F1702)</f>
        <v>0</v>
      </c>
      <c r="Z1702" s="155">
        <f>IF(Z1700=0,0,X$9-Z1701)</f>
        <v>0</v>
      </c>
      <c r="AA1702" s="239">
        <f>IF(AA1700=0,0,X$9-AA1701)</f>
        <v>4</v>
      </c>
      <c r="AB1702" s="230"/>
      <c r="AC1702" s="48"/>
      <c r="AD1702" s="48"/>
      <c r="AE1702" s="48"/>
      <c r="AF1702" s="48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</row>
    <row r="1703" spans="1:42" s="93" customFormat="1" ht="15">
      <c r="A1703" s="92"/>
      <c r="B1703" s="92"/>
      <c r="C1703" s="92"/>
      <c r="D1703" s="198" t="s">
        <v>280</v>
      </c>
      <c r="E1703" s="198"/>
      <c r="F1703" s="198" t="str">
        <f t="shared" si="2924"/>
        <v>С-спортКид</v>
      </c>
      <c r="G1703" s="198" t="s">
        <v>219</v>
      </c>
      <c r="H1703" s="323"/>
      <c r="I1703" s="324">
        <f>IF(I1700=0,0,(I1705*I1709+I1711*I1715)/I1700)</f>
        <v>4</v>
      </c>
      <c r="J1703" s="321"/>
      <c r="K1703" s="324">
        <f>IF(K1700=0,0,(K1705*K1709+K1711*K1715)/K1700)</f>
        <v>0</v>
      </c>
      <c r="L1703" s="325">
        <f>IF(L1700=0,0,(L1705*L1709+L1711*L1715)/L1700)</f>
        <v>4</v>
      </c>
      <c r="M1703" s="276"/>
      <c r="N1703" s="199">
        <f>IF(N1700=0,0,(N1705*N1709+N1711*N1715)/N1700)</f>
        <v>0</v>
      </c>
      <c r="O1703" s="173"/>
      <c r="P1703" s="199">
        <f>IF(P1700=0,0,(P1705*P1709+P1711*P1715)/P1700)</f>
        <v>0</v>
      </c>
      <c r="Q1703" s="241">
        <f>IF(Q1700=0,0,(Q1705*Q1709+Q1711*Q1715)/Q1700)</f>
        <v>0</v>
      </c>
      <c r="R1703" s="242"/>
      <c r="S1703" s="199">
        <f>IF(S1700=0,0,(S1705*S1709+S1711*S1715)/S1700)</f>
        <v>4.2763218390828115</v>
      </c>
      <c r="T1703" s="173"/>
      <c r="U1703" s="199">
        <f>IF(U1700=0,0,(U1705*U1709+U1711*U1715)/U1700)</f>
        <v>0</v>
      </c>
      <c r="V1703" s="241">
        <f>IF(V1700=0,0,(V1705*V1709+V1711*V1715)/V1700)</f>
        <v>4.2763218390828115</v>
      </c>
      <c r="W1703" s="242"/>
      <c r="X1703" s="199">
        <f>IF(X1700=0,0,(X1705*X1709+X1711*X1715)/X1700)</f>
        <v>4</v>
      </c>
      <c r="Y1703" s="173"/>
      <c r="Z1703" s="199">
        <f>IF(Z1700=0,0,(Z1705*Z1709+Z1711*Z1715)/Z1700)</f>
        <v>0</v>
      </c>
      <c r="AA1703" s="241">
        <f>IF(AA1700=0,0,(AA1705*AA1709+AA1711*AA1715)/AA1700)</f>
        <v>4</v>
      </c>
      <c r="AB1703" s="264"/>
      <c r="AC1703" s="92"/>
      <c r="AD1703" s="92"/>
      <c r="AE1703" s="92"/>
      <c r="AF1703" s="92"/>
      <c r="AG1703" s="92"/>
      <c r="AH1703" s="92"/>
      <c r="AI1703" s="92"/>
      <c r="AJ1703" s="92"/>
      <c r="AK1703" s="92"/>
      <c r="AL1703" s="92"/>
      <c r="AM1703" s="92"/>
      <c r="AN1703" s="92"/>
      <c r="AO1703" s="92"/>
      <c r="AP1703" s="92"/>
    </row>
    <row r="1704" spans="1:42" s="50" customFormat="1" ht="11.25">
      <c r="A1704" s="48"/>
      <c r="B1704" s="48"/>
      <c r="C1704" s="48"/>
      <c r="D1704" s="154" t="s">
        <v>281</v>
      </c>
      <c r="E1704" s="154"/>
      <c r="F1704" s="154" t="str">
        <f t="shared" si="2924"/>
        <v>С-спортКид</v>
      </c>
      <c r="G1704" s="154" t="s">
        <v>219</v>
      </c>
      <c r="H1704" s="319"/>
      <c r="I1704" s="320">
        <f>I1702-I1703</f>
        <v>0</v>
      </c>
      <c r="J1704" s="321"/>
      <c r="K1704" s="320">
        <f>K1702-K1703</f>
        <v>0</v>
      </c>
      <c r="L1704" s="322">
        <f>L1702-L1703</f>
        <v>0</v>
      </c>
      <c r="M1704" s="275"/>
      <c r="N1704" s="155">
        <f>N1702-N1703</f>
        <v>0</v>
      </c>
      <c r="O1704" s="173"/>
      <c r="P1704" s="155">
        <f>P1702-P1703</f>
        <v>0</v>
      </c>
      <c r="Q1704" s="239">
        <f>Q1702-Q1703</f>
        <v>0</v>
      </c>
      <c r="R1704" s="240"/>
      <c r="S1704" s="155">
        <f>S1702-S1703</f>
        <v>0</v>
      </c>
      <c r="T1704" s="173"/>
      <c r="U1704" s="155">
        <f>U1702-U1703</f>
        <v>0</v>
      </c>
      <c r="V1704" s="239">
        <f>V1702-V1703</f>
        <v>0</v>
      </c>
      <c r="W1704" s="240"/>
      <c r="X1704" s="155">
        <f>X1702-X1703</f>
        <v>0</v>
      </c>
      <c r="Y1704" s="173"/>
      <c r="Z1704" s="155">
        <f>Z1702-Z1703</f>
        <v>0</v>
      </c>
      <c r="AA1704" s="239">
        <f>AA1702-AA1703</f>
        <v>0</v>
      </c>
      <c r="AB1704" s="230"/>
      <c r="AC1704" s="48"/>
      <c r="AD1704" s="48"/>
      <c r="AE1704" s="48"/>
      <c r="AF1704" s="48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</row>
    <row r="1705" spans="1:42" s="5" customFormat="1">
      <c r="A1705" s="1"/>
      <c r="B1705" s="1"/>
      <c r="C1705" s="1"/>
      <c r="D1705" s="168"/>
      <c r="E1705" s="168" t="s">
        <v>282</v>
      </c>
      <c r="F1705" s="168" t="str">
        <f t="shared" si="2924"/>
        <v>С-спортКид</v>
      </c>
      <c r="G1705" s="168" t="s">
        <v>261</v>
      </c>
      <c r="H1705" s="326"/>
      <c r="I1705" s="327">
        <f>SUMIFS(операции!$V:$V,операции!$T:$T,"&lt;="&amp;I$9,операции!$X:$X,"",операции!$AB:$AB,"&lt;&gt;"&amp;"",операции!$AB:$AB,"&lt;="&amp;I$9,операции!$O:$O,$F1644)+SUMIFS(операции!$V:$V,операции!$T:$T,"&lt;="&amp;I$9,операции!$X:$X,"&gt;"&amp;I$9,операции!$AB:$AB,"&lt;&gt;"&amp;"",операции!$AB:$AB,"&lt;="&amp;I$9,операции!$O:$O,$F1644)</f>
        <v>0</v>
      </c>
      <c r="J1705" s="313">
        <f>I1705-K1705-L1705</f>
        <v>0</v>
      </c>
      <c r="K1705" s="327">
        <f>SUMIFS(операции!$V:$V,операции!$T:$T,"&lt;="&amp;I$9,операции!$X:$X,"",операции!$AB:$AB,"&lt;&gt;"&amp;"",операции!$AB:$AB,"&lt;="&amp;I$9,операции!$L:$L,K$9,операции!$O:$O,$F1644)+SUMIFS(операции!$V:$V,операции!$T:$T,"&lt;="&amp;I$9,операции!$X:$X,"&gt;"&amp;I$9,операции!$AB:$AB,"&lt;&gt;"&amp;"",операции!$AB:$AB,"&lt;="&amp;I$9,операции!$L:$L,K$9,операции!$O:$O,$F1644)</f>
        <v>0</v>
      </c>
      <c r="L1705" s="328">
        <f>SUMIFS(операции!$V:$V,операции!$T:$T,"&lt;="&amp;I$9,операции!$X:$X,"",операции!$AB:$AB,"&lt;&gt;"&amp;"",операции!$AB:$AB,"&lt;="&amp;I$9,операции!$L:$L,L$9,операции!$O:$O,$F1644)+SUMIFS(операции!$V:$V,операции!$T:$T,"&lt;="&amp;I$9,операции!$X:$X,"&gt;"&amp;I$9,операции!$AB:$AB,"&lt;&gt;"&amp;"",операции!$AB:$AB,"&lt;="&amp;I$9,операции!$L:$L,L$9,операции!$O:$O,$F1644)</f>
        <v>0</v>
      </c>
      <c r="M1705" s="277"/>
      <c r="N1705" s="169">
        <f>SUMIFS(операции!$V:$V,операции!$T:$T,"&lt;="&amp;N$9,операции!$X:$X,"",операции!$AB:$AB,"&lt;&gt;"&amp;"",операции!$AB:$AB,"&lt;="&amp;N$9,операции!$O:$O,$F1644)+SUMIFS(операции!$V:$V,операции!$T:$T,"&lt;="&amp;N$9,операции!$X:$X,"&gt;"&amp;N$9,операции!$AB:$AB,"&lt;&gt;"&amp;"",операции!$AB:$AB,"&lt;="&amp;N$9,операции!$O:$O,$F1644)</f>
        <v>0</v>
      </c>
      <c r="O1705" s="170">
        <f>N1705-P1705-Q1705</f>
        <v>0</v>
      </c>
      <c r="P1705" s="169">
        <f>SUMIFS(операции!$V:$V,операции!$T:$T,"&lt;="&amp;N$9,операции!$X:$X,"",операции!$AB:$AB,"&lt;&gt;"&amp;"",операции!$AB:$AB,"&lt;="&amp;N$9,операции!$L:$L,P$9,операции!$O:$O,$F1644)+SUMIFS(операции!$V:$V,операции!$T:$T,"&lt;="&amp;N$9,операции!$X:$X,"&gt;"&amp;N$9,операции!$AB:$AB,"&lt;&gt;"&amp;"",операции!$AB:$AB,"&lt;="&amp;N$9,операции!$L:$L,P$9,операции!$O:$O,$F1644)</f>
        <v>0</v>
      </c>
      <c r="Q1705" s="243">
        <f>SUMIFS(операции!$V:$V,операции!$T:$T,"&lt;="&amp;N$9,операции!$X:$X,"",операции!$AB:$AB,"&lt;&gt;"&amp;"",операции!$AB:$AB,"&lt;="&amp;N$9,операции!$L:$L,Q$9,операции!$O:$O,$F1644)+SUMIFS(операции!$V:$V,операции!$T:$T,"&lt;="&amp;N$9,операции!$X:$X,"&gt;"&amp;N$9,операции!$AB:$AB,"&lt;&gt;"&amp;"",операции!$AB:$AB,"&lt;="&amp;N$9,операции!$L:$L,Q$9,операции!$O:$O,$F1644)</f>
        <v>0</v>
      </c>
      <c r="R1705" s="244"/>
      <c r="S1705" s="169">
        <f>SUMIFS(операции!$V:$V,операции!$T:$T,"&lt;="&amp;S$9,операции!$X:$X,"",операции!$AB:$AB,"&lt;&gt;"&amp;"",операции!$AB:$AB,"&lt;="&amp;S$9,операции!$O:$O,$F1644)+SUMIFS(операции!$V:$V,операции!$T:$T,"&lt;="&amp;S$9,операции!$X:$X,"&gt;"&amp;S$9,операции!$AB:$AB,"&lt;&gt;"&amp;"",операции!$AB:$AB,"&lt;="&amp;S$9,операции!$O:$O,$F1644)</f>
        <v>0</v>
      </c>
      <c r="T1705" s="170">
        <f>S1705-U1705-V1705</f>
        <v>0</v>
      </c>
      <c r="U1705" s="169">
        <f>SUMIFS(операции!$V:$V,операции!$T:$T,"&lt;="&amp;S$9,операции!$X:$X,"",операции!$AB:$AB,"&lt;&gt;"&amp;"",операции!$AB:$AB,"&lt;="&amp;S$9,операции!$L:$L,U$9,операции!$O:$O,$F1644)+SUMIFS(операции!$V:$V,операции!$T:$T,"&lt;="&amp;S$9,операции!$X:$X,"&gt;"&amp;S$9,операции!$AB:$AB,"&lt;&gt;"&amp;"",операции!$AB:$AB,"&lt;="&amp;S$9,операции!$L:$L,U$9,операции!$O:$O,$F1644)</f>
        <v>0</v>
      </c>
      <c r="V1705" s="243">
        <f>SUMIFS(операции!$V:$V,операции!$T:$T,"&lt;="&amp;S$9,операции!$X:$X,"",операции!$AB:$AB,"&lt;&gt;"&amp;"",операции!$AB:$AB,"&lt;="&amp;S$9,операции!$L:$L,V$9,операции!$O:$O,$F1644)+SUMIFS(операции!$V:$V,операции!$T:$T,"&lt;="&amp;S$9,операции!$X:$X,"&gt;"&amp;S$9,операции!$AB:$AB,"&lt;&gt;"&amp;"",операции!$AB:$AB,"&lt;="&amp;S$9,операции!$L:$L,V$9,операции!$O:$O,$F1644)</f>
        <v>0</v>
      </c>
      <c r="W1705" s="244"/>
      <c r="X1705" s="169">
        <f>SUMIFS(операции!$V:$V,операции!$T:$T,"&lt;="&amp;X$9,операции!$X:$X,"",операции!$AB:$AB,"&lt;&gt;"&amp;"",операции!$AB:$AB,"&lt;="&amp;X$9,операции!$O:$O,$F1644)+SUMIFS(операции!$V:$V,операции!$T:$T,"&lt;="&amp;X$9,операции!$X:$X,"&gt;"&amp;X$9,операции!$AB:$AB,"&lt;&gt;"&amp;"",операции!$AB:$AB,"&lt;="&amp;X$9,операции!$O:$O,$F1644)</f>
        <v>0</v>
      </c>
      <c r="Y1705" s="170">
        <f>X1705-Z1705-AA1705</f>
        <v>0</v>
      </c>
      <c r="Z1705" s="169">
        <f>SUMIFS(операции!$V:$V,операции!$T:$T,"&lt;="&amp;X$9,операции!$X:$X,"",операции!$AB:$AB,"&lt;&gt;"&amp;"",операции!$AB:$AB,"&lt;="&amp;X$9,операции!$L:$L,Z$9,операции!$O:$O,$F1644)+SUMIFS(операции!$V:$V,операции!$T:$T,"&lt;="&amp;X$9,операции!$X:$X,"&gt;"&amp;X$9,операции!$AB:$AB,"&lt;&gt;"&amp;"",операции!$AB:$AB,"&lt;="&amp;X$9,операции!$L:$L,Z$9,операции!$O:$O,$F1644)</f>
        <v>0</v>
      </c>
      <c r="AA1705" s="243">
        <f>SUMIFS(операции!$V:$V,операции!$T:$T,"&lt;="&amp;X$9,операции!$X:$X,"",операции!$AB:$AB,"&lt;&gt;"&amp;"",операции!$AB:$AB,"&lt;="&amp;X$9,операции!$L:$L,AA$9,операции!$O:$O,$F1644)+SUMIFS(операции!$V:$V,операции!$T:$T,"&lt;="&amp;X$9,операции!$X:$X,"&gt;"&amp;X$9,операции!$AB:$AB,"&lt;&gt;"&amp;"",операции!$AB:$AB,"&lt;="&amp;X$9,операции!$L:$L,AA$9,операции!$O:$O,$F1644)</f>
        <v>0</v>
      </c>
      <c r="AB1705" s="266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</row>
    <row r="1706" spans="1:42" s="192" customFormat="1" ht="11.25">
      <c r="A1706" s="37"/>
      <c r="B1706" s="37"/>
      <c r="C1706" s="37"/>
      <c r="D1706" s="191"/>
      <c r="E1706" s="191" t="s">
        <v>255</v>
      </c>
      <c r="F1706" s="191" t="str">
        <f t="shared" si="2924"/>
        <v>С-спортКид</v>
      </c>
      <c r="G1706" s="191" t="s">
        <v>262</v>
      </c>
      <c r="H1706" s="315"/>
      <c r="I1706" s="316">
        <f>IF(I1705=0,0,(SUMIFS(операции!$AF:$AF,операции!$T:$T,"&lt;="&amp;I$9,операции!$X:$X,"",операции!$AB:$AB,"&lt;&gt;"&amp;"",операции!$AB:$AB,"&lt;="&amp;I$9,операции!$O:$O,$F1644)+SUMIFS(операции!$AF:$AF,операции!$T:$T,"&lt;="&amp;I$9,операции!$X:$X,"&gt;"&amp;I$9,операции!$AB:$AB,"&lt;&gt;"&amp;"",операции!$AB:$AB,"&lt;="&amp;I$9,операции!$O:$O,$F1644))/I1705)</f>
        <v>0</v>
      </c>
      <c r="J1706" s="317"/>
      <c r="K1706" s="316">
        <f>IF(K1705=0,0,(SUMIFS(операции!$AF:$AF,операции!$T:$T,"&lt;="&amp;I$9,операции!$X:$X,"",операции!$AB:$AB,"&lt;&gt;"&amp;"",операции!$AB:$AB,"&lt;="&amp;I$9,операции!$L:$L,K$9,операции!$O:$O,$F1644)+SUMIFS(операции!$AF:$AF,операции!$T:$T,"&lt;="&amp;I$9,операции!$X:$X,"&gt;"&amp;I$9,операции!$AB:$AB,"&lt;&gt;"&amp;"",операции!$AB:$AB,"&lt;="&amp;I$9,операции!$L:$L,K$9,операции!$O:$O,$F1644))/K1705)</f>
        <v>0</v>
      </c>
      <c r="L1706" s="318">
        <f>IF(L1705=0,0,(SUMIFS(операции!$AF:$AF,операции!$T:$T,"&lt;="&amp;I$9,операции!$X:$X,"",операции!$AB:$AB,"&lt;&gt;"&amp;"",операции!$AB:$AB,"&lt;="&amp;I$9,операции!$L:$L,L$9,операции!$O:$O,$F1644)+SUMIFS(операции!$AF:$AF,операции!$T:$T,"&lt;="&amp;I$9,операции!$X:$X,"&gt;"&amp;I$9,операции!$AB:$AB,"&lt;&gt;"&amp;"",операции!$AB:$AB,"&lt;="&amp;I$9,операции!$L:$L,L$9,операции!$O:$O,$F1644))/L1705)</f>
        <v>0</v>
      </c>
      <c r="M1706" s="274"/>
      <c r="N1706" s="193">
        <f>IF(N1705=0,0,(SUMIFS(операции!$AF:$AF,операции!$T:$T,"&lt;="&amp;N$9,операции!$X:$X,"",операции!$AB:$AB,"&lt;&gt;"&amp;"",операции!$AB:$AB,"&lt;="&amp;N$9,операции!$O:$O,$F1644)+SUMIFS(операции!$AF:$AF,операции!$T:$T,"&lt;="&amp;N$9,операции!$X:$X,"&gt;"&amp;N$9,операции!$AB:$AB,"&lt;&gt;"&amp;"",операции!$AB:$AB,"&lt;="&amp;N$9,операции!$O:$O,$F1644))/N1705)</f>
        <v>0</v>
      </c>
      <c r="O1706" s="196"/>
      <c r="P1706" s="193">
        <f>IF(P1705=0,0,(SUMIFS(операции!$AF:$AF,операции!$T:$T,"&lt;="&amp;N$9,операции!$X:$X,"",операции!$AB:$AB,"&lt;&gt;"&amp;"",операции!$AB:$AB,"&lt;="&amp;N$9,операции!$L:$L,P$9,операции!$O:$O,$F1644)+SUMIFS(операции!$AF:$AF,операции!$T:$T,"&lt;="&amp;N$9,операции!$X:$X,"&gt;"&amp;N$9,операции!$AB:$AB,"&lt;&gt;"&amp;"",операции!$AB:$AB,"&lt;="&amp;N$9,операции!$L:$L,P$9,операции!$O:$O,$F1644))/P1705)</f>
        <v>0</v>
      </c>
      <c r="Q1706" s="237">
        <f>IF(Q1705=0,0,(SUMIFS(операции!$AF:$AF,операции!$T:$T,"&lt;="&amp;N$9,операции!$X:$X,"",операции!$AB:$AB,"&lt;&gt;"&amp;"",операции!$AB:$AB,"&lt;="&amp;N$9,операции!$L:$L,Q$9,операции!$O:$O,$F1644)+SUMIFS(операции!$AF:$AF,операции!$T:$T,"&lt;="&amp;N$9,операции!$X:$X,"&gt;"&amp;N$9,операции!$AB:$AB,"&lt;&gt;"&amp;"",операции!$AB:$AB,"&lt;="&amp;N$9,операции!$L:$L,Q$9,операции!$O:$O,$F1644))/Q1705)</f>
        <v>0</v>
      </c>
      <c r="R1706" s="238"/>
      <c r="S1706" s="193">
        <f>IF(S1705=0,0,(SUMIFS(операции!$AF:$AF,операции!$T:$T,"&lt;="&amp;S$9,операции!$X:$X,"",операции!$AB:$AB,"&lt;&gt;"&amp;"",операции!$AB:$AB,"&lt;="&amp;S$9,операции!$O:$O,$F1644)+SUMIFS(операции!$AF:$AF,операции!$T:$T,"&lt;="&amp;S$9,операции!$X:$X,"&gt;"&amp;S$9,операции!$AB:$AB,"&lt;&gt;"&amp;"",операции!$AB:$AB,"&lt;="&amp;S$9,операции!$O:$O,$F1644))/S1705)</f>
        <v>0</v>
      </c>
      <c r="T1706" s="196"/>
      <c r="U1706" s="193">
        <f>IF(U1705=0,0,(SUMIFS(операции!$AF:$AF,операции!$T:$T,"&lt;="&amp;S$9,операции!$X:$X,"",операции!$AB:$AB,"&lt;&gt;"&amp;"",операции!$AB:$AB,"&lt;="&amp;S$9,операции!$L:$L,U$9,операции!$O:$O,$F1644)+SUMIFS(операции!$AF:$AF,операции!$T:$T,"&lt;="&amp;S$9,операции!$X:$X,"&gt;"&amp;S$9,операции!$AB:$AB,"&lt;&gt;"&amp;"",операции!$AB:$AB,"&lt;="&amp;S$9,операции!$L:$L,U$9,операции!$O:$O,$F1644))/U1705)</f>
        <v>0</v>
      </c>
      <c r="V1706" s="237">
        <f>IF(V1705=0,0,(SUMIFS(операции!$AF:$AF,операции!$T:$T,"&lt;="&amp;S$9,операции!$X:$X,"",операции!$AB:$AB,"&lt;&gt;"&amp;"",операции!$AB:$AB,"&lt;="&amp;S$9,операции!$L:$L,V$9,операции!$O:$O,$F1644)+SUMIFS(операции!$AF:$AF,операции!$T:$T,"&lt;="&amp;S$9,операции!$X:$X,"&gt;"&amp;S$9,операции!$AB:$AB,"&lt;&gt;"&amp;"",операции!$AB:$AB,"&lt;="&amp;S$9,операции!$L:$L,V$9,операции!$O:$O,$F1644))/V1705)</f>
        <v>0</v>
      </c>
      <c r="W1706" s="238"/>
      <c r="X1706" s="193">
        <f>IF(X1705=0,0,(SUMIFS(операции!$AF:$AF,операции!$T:$T,"&lt;="&amp;X$9,операции!$X:$X,"",операции!$AB:$AB,"&lt;&gt;"&amp;"",операции!$AB:$AB,"&lt;="&amp;X$9,операции!$O:$O,$F1644)+SUMIFS(операции!$AF:$AF,операции!$T:$T,"&lt;="&amp;X$9,операции!$X:$X,"&gt;"&amp;X$9,операции!$AB:$AB,"&lt;&gt;"&amp;"",операции!$AB:$AB,"&lt;="&amp;X$9,операции!$O:$O,$F1644))/X1705)</f>
        <v>0</v>
      </c>
      <c r="Y1706" s="196"/>
      <c r="Z1706" s="193">
        <f>IF(Z1705=0,0,(SUMIFS(операции!$AF:$AF,операции!$T:$T,"&lt;="&amp;X$9,операции!$X:$X,"",операции!$AB:$AB,"&lt;&gt;"&amp;"",операции!$AB:$AB,"&lt;="&amp;X$9,операции!$L:$L,Z$9,операции!$O:$O,$F1644)+SUMIFS(операции!$AF:$AF,операции!$T:$T,"&lt;="&amp;X$9,операции!$X:$X,"&gt;"&amp;X$9,операции!$AB:$AB,"&lt;&gt;"&amp;"",операции!$AB:$AB,"&lt;="&amp;X$9,операции!$L:$L,Z$9,операции!$O:$O,$F1644))/Z1705)</f>
        <v>0</v>
      </c>
      <c r="AA1706" s="237">
        <f>IF(AA1705=0,0,(SUMIFS(операции!$AF:$AF,операции!$T:$T,"&lt;="&amp;X$9,операции!$X:$X,"",операции!$AB:$AB,"&lt;&gt;"&amp;"",операции!$AB:$AB,"&lt;="&amp;X$9,операции!$L:$L,AA$9,операции!$O:$O,$F1644)+SUMIFS(операции!$AF:$AF,операции!$T:$T,"&lt;="&amp;X$9,операции!$X:$X,"&gt;"&amp;X$9,операции!$AB:$AB,"&lt;&gt;"&amp;"",операции!$AB:$AB,"&lt;="&amp;X$9,операции!$L:$L,AA$9,операции!$O:$O,$F1644))/AA1705)</f>
        <v>0</v>
      </c>
      <c r="AB1706" s="265"/>
      <c r="AC1706" s="37"/>
      <c r="AD1706" s="37"/>
      <c r="AE1706" s="37"/>
      <c r="AF1706" s="37"/>
      <c r="AG1706" s="37"/>
      <c r="AH1706" s="37"/>
      <c r="AI1706" s="37"/>
      <c r="AJ1706" s="37"/>
      <c r="AK1706" s="37"/>
      <c r="AL1706" s="37"/>
      <c r="AM1706" s="37"/>
      <c r="AN1706" s="37"/>
      <c r="AO1706" s="37"/>
      <c r="AP1706" s="37"/>
    </row>
    <row r="1707" spans="1:42" s="192" customFormat="1" ht="11.25">
      <c r="A1707" s="37"/>
      <c r="B1707" s="37"/>
      <c r="C1707" s="37"/>
      <c r="D1707" s="191"/>
      <c r="E1707" s="191" t="s">
        <v>283</v>
      </c>
      <c r="F1707" s="191" t="str">
        <f t="shared" si="2924"/>
        <v>С-спортКид</v>
      </c>
      <c r="G1707" s="191" t="s">
        <v>219</v>
      </c>
      <c r="H1707" s="315"/>
      <c r="I1707" s="329">
        <f>IF(I1705=0,0,I$9-I1706)</f>
        <v>0</v>
      </c>
      <c r="J1707" s="317"/>
      <c r="K1707" s="329">
        <f>IF(K1705=0,0,I$9-K1706)</f>
        <v>0</v>
      </c>
      <c r="L1707" s="330">
        <f>IF(L1705=0,0,I$9-L1706)</f>
        <v>0</v>
      </c>
      <c r="M1707" s="274"/>
      <c r="N1707" s="156">
        <f>IF(N1705=0,0,N$9-N1706)</f>
        <v>0</v>
      </c>
      <c r="O1707" s="196"/>
      <c r="P1707" s="156">
        <f>IF(P1705=0,0,N$9-P1706)</f>
        <v>0</v>
      </c>
      <c r="Q1707" s="245">
        <f>IF(Q1705=0,0,N$9-Q1706)</f>
        <v>0</v>
      </c>
      <c r="R1707" s="238"/>
      <c r="S1707" s="156">
        <f>IF(S1705=0,0,S$9-S1706)</f>
        <v>0</v>
      </c>
      <c r="T1707" s="196"/>
      <c r="U1707" s="156">
        <f>IF(U1705=0,0,S$9-U1706)</f>
        <v>0</v>
      </c>
      <c r="V1707" s="245">
        <f>IF(V1705=0,0,S$9-V1706)</f>
        <v>0</v>
      </c>
      <c r="W1707" s="238"/>
      <c r="X1707" s="156">
        <f>IF(X1705=0,0,X$9-X1706)</f>
        <v>0</v>
      </c>
      <c r="Y1707" s="196"/>
      <c r="Z1707" s="156">
        <f>IF(Z1705=0,0,X$9-Z1706)</f>
        <v>0</v>
      </c>
      <c r="AA1707" s="245">
        <f>IF(AA1705=0,0,X$9-AA1706)</f>
        <v>0</v>
      </c>
      <c r="AB1707" s="265"/>
      <c r="AC1707" s="37"/>
      <c r="AD1707" s="37"/>
      <c r="AE1707" s="37"/>
      <c r="AF1707" s="37"/>
      <c r="AG1707" s="37"/>
      <c r="AH1707" s="37"/>
      <c r="AI1707" s="37"/>
      <c r="AJ1707" s="37"/>
      <c r="AK1707" s="37"/>
      <c r="AL1707" s="37"/>
      <c r="AM1707" s="37"/>
      <c r="AN1707" s="37"/>
      <c r="AO1707" s="37"/>
      <c r="AP1707" s="37"/>
    </row>
    <row r="1708" spans="1:42" s="192" customFormat="1" ht="11.25">
      <c r="A1708" s="37"/>
      <c r="B1708" s="37"/>
      <c r="C1708" s="37"/>
      <c r="D1708" s="191"/>
      <c r="E1708" s="191" t="s">
        <v>259</v>
      </c>
      <c r="F1708" s="191" t="str">
        <f t="shared" si="2924"/>
        <v>С-спортКид</v>
      </c>
      <c r="G1708" s="191" t="s">
        <v>262</v>
      </c>
      <c r="H1708" s="315"/>
      <c r="I1708" s="316">
        <f>IF(I1705=0,0,(SUMIFS(операции!$AH:$AH,операции!$T:$T,"&lt;="&amp;I$9,операции!$X:$X,"",операции!$AB:$AB,"&lt;&gt;"&amp;"",операции!$AB:$AB,"&lt;="&amp;I$9,операции!$O:$O,$F1644)+SUMIFS(операции!$AH:$AH,операции!$T:$T,"&lt;="&amp;I$9,операции!$X:$X,"&gt;"&amp;I$9,операции!$AB:$AB,"&lt;&gt;"&amp;"",операции!$AB:$AB,"&lt;="&amp;I$9,операции!$O:$O,$F1644))/I1705)</f>
        <v>0</v>
      </c>
      <c r="J1708" s="317"/>
      <c r="K1708" s="316">
        <f>IF(K1705=0,0,(SUMIFS(операции!$AH:$AH,операции!$T:$T,"&lt;="&amp;I$9,операции!$X:$X,"",операции!$AB:$AB,"&lt;&gt;"&amp;"",операции!$AB:$AB,"&lt;="&amp;I$9,операции!$L:$L,K$9,операции!$O:$O,$F1644)+SUMIFS(операции!$AH:$AH,операции!$T:$T,"&lt;="&amp;I$9,операции!$X:$X,"&gt;"&amp;I$9,операции!$AB:$AB,"&lt;&gt;"&amp;"",операции!$AB:$AB,"&lt;="&amp;I$9,операции!$L:$L,K$9,операции!$O:$O,$F1644))/K1705)</f>
        <v>0</v>
      </c>
      <c r="L1708" s="318">
        <f>IF(L1705=0,0,(SUMIFS(операции!$AH:$AH,операции!$T:$T,"&lt;="&amp;I$9,операции!$X:$X,"",операции!$AB:$AB,"&lt;&gt;"&amp;"",операции!$AB:$AB,"&lt;="&amp;I$9,операции!$L:$L,L$9,операции!$O:$O,$F1644)+SUMIFS(операции!$AH:$AH,операции!$T:$T,"&lt;="&amp;I$9,операции!$X:$X,"&gt;"&amp;I$9,операции!$AB:$AB,"&lt;&gt;"&amp;"",операции!$AB:$AB,"&lt;="&amp;I$9,операции!$L:$L,L$9,операции!$O:$O,$F1644))/L1705)</f>
        <v>0</v>
      </c>
      <c r="M1708" s="274"/>
      <c r="N1708" s="193">
        <f>IF(N1705=0,0,(SUMIFS(операции!$AH:$AH,операции!$T:$T,"&lt;="&amp;N$9,операции!$X:$X,"",операции!$AB:$AB,"&lt;&gt;"&amp;"",операции!$AB:$AB,"&lt;="&amp;N$9,операции!$O:$O,$F1644)+SUMIFS(операции!$AH:$AH,операции!$T:$T,"&lt;="&amp;N$9,операции!$X:$X,"&gt;"&amp;N$9,операции!$AB:$AB,"&lt;&gt;"&amp;"",операции!$AB:$AB,"&lt;="&amp;N$9,операции!$O:$O,$F1644))/N1705)</f>
        <v>0</v>
      </c>
      <c r="O1708" s="196"/>
      <c r="P1708" s="193">
        <f>IF(P1705=0,0,(SUMIFS(операции!$AH:$AH,операции!$T:$T,"&lt;="&amp;N$9,операции!$X:$X,"",операции!$AB:$AB,"&lt;&gt;"&amp;"",операции!$AB:$AB,"&lt;="&amp;N$9,операции!$L:$L,P$9,операции!$O:$O,$F1644)+SUMIFS(операции!$AH:$AH,операции!$T:$T,"&lt;="&amp;N$9,операции!$X:$X,"&gt;"&amp;N$9,операции!$AB:$AB,"&lt;&gt;"&amp;"",операции!$AB:$AB,"&lt;="&amp;N$9,операции!$L:$L,P$9,операции!$O:$O,$F1644))/P1705)</f>
        <v>0</v>
      </c>
      <c r="Q1708" s="237">
        <f>IF(Q1705=0,0,(SUMIFS(операции!$AH:$AH,операции!$T:$T,"&lt;="&amp;N$9,операции!$X:$X,"",операции!$AB:$AB,"&lt;&gt;"&amp;"",операции!$AB:$AB,"&lt;="&amp;N$9,операции!$L:$L,Q$9,операции!$O:$O,$F1644)+SUMIFS(операции!$AH:$AH,операции!$T:$T,"&lt;="&amp;N$9,операции!$X:$X,"&gt;"&amp;N$9,операции!$AB:$AB,"&lt;&gt;"&amp;"",операции!$AB:$AB,"&lt;="&amp;N$9,операции!$L:$L,Q$9,операции!$O:$O,$F1644))/Q1705)</f>
        <v>0</v>
      </c>
      <c r="R1708" s="238"/>
      <c r="S1708" s="193">
        <f>IF(S1705=0,0,(SUMIFS(операции!$AH:$AH,операции!$T:$T,"&lt;="&amp;S$9,операции!$X:$X,"",операции!$AB:$AB,"&lt;&gt;"&amp;"",операции!$AB:$AB,"&lt;="&amp;S$9,операции!$O:$O,$F1644)+SUMIFS(операции!$AH:$AH,операции!$T:$T,"&lt;="&amp;S$9,операции!$X:$X,"&gt;"&amp;S$9,операции!$AB:$AB,"&lt;&gt;"&amp;"",операции!$AB:$AB,"&lt;="&amp;S$9,операции!$O:$O,$F1644))/S1705)</f>
        <v>0</v>
      </c>
      <c r="T1708" s="196"/>
      <c r="U1708" s="193">
        <f>IF(U1705=0,0,(SUMIFS(операции!$AH:$AH,операции!$T:$T,"&lt;="&amp;S$9,операции!$X:$X,"",операции!$AB:$AB,"&lt;&gt;"&amp;"",операции!$AB:$AB,"&lt;="&amp;S$9,операции!$L:$L,U$9,операции!$O:$O,$F1644)+SUMIFS(операции!$AH:$AH,операции!$T:$T,"&lt;="&amp;S$9,операции!$X:$X,"&gt;"&amp;S$9,операции!$AB:$AB,"&lt;&gt;"&amp;"",операции!$AB:$AB,"&lt;="&amp;S$9,операции!$L:$L,U$9,операции!$O:$O,$F1644))/U1705)</f>
        <v>0</v>
      </c>
      <c r="V1708" s="237">
        <f>IF(V1705=0,0,(SUMIFS(операции!$AH:$AH,операции!$T:$T,"&lt;="&amp;S$9,операции!$X:$X,"",операции!$AB:$AB,"&lt;&gt;"&amp;"",операции!$AB:$AB,"&lt;="&amp;S$9,операции!$L:$L,V$9,операции!$O:$O,$F1644)+SUMIFS(операции!$AH:$AH,операции!$T:$T,"&lt;="&amp;S$9,операции!$X:$X,"&gt;"&amp;S$9,операции!$AB:$AB,"&lt;&gt;"&amp;"",операции!$AB:$AB,"&lt;="&amp;S$9,операции!$L:$L,V$9,операции!$O:$O,$F1644))/V1705)</f>
        <v>0</v>
      </c>
      <c r="W1708" s="238"/>
      <c r="X1708" s="193">
        <f>IF(X1705=0,0,(SUMIFS(операции!$AH:$AH,операции!$T:$T,"&lt;="&amp;X$9,операции!$X:$X,"",операции!$AB:$AB,"&lt;&gt;"&amp;"",операции!$AB:$AB,"&lt;="&amp;X$9,операции!$O:$O,$F1644)+SUMIFS(операции!$AH:$AH,операции!$T:$T,"&lt;="&amp;X$9,операции!$X:$X,"&gt;"&amp;X$9,операции!$AB:$AB,"&lt;&gt;"&amp;"",операции!$AB:$AB,"&lt;="&amp;X$9,операции!$O:$O,$F1644))/X1705)</f>
        <v>0</v>
      </c>
      <c r="Y1708" s="196"/>
      <c r="Z1708" s="193">
        <f>IF(Z1705=0,0,(SUMIFS(операции!$AH:$AH,операции!$T:$T,"&lt;="&amp;X$9,операции!$X:$X,"",операции!$AB:$AB,"&lt;&gt;"&amp;"",операции!$AB:$AB,"&lt;="&amp;X$9,операции!$L:$L,Z$9,операции!$O:$O,$F1644)+SUMIFS(операции!$AH:$AH,операции!$T:$T,"&lt;="&amp;X$9,операции!$X:$X,"&gt;"&amp;X$9,операции!$AB:$AB,"&lt;&gt;"&amp;"",операции!$AB:$AB,"&lt;="&amp;X$9,операции!$L:$L,Z$9,операции!$O:$O,$F1644))/Z1705)</f>
        <v>0</v>
      </c>
      <c r="AA1708" s="237">
        <f>IF(AA1705=0,0,(SUMIFS(операции!$AH:$AH,операции!$T:$T,"&lt;="&amp;X$9,операции!$X:$X,"",операции!$AB:$AB,"&lt;&gt;"&amp;"",операции!$AB:$AB,"&lt;="&amp;X$9,операции!$L:$L,AA$9,операции!$O:$O,$F1644)+SUMIFS(операции!$AH:$AH,операции!$T:$T,"&lt;="&amp;X$9,операции!$X:$X,"&gt;"&amp;X$9,операции!$AB:$AB,"&lt;&gt;"&amp;"",операции!$AB:$AB,"&lt;="&amp;X$9,операции!$L:$L,AA$9,операции!$O:$O,$F1644))/AA1705)</f>
        <v>0</v>
      </c>
      <c r="AB1708" s="265"/>
      <c r="AC1708" s="37"/>
      <c r="AD1708" s="37"/>
      <c r="AE1708" s="37"/>
      <c r="AF1708" s="37"/>
      <c r="AG1708" s="37"/>
      <c r="AH1708" s="37"/>
      <c r="AI1708" s="37"/>
      <c r="AJ1708" s="37"/>
      <c r="AK1708" s="37"/>
      <c r="AL1708" s="37"/>
      <c r="AM1708" s="37"/>
      <c r="AN1708" s="37"/>
      <c r="AO1708" s="37"/>
      <c r="AP1708" s="37"/>
    </row>
    <row r="1709" spans="1:42" s="192" customFormat="1" ht="11.25">
      <c r="A1709" s="37"/>
      <c r="B1709" s="37"/>
      <c r="C1709" s="37"/>
      <c r="D1709" s="191"/>
      <c r="E1709" s="191" t="s">
        <v>284</v>
      </c>
      <c r="F1709" s="191" t="str">
        <f t="shared" si="2924"/>
        <v>С-спортКид</v>
      </c>
      <c r="G1709" s="191" t="s">
        <v>219</v>
      </c>
      <c r="H1709" s="315"/>
      <c r="I1709" s="329">
        <f>I1708-I1706</f>
        <v>0</v>
      </c>
      <c r="J1709" s="317"/>
      <c r="K1709" s="329">
        <f>K1708-K1706</f>
        <v>0</v>
      </c>
      <c r="L1709" s="330">
        <f>L1708-L1706</f>
        <v>0</v>
      </c>
      <c r="M1709" s="274"/>
      <c r="N1709" s="156">
        <f>N1708-N1706</f>
        <v>0</v>
      </c>
      <c r="O1709" s="196"/>
      <c r="P1709" s="156">
        <f>P1708-P1706</f>
        <v>0</v>
      </c>
      <c r="Q1709" s="245">
        <f>Q1708-Q1706</f>
        <v>0</v>
      </c>
      <c r="R1709" s="238"/>
      <c r="S1709" s="156">
        <f>S1708-S1706</f>
        <v>0</v>
      </c>
      <c r="T1709" s="196"/>
      <c r="U1709" s="156">
        <f>U1708-U1706</f>
        <v>0</v>
      </c>
      <c r="V1709" s="245">
        <f>V1708-V1706</f>
        <v>0</v>
      </c>
      <c r="W1709" s="238"/>
      <c r="X1709" s="156">
        <f>X1708-X1706</f>
        <v>0</v>
      </c>
      <c r="Y1709" s="196"/>
      <c r="Z1709" s="156">
        <f>Z1708-Z1706</f>
        <v>0</v>
      </c>
      <c r="AA1709" s="245">
        <f>AA1708-AA1706</f>
        <v>0</v>
      </c>
      <c r="AB1709" s="265"/>
      <c r="AC1709" s="37"/>
      <c r="AD1709" s="37"/>
      <c r="AE1709" s="37"/>
      <c r="AF1709" s="37"/>
      <c r="AG1709" s="37"/>
      <c r="AH1709" s="37"/>
      <c r="AI1709" s="37"/>
      <c r="AJ1709" s="37"/>
      <c r="AK1709" s="37"/>
      <c r="AL1709" s="37"/>
      <c r="AM1709" s="37"/>
      <c r="AN1709" s="37"/>
      <c r="AO1709" s="37"/>
      <c r="AP1709" s="37"/>
    </row>
    <row r="1710" spans="1:42" s="192" customFormat="1" ht="11.25">
      <c r="A1710" s="37"/>
      <c r="B1710" s="37"/>
      <c r="C1710" s="37"/>
      <c r="D1710" s="191"/>
      <c r="E1710" s="191" t="s">
        <v>285</v>
      </c>
      <c r="F1710" s="191" t="str">
        <f t="shared" si="2924"/>
        <v>С-спортКид</v>
      </c>
      <c r="G1710" s="191" t="s">
        <v>219</v>
      </c>
      <c r="H1710" s="315"/>
      <c r="I1710" s="329">
        <f>I1707-I1709</f>
        <v>0</v>
      </c>
      <c r="J1710" s="317"/>
      <c r="K1710" s="329">
        <f>K1707-K1709</f>
        <v>0</v>
      </c>
      <c r="L1710" s="330">
        <f>L1707-L1709</f>
        <v>0</v>
      </c>
      <c r="M1710" s="274"/>
      <c r="N1710" s="156">
        <f>N1707-N1709</f>
        <v>0</v>
      </c>
      <c r="O1710" s="196"/>
      <c r="P1710" s="156">
        <f>P1707-P1709</f>
        <v>0</v>
      </c>
      <c r="Q1710" s="245">
        <f>Q1707-Q1709</f>
        <v>0</v>
      </c>
      <c r="R1710" s="238"/>
      <c r="S1710" s="156">
        <f>S1707-S1709</f>
        <v>0</v>
      </c>
      <c r="T1710" s="196"/>
      <c r="U1710" s="156">
        <f>U1707-U1709</f>
        <v>0</v>
      </c>
      <c r="V1710" s="245">
        <f>V1707-V1709</f>
        <v>0</v>
      </c>
      <c r="W1710" s="238"/>
      <c r="X1710" s="156">
        <f>X1707-X1709</f>
        <v>0</v>
      </c>
      <c r="Y1710" s="196"/>
      <c r="Z1710" s="156">
        <f>Z1707-Z1709</f>
        <v>0</v>
      </c>
      <c r="AA1710" s="245">
        <f>AA1707-AA1709</f>
        <v>0</v>
      </c>
      <c r="AB1710" s="265"/>
      <c r="AC1710" s="37"/>
      <c r="AD1710" s="37"/>
      <c r="AE1710" s="37"/>
      <c r="AF1710" s="37"/>
      <c r="AG1710" s="37"/>
      <c r="AH1710" s="37"/>
      <c r="AI1710" s="37"/>
      <c r="AJ1710" s="37"/>
      <c r="AK1710" s="37"/>
      <c r="AL1710" s="37"/>
      <c r="AM1710" s="37"/>
      <c r="AN1710" s="37"/>
      <c r="AO1710" s="37"/>
      <c r="AP1710" s="37"/>
    </row>
    <row r="1711" spans="1:42" s="5" customFormat="1">
      <c r="A1711" s="1"/>
      <c r="B1711" s="1"/>
      <c r="C1711" s="1"/>
      <c r="D1711" s="168"/>
      <c r="E1711" s="168" t="s">
        <v>286</v>
      </c>
      <c r="F1711" s="168" t="str">
        <f t="shared" si="2924"/>
        <v>С-спортКид</v>
      </c>
      <c r="G1711" s="168" t="s">
        <v>261</v>
      </c>
      <c r="H1711" s="326"/>
      <c r="I1711" s="327">
        <f>SUMIFS(операции!$V:$V,операции!$T:$T,"&lt;="&amp;I$9,операции!$X:$X,"",операции!$AB:$AB,"",операции!$O:$O,$F1644)+SUMIFS(операции!$V:$V,операции!$T:$T,"&lt;="&amp;I$9,операции!$X:$X,"&gt;"&amp;I$9,операции!$AB:$AB,"",операции!$O:$O,$F1644)+SUMIFS(операции!$V:$V,операции!$T:$T,"&lt;="&amp;I$9,операции!$X:$X,"",операции!$AB:$AB,"&gt;"&amp;I$9,операции!$O:$O,$F1644)+SUMIFS(операции!$V:$V,операции!$T:$T,"&lt;="&amp;I$9,операции!$X:$X,"&gt;"&amp;I$9,операции!$AB:$AB,"&gt;"&amp;I$9,операции!$O:$O,$F1644)</f>
        <v>7870</v>
      </c>
      <c r="J1711" s="313">
        <f>I1711-K1711-L1711</f>
        <v>0</v>
      </c>
      <c r="K1711" s="327">
        <f>SUMIFS(операции!$V:$V,операции!$T:$T,"&lt;="&amp;I$9,операции!$X:$X,"",операции!$AB:$AB,"",операции!$L:$L,K$9,операции!$O:$O,$F1644)+SUMIFS(операции!$V:$V,операции!$T:$T,"&lt;="&amp;I$9,операции!$X:$X,"&gt;"&amp;I$9,операции!$AB:$AB,"",операции!$L:$L,K$9,операции!$O:$O,$F1644)+SUMIFS(операции!$V:$V,операции!$T:$T,"&lt;="&amp;I$9,операции!$X:$X,"",операции!$AB:$AB,"&gt;"&amp;I$9,операции!$L:$L,K$9,операции!$O:$O,$F1644)+SUMIFS(операции!$V:$V,операции!$T:$T,"&lt;="&amp;I$9,операции!$X:$X,"&gt;"&amp;I$9,операции!$AB:$AB,"&gt;"&amp;I$9,операции!$L:$L,K$9,операции!$O:$O,$F1644)</f>
        <v>0</v>
      </c>
      <c r="L1711" s="328">
        <f>SUMIFS(операции!$V:$V,операции!$T:$T,"&lt;="&amp;I$9,операции!$X:$X,"",операции!$AB:$AB,"",операции!$L:$L,L$9,операции!$O:$O,$F1644)+SUMIFS(операции!$V:$V,операции!$T:$T,"&lt;="&amp;I$9,операции!$X:$X,"&gt;"&amp;I$9,операции!$AB:$AB,"",операции!$L:$L,L$9,операции!$O:$O,$F1644)+SUMIFS(операции!$V:$V,операции!$T:$T,"&lt;="&amp;I$9,операции!$X:$X,"",операции!$AB:$AB,"&gt;"&amp;I$9,операции!$L:$L,L$9,операции!$O:$O,$F1644)+SUMIFS(операции!$V:$V,операции!$T:$T,"&lt;="&amp;I$9,операции!$X:$X,"&gt;"&amp;I$9,операции!$AB:$AB,"&gt;"&amp;I$9,операции!$L:$L,L$9,операции!$O:$O,$F1644)</f>
        <v>7870</v>
      </c>
      <c r="M1711" s="277"/>
      <c r="N1711" s="169">
        <f>SUMIFS(операции!$V:$V,операции!$T:$T,"&lt;="&amp;N$9,операции!$X:$X,"",операции!$AB:$AB,"",операции!$O:$O,$F1644)+SUMIFS(операции!$V:$V,операции!$T:$T,"&lt;="&amp;N$9,операции!$X:$X,"&gt;"&amp;N$9,операции!$AB:$AB,"",операции!$O:$O,$F1644)+SUMIFS(операции!$V:$V,операции!$T:$T,"&lt;="&amp;N$9,операции!$X:$X,"",операции!$AB:$AB,"&gt;"&amp;N$9,операции!$O:$O,$F1644)+SUMIFS(операции!$V:$V,операции!$T:$T,"&lt;="&amp;N$9,операции!$X:$X,"&gt;"&amp;N$9,операции!$AB:$AB,"&gt;"&amp;N$9,операции!$O:$O,$F1644)</f>
        <v>0</v>
      </c>
      <c r="O1711" s="170">
        <f>N1711-P1711-Q1711</f>
        <v>0</v>
      </c>
      <c r="P1711" s="169">
        <f>SUMIFS(операции!$V:$V,операции!$T:$T,"&lt;="&amp;N$9,операции!$X:$X,"",операции!$AB:$AB,"",операции!$L:$L,P$9,операции!$O:$O,$F1644)+SUMIFS(операции!$V:$V,операции!$T:$T,"&lt;="&amp;N$9,операции!$X:$X,"&gt;"&amp;N$9,операции!$AB:$AB,"",операции!$L:$L,P$9,операции!$O:$O,$F1644)+SUMIFS(операции!$V:$V,операции!$T:$T,"&lt;="&amp;N$9,операции!$X:$X,"",операции!$AB:$AB,"&gt;"&amp;N$9,операции!$L:$L,P$9,операции!$O:$O,$F1644)+SUMIFS(операции!$V:$V,операции!$T:$T,"&lt;="&amp;N$9,операции!$X:$X,"&gt;"&amp;N$9,операции!$AB:$AB,"&gt;"&amp;N$9,операции!$L:$L,P$9,операции!$O:$O,$F1644)</f>
        <v>0</v>
      </c>
      <c r="Q1711" s="243">
        <f>SUMIFS(операции!$V:$V,операции!$T:$T,"&lt;="&amp;N$9,операции!$X:$X,"",операции!$AB:$AB,"",операции!$L:$L,Q$9,операции!$O:$O,$F1644)+SUMIFS(операции!$V:$V,операции!$T:$T,"&lt;="&amp;N$9,операции!$X:$X,"&gt;"&amp;N$9,операции!$AB:$AB,"",операции!$L:$L,Q$9,операции!$O:$O,$F1644)+SUMIFS(операции!$V:$V,операции!$T:$T,"&lt;="&amp;N$9,операции!$X:$X,"",операции!$AB:$AB,"&gt;"&amp;N$9,операции!$L:$L,Q$9,операции!$O:$O,$F1644)+SUMIFS(операции!$V:$V,операции!$T:$T,"&lt;="&amp;N$9,операции!$X:$X,"&gt;"&amp;N$9,операции!$AB:$AB,"&gt;"&amp;N$9,операции!$L:$L,Q$9,операции!$O:$O,$F1644)</f>
        <v>0</v>
      </c>
      <c r="R1711" s="244"/>
      <c r="S1711" s="169">
        <f>SUMIFS(операции!$V:$V,операции!$T:$T,"&lt;="&amp;S$9,операции!$X:$X,"",операции!$AB:$AB,"",операции!$O:$O,$F1644)+SUMIFS(операции!$V:$V,операции!$T:$T,"&lt;="&amp;S$9,операции!$X:$X,"&gt;"&amp;S$9,операции!$AB:$AB,"",операции!$O:$O,$F1644)+SUMIFS(операции!$V:$V,операции!$T:$T,"&lt;="&amp;S$9,операции!$X:$X,"",операции!$AB:$AB,"&gt;"&amp;S$9,операции!$O:$O,$F1644)+SUMIFS(операции!$V:$V,операции!$T:$T,"&lt;="&amp;S$9,операции!$X:$X,"&gt;"&amp;S$9,операции!$AB:$AB,"&gt;"&amp;S$9,операции!$O:$O,$F1644)</f>
        <v>21750</v>
      </c>
      <c r="T1711" s="170">
        <f>S1711-U1711-V1711</f>
        <v>0</v>
      </c>
      <c r="U1711" s="169">
        <f>SUMIFS(операции!$V:$V,операции!$T:$T,"&lt;="&amp;S$9,операции!$X:$X,"",операции!$AB:$AB,"",операции!$L:$L,U$9,операции!$O:$O,$F1644)+SUMIFS(операции!$V:$V,операции!$T:$T,"&lt;="&amp;S$9,операции!$X:$X,"&gt;"&amp;S$9,операции!$AB:$AB,"",операции!$L:$L,U$9,операции!$O:$O,$F1644)+SUMIFS(операции!$V:$V,операции!$T:$T,"&lt;="&amp;S$9,операции!$X:$X,"",операции!$AB:$AB,"&gt;"&amp;S$9,операции!$L:$L,U$9,операции!$O:$O,$F1644)+SUMIFS(операции!$V:$V,операции!$T:$T,"&lt;="&amp;S$9,операции!$X:$X,"&gt;"&amp;S$9,операции!$AB:$AB,"&gt;"&amp;S$9,операции!$L:$L,U$9,операции!$O:$O,$F1644)</f>
        <v>0</v>
      </c>
      <c r="V1711" s="243">
        <f>SUMIFS(операции!$V:$V,операции!$T:$T,"&lt;="&amp;S$9,операции!$X:$X,"",операции!$AB:$AB,"",операции!$L:$L,V$9,операции!$O:$O,$F1644)+SUMIFS(операции!$V:$V,операции!$T:$T,"&lt;="&amp;S$9,операции!$X:$X,"&gt;"&amp;S$9,операции!$AB:$AB,"",операции!$L:$L,V$9,операции!$O:$O,$F1644)+SUMIFS(операции!$V:$V,операции!$T:$T,"&lt;="&amp;S$9,операции!$X:$X,"",операции!$AB:$AB,"&gt;"&amp;S$9,операции!$L:$L,V$9,операции!$O:$O,$F1644)+SUMIFS(операции!$V:$V,операции!$T:$T,"&lt;="&amp;S$9,операции!$X:$X,"&gt;"&amp;S$9,операции!$AB:$AB,"&gt;"&amp;S$9,операции!$L:$L,V$9,операции!$O:$O,$F1644)</f>
        <v>21750</v>
      </c>
      <c r="W1711" s="244"/>
      <c r="X1711" s="169">
        <f>SUMIFS(операции!$V:$V,операции!$T:$T,"&lt;="&amp;X$9,операции!$X:$X,"",операции!$AB:$AB,"",операции!$O:$O,$F1644)+SUMIFS(операции!$V:$V,операции!$T:$T,"&lt;="&amp;X$9,операции!$X:$X,"&gt;"&amp;X$9,операции!$AB:$AB,"",операции!$O:$O,$F1644)+SUMIFS(операции!$V:$V,операции!$T:$T,"&lt;="&amp;X$9,операции!$X:$X,"",операции!$AB:$AB,"&gt;"&amp;X$9,операции!$O:$O,$F1644)+SUMIFS(операции!$V:$V,операции!$T:$T,"&lt;="&amp;X$9,операции!$X:$X,"&gt;"&amp;X$9,операции!$AB:$AB,"&gt;"&amp;X$9,операции!$O:$O,$F1644)</f>
        <v>7870</v>
      </c>
      <c r="Y1711" s="170">
        <f>X1711-Z1711-AA1711</f>
        <v>0</v>
      </c>
      <c r="Z1711" s="169">
        <f>SUMIFS(операции!$V:$V,операции!$T:$T,"&lt;="&amp;X$9,операции!$X:$X,"",операции!$AB:$AB,"",операции!$L:$L,Z$9,операции!$O:$O,$F1644)+SUMIFS(операции!$V:$V,операции!$T:$T,"&lt;="&amp;X$9,операции!$X:$X,"&gt;"&amp;X$9,операции!$AB:$AB,"",операции!$L:$L,Z$9,операции!$O:$O,$F1644)+SUMIFS(операции!$V:$V,операции!$T:$T,"&lt;="&amp;X$9,операции!$X:$X,"",операции!$AB:$AB,"&gt;"&amp;X$9,операции!$L:$L,Z$9,операции!$O:$O,$F1644)+SUMIFS(операции!$V:$V,операции!$T:$T,"&lt;="&amp;X$9,операции!$X:$X,"&gt;"&amp;X$9,операции!$AB:$AB,"&gt;"&amp;X$9,операции!$L:$L,Z$9,операции!$O:$O,$F1644)</f>
        <v>0</v>
      </c>
      <c r="AA1711" s="243">
        <f>SUMIFS(операции!$V:$V,операции!$T:$T,"&lt;="&amp;X$9,операции!$X:$X,"",операции!$AB:$AB,"",операции!$L:$L,AA$9,операции!$O:$O,$F1644)+SUMIFS(операции!$V:$V,операции!$T:$T,"&lt;="&amp;X$9,операции!$X:$X,"&gt;"&amp;X$9,операции!$AB:$AB,"",операции!$L:$L,AA$9,операции!$O:$O,$F1644)+SUMIFS(операции!$V:$V,операции!$T:$T,"&lt;="&amp;X$9,операции!$X:$X,"",операции!$AB:$AB,"&gt;"&amp;X$9,операции!$L:$L,AA$9,операции!$O:$O,$F1644)+SUMIFS(операции!$V:$V,операции!$T:$T,"&lt;="&amp;X$9,операции!$X:$X,"&gt;"&amp;X$9,операции!$AB:$AB,"&gt;"&amp;X$9,операции!$L:$L,AA$9,операции!$O:$O,$F1644)</f>
        <v>7870</v>
      </c>
      <c r="AB1711" s="266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</row>
    <row r="1712" spans="1:42" s="192" customFormat="1" ht="11.25">
      <c r="A1712" s="37"/>
      <c r="B1712" s="37"/>
      <c r="C1712" s="37"/>
      <c r="D1712" s="191"/>
      <c r="E1712" s="191" t="s">
        <v>255</v>
      </c>
      <c r="F1712" s="191" t="str">
        <f t="shared" si="2924"/>
        <v>С-спортКид</v>
      </c>
      <c r="G1712" s="191" t="s">
        <v>262</v>
      </c>
      <c r="H1712" s="315"/>
      <c r="I1712" s="316">
        <f>IF(I1711=0,0,(SUMIFS(операции!$AF:$AF,операции!$T:$T,"&lt;="&amp;I$9,операции!$X:$X,"",операции!$AB:$AB,"",операции!$O:$O,$F1644)+SUMIFS(операции!$AF:$AF,операции!$T:$T,"&lt;="&amp;I$9,операции!$X:$X,"&gt;"&amp;I$9,операции!$AB:$AB,"",операции!$O:$O,$F1644)+SUMIFS(операции!$AF:$AF,операции!$T:$T,"&lt;="&amp;I$9,операции!$X:$X,"",операции!$AB:$AB,"&gt;"&amp;I$9,операции!$O:$O,$F1644)+SUMIFS(операции!$AF:$AF,операции!$T:$T,"&lt;="&amp;I$9,операции!$X:$X,"&gt;"&amp;I$9,операции!$AB:$AB,"&gt;"&amp;I$9,операции!$O:$O,$F1644))/I1711)</f>
        <v>42365</v>
      </c>
      <c r="J1712" s="317"/>
      <c r="K1712" s="316">
        <f>IF(K1711=0,0,(SUMIFS(операции!$AF:$AF,операции!$T:$T,"&lt;="&amp;I$9,операции!$X:$X,"",операции!$AB:$AB,"",операции!$L:$L,K$9,операции!$O:$O,$F1644)+SUMIFS(операции!$AF:$AF,операции!$T:$T,"&lt;="&amp;I$9,операции!$X:$X,"&gt;"&amp;I$9,операции!$AB:$AB,"",операции!$L:$L,K$9,операции!$O:$O,$F1644)+SUMIFS(операции!$AF:$AF,операции!$T:$T,"&lt;="&amp;I$9,операции!$X:$X,"",операции!$AB:$AB,"&gt;"&amp;I$9,операции!$L:$L,K$9,операции!$O:$O,$F1644)+SUMIFS(операции!$AF:$AF,операции!$T:$T,"&lt;="&amp;I$9,операции!$X:$X,"&gt;"&amp;I$9,операции!$AB:$AB,"&gt;"&amp;I$9,операции!$L:$L,K$9,операции!$O:$O,$F1644))/K1711)</f>
        <v>0</v>
      </c>
      <c r="L1712" s="318">
        <f>IF(L1711=0,0,(SUMIFS(операции!$AF:$AF,операции!$T:$T,"&lt;="&amp;I$9,операции!$X:$X,"",операции!$AB:$AB,"",операции!$L:$L,L$9,операции!$O:$O,$F1644)+SUMIFS(операции!$AF:$AF,операции!$T:$T,"&lt;="&amp;I$9,операции!$X:$X,"&gt;"&amp;I$9,операции!$AB:$AB,"",операции!$L:$L,L$9,операции!$O:$O,$F1644)+SUMIFS(операции!$AF:$AF,операции!$T:$T,"&lt;="&amp;I$9,операции!$X:$X,"",операции!$AB:$AB,"&gt;"&amp;I$9,операции!$L:$L,L$9,операции!$O:$O,$F1644)+SUMIFS(операции!$AF:$AF,операции!$T:$T,"&lt;="&amp;I$9,операции!$X:$X,"&gt;"&amp;I$9,операции!$AB:$AB,"&gt;"&amp;I$9,операции!$L:$L,L$9,операции!$O:$O,$F1644))/L1711)</f>
        <v>42365</v>
      </c>
      <c r="M1712" s="274"/>
      <c r="N1712" s="193">
        <f>IF(N1711=0,0,(SUMIFS(операции!$AF:$AF,операции!$T:$T,"&lt;="&amp;N$9,операции!$X:$X,"",операции!$AB:$AB,"",операции!$O:$O,$F1644)+SUMIFS(операции!$AF:$AF,операции!$T:$T,"&lt;="&amp;N$9,операции!$X:$X,"&gt;"&amp;N$9,операции!$AB:$AB,"",операции!$O:$O,$F1644)+SUMIFS(операции!$AF:$AF,операции!$T:$T,"&lt;="&amp;N$9,операции!$X:$X,"",операции!$AB:$AB,"&gt;"&amp;N$9,операции!$O:$O,$F1644)+SUMIFS(операции!$AF:$AF,операции!$T:$T,"&lt;="&amp;N$9,операции!$X:$X,"&gt;"&amp;N$9,операции!$AB:$AB,"&gt;"&amp;N$9,операции!$O:$O,$F1644))/N1711)</f>
        <v>0</v>
      </c>
      <c r="O1712" s="196"/>
      <c r="P1712" s="193">
        <f>IF(P1711=0,0,(SUMIFS(операции!$AF:$AF,операции!$T:$T,"&lt;="&amp;N$9,операции!$X:$X,"",операции!$AB:$AB,"",операции!$L:$L,P$9,операции!$O:$O,$F1644)+SUMIFS(операции!$AF:$AF,операции!$T:$T,"&lt;="&amp;N$9,операции!$X:$X,"&gt;"&amp;N$9,операции!$AB:$AB,"",операции!$L:$L,P$9,операции!$O:$O,$F1644)+SUMIFS(операции!$AF:$AF,операции!$T:$T,"&lt;="&amp;N$9,операции!$X:$X,"",операции!$AB:$AB,"&gt;"&amp;N$9,операции!$L:$L,P$9,операции!$O:$O,$F1644)+SUMIFS(операции!$AF:$AF,операции!$T:$T,"&lt;="&amp;N$9,операции!$X:$X,"&gt;"&amp;N$9,операции!$AB:$AB,"&gt;"&amp;N$9,операции!$L:$L,P$9,операции!$O:$O,$F1644))/P1711)</f>
        <v>0</v>
      </c>
      <c r="Q1712" s="237">
        <f>IF(Q1711=0,0,(SUMIFS(операции!$AF:$AF,операции!$T:$T,"&lt;="&amp;N$9,операции!$X:$X,"",операции!$AB:$AB,"",операции!$L:$L,Q$9,операции!$O:$O,$F1644)+SUMIFS(операции!$AF:$AF,операции!$T:$T,"&lt;="&amp;N$9,операции!$X:$X,"&gt;"&amp;N$9,операции!$AB:$AB,"",операции!$L:$L,Q$9,операции!$O:$O,$F1644)+SUMIFS(операции!$AF:$AF,операции!$T:$T,"&lt;="&amp;N$9,операции!$X:$X,"",операции!$AB:$AB,"&gt;"&amp;N$9,операции!$L:$L,Q$9,операции!$O:$O,$F1644)+SUMIFS(операции!$AF:$AF,операции!$T:$T,"&lt;="&amp;N$9,операции!$X:$X,"&gt;"&amp;N$9,операции!$AB:$AB,"&gt;"&amp;N$9,операции!$L:$L,Q$9,операции!$O:$O,$F1644))/Q1711)</f>
        <v>0</v>
      </c>
      <c r="R1712" s="238"/>
      <c r="S1712" s="193">
        <f>IF(S1711=0,0,(SUMIFS(операции!$AF:$AF,операции!$T:$T,"&lt;="&amp;S$9,операции!$X:$X,"",операции!$AB:$AB,"",операции!$O:$O,$F1644)+SUMIFS(операции!$AF:$AF,операции!$T:$T,"&lt;="&amp;S$9,операции!$X:$X,"&gt;"&amp;S$9,операции!$AB:$AB,"",операции!$O:$O,$F1644)+SUMIFS(операции!$AF:$AF,операции!$T:$T,"&lt;="&amp;S$9,операции!$X:$X,"",операции!$AB:$AB,"&gt;"&amp;S$9,операции!$O:$O,$F1644)+SUMIFS(операции!$AF:$AF,операции!$T:$T,"&lt;="&amp;S$9,операции!$X:$X,"&gt;"&amp;S$9,операции!$AB:$AB,"&gt;"&amp;S$9,операции!$O:$O,$F1644))/S1711)</f>
        <v>42333.723678160917</v>
      </c>
      <c r="T1712" s="196"/>
      <c r="U1712" s="193">
        <f>IF(U1711=0,0,(SUMIFS(операции!$AF:$AF,операции!$T:$T,"&lt;="&amp;S$9,операции!$X:$X,"",операции!$AB:$AB,"",операции!$L:$L,U$9,операции!$O:$O,$F1644)+SUMIFS(операции!$AF:$AF,операции!$T:$T,"&lt;="&amp;S$9,операции!$X:$X,"&gt;"&amp;S$9,операции!$AB:$AB,"",операции!$L:$L,U$9,операции!$O:$O,$F1644)+SUMIFS(операции!$AF:$AF,операции!$T:$T,"&lt;="&amp;S$9,операции!$X:$X,"",операции!$AB:$AB,"&gt;"&amp;S$9,операции!$L:$L,U$9,операции!$O:$O,$F1644)+SUMIFS(операции!$AF:$AF,операции!$T:$T,"&lt;="&amp;S$9,операции!$X:$X,"&gt;"&amp;S$9,операции!$AB:$AB,"&gt;"&amp;S$9,операции!$L:$L,U$9,операции!$O:$O,$F1644))/U1711)</f>
        <v>0</v>
      </c>
      <c r="V1712" s="237">
        <f>IF(V1711=0,0,(SUMIFS(операции!$AF:$AF,операции!$T:$T,"&lt;="&amp;S$9,операции!$X:$X,"",операции!$AB:$AB,"",операции!$L:$L,V$9,операции!$O:$O,$F1644)+SUMIFS(операции!$AF:$AF,операции!$T:$T,"&lt;="&amp;S$9,операции!$X:$X,"&gt;"&amp;S$9,операции!$AB:$AB,"",операции!$L:$L,V$9,операции!$O:$O,$F1644)+SUMIFS(операции!$AF:$AF,операции!$T:$T,"&lt;="&amp;S$9,операции!$X:$X,"",операции!$AB:$AB,"&gt;"&amp;S$9,операции!$L:$L,V$9,операции!$O:$O,$F1644)+SUMIFS(операции!$AF:$AF,операции!$T:$T,"&lt;="&amp;S$9,операции!$X:$X,"&gt;"&amp;S$9,операции!$AB:$AB,"&gt;"&amp;S$9,операции!$L:$L,V$9,операции!$O:$O,$F1644))/V1711)</f>
        <v>42333.723678160917</v>
      </c>
      <c r="W1712" s="238"/>
      <c r="X1712" s="193">
        <f>IF(X1711=0,0,(SUMIFS(операции!$AF:$AF,операции!$T:$T,"&lt;="&amp;X$9,операции!$X:$X,"",операции!$AB:$AB,"",операции!$O:$O,$F1644)+SUMIFS(операции!$AF:$AF,операции!$T:$T,"&lt;="&amp;X$9,операции!$X:$X,"&gt;"&amp;X$9,операции!$AB:$AB,"",операции!$O:$O,$F1644)+SUMIFS(операции!$AF:$AF,операции!$T:$T,"&lt;="&amp;X$9,операции!$X:$X,"",операции!$AB:$AB,"&gt;"&amp;X$9,операции!$O:$O,$F1644)+SUMIFS(операции!$AF:$AF,операции!$T:$T,"&lt;="&amp;X$9,операции!$X:$X,"&gt;"&amp;X$9,операции!$AB:$AB,"&gt;"&amp;X$9,операции!$O:$O,$F1644))/X1711)</f>
        <v>42365</v>
      </c>
      <c r="Y1712" s="196"/>
      <c r="Z1712" s="193">
        <f>IF(Z1711=0,0,(SUMIFS(операции!$AF:$AF,операции!$T:$T,"&lt;="&amp;X$9,операции!$X:$X,"",операции!$AB:$AB,"",операции!$L:$L,Z$9,операции!$O:$O,$F1644)+SUMIFS(операции!$AF:$AF,операции!$T:$T,"&lt;="&amp;X$9,операции!$X:$X,"&gt;"&amp;X$9,операции!$AB:$AB,"",операции!$L:$L,Z$9,операции!$O:$O,$F1644)+SUMIFS(операции!$AF:$AF,операции!$T:$T,"&lt;="&amp;X$9,операции!$X:$X,"",операции!$AB:$AB,"&gt;"&amp;X$9,операции!$L:$L,Z$9,операции!$O:$O,$F1644)+SUMIFS(операции!$AF:$AF,операции!$T:$T,"&lt;="&amp;X$9,операции!$X:$X,"&gt;"&amp;X$9,операции!$AB:$AB,"&gt;"&amp;X$9,операции!$L:$L,Z$9,операции!$O:$O,$F1644))/Z1711)</f>
        <v>0</v>
      </c>
      <c r="AA1712" s="237">
        <f>IF(AA1711=0,0,(SUMIFS(операции!$AF:$AF,операции!$T:$T,"&lt;="&amp;X$9,операции!$X:$X,"",операции!$AB:$AB,"",операции!$L:$L,AA$9,операции!$O:$O,$F1644)+SUMIFS(операции!$AF:$AF,операции!$T:$T,"&lt;="&amp;X$9,операции!$X:$X,"&gt;"&amp;X$9,операции!$AB:$AB,"",операции!$L:$L,AA$9,операции!$O:$O,$F1644)+SUMIFS(операции!$AF:$AF,операции!$T:$T,"&lt;="&amp;X$9,операции!$X:$X,"",операции!$AB:$AB,"&gt;"&amp;X$9,операции!$L:$L,AA$9,операции!$O:$O,$F1644)+SUMIFS(операции!$AF:$AF,операции!$T:$T,"&lt;="&amp;X$9,операции!$X:$X,"&gt;"&amp;X$9,операции!$AB:$AB,"&gt;"&amp;X$9,операции!$L:$L,AA$9,операции!$O:$O,$F1644))/AA1711)</f>
        <v>42365</v>
      </c>
      <c r="AB1712" s="265"/>
      <c r="AC1712" s="37"/>
      <c r="AD1712" s="37"/>
      <c r="AE1712" s="37"/>
      <c r="AF1712" s="37"/>
      <c r="AG1712" s="37"/>
      <c r="AH1712" s="37"/>
      <c r="AI1712" s="37"/>
      <c r="AJ1712" s="37"/>
      <c r="AK1712" s="37"/>
      <c r="AL1712" s="37"/>
      <c r="AM1712" s="37"/>
      <c r="AN1712" s="37"/>
      <c r="AO1712" s="37"/>
      <c r="AP1712" s="37"/>
    </row>
    <row r="1713" spans="1:42" s="192" customFormat="1" ht="11.25">
      <c r="A1713" s="37"/>
      <c r="B1713" s="37"/>
      <c r="C1713" s="37"/>
      <c r="D1713" s="191"/>
      <c r="E1713" s="191" t="s">
        <v>287</v>
      </c>
      <c r="F1713" s="191" t="str">
        <f t="shared" ref="F1713:F1716" si="3057">F1712</f>
        <v>С-спортКид</v>
      </c>
      <c r="G1713" s="191" t="s">
        <v>219</v>
      </c>
      <c r="H1713" s="315"/>
      <c r="I1713" s="329">
        <f>IF(I1711=0,0,I$9-I1712)</f>
        <v>4</v>
      </c>
      <c r="J1713" s="317"/>
      <c r="K1713" s="329">
        <f>IF(K1711=0,0,I$9-K1712)</f>
        <v>0</v>
      </c>
      <c r="L1713" s="330">
        <f>IF(L1711=0,0,I$9-L1712)</f>
        <v>4</v>
      </c>
      <c r="M1713" s="274"/>
      <c r="N1713" s="156">
        <f>IF(N1711=0,0,N$9-N1712)</f>
        <v>0</v>
      </c>
      <c r="O1713" s="196"/>
      <c r="P1713" s="156">
        <f>IF(P1711=0,0,N$9-P1712)</f>
        <v>0</v>
      </c>
      <c r="Q1713" s="245">
        <f>IF(Q1711=0,0,N$9-Q1712)</f>
        <v>0</v>
      </c>
      <c r="R1713" s="238"/>
      <c r="S1713" s="156">
        <f>IF(S1711=0,0,S$9-S1712)</f>
        <v>4.2763218390828115</v>
      </c>
      <c r="T1713" s="196"/>
      <c r="U1713" s="156">
        <f>IF(U1711=0,0,S$9-U1712)</f>
        <v>0</v>
      </c>
      <c r="V1713" s="245">
        <f>IF(V1711=0,0,S$9-V1712)</f>
        <v>4.2763218390828115</v>
      </c>
      <c r="W1713" s="238"/>
      <c r="X1713" s="156">
        <f>IF(X1711=0,0,X$9-X1712)</f>
        <v>4</v>
      </c>
      <c r="Y1713" s="196"/>
      <c r="Z1713" s="156">
        <f>IF(Z1711=0,0,X$9-Z1712)</f>
        <v>0</v>
      </c>
      <c r="AA1713" s="245">
        <f>IF(AA1711=0,0,X$9-AA1712)</f>
        <v>4</v>
      </c>
      <c r="AB1713" s="265"/>
      <c r="AC1713" s="37"/>
      <c r="AD1713" s="37"/>
      <c r="AE1713" s="37"/>
      <c r="AF1713" s="37"/>
      <c r="AG1713" s="37"/>
      <c r="AH1713" s="37"/>
      <c r="AI1713" s="37"/>
      <c r="AJ1713" s="37"/>
      <c r="AK1713" s="37"/>
      <c r="AL1713" s="37"/>
      <c r="AM1713" s="37"/>
      <c r="AN1713" s="37"/>
      <c r="AO1713" s="37"/>
      <c r="AP1713" s="37"/>
    </row>
    <row r="1714" spans="1:42" s="192" customFormat="1" ht="11.25">
      <c r="A1714" s="37"/>
      <c r="B1714" s="37"/>
      <c r="C1714" s="37"/>
      <c r="D1714" s="191"/>
      <c r="E1714" s="191" t="s">
        <v>311</v>
      </c>
      <c r="F1714" s="191" t="str">
        <f t="shared" si="3057"/>
        <v>С-спортКид</v>
      </c>
      <c r="G1714" s="191" t="s">
        <v>262</v>
      </c>
      <c r="H1714" s="315"/>
      <c r="I1714" s="316">
        <f>I$9</f>
        <v>42369</v>
      </c>
      <c r="J1714" s="317"/>
      <c r="K1714" s="316">
        <f>I$9</f>
        <v>42369</v>
      </c>
      <c r="L1714" s="318">
        <f>I$9</f>
        <v>42369</v>
      </c>
      <c r="M1714" s="274"/>
      <c r="N1714" s="193">
        <f>N$9</f>
        <v>42308</v>
      </c>
      <c r="O1714" s="196"/>
      <c r="P1714" s="193">
        <f>N$9</f>
        <v>42308</v>
      </c>
      <c r="Q1714" s="237">
        <f>N$9</f>
        <v>42308</v>
      </c>
      <c r="R1714" s="238"/>
      <c r="S1714" s="193">
        <f>S$9</f>
        <v>42338</v>
      </c>
      <c r="T1714" s="196"/>
      <c r="U1714" s="193">
        <f>S$9</f>
        <v>42338</v>
      </c>
      <c r="V1714" s="237">
        <f>S$9</f>
        <v>42338</v>
      </c>
      <c r="W1714" s="238"/>
      <c r="X1714" s="193">
        <f>X$9</f>
        <v>42369</v>
      </c>
      <c r="Y1714" s="196"/>
      <c r="Z1714" s="193">
        <f>X$9</f>
        <v>42369</v>
      </c>
      <c r="AA1714" s="237">
        <f>X$9</f>
        <v>42369</v>
      </c>
      <c r="AB1714" s="265"/>
      <c r="AC1714" s="37"/>
      <c r="AD1714" s="37"/>
      <c r="AE1714" s="37"/>
      <c r="AF1714" s="37"/>
      <c r="AG1714" s="37"/>
      <c r="AH1714" s="37"/>
      <c r="AI1714" s="37"/>
      <c r="AJ1714" s="37"/>
      <c r="AK1714" s="37"/>
      <c r="AL1714" s="37"/>
      <c r="AM1714" s="37"/>
      <c r="AN1714" s="37"/>
      <c r="AO1714" s="37"/>
      <c r="AP1714" s="37"/>
    </row>
    <row r="1715" spans="1:42" s="192" customFormat="1" ht="11.25">
      <c r="A1715" s="37"/>
      <c r="B1715" s="37"/>
      <c r="C1715" s="37"/>
      <c r="D1715" s="191"/>
      <c r="E1715" s="191" t="s">
        <v>288</v>
      </c>
      <c r="F1715" s="191" t="str">
        <f t="shared" si="3057"/>
        <v>С-спортКид</v>
      </c>
      <c r="G1715" s="191" t="s">
        <v>219</v>
      </c>
      <c r="H1715" s="315"/>
      <c r="I1715" s="329">
        <f>IF(I1711=0,0,I1714-I1712)</f>
        <v>4</v>
      </c>
      <c r="J1715" s="317"/>
      <c r="K1715" s="329">
        <f>IF(K1711=0,0,K1714-K1712)</f>
        <v>0</v>
      </c>
      <c r="L1715" s="330">
        <f>IF(L1711=0,0,L1714-L1712)</f>
        <v>4</v>
      </c>
      <c r="M1715" s="274"/>
      <c r="N1715" s="156">
        <f>IF(N1711=0,0,N1714-N1712)</f>
        <v>0</v>
      </c>
      <c r="O1715" s="196"/>
      <c r="P1715" s="156">
        <f>IF(P1711=0,0,P1714-P1712)</f>
        <v>0</v>
      </c>
      <c r="Q1715" s="245">
        <f>IF(Q1711=0,0,Q1714-Q1712)</f>
        <v>0</v>
      </c>
      <c r="R1715" s="238"/>
      <c r="S1715" s="156">
        <f>IF(S1711=0,0,S1714-S1712)</f>
        <v>4.2763218390828115</v>
      </c>
      <c r="T1715" s="196"/>
      <c r="U1715" s="156">
        <f>IF(U1711=0,0,U1714-U1712)</f>
        <v>0</v>
      </c>
      <c r="V1715" s="245">
        <f>IF(V1711=0,0,V1714-V1712)</f>
        <v>4.2763218390828115</v>
      </c>
      <c r="W1715" s="238"/>
      <c r="X1715" s="156">
        <f>IF(X1711=0,0,X1714-X1712)</f>
        <v>4</v>
      </c>
      <c r="Y1715" s="196"/>
      <c r="Z1715" s="156">
        <f>IF(Z1711=0,0,Z1714-Z1712)</f>
        <v>0</v>
      </c>
      <c r="AA1715" s="245">
        <f>IF(AA1711=0,0,AA1714-AA1712)</f>
        <v>4</v>
      </c>
      <c r="AB1715" s="265"/>
      <c r="AC1715" s="37"/>
      <c r="AD1715" s="37"/>
      <c r="AE1715" s="37"/>
      <c r="AF1715" s="37"/>
      <c r="AG1715" s="37"/>
      <c r="AH1715" s="37"/>
      <c r="AI1715" s="37"/>
      <c r="AJ1715" s="37"/>
      <c r="AK1715" s="37"/>
      <c r="AL1715" s="37"/>
      <c r="AM1715" s="37"/>
      <c r="AN1715" s="37"/>
      <c r="AO1715" s="37"/>
      <c r="AP1715" s="37"/>
    </row>
    <row r="1716" spans="1:42" s="192" customFormat="1" ht="12" thickBot="1">
      <c r="A1716" s="37"/>
      <c r="B1716" s="37"/>
      <c r="C1716" s="37"/>
      <c r="D1716" s="297"/>
      <c r="E1716" s="297" t="s">
        <v>289</v>
      </c>
      <c r="F1716" s="297" t="str">
        <f t="shared" si="3057"/>
        <v>С-спортКид</v>
      </c>
      <c r="G1716" s="297" t="s">
        <v>219</v>
      </c>
      <c r="H1716" s="377"/>
      <c r="I1716" s="378">
        <f>I1713-I1715</f>
        <v>0</v>
      </c>
      <c r="J1716" s="379"/>
      <c r="K1716" s="378">
        <f>K1713-K1715</f>
        <v>0</v>
      </c>
      <c r="L1716" s="380">
        <f>L1713-L1715</f>
        <v>0</v>
      </c>
      <c r="M1716" s="300"/>
      <c r="N1716" s="298">
        <f>N1713-N1715</f>
        <v>0</v>
      </c>
      <c r="O1716" s="299"/>
      <c r="P1716" s="298">
        <f>P1713-P1715</f>
        <v>0</v>
      </c>
      <c r="Q1716" s="301">
        <f>Q1713-Q1715</f>
        <v>0</v>
      </c>
      <c r="R1716" s="302"/>
      <c r="S1716" s="298">
        <f>S1713-S1715</f>
        <v>0</v>
      </c>
      <c r="T1716" s="299"/>
      <c r="U1716" s="298">
        <f>U1713-U1715</f>
        <v>0</v>
      </c>
      <c r="V1716" s="301">
        <f>V1713-V1715</f>
        <v>0</v>
      </c>
      <c r="W1716" s="302"/>
      <c r="X1716" s="298">
        <f>X1713-X1715</f>
        <v>0</v>
      </c>
      <c r="Y1716" s="299"/>
      <c r="Z1716" s="298">
        <f>Z1713-Z1715</f>
        <v>0</v>
      </c>
      <c r="AA1716" s="301">
        <f>AA1713-AA1715</f>
        <v>0</v>
      </c>
      <c r="AB1716" s="265"/>
      <c r="AC1716" s="37"/>
      <c r="AD1716" s="37"/>
      <c r="AE1716" s="37"/>
      <c r="AF1716" s="37"/>
      <c r="AG1716" s="37"/>
      <c r="AH1716" s="37"/>
      <c r="AI1716" s="37"/>
      <c r="AJ1716" s="37"/>
      <c r="AK1716" s="37"/>
      <c r="AL1716" s="37"/>
      <c r="AM1716" s="37"/>
      <c r="AN1716" s="37"/>
      <c r="AO1716" s="37"/>
      <c r="AP1716" s="37"/>
    </row>
    <row r="1717" spans="1:42" s="111" customFormat="1" ht="11.25">
      <c r="A1717" s="108"/>
      <c r="B1717" s="108"/>
      <c r="C1717" s="108" t="s">
        <v>271</v>
      </c>
      <c r="D1717" s="291"/>
      <c r="E1717" s="291"/>
      <c r="F1717" s="291" t="str">
        <f>F1718</f>
        <v>С-Тойз</v>
      </c>
      <c r="G1717" s="291"/>
      <c r="H1717" s="373"/>
      <c r="I1717" s="374">
        <f>I1718-K1718-L1718</f>
        <v>0</v>
      </c>
      <c r="J1717" s="375">
        <f>N1717+N1735+N1773+SUM(O:O)+S1717+S1735+S1773+SUM(T:T)+X1717+X1735+X1773+SUM(Y:Y)</f>
        <v>3.7104683769939584E-9</v>
      </c>
      <c r="K1717" s="373"/>
      <c r="L1717" s="376"/>
      <c r="M1717" s="293"/>
      <c r="N1717" s="292">
        <f>N1718-P1718-Q1718</f>
        <v>0</v>
      </c>
      <c r="O1717" s="294"/>
      <c r="P1717" s="291"/>
      <c r="Q1717" s="295"/>
      <c r="R1717" s="296"/>
      <c r="S1717" s="292">
        <f>S1718-U1718-V1718</f>
        <v>0</v>
      </c>
      <c r="T1717" s="294"/>
      <c r="U1717" s="291"/>
      <c r="V1717" s="295"/>
      <c r="W1717" s="296"/>
      <c r="X1717" s="292">
        <f>X1718-Z1718-AA1718</f>
        <v>0</v>
      </c>
      <c r="Y1717" s="294"/>
      <c r="Z1717" s="291"/>
      <c r="AA1717" s="295"/>
      <c r="AB1717" s="263"/>
      <c r="AC1717" s="108"/>
      <c r="AD1717" s="108"/>
      <c r="AE1717" s="108"/>
      <c r="AF1717" s="108"/>
      <c r="AG1717" s="108"/>
      <c r="AH1717" s="108"/>
      <c r="AI1717" s="108"/>
      <c r="AJ1717" s="108"/>
      <c r="AK1717" s="108"/>
      <c r="AL1717" s="108"/>
      <c r="AM1717" s="108"/>
      <c r="AN1717" s="108"/>
      <c r="AO1717" s="108"/>
      <c r="AP1717" s="108"/>
    </row>
    <row r="1718" spans="1:42" s="93" customFormat="1" ht="15">
      <c r="A1718" s="92"/>
      <c r="B1718" s="92"/>
      <c r="C1718" s="92"/>
      <c r="D1718" s="151" t="s">
        <v>256</v>
      </c>
      <c r="E1718" s="151"/>
      <c r="F1718" s="286" t="str">
        <f>микс!$H$40</f>
        <v>С-Тойз</v>
      </c>
      <c r="G1718" s="151" t="s">
        <v>261</v>
      </c>
      <c r="H1718" s="311"/>
      <c r="I1718" s="312">
        <f>SUMIFS(операции!$V:$V,операции!$T:$T,"&lt;"&amp;I$8,операции!$X:$X,"",операции!$O:$O,$F1718)+SUMIFS(операции!$V:$V,операции!$T:$T,"&lt;"&amp;I$8,операции!$X:$X,"&gt;="&amp;I$8,операции!$O:$O,$F1718)</f>
        <v>61708.479999999996</v>
      </c>
      <c r="J1718" s="313">
        <f>I1718-I1723-I1729</f>
        <v>0</v>
      </c>
      <c r="K1718" s="312">
        <f>SUMIFS(операции!$V:$V,операции!$T:$T,"&lt;"&amp;I$8,операции!$X:$X,"",операции!$L:$L,K$9,операции!$O:$O,$F1718)+SUMIFS(операции!$V:$V,операции!$T:$T,"&lt;"&amp;I$8,операции!$X:$X,"&gt;="&amp;I$8,операции!$L:$L,K$9,операции!$O:$O,$F1718)</f>
        <v>61708.479999999996</v>
      </c>
      <c r="L1718" s="314">
        <f>SUMIFS(операции!$V:$V,операции!$T:$T,"&lt;"&amp;I$8,операции!$X:$X,"",операции!$L:$L,L$9,операции!$O:$O,$F1718)+SUMIFS(операции!$V:$V,операции!$T:$T,"&lt;"&amp;I$8,операции!$X:$X,"&gt;="&amp;I$8,операции!$L:$L,L$9,операции!$O:$O,$F1718)</f>
        <v>0</v>
      </c>
      <c r="M1718" s="273"/>
      <c r="N1718" s="152">
        <f>SUMIFS(операции!$V:$V,операции!$T:$T,"&lt;"&amp;N$8,операции!$X:$X,"",операции!$O:$O,$F1718)+SUMIFS(операции!$V:$V,операции!$T:$T,"&lt;"&amp;N$8,операции!$X:$X,"&gt;="&amp;N$8,операции!$O:$O,$F1718)</f>
        <v>61708.479999999996</v>
      </c>
      <c r="O1718" s="170">
        <f>N1718-N1723-N1729</f>
        <v>0</v>
      </c>
      <c r="P1718" s="152">
        <f>SUMIFS(операции!$V:$V,операции!$T:$T,"&lt;"&amp;N$8,операции!$X:$X,"",операции!$L:$L,P$9,операции!$O:$O,$F1718)+SUMIFS(операции!$V:$V,операции!$T:$T,"&lt;"&amp;N$8,операции!$X:$X,"&gt;="&amp;N$8,операции!$L:$L,P$9,операции!$O:$O,$F1718)</f>
        <v>61708.479999999996</v>
      </c>
      <c r="Q1718" s="235">
        <f>SUMIFS(операции!$V:$V,операции!$T:$T,"&lt;"&amp;N$8,операции!$X:$X,"",операции!$L:$L,Q$9,операции!$O:$O,$F1718)+SUMIFS(операции!$V:$V,операции!$T:$T,"&lt;"&amp;N$8,операции!$X:$X,"&gt;="&amp;N$8,операции!$L:$L,Q$9,операции!$O:$O,$F1718)</f>
        <v>0</v>
      </c>
      <c r="R1718" s="236"/>
      <c r="S1718" s="152">
        <f>SUMIFS(операции!$V:$V,операции!$T:$T,"&lt;"&amp;S$8,операции!$X:$X,"",операции!$O:$O,$F1718)+SUMIFS(операции!$V:$V,операции!$T:$T,"&lt;"&amp;S$8,операции!$X:$X,"&gt;="&amp;S$8,операции!$O:$O,$F1718)</f>
        <v>57981.989999999991</v>
      </c>
      <c r="T1718" s="170">
        <f>S1718-S1723-S1729</f>
        <v>0</v>
      </c>
      <c r="U1718" s="152">
        <f>SUMIFS(операции!$V:$V,операции!$T:$T,"&lt;"&amp;S$8,операции!$X:$X,"",операции!$L:$L,U$9,операции!$O:$O,$F1718)+SUMIFS(операции!$V:$V,операции!$T:$T,"&lt;"&amp;S$8,операции!$X:$X,"&gt;="&amp;S$8,операции!$L:$L,U$9,операции!$O:$O,$F1718)</f>
        <v>52289.989999999991</v>
      </c>
      <c r="V1718" s="235">
        <f>SUMIFS(операции!$V:$V,операции!$T:$T,"&lt;"&amp;S$8,операции!$X:$X,"",операции!$L:$L,V$9,операции!$O:$O,$F1718)+SUMIFS(операции!$V:$V,операции!$T:$T,"&lt;"&amp;S$8,операции!$X:$X,"&gt;="&amp;S$8,операции!$L:$L,V$9,операции!$O:$O,$F1718)</f>
        <v>5692</v>
      </c>
      <c r="W1718" s="236"/>
      <c r="X1718" s="152">
        <f>SUMIFS(операции!$V:$V,операции!$T:$T,"&lt;"&amp;X$8,операции!$X:$X,"",операции!$O:$O,$F1718)+SUMIFS(операции!$V:$V,операции!$T:$T,"&lt;"&amp;X$8,операции!$X:$X,"&gt;="&amp;X$8,операции!$O:$O,$F1718)</f>
        <v>59527.24000000002</v>
      </c>
      <c r="Y1718" s="170">
        <f>X1718-X1723-X1729</f>
        <v>0</v>
      </c>
      <c r="Z1718" s="152">
        <f>SUMIFS(операции!$V:$V,операции!$T:$T,"&lt;"&amp;X$8,операции!$X:$X,"",операции!$L:$L,Z$9,операции!$O:$O,$F1718)+SUMIFS(операции!$V:$V,операции!$T:$T,"&lt;"&amp;X$8,операции!$X:$X,"&gt;="&amp;X$8,операции!$L:$L,Z$9,операции!$O:$O,$F1718)</f>
        <v>36097.42</v>
      </c>
      <c r="AA1718" s="235">
        <f>SUMIFS(операции!$V:$V,операции!$T:$T,"&lt;"&amp;X$8,операции!$X:$X,"",операции!$L:$L,AA$9,операции!$O:$O,$F1718)+SUMIFS(операции!$V:$V,операции!$T:$T,"&lt;"&amp;X$8,операции!$X:$X,"&gt;="&amp;X$8,операции!$L:$L,AA$9,операции!$O:$O,$F1718)</f>
        <v>23429.820000000007</v>
      </c>
      <c r="AB1718" s="264"/>
      <c r="AC1718" s="92"/>
      <c r="AD1718" s="92"/>
      <c r="AE1718" s="92"/>
      <c r="AF1718" s="92"/>
      <c r="AG1718" s="92"/>
      <c r="AH1718" s="92"/>
      <c r="AI1718" s="92"/>
      <c r="AJ1718" s="92"/>
      <c r="AK1718" s="92"/>
      <c r="AL1718" s="92"/>
      <c r="AM1718" s="92"/>
      <c r="AN1718" s="92"/>
      <c r="AO1718" s="92"/>
      <c r="AP1718" s="92"/>
    </row>
    <row r="1719" spans="1:42" s="192" customFormat="1" ht="11.25">
      <c r="A1719" s="37"/>
      <c r="B1719" s="37"/>
      <c r="C1719" s="37"/>
      <c r="D1719" s="191" t="s">
        <v>255</v>
      </c>
      <c r="E1719" s="191"/>
      <c r="F1719" s="191" t="str">
        <f>F1718</f>
        <v>С-Тойз</v>
      </c>
      <c r="G1719" s="191" t="s">
        <v>262</v>
      </c>
      <c r="H1719" s="315"/>
      <c r="I1719" s="316">
        <f>IF(I1718=0,0,(SUMIFS(операции!$AF:$AF,операции!$T:$T,"&lt;"&amp;I$8,операции!$X:$X,"",операции!$O:$O,$F1718)+SUMIFS(операции!$AF:$AF,операции!$T:$T,"&lt;"&amp;I$8,операции!$X:$X,"&gt;="&amp;I$8,операции!$O:$O,$F1718))/I1718)</f>
        <v>42150.869168062476</v>
      </c>
      <c r="J1719" s="317"/>
      <c r="K1719" s="316">
        <f>IF(K1718=0,0,(SUMIFS(операции!$AF:$AF,операции!$T:$T,"&lt;"&amp;I$8,операции!$X:$X,"",операции!$L:$L,K$9,операции!$O:$O,$F1718)+SUMIFS(операции!$AF:$AF,операции!$T:$T,"&lt;"&amp;I$8,операции!$X:$X,"&gt;="&amp;I$8,операции!$L:$L,K$9,операции!$O:$O,$F1718))/K1718)</f>
        <v>42150.869168062476</v>
      </c>
      <c r="L1719" s="318">
        <f>IF(L1718=0,0,(SUMIFS(операции!$AF:$AF,операции!$T:$T,"&lt;"&amp;I$8,операции!$X:$X,"",операции!$L:$L,L$9,операции!$O:$O,$F1718)+SUMIFS(операции!$AF:$AF,операции!$T:$T,"&lt;"&amp;I$8,операции!$X:$X,"&gt;="&amp;I$8,операции!$L:$L,L$9,операции!$O:$O,$F1718))/L1718)</f>
        <v>0</v>
      </c>
      <c r="M1719" s="274"/>
      <c r="N1719" s="193">
        <f>IF(N1718=0,0,(SUMIFS(операции!$AF:$AF,операции!$T:$T,"&lt;"&amp;N$8,операции!$X:$X,"",операции!$O:$O,$F1718)+SUMIFS(операции!$AF:$AF,операции!$T:$T,"&lt;"&amp;N$8,операции!$X:$X,"&gt;="&amp;N$8,операции!$O:$O,$F1718))/N1718)</f>
        <v>42150.869168062476</v>
      </c>
      <c r="O1719" s="196"/>
      <c r="P1719" s="193">
        <f>IF(P1718=0,0,(SUMIFS(операции!$AF:$AF,операции!$T:$T,"&lt;"&amp;N$8,операции!$X:$X,"",операции!$L:$L,P$9,операции!$O:$O,$F1718)+SUMIFS(операции!$AF:$AF,операции!$T:$T,"&lt;"&amp;N$8,операции!$X:$X,"&gt;="&amp;N$8,операции!$L:$L,P$9,операции!$O:$O,$F1718))/P1718)</f>
        <v>42150.869168062476</v>
      </c>
      <c r="Q1719" s="237">
        <f>IF(Q1718=0,0,(SUMIFS(операции!$AF:$AF,операции!$T:$T,"&lt;"&amp;N$8,операции!$X:$X,"",операции!$L:$L,Q$9,операции!$O:$O,$F1718)+SUMIFS(операции!$AF:$AF,операции!$T:$T,"&lt;"&amp;N$8,операции!$X:$X,"&gt;="&amp;N$8,операции!$L:$L,Q$9,операции!$O:$O,$F1718))/Q1718)</f>
        <v>0</v>
      </c>
      <c r="R1719" s="238"/>
      <c r="S1719" s="193">
        <f>IF(S1718=0,0,(SUMIFS(операции!$AF:$AF,операции!$T:$T,"&lt;"&amp;S$8,операции!$X:$X,"",операции!$O:$O,$F1718)+SUMIFS(операции!$AF:$AF,операции!$T:$T,"&lt;"&amp;S$8,операции!$X:$X,"&gt;="&amp;S$8,операции!$O:$O,$F1718))/S1718)</f>
        <v>42163.09387104513</v>
      </c>
      <c r="T1719" s="196"/>
      <c r="U1719" s="193">
        <f>IF(U1718=0,0,(SUMIFS(операции!$AF:$AF,операции!$T:$T,"&lt;"&amp;S$8,операции!$X:$X,"",операции!$L:$L,U$9,операции!$O:$O,$F1718)+SUMIFS(операции!$AF:$AF,операции!$T:$T,"&lt;"&amp;S$8,операции!$X:$X,"&gt;="&amp;S$8,операции!$L:$L,U$9,операции!$O:$O,$F1718))/U1718)</f>
        <v>42147.320188816266</v>
      </c>
      <c r="V1719" s="237">
        <f>IF(V1718=0,0,(SUMIFS(операции!$AF:$AF,операции!$T:$T,"&lt;"&amp;S$8,операции!$X:$X,"",операции!$L:$L,V$9,операции!$O:$O,$F1718)+SUMIFS(операции!$AF:$AF,операции!$T:$T,"&lt;"&amp;S$8,операции!$X:$X,"&gt;="&amp;S$8,операции!$L:$L,V$9,операции!$O:$O,$F1718))/V1718)</f>
        <v>42308</v>
      </c>
      <c r="W1719" s="238"/>
      <c r="X1719" s="193">
        <f>IF(X1718=0,0,(SUMIFS(операции!$AF:$AF,операции!$T:$T,"&lt;"&amp;X$8,операции!$X:$X,"",операции!$O:$O,$F1718)+SUMIFS(операции!$AF:$AF,операции!$T:$T,"&lt;"&amp;X$8,операции!$X:$X,"&gt;="&amp;X$8,операции!$O:$O,$F1718))/X1718)</f>
        <v>42223.971548823691</v>
      </c>
      <c r="Y1719" s="196"/>
      <c r="Z1719" s="193">
        <f>IF(Z1718=0,0,(SUMIFS(операции!$AF:$AF,операции!$T:$T,"&lt;"&amp;X$8,операции!$X:$X,"",операции!$L:$L,Z$9,операции!$O:$O,$F1718)+SUMIFS(операции!$AF:$AF,операции!$T:$T,"&lt;"&amp;X$8,операции!$X:$X,"&gt;="&amp;X$8,операции!$L:$L,Z$9,операции!$O:$O,$F1718))/Z1718)</f>
        <v>42151.046878142552</v>
      </c>
      <c r="AA1719" s="237">
        <f>IF(AA1718=0,0,(SUMIFS(операции!$AF:$AF,операции!$T:$T,"&lt;"&amp;X$8,операции!$X:$X,"",операции!$L:$L,AA$9,операции!$O:$O,$F1718)+SUMIFS(операции!$AF:$AF,операции!$T:$T,"&lt;"&amp;X$8,операции!$X:$X,"&gt;="&amp;X$8,операции!$L:$L,AA$9,операции!$O:$O,$F1718))/AA1718)</f>
        <v>42336.323776281657</v>
      </c>
      <c r="AB1719" s="265"/>
      <c r="AC1719" s="37"/>
      <c r="AD1719" s="37"/>
      <c r="AE1719" s="37"/>
      <c r="AF1719" s="37"/>
      <c r="AG1719" s="37"/>
      <c r="AH1719" s="37"/>
      <c r="AI1719" s="37"/>
      <c r="AJ1719" s="37"/>
      <c r="AK1719" s="37"/>
      <c r="AL1719" s="37"/>
      <c r="AM1719" s="37"/>
      <c r="AN1719" s="37"/>
      <c r="AO1719" s="37"/>
      <c r="AP1719" s="37"/>
    </row>
    <row r="1720" spans="1:42" s="50" customFormat="1" ht="11.25">
      <c r="A1720" s="48"/>
      <c r="B1720" s="48"/>
      <c r="C1720" s="48"/>
      <c r="D1720" s="154" t="s">
        <v>257</v>
      </c>
      <c r="E1720" s="154"/>
      <c r="F1720" s="154" t="str">
        <f t="shared" ref="F1720:F1786" si="3058">F1719</f>
        <v>С-Тойз</v>
      </c>
      <c r="G1720" s="154" t="s">
        <v>219</v>
      </c>
      <c r="H1720" s="319"/>
      <c r="I1720" s="320">
        <f>IF(I1718=0,0,I$8-I1719)</f>
        <v>127.13083193752391</v>
      </c>
      <c r="J1720" s="321">
        <f>I1720-IF(I1718=0,0,(I1723*I1725+I1729*I1731)/I1718)</f>
        <v>8.2280848801019602E-12</v>
      </c>
      <c r="K1720" s="320">
        <f>IF(K1718=0,0,I$8-K1719)</f>
        <v>127.13083193752391</v>
      </c>
      <c r="L1720" s="322">
        <f>IF(L1718=0,0,I$8-L1719)</f>
        <v>0</v>
      </c>
      <c r="M1720" s="275"/>
      <c r="N1720" s="155">
        <f>IF(N1718=0,0,N$8-N1719)</f>
        <v>127.13083193752391</v>
      </c>
      <c r="O1720" s="173">
        <f>N1720-IF(N1718=0,0,(N1723*N1725+N1729*N1731)/N1718)</f>
        <v>8.2280848801019602E-12</v>
      </c>
      <c r="P1720" s="155">
        <f>IF(P1718=0,0,N$8-P1719)</f>
        <v>127.13083193752391</v>
      </c>
      <c r="Q1720" s="239">
        <f>IF(Q1718=0,0,N$8-Q1719)</f>
        <v>0</v>
      </c>
      <c r="R1720" s="240"/>
      <c r="S1720" s="155">
        <f>IF(S1718=0,0,S$8-S1719)</f>
        <v>145.90612895486993</v>
      </c>
      <c r="T1720" s="173">
        <f>S1720-IF(S1718=0,0,(S1723*S1725+S1729*S1731)/S1718)</f>
        <v>7.2475359047530219E-12</v>
      </c>
      <c r="U1720" s="155">
        <f>IF(U1718=0,0,S$8-U1719)</f>
        <v>161.67981118373427</v>
      </c>
      <c r="V1720" s="239">
        <f>IF(V1718=0,0,S$8-V1719)</f>
        <v>1</v>
      </c>
      <c r="W1720" s="240"/>
      <c r="X1720" s="155">
        <f>IF(X1718=0,0,X$8-X1719)</f>
        <v>115.02845117630932</v>
      </c>
      <c r="Y1720" s="173">
        <f>X1720-IF(X1718=0,0,(X1723*X1725+X1729*X1731)/X1718)</f>
        <v>1.1041834113711957E-11</v>
      </c>
      <c r="Z1720" s="155">
        <f>IF(Z1718=0,0,X$8-Z1719)</f>
        <v>187.95312185744842</v>
      </c>
      <c r="AA1720" s="239">
        <f>IF(AA1718=0,0,X$8-AA1719)</f>
        <v>2.6762237183429534</v>
      </c>
      <c r="AB1720" s="230"/>
      <c r="AC1720" s="48"/>
      <c r="AD1720" s="48"/>
      <c r="AE1720" s="48"/>
      <c r="AF1720" s="48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</row>
    <row r="1721" spans="1:42" s="93" customFormat="1" ht="15">
      <c r="A1721" s="92"/>
      <c r="B1721" s="92"/>
      <c r="C1721" s="92"/>
      <c r="D1721" s="198" t="s">
        <v>267</v>
      </c>
      <c r="E1721" s="198"/>
      <c r="F1721" s="198" t="str">
        <f t="shared" si="3058"/>
        <v>С-Тойз</v>
      </c>
      <c r="G1721" s="198" t="s">
        <v>219</v>
      </c>
      <c r="H1721" s="323"/>
      <c r="I1721" s="324">
        <f>IF(I1718=0,0,(I1723*I1727+I1729*I1733)/I1718)</f>
        <v>54.778422997940261</v>
      </c>
      <c r="J1721" s="321"/>
      <c r="K1721" s="324">
        <f t="shared" ref="K1721" si="3059">IF(K1718=0,0,(K1723*K1727+K1729*K1733)/K1718)</f>
        <v>54.778422997940261</v>
      </c>
      <c r="L1721" s="325">
        <f>IF(L1718=0,0,(L1723*L1727+L1729*L1733)/L1718)</f>
        <v>0</v>
      </c>
      <c r="M1721" s="276"/>
      <c r="N1721" s="199">
        <f>IF(N1718=0,0,(N1723*N1727+N1729*N1733)/N1718)</f>
        <v>54.778422997940261</v>
      </c>
      <c r="O1721" s="173"/>
      <c r="P1721" s="199">
        <f t="shared" ref="P1721" si="3060">IF(P1718=0,0,(P1723*P1727+P1729*P1733)/P1718)</f>
        <v>54.778422997940261</v>
      </c>
      <c r="Q1721" s="241">
        <f>IF(Q1718=0,0,(Q1723*Q1727+Q1729*Q1733)/Q1718)</f>
        <v>0</v>
      </c>
      <c r="R1721" s="242"/>
      <c r="S1721" s="199">
        <f>IF(S1718=0,0,(S1723*S1727+S1729*S1733)/S1718)</f>
        <v>60.115276484984868</v>
      </c>
      <c r="T1721" s="173"/>
      <c r="U1721" s="199">
        <f t="shared" ref="U1721" si="3061">IF(U1718=0,0,(U1723*U1727+U1729*U1733)/U1718)</f>
        <v>66.55023953914997</v>
      </c>
      <c r="V1721" s="241">
        <f>IF(V1718=0,0,(V1723*V1727+V1729*V1733)/V1718)</f>
        <v>1</v>
      </c>
      <c r="W1721" s="242"/>
      <c r="X1721" s="199">
        <f>IF(X1718=0,0,(X1723*X1727+X1729*X1733)/X1718)</f>
        <v>49.94748051480213</v>
      </c>
      <c r="Y1721" s="173"/>
      <c r="Z1721" s="199">
        <f t="shared" ref="Z1721" si="3062">IF(Z1718=0,0,(Z1723*Z1727+Z1729*Z1733)/Z1718)</f>
        <v>80.629923689837625</v>
      </c>
      <c r="AA1721" s="241">
        <f>IF(AA1718=0,0,(AA1723*AA1727+AA1729*AA1733)/AA1718)</f>
        <v>2.6762237183211246</v>
      </c>
      <c r="AB1721" s="264"/>
      <c r="AC1721" s="92"/>
      <c r="AD1721" s="92"/>
      <c r="AE1721" s="92"/>
      <c r="AF1721" s="92"/>
      <c r="AG1721" s="92"/>
      <c r="AH1721" s="92"/>
      <c r="AI1721" s="92"/>
      <c r="AJ1721" s="92"/>
      <c r="AK1721" s="92"/>
      <c r="AL1721" s="92"/>
      <c r="AM1721" s="92"/>
      <c r="AN1721" s="92"/>
      <c r="AO1721" s="92"/>
      <c r="AP1721" s="92"/>
    </row>
    <row r="1722" spans="1:42" s="50" customFormat="1" ht="11.25">
      <c r="A1722" s="48"/>
      <c r="B1722" s="48"/>
      <c r="C1722" s="48"/>
      <c r="D1722" s="154" t="s">
        <v>270</v>
      </c>
      <c r="E1722" s="154"/>
      <c r="F1722" s="154" t="str">
        <f t="shared" si="3058"/>
        <v>С-Тойз</v>
      </c>
      <c r="G1722" s="154" t="s">
        <v>219</v>
      </c>
      <c r="H1722" s="319"/>
      <c r="I1722" s="320">
        <f>I1720-I1721</f>
        <v>72.352408939583654</v>
      </c>
      <c r="J1722" s="321"/>
      <c r="K1722" s="320">
        <f t="shared" ref="K1722" si="3063">K1720-K1721</f>
        <v>72.352408939583654</v>
      </c>
      <c r="L1722" s="322">
        <f t="shared" ref="L1722" si="3064">L1720-L1721</f>
        <v>0</v>
      </c>
      <c r="M1722" s="275"/>
      <c r="N1722" s="155">
        <f>N1720-N1721</f>
        <v>72.352408939583654</v>
      </c>
      <c r="O1722" s="173"/>
      <c r="P1722" s="155">
        <f t="shared" ref="P1722" si="3065">P1720-P1721</f>
        <v>72.352408939583654</v>
      </c>
      <c r="Q1722" s="239">
        <f t="shared" ref="Q1722" si="3066">Q1720-Q1721</f>
        <v>0</v>
      </c>
      <c r="R1722" s="240"/>
      <c r="S1722" s="155">
        <f>S1720-S1721</f>
        <v>85.790852469885067</v>
      </c>
      <c r="T1722" s="173"/>
      <c r="U1722" s="155">
        <f t="shared" ref="U1722" si="3067">U1720-U1721</f>
        <v>95.129571644584303</v>
      </c>
      <c r="V1722" s="239">
        <f t="shared" ref="V1722" si="3068">V1720-V1721</f>
        <v>0</v>
      </c>
      <c r="W1722" s="240"/>
      <c r="X1722" s="155">
        <f>X1720-X1721</f>
        <v>65.080970661507195</v>
      </c>
      <c r="Y1722" s="173"/>
      <c r="Z1722" s="155">
        <f t="shared" ref="Z1722" si="3069">Z1720-Z1721</f>
        <v>107.3231981676108</v>
      </c>
      <c r="AA1722" s="239">
        <f t="shared" ref="AA1722" si="3070">AA1720-AA1721</f>
        <v>2.1828761020969978E-11</v>
      </c>
      <c r="AB1722" s="230"/>
      <c r="AC1722" s="48"/>
      <c r="AD1722" s="48"/>
      <c r="AE1722" s="48"/>
      <c r="AF1722" s="48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</row>
    <row r="1723" spans="1:42" s="5" customFormat="1">
      <c r="A1723" s="1"/>
      <c r="B1723" s="1"/>
      <c r="C1723" s="1"/>
      <c r="D1723" s="168"/>
      <c r="E1723" s="168" t="s">
        <v>258</v>
      </c>
      <c r="F1723" s="168" t="str">
        <f t="shared" si="3058"/>
        <v>С-Тойз</v>
      </c>
      <c r="G1723" s="168" t="s">
        <v>261</v>
      </c>
      <c r="H1723" s="326"/>
      <c r="I1723" s="327">
        <f>SUMIFS(операции!$V:$V,операции!$T:$T,"&lt;"&amp;I$8,операции!$X:$X,"",операции!$AB:$AB,"&lt;&gt;"&amp;"",операции!$AB:$AB,"&lt;"&amp;I$8,операции!$O:$O,$F1718)+SUMIFS(операции!$V:$V,операции!$T:$T,"&lt;"&amp;I$8,операции!$X:$X,"&gt;="&amp;I$8,операции!$AB:$AB,"&lt;&gt;"&amp;"",операции!$AB:$AB,"&lt;"&amp;I$8,операции!$O:$O,$F1718)</f>
        <v>41435.679999999993</v>
      </c>
      <c r="J1723" s="313">
        <f>I1723-K1723-L1723</f>
        <v>0</v>
      </c>
      <c r="K1723" s="327">
        <f>SUMIFS(операции!$V:$V,операции!$T:$T,"&lt;"&amp;I$8,операции!$X:$X,"",операции!$AB:$AB,"&lt;&gt;"&amp;"",операции!$AB:$AB,"&lt;"&amp;I$8,операции!$L:$L,K$9,операции!$O:$O,$F1718)+SUMIFS(операции!$V:$V,операции!$T:$T,"&lt;"&amp;I$8,операции!$X:$X,"&gt;="&amp;I$8,операции!$AB:$AB,"&lt;&gt;"&amp;"",операции!$AB:$AB,"&lt;"&amp;I$8,операции!$L:$L,K$9,операции!$O:$O,$F1718)</f>
        <v>41435.679999999993</v>
      </c>
      <c r="L1723" s="328">
        <f>SUMIFS(операции!$V:$V,операции!$T:$T,"&lt;"&amp;I$8,операции!$X:$X,"",операции!$AB:$AB,"&lt;&gt;"&amp;"",операции!$AB:$AB,"&lt;"&amp;I$8,операции!$L:$L,L$9,операции!$O:$O,$F1718)+SUMIFS(операции!$V:$V,операции!$T:$T,"&lt;"&amp;I$8,операции!$X:$X,"&gt;="&amp;I$8,операции!$AB:$AB,"&lt;&gt;"&amp;"",операции!$AB:$AB,"&lt;"&amp;I$8,операции!$L:$L,L$9,операции!$O:$O,$F1718)</f>
        <v>0</v>
      </c>
      <c r="M1723" s="277"/>
      <c r="N1723" s="169">
        <f>SUMIFS(операции!$V:$V,операции!$T:$T,"&lt;"&amp;N$8,операции!$X:$X,"",операции!$AB:$AB,"&lt;&gt;"&amp;"",операции!$AB:$AB,"&lt;"&amp;N$8,операции!$O:$O,$F1718)+SUMIFS(операции!$V:$V,операции!$T:$T,"&lt;"&amp;N$8,операции!$X:$X,"&gt;="&amp;N$8,операции!$AB:$AB,"&lt;&gt;"&amp;"",операции!$AB:$AB,"&lt;"&amp;N$8,операции!$O:$O,$F1718)</f>
        <v>41435.679999999993</v>
      </c>
      <c r="O1723" s="170">
        <f>N1723-P1723-Q1723</f>
        <v>0</v>
      </c>
      <c r="P1723" s="169">
        <f>SUMIFS(операции!$V:$V,операции!$T:$T,"&lt;"&amp;N$8,операции!$X:$X,"",операции!$AB:$AB,"&lt;&gt;"&amp;"",операции!$AB:$AB,"&lt;"&amp;N$8,операции!$L:$L,P$9,операции!$O:$O,$F1718)+SUMIFS(операции!$V:$V,операции!$T:$T,"&lt;"&amp;N$8,операции!$X:$X,"&gt;="&amp;N$8,операции!$AB:$AB,"&lt;&gt;"&amp;"",операции!$AB:$AB,"&lt;"&amp;N$8,операции!$L:$L,P$9,операции!$O:$O,$F1718)</f>
        <v>41435.679999999993</v>
      </c>
      <c r="Q1723" s="243">
        <f>SUMIFS(операции!$V:$V,операции!$T:$T,"&lt;"&amp;N$8,операции!$X:$X,"",операции!$AB:$AB,"&lt;&gt;"&amp;"",операции!$AB:$AB,"&lt;"&amp;N$8,операции!$L:$L,Q$9,операции!$O:$O,$F1718)+SUMIFS(операции!$V:$V,операции!$T:$T,"&lt;"&amp;N$8,операции!$X:$X,"&gt;="&amp;N$8,операции!$AB:$AB,"&lt;&gt;"&amp;"",операции!$AB:$AB,"&lt;"&amp;N$8,операции!$L:$L,Q$9,операции!$O:$O,$F1718)</f>
        <v>0</v>
      </c>
      <c r="R1723" s="244"/>
      <c r="S1723" s="169">
        <f>SUMIFS(операции!$V:$V,операции!$T:$T,"&lt;"&amp;S$8,операции!$X:$X,"",операции!$AB:$AB,"&lt;&gt;"&amp;"",операции!$AB:$AB,"&lt;"&amp;S$8,операции!$O:$O,$F1718)+SUMIFS(операции!$V:$V,операции!$T:$T,"&lt;"&amp;S$8,операции!$X:$X,"&gt;="&amp;S$8,операции!$AB:$AB,"&lt;&gt;"&amp;"",операции!$AB:$AB,"&lt;"&amp;S$8,операции!$O:$O,$F1718)</f>
        <v>33915.11</v>
      </c>
      <c r="T1723" s="170">
        <f>S1723-U1723-V1723</f>
        <v>0</v>
      </c>
      <c r="U1723" s="169">
        <f>SUMIFS(операции!$V:$V,операции!$T:$T,"&lt;"&amp;S$8,операции!$X:$X,"",операции!$AB:$AB,"&lt;&gt;"&amp;"",операции!$AB:$AB,"&lt;"&amp;S$8,операции!$L:$L,U$9,операции!$O:$O,$F1718)+SUMIFS(операции!$V:$V,операции!$T:$T,"&lt;"&amp;S$8,операции!$X:$X,"&gt;="&amp;S$8,операции!$AB:$AB,"&lt;&gt;"&amp;"",операции!$AB:$AB,"&lt;"&amp;S$8,операции!$L:$L,U$9,операции!$O:$O,$F1718)</f>
        <v>33915.11</v>
      </c>
      <c r="V1723" s="243">
        <f>SUMIFS(операции!$V:$V,операции!$T:$T,"&lt;"&amp;S$8,операции!$X:$X,"",операции!$AB:$AB,"&lt;&gt;"&amp;"",операции!$AB:$AB,"&lt;"&amp;S$8,операции!$L:$L,V$9,операции!$O:$O,$F1718)+SUMIFS(операции!$V:$V,операции!$T:$T,"&lt;"&amp;S$8,операции!$X:$X,"&gt;="&amp;S$8,операции!$AB:$AB,"&lt;&gt;"&amp;"",операции!$AB:$AB,"&lt;"&amp;S$8,операции!$L:$L,V$9,операции!$O:$O,$F1718)</f>
        <v>0</v>
      </c>
      <c r="W1723" s="244"/>
      <c r="X1723" s="169">
        <f>SUMIFS(операции!$V:$V,операции!$T:$T,"&lt;"&amp;X$8,операции!$X:$X,"",операции!$AB:$AB,"&lt;&gt;"&amp;"",операции!$AB:$AB,"&lt;"&amp;X$8,операции!$O:$O,$F1718)+SUMIFS(операции!$V:$V,операции!$T:$T,"&lt;"&amp;X$8,операции!$X:$X,"&gt;="&amp;X$8,операции!$AB:$AB,"&lt;&gt;"&amp;"",операции!$AB:$AB,"&lt;"&amp;X$8,операции!$O:$O,$F1718)</f>
        <v>22777.42</v>
      </c>
      <c r="Y1723" s="170">
        <f>X1723-Z1723-AA1723</f>
        <v>0</v>
      </c>
      <c r="Z1723" s="169">
        <f>SUMIFS(операции!$V:$V,операции!$T:$T,"&lt;"&amp;X$8,операции!$X:$X,"",операции!$AB:$AB,"&lt;&gt;"&amp;"",операции!$AB:$AB,"&lt;"&amp;X$8,операции!$L:$L,Z$9,операции!$O:$O,$F1718)+SUMIFS(операции!$V:$V,операции!$T:$T,"&lt;"&amp;X$8,операции!$X:$X,"&gt;="&amp;X$8,операции!$AB:$AB,"&lt;&gt;"&amp;"",операции!$AB:$AB,"&lt;"&amp;X$8,операции!$L:$L,Z$9,операции!$O:$O,$F1718)</f>
        <v>22777.42</v>
      </c>
      <c r="AA1723" s="243">
        <f>SUMIFS(операции!$V:$V,операции!$T:$T,"&lt;"&amp;X$8,операции!$X:$X,"",операции!$AB:$AB,"&lt;&gt;"&amp;"",операции!$AB:$AB,"&lt;"&amp;X$8,операции!$L:$L,AA$9,операции!$O:$O,$F1718)+SUMIFS(операции!$V:$V,операции!$T:$T,"&lt;"&amp;X$8,операции!$X:$X,"&gt;="&amp;X$8,операции!$AB:$AB,"&lt;&gt;"&amp;"",операции!$AB:$AB,"&lt;"&amp;X$8,операции!$L:$L,AA$9,операции!$O:$O,$F1718)</f>
        <v>0</v>
      </c>
      <c r="AB1723" s="266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</row>
    <row r="1724" spans="1:42" s="192" customFormat="1" ht="11.25">
      <c r="A1724" s="37"/>
      <c r="B1724" s="37"/>
      <c r="C1724" s="37"/>
      <c r="D1724" s="191"/>
      <c r="E1724" s="191" t="s">
        <v>255</v>
      </c>
      <c r="F1724" s="191" t="str">
        <f t="shared" si="3058"/>
        <v>С-Тойз</v>
      </c>
      <c r="G1724" s="191" t="s">
        <v>262</v>
      </c>
      <c r="H1724" s="315"/>
      <c r="I1724" s="316">
        <f>IF(I1723=0,0,(SUMIFS(операции!$AF:$AF,операции!$T:$T,"&lt;"&amp;I$8,операции!$X:$X,"",операции!$AB:$AB,"&lt;&gt;"&amp;"",операции!$AB:$AB,"&lt;"&amp;I$8,операции!$O:$O,$F1718)+SUMIFS(операции!$AF:$AF,операции!$T:$T,"&lt;"&amp;I$8,операции!$X:$X,"&gt;="&amp;I$8,операции!$AB:$AB,"&lt;&gt;"&amp;"",операции!$AB:$AB,"&lt;"&amp;I$8,операции!$O:$O,$F1718))/I1723)</f>
        <v>42142.880436377542</v>
      </c>
      <c r="J1724" s="317"/>
      <c r="K1724" s="316">
        <f>IF(K1723=0,0,(SUMIFS(операции!$AF:$AF,операции!$T:$T,"&lt;"&amp;I$8,операции!$X:$X,"",операции!$AB:$AB,"&lt;&gt;"&amp;"",операции!$AB:$AB,"&lt;"&amp;I$8,операции!$L:$L,K$9,операции!$O:$O,$F1718)+SUMIFS(операции!$AF:$AF,операции!$T:$T,"&lt;"&amp;I$8,операции!$X:$X,"&gt;="&amp;I$8,операции!$AB:$AB,"&lt;&gt;"&amp;"",операции!$AB:$AB,"&lt;"&amp;I$8,операции!$L:$L,K$9,операции!$O:$O,$F1718))/K1723)</f>
        <v>42142.880436377542</v>
      </c>
      <c r="L1724" s="318">
        <f>IF(L1723=0,0,(SUMIFS(операции!$AF:$AF,операции!$T:$T,"&lt;"&amp;I$8,операции!$X:$X,"",операции!$AB:$AB,"&lt;&gt;"&amp;"",операции!$AB:$AB,"&lt;"&amp;I$8,операции!$L:$L,L$9,операции!$O:$O,$F1718)+SUMIFS(операции!$AF:$AF,операции!$T:$T,"&lt;"&amp;I$8,операции!$X:$X,"&gt;="&amp;I$8,операции!$AB:$AB,"&lt;&gt;"&amp;"",операции!$AB:$AB,"&lt;"&amp;I$8,операции!$L:$L,L$9,операции!$O:$O,$F1718))/L1723)</f>
        <v>0</v>
      </c>
      <c r="M1724" s="274"/>
      <c r="N1724" s="193">
        <f>IF(N1723=0,0,(SUMIFS(операции!$AF:$AF,операции!$T:$T,"&lt;"&amp;N$8,операции!$X:$X,"",операции!$AB:$AB,"&lt;&gt;"&amp;"",операции!$AB:$AB,"&lt;"&amp;N$8,операции!$O:$O,$F1718)+SUMIFS(операции!$AF:$AF,операции!$T:$T,"&lt;"&amp;N$8,операции!$X:$X,"&gt;="&amp;N$8,операции!$AB:$AB,"&lt;&gt;"&amp;"",операции!$AB:$AB,"&lt;"&amp;N$8,операции!$O:$O,$F1718))/N1723)</f>
        <v>42142.880436377542</v>
      </c>
      <c r="O1724" s="196"/>
      <c r="P1724" s="193">
        <f>IF(P1723=0,0,(SUMIFS(операции!$AF:$AF,операции!$T:$T,"&lt;"&amp;N$8,операции!$X:$X,"",операции!$AB:$AB,"&lt;&gt;"&amp;"",операции!$AB:$AB,"&lt;"&amp;N$8,операции!$L:$L,P$9,операции!$O:$O,$F1718)+SUMIFS(операции!$AF:$AF,операции!$T:$T,"&lt;"&amp;N$8,операции!$X:$X,"&gt;="&amp;N$8,операции!$AB:$AB,"&lt;&gt;"&amp;"",операции!$AB:$AB,"&lt;"&amp;N$8,операции!$L:$L,P$9,операции!$O:$O,$F1718))/P1723)</f>
        <v>42142.880436377542</v>
      </c>
      <c r="Q1724" s="237">
        <f>IF(Q1723=0,0,(SUMIFS(операции!$AF:$AF,операции!$T:$T,"&lt;"&amp;N$8,операции!$X:$X,"",операции!$AB:$AB,"&lt;&gt;"&amp;"",операции!$AB:$AB,"&lt;"&amp;N$8,операции!$L:$L,Q$9,операции!$O:$O,$F1718)+SUMIFS(операции!$AF:$AF,операции!$T:$T,"&lt;"&amp;N$8,операции!$X:$X,"&gt;="&amp;N$8,операции!$AB:$AB,"&lt;&gt;"&amp;"",операции!$AB:$AB,"&lt;"&amp;N$8,операции!$L:$L,Q$9,операции!$O:$O,$F1718))/Q1723)</f>
        <v>0</v>
      </c>
      <c r="R1724" s="238"/>
      <c r="S1724" s="193">
        <f>IF(S1723=0,0,(SUMIFS(операции!$AF:$AF,операции!$T:$T,"&lt;"&amp;S$8,операции!$X:$X,"",операции!$AB:$AB,"&lt;&gt;"&amp;"",операции!$AB:$AB,"&lt;"&amp;S$8,операции!$O:$O,$F1718)+SUMIFS(операции!$AF:$AF,операции!$T:$T,"&lt;"&amp;S$8,операции!$X:$X,"&gt;="&amp;S$8,операции!$AB:$AB,"&lt;&gt;"&amp;"",операции!$AB:$AB,"&lt;"&amp;S$8,операции!$O:$O,$F1718))/S1723)</f>
        <v>42133.840066271354</v>
      </c>
      <c r="T1724" s="196"/>
      <c r="U1724" s="193">
        <f>IF(U1723=0,0,(SUMIFS(операции!$AF:$AF,операции!$T:$T,"&lt;"&amp;S$8,операции!$X:$X,"",операции!$AB:$AB,"&lt;&gt;"&amp;"",операции!$AB:$AB,"&lt;"&amp;S$8,операции!$L:$L,U$9,операции!$O:$O,$F1718)+SUMIFS(операции!$AF:$AF,операции!$T:$T,"&lt;"&amp;S$8,операции!$X:$X,"&gt;="&amp;S$8,операции!$AB:$AB,"&lt;&gt;"&amp;"",операции!$AB:$AB,"&lt;"&amp;S$8,операции!$L:$L,U$9,операции!$O:$O,$F1718))/U1723)</f>
        <v>42133.840066271354</v>
      </c>
      <c r="V1724" s="237">
        <f>IF(V1723=0,0,(SUMIFS(операции!$AF:$AF,операции!$T:$T,"&lt;"&amp;S$8,операции!$X:$X,"",операции!$AB:$AB,"&lt;&gt;"&amp;"",операции!$AB:$AB,"&lt;"&amp;S$8,операции!$L:$L,V$9,операции!$O:$O,$F1718)+SUMIFS(операции!$AF:$AF,операции!$T:$T,"&lt;"&amp;S$8,операции!$X:$X,"&gt;="&amp;S$8,операции!$AB:$AB,"&lt;&gt;"&amp;"",операции!$AB:$AB,"&lt;"&amp;S$8,операции!$L:$L,V$9,операции!$O:$O,$F1718))/V1723)</f>
        <v>0</v>
      </c>
      <c r="W1724" s="238"/>
      <c r="X1724" s="193">
        <f>IF(X1723=0,0,(SUMIFS(операции!$AF:$AF,операции!$T:$T,"&lt;"&amp;X$8,операции!$X:$X,"",операции!$AB:$AB,"&lt;&gt;"&amp;"",операции!$AB:$AB,"&lt;"&amp;X$8,операции!$O:$O,$F1718)+SUMIFS(операции!$AF:$AF,операции!$T:$T,"&lt;"&amp;X$8,операции!$X:$X,"&gt;="&amp;X$8,операции!$AB:$AB,"&lt;&gt;"&amp;"",операции!$AB:$AB,"&lt;"&amp;X$8,операции!$O:$O,$F1718))/X1723)</f>
        <v>42137.608324384419</v>
      </c>
      <c r="Y1724" s="196"/>
      <c r="Z1724" s="193">
        <f>IF(Z1723=0,0,(SUMIFS(операции!$AF:$AF,операции!$T:$T,"&lt;"&amp;X$8,операции!$X:$X,"",операции!$AB:$AB,"&lt;&gt;"&amp;"",операции!$AB:$AB,"&lt;"&amp;X$8,операции!$L:$L,Z$9,операции!$O:$O,$F1718)+SUMIFS(операции!$AF:$AF,операции!$T:$T,"&lt;"&amp;X$8,операции!$X:$X,"&gt;="&amp;X$8,операции!$AB:$AB,"&lt;&gt;"&amp;"",операции!$AB:$AB,"&lt;"&amp;X$8,операции!$L:$L,Z$9,операции!$O:$O,$F1718))/Z1723)</f>
        <v>42137.608324384419</v>
      </c>
      <c r="AA1724" s="237">
        <f>IF(AA1723=0,0,(SUMIFS(операции!$AF:$AF,операции!$T:$T,"&lt;"&amp;X$8,операции!$X:$X,"",операции!$AB:$AB,"&lt;&gt;"&amp;"",операции!$AB:$AB,"&lt;"&amp;X$8,операции!$L:$L,AA$9,операции!$O:$O,$F1718)+SUMIFS(операции!$AF:$AF,операции!$T:$T,"&lt;"&amp;X$8,операции!$X:$X,"&gt;="&amp;X$8,операции!$AB:$AB,"&lt;&gt;"&amp;"",операции!$AB:$AB,"&lt;"&amp;X$8,операции!$L:$L,AA$9,операции!$O:$O,$F1718))/AA1723)</f>
        <v>0</v>
      </c>
      <c r="AB1724" s="265"/>
      <c r="AC1724" s="37"/>
      <c r="AD1724" s="37"/>
      <c r="AE1724" s="37"/>
      <c r="AF1724" s="37"/>
      <c r="AG1724" s="37"/>
      <c r="AH1724" s="37"/>
      <c r="AI1724" s="37"/>
      <c r="AJ1724" s="37"/>
      <c r="AK1724" s="37"/>
      <c r="AL1724" s="37"/>
      <c r="AM1724" s="37"/>
      <c r="AN1724" s="37"/>
      <c r="AO1724" s="37"/>
      <c r="AP1724" s="37"/>
    </row>
    <row r="1725" spans="1:42" s="192" customFormat="1" ht="11.25">
      <c r="A1725" s="37"/>
      <c r="B1725" s="37"/>
      <c r="C1725" s="37"/>
      <c r="D1725" s="191"/>
      <c r="E1725" s="191" t="s">
        <v>260</v>
      </c>
      <c r="F1725" s="191" t="str">
        <f t="shared" si="3058"/>
        <v>С-Тойз</v>
      </c>
      <c r="G1725" s="191" t="s">
        <v>219</v>
      </c>
      <c r="H1725" s="315"/>
      <c r="I1725" s="329">
        <f>IF(I1723=0,0,I$8-I1724)</f>
        <v>135.11956362245837</v>
      </c>
      <c r="J1725" s="317"/>
      <c r="K1725" s="329">
        <f>IF(K1723=0,0,I$8-K1724)</f>
        <v>135.11956362245837</v>
      </c>
      <c r="L1725" s="330">
        <f>IF(L1723=0,0,I$8-L1724)</f>
        <v>0</v>
      </c>
      <c r="M1725" s="274"/>
      <c r="N1725" s="156">
        <f>IF(N1723=0,0,N$8-N1724)</f>
        <v>135.11956362245837</v>
      </c>
      <c r="O1725" s="196"/>
      <c r="P1725" s="156">
        <f>IF(P1723=0,0,N$8-P1724)</f>
        <v>135.11956362245837</v>
      </c>
      <c r="Q1725" s="245">
        <f>IF(Q1723=0,0,N$8-Q1724)</f>
        <v>0</v>
      </c>
      <c r="R1725" s="238"/>
      <c r="S1725" s="156">
        <f>IF(S1723=0,0,S$8-S1724)</f>
        <v>175.15993372864614</v>
      </c>
      <c r="T1725" s="196"/>
      <c r="U1725" s="156">
        <f>IF(U1723=0,0,S$8-U1724)</f>
        <v>175.15993372864614</v>
      </c>
      <c r="V1725" s="245">
        <f>IF(V1723=0,0,S$8-V1724)</f>
        <v>0</v>
      </c>
      <c r="W1725" s="238"/>
      <c r="X1725" s="156">
        <f>IF(X1723=0,0,X$8-X1724)</f>
        <v>201.39167561558133</v>
      </c>
      <c r="Y1725" s="196"/>
      <c r="Z1725" s="156">
        <f>IF(Z1723=0,0,X$8-Z1724)</f>
        <v>201.39167561558133</v>
      </c>
      <c r="AA1725" s="245">
        <f>IF(AA1723=0,0,X$8-AA1724)</f>
        <v>0</v>
      </c>
      <c r="AB1725" s="265"/>
      <c r="AC1725" s="37"/>
      <c r="AD1725" s="37"/>
      <c r="AE1725" s="37"/>
      <c r="AF1725" s="37"/>
      <c r="AG1725" s="37"/>
      <c r="AH1725" s="37"/>
      <c r="AI1725" s="37"/>
      <c r="AJ1725" s="37"/>
      <c r="AK1725" s="37"/>
      <c r="AL1725" s="37"/>
      <c r="AM1725" s="37"/>
      <c r="AN1725" s="37"/>
      <c r="AO1725" s="37"/>
      <c r="AP1725" s="37"/>
    </row>
    <row r="1726" spans="1:42" s="192" customFormat="1" ht="11.25">
      <c r="A1726" s="37"/>
      <c r="B1726" s="37"/>
      <c r="C1726" s="37"/>
      <c r="D1726" s="191"/>
      <c r="E1726" s="191" t="s">
        <v>259</v>
      </c>
      <c r="F1726" s="191" t="str">
        <f t="shared" si="3058"/>
        <v>С-Тойз</v>
      </c>
      <c r="G1726" s="191" t="s">
        <v>262</v>
      </c>
      <c r="H1726" s="315"/>
      <c r="I1726" s="316">
        <f>IF(I1723=0,0,(SUMIFS(операции!$AH:$AH,операции!$T:$T,"&lt;"&amp;I$8,операции!$X:$X,"",операции!$AB:$AB,"&lt;&gt;"&amp;"",операции!$AB:$AB,"&lt;"&amp;I$8,операции!$O:$O,$F1718)+SUMIFS(операции!$AH:$AH,операции!$T:$T,"&lt;"&amp;I$8,операции!$X:$X,"&gt;="&amp;I$8,операции!$AB:$AB,"&lt;&gt;"&amp;"",операции!$AB:$AB,"&lt;"&amp;I$8,операции!$O:$O,$F1718))/I1723)</f>
        <v>42170.248487776727</v>
      </c>
      <c r="J1726" s="317"/>
      <c r="K1726" s="316">
        <f>IF(K1723=0,0,(SUMIFS(операции!$AH:$AH,операции!$T:$T,"&lt;"&amp;I$8,операции!$X:$X,"",операции!$AB:$AB,"&lt;&gt;"&amp;"",операции!$AB:$AB,"&lt;"&amp;I$8,операции!$L:$L,K$9,операции!$O:$O,$F1718)+SUMIFS(операции!$AH:$AH,операции!$T:$T,"&lt;"&amp;I$8,операции!$X:$X,"&gt;="&amp;I$8,операции!$AB:$AB,"&lt;&gt;"&amp;"",операции!$AB:$AB,"&lt;"&amp;I$8,операции!$L:$L,K$9,операции!$O:$O,$F1718))/K1723)</f>
        <v>42170.248487776727</v>
      </c>
      <c r="L1726" s="318">
        <f>IF(L1723=0,0,(SUMIFS(операции!$AH:$AH,операции!$T:$T,"&lt;"&amp;I$8,операции!$X:$X,"",операции!$AB:$AB,"&lt;&gt;"&amp;"",операции!$AB:$AB,"&lt;"&amp;I$8,операции!$L:$L,L$9,операции!$O:$O,$F1718)+SUMIFS(операции!$AH:$AH,операции!$T:$T,"&lt;"&amp;I$8,операции!$X:$X,"&gt;="&amp;I$8,операции!$AB:$AB,"&lt;&gt;"&amp;"",операции!$AB:$AB,"&lt;"&amp;I$8,операции!$L:$L,L$9,операции!$O:$O,$F1718))/L1723)</f>
        <v>0</v>
      </c>
      <c r="M1726" s="274"/>
      <c r="N1726" s="193">
        <f>IF(N1723=0,0,(SUMIFS(операции!$AH:$AH,операции!$T:$T,"&lt;"&amp;N$8,операции!$X:$X,"",операции!$AB:$AB,"&lt;&gt;"&amp;"",операции!$AB:$AB,"&lt;"&amp;N$8,операции!$O:$O,$F1718)+SUMIFS(операции!$AH:$AH,операции!$T:$T,"&lt;"&amp;N$8,операции!$X:$X,"&gt;="&amp;N$8,операции!$AB:$AB,"&lt;&gt;"&amp;"",операции!$AB:$AB,"&lt;"&amp;N$8,операции!$O:$O,$F1718))/N1723)</f>
        <v>42170.248487776727</v>
      </c>
      <c r="O1726" s="196"/>
      <c r="P1726" s="193">
        <f>IF(P1723=0,0,(SUMIFS(операции!$AH:$AH,операции!$T:$T,"&lt;"&amp;N$8,операции!$X:$X,"",операции!$AB:$AB,"&lt;&gt;"&amp;"",операции!$AB:$AB,"&lt;"&amp;N$8,операции!$L:$L,P$9,операции!$O:$O,$F1718)+SUMIFS(операции!$AH:$AH,операции!$T:$T,"&lt;"&amp;N$8,операции!$X:$X,"&gt;="&amp;N$8,операции!$AB:$AB,"&lt;&gt;"&amp;"",операции!$AB:$AB,"&lt;"&amp;N$8,операции!$L:$L,P$9,операции!$O:$O,$F1718))/P1723)</f>
        <v>42170.248487776727</v>
      </c>
      <c r="Q1726" s="237">
        <f>IF(Q1723=0,0,(SUMIFS(операции!$AH:$AH,операции!$T:$T,"&lt;"&amp;N$8,операции!$X:$X,"",операции!$AB:$AB,"&lt;&gt;"&amp;"",операции!$AB:$AB,"&lt;"&amp;N$8,операции!$L:$L,Q$9,операции!$O:$O,$F1718)+SUMIFS(операции!$AH:$AH,операции!$T:$T,"&lt;"&amp;N$8,операции!$X:$X,"&gt;="&amp;N$8,операции!$AB:$AB,"&lt;&gt;"&amp;"",операции!$AB:$AB,"&lt;"&amp;N$8,операции!$L:$L,Q$9,операции!$O:$O,$F1718))/Q1723)</f>
        <v>0</v>
      </c>
      <c r="R1726" s="238"/>
      <c r="S1726" s="193">
        <f>IF(S1723=0,0,(SUMIFS(операции!$AH:$AH,операции!$T:$T,"&lt;"&amp;S$8,операции!$X:$X,"",операции!$AB:$AB,"&lt;&gt;"&amp;"",операции!$AB:$AB,"&lt;"&amp;S$8,операции!$O:$O,$F1718)+SUMIFS(операции!$AH:$AH,операции!$T:$T,"&lt;"&amp;S$8,операции!$X:$X,"&gt;="&amp;S$8,операции!$AB:$AB,"&lt;&gt;"&amp;"",операции!$AB:$AB,"&lt;"&amp;S$8,операции!$O:$O,$F1718))/S1723)</f>
        <v>42162.330142523497</v>
      </c>
      <c r="T1726" s="196"/>
      <c r="U1726" s="193">
        <f>IF(U1723=0,0,(SUMIFS(операции!$AH:$AH,операции!$T:$T,"&lt;"&amp;S$8,операции!$X:$X,"",операции!$AB:$AB,"&lt;&gt;"&amp;"",операции!$AB:$AB,"&lt;"&amp;S$8,операции!$L:$L,U$9,операции!$O:$O,$F1718)+SUMIFS(операции!$AH:$AH,операции!$T:$T,"&lt;"&amp;S$8,операции!$X:$X,"&gt;="&amp;S$8,операции!$AB:$AB,"&lt;&gt;"&amp;"",операции!$AB:$AB,"&lt;"&amp;S$8,операции!$L:$L,U$9,операции!$O:$O,$F1718))/U1723)</f>
        <v>42162.330142523497</v>
      </c>
      <c r="V1726" s="237">
        <f>IF(V1723=0,0,(SUMIFS(операции!$AH:$AH,операции!$T:$T,"&lt;"&amp;S$8,операции!$X:$X,"",операции!$AB:$AB,"&lt;&gt;"&amp;"",операции!$AB:$AB,"&lt;"&amp;S$8,операции!$L:$L,V$9,операции!$O:$O,$F1718)+SUMIFS(операции!$AH:$AH,операции!$T:$T,"&lt;"&amp;S$8,операции!$X:$X,"&gt;="&amp;S$8,операции!$AB:$AB,"&lt;&gt;"&amp;"",операции!$AB:$AB,"&lt;"&amp;S$8,операции!$L:$L,V$9,операции!$O:$O,$F1718))/V1723)</f>
        <v>0</v>
      </c>
      <c r="W1726" s="238"/>
      <c r="X1726" s="193">
        <f>IF(X1723=0,0,(SUMIFS(операции!$AH:$AH,операции!$T:$T,"&lt;"&amp;X$8,операции!$X:$X,"",операции!$AB:$AB,"&lt;&gt;"&amp;"",операции!$AB:$AB,"&lt;"&amp;X$8,операции!$O:$O,$F1718)+SUMIFS(операции!$AH:$AH,операции!$T:$T,"&lt;"&amp;X$8,операции!$X:$X,"&gt;="&amp;X$8,операции!$AB:$AB,"&lt;&gt;"&amp;"",операции!$AB:$AB,"&lt;"&amp;X$8,операции!$O:$O,$F1718))/X1723)</f>
        <v>42168.915303840389</v>
      </c>
      <c r="Y1726" s="196"/>
      <c r="Z1726" s="193">
        <f>IF(Z1723=0,0,(SUMIFS(операции!$AH:$AH,операции!$T:$T,"&lt;"&amp;X$8,операции!$X:$X,"",операции!$AB:$AB,"&lt;&gt;"&amp;"",операции!$AB:$AB,"&lt;"&amp;X$8,операции!$L:$L,Z$9,операции!$O:$O,$F1718)+SUMIFS(операции!$AH:$AH,операции!$T:$T,"&lt;"&amp;X$8,операции!$X:$X,"&gt;="&amp;X$8,операции!$AB:$AB,"&lt;&gt;"&amp;"",операции!$AB:$AB,"&lt;"&amp;X$8,операции!$L:$L,Z$9,операции!$O:$O,$F1718))/Z1723)</f>
        <v>42168.915303840389</v>
      </c>
      <c r="AA1726" s="237">
        <f>IF(AA1723=0,0,(SUMIFS(операции!$AH:$AH,операции!$T:$T,"&lt;"&amp;X$8,операции!$X:$X,"",операции!$AB:$AB,"&lt;&gt;"&amp;"",операции!$AB:$AB,"&lt;"&amp;X$8,операции!$L:$L,AA$9,операции!$O:$O,$F1718)+SUMIFS(операции!$AH:$AH,операции!$T:$T,"&lt;"&amp;X$8,операции!$X:$X,"&gt;="&amp;X$8,операции!$AB:$AB,"&lt;&gt;"&amp;"",операции!$AB:$AB,"&lt;"&amp;X$8,операции!$L:$L,AA$9,операции!$O:$O,$F1718))/AA1723)</f>
        <v>0</v>
      </c>
      <c r="AB1726" s="265"/>
      <c r="AC1726" s="37"/>
      <c r="AD1726" s="37"/>
      <c r="AE1726" s="37"/>
      <c r="AF1726" s="37"/>
      <c r="AG1726" s="37"/>
      <c r="AH1726" s="37"/>
      <c r="AI1726" s="37"/>
      <c r="AJ1726" s="37"/>
      <c r="AK1726" s="37"/>
      <c r="AL1726" s="37"/>
      <c r="AM1726" s="37"/>
      <c r="AN1726" s="37"/>
      <c r="AO1726" s="37"/>
      <c r="AP1726" s="37"/>
    </row>
    <row r="1727" spans="1:42" s="192" customFormat="1" ht="11.25">
      <c r="A1727" s="37"/>
      <c r="B1727" s="37"/>
      <c r="C1727" s="37"/>
      <c r="D1727" s="191"/>
      <c r="E1727" s="191" t="s">
        <v>265</v>
      </c>
      <c r="F1727" s="191" t="str">
        <f t="shared" si="3058"/>
        <v>С-Тойз</v>
      </c>
      <c r="G1727" s="191" t="s">
        <v>219</v>
      </c>
      <c r="H1727" s="315"/>
      <c r="I1727" s="329">
        <f>I1726-I1724</f>
        <v>27.368051399185788</v>
      </c>
      <c r="J1727" s="317"/>
      <c r="K1727" s="329">
        <f t="shared" ref="K1727" si="3071">K1726-K1724</f>
        <v>27.368051399185788</v>
      </c>
      <c r="L1727" s="330">
        <f>L1726-L1724</f>
        <v>0</v>
      </c>
      <c r="M1727" s="274"/>
      <c r="N1727" s="156">
        <f>N1726-N1724</f>
        <v>27.368051399185788</v>
      </c>
      <c r="O1727" s="196"/>
      <c r="P1727" s="156">
        <f t="shared" ref="P1727" si="3072">P1726-P1724</f>
        <v>27.368051399185788</v>
      </c>
      <c r="Q1727" s="245">
        <f>Q1726-Q1724</f>
        <v>0</v>
      </c>
      <c r="R1727" s="238"/>
      <c r="S1727" s="156">
        <f>S1726-S1724</f>
        <v>28.490076252142899</v>
      </c>
      <c r="T1727" s="196"/>
      <c r="U1727" s="156">
        <f t="shared" ref="U1727" si="3073">U1726-U1724</f>
        <v>28.490076252142899</v>
      </c>
      <c r="V1727" s="245">
        <f>V1726-V1724</f>
        <v>0</v>
      </c>
      <c r="W1727" s="238"/>
      <c r="X1727" s="156">
        <f>X1726-X1724</f>
        <v>31.306979455970577</v>
      </c>
      <c r="Y1727" s="196"/>
      <c r="Z1727" s="156">
        <f t="shared" ref="Z1727" si="3074">Z1726-Z1724</f>
        <v>31.306979455970577</v>
      </c>
      <c r="AA1727" s="245">
        <f>AA1726-AA1724</f>
        <v>0</v>
      </c>
      <c r="AB1727" s="265"/>
      <c r="AC1727" s="37"/>
      <c r="AD1727" s="37"/>
      <c r="AE1727" s="37"/>
      <c r="AF1727" s="37"/>
      <c r="AG1727" s="37"/>
      <c r="AH1727" s="37"/>
      <c r="AI1727" s="37"/>
      <c r="AJ1727" s="37"/>
      <c r="AK1727" s="37"/>
      <c r="AL1727" s="37"/>
      <c r="AM1727" s="37"/>
      <c r="AN1727" s="37"/>
      <c r="AO1727" s="37"/>
      <c r="AP1727" s="37"/>
    </row>
    <row r="1728" spans="1:42" s="192" customFormat="1" ht="11.25">
      <c r="A1728" s="37"/>
      <c r="B1728" s="37"/>
      <c r="C1728" s="37"/>
      <c r="D1728" s="191"/>
      <c r="E1728" s="191" t="s">
        <v>268</v>
      </c>
      <c r="F1728" s="191" t="str">
        <f t="shared" si="3058"/>
        <v>С-Тойз</v>
      </c>
      <c r="G1728" s="191" t="s">
        <v>219</v>
      </c>
      <c r="H1728" s="315"/>
      <c r="I1728" s="329">
        <f>I1725-I1727</f>
        <v>107.75151222327258</v>
      </c>
      <c r="J1728" s="317"/>
      <c r="K1728" s="329">
        <f t="shared" ref="K1728" si="3075">K1725-K1727</f>
        <v>107.75151222327258</v>
      </c>
      <c r="L1728" s="330">
        <f t="shared" ref="L1728" si="3076">L1725-L1727</f>
        <v>0</v>
      </c>
      <c r="M1728" s="274"/>
      <c r="N1728" s="156">
        <f>N1725-N1727</f>
        <v>107.75151222327258</v>
      </c>
      <c r="O1728" s="196"/>
      <c r="P1728" s="156">
        <f t="shared" ref="P1728" si="3077">P1725-P1727</f>
        <v>107.75151222327258</v>
      </c>
      <c r="Q1728" s="245">
        <f t="shared" ref="Q1728" si="3078">Q1725-Q1727</f>
        <v>0</v>
      </c>
      <c r="R1728" s="238"/>
      <c r="S1728" s="156">
        <f>S1725-S1727</f>
        <v>146.66985747650324</v>
      </c>
      <c r="T1728" s="196"/>
      <c r="U1728" s="156">
        <f t="shared" ref="U1728" si="3079">U1725-U1727</f>
        <v>146.66985747650324</v>
      </c>
      <c r="V1728" s="245">
        <f t="shared" ref="V1728" si="3080">V1725-V1727</f>
        <v>0</v>
      </c>
      <c r="W1728" s="238"/>
      <c r="X1728" s="156">
        <f>X1725-X1727</f>
        <v>170.08469615961076</v>
      </c>
      <c r="Y1728" s="196"/>
      <c r="Z1728" s="156">
        <f t="shared" ref="Z1728" si="3081">Z1725-Z1727</f>
        <v>170.08469615961076</v>
      </c>
      <c r="AA1728" s="245">
        <f t="shared" ref="AA1728" si="3082">AA1725-AA1727</f>
        <v>0</v>
      </c>
      <c r="AB1728" s="265"/>
      <c r="AC1728" s="37"/>
      <c r="AD1728" s="37"/>
      <c r="AE1728" s="37"/>
      <c r="AF1728" s="37"/>
      <c r="AG1728" s="37"/>
      <c r="AH1728" s="37"/>
      <c r="AI1728" s="37"/>
      <c r="AJ1728" s="37"/>
      <c r="AK1728" s="37"/>
      <c r="AL1728" s="37"/>
      <c r="AM1728" s="37"/>
      <c r="AN1728" s="37"/>
      <c r="AO1728" s="37"/>
      <c r="AP1728" s="37"/>
    </row>
    <row r="1729" spans="1:42" s="5" customFormat="1">
      <c r="A1729" s="1"/>
      <c r="B1729" s="1"/>
      <c r="C1729" s="1"/>
      <c r="D1729" s="168"/>
      <c r="E1729" s="168" t="s">
        <v>276</v>
      </c>
      <c r="F1729" s="168" t="str">
        <f t="shared" si="3058"/>
        <v>С-Тойз</v>
      </c>
      <c r="G1729" s="168" t="s">
        <v>261</v>
      </c>
      <c r="H1729" s="326"/>
      <c r="I1729" s="327">
        <f>SUMIFS(операции!$V:$V,операции!$T:$T,"&lt;"&amp;I$8,операции!$X:$X,"",операции!$AB:$AB,"",операции!$O:$O,$F1718)+SUMIFS(операции!$V:$V,операции!$T:$T,"&lt;"&amp;I$8,операции!$X:$X,"&gt;="&amp;I$8,операции!$AB:$AB,"",операции!$O:$O,$F1718)+SUMIFS(операции!$V:$V,операции!$T:$T,"&lt;"&amp;I$8,операции!$X:$X,"",операции!$AB:$AB,"&gt;="&amp;I$8,операции!$O:$O,$F1718)+SUMIFS(операции!$V:$V,операции!$T:$T,"&lt;"&amp;I$8,операции!$X:$X,"&gt;="&amp;I$8,операции!$AB:$AB,"&gt;="&amp;I$8,операции!$O:$O,$F1718)</f>
        <v>20272.799999999996</v>
      </c>
      <c r="J1729" s="313">
        <f>I1729-K1729-L1729</f>
        <v>0</v>
      </c>
      <c r="K1729" s="327">
        <f>SUMIFS(операции!$V:$V,операции!$T:$T,"&lt;"&amp;I$8,операции!$X:$X,"",операции!$AB:$AB,"",операции!$L:$L,K$9,операции!$O:$O,$F1718)+SUMIFS(операции!$V:$V,операции!$T:$T,"&lt;"&amp;I$8,операции!$X:$X,"&gt;="&amp;I$8,операции!$AB:$AB,"",операции!$L:$L,K$9,операции!$O:$O,$F1718)+SUMIFS(операции!$V:$V,операции!$T:$T,"&lt;"&amp;I$8,операции!$X:$X,"",операции!$AB:$AB,"&gt;="&amp;I$8,операции!$L:$L,K$9,операции!$O:$O,$F1718)+SUMIFS(операции!$V:$V,операции!$T:$T,"&lt;"&amp;I$8,операции!$X:$X,"&gt;="&amp;I$8,операции!$AB:$AB,"&gt;="&amp;I$8,операции!$L:$L,K$9,операции!$O:$O,$F1718)</f>
        <v>20272.799999999996</v>
      </c>
      <c r="L1729" s="328">
        <f>SUMIFS(операции!$V:$V,операции!$T:$T,"&lt;"&amp;I$8,операции!$X:$X,"",операции!$AB:$AB,"",операции!$L:$L,L$9,операции!$O:$O,$F1718)+SUMIFS(операции!$V:$V,операции!$T:$T,"&lt;"&amp;I$8,операции!$X:$X,"&gt;="&amp;I$8,операции!$AB:$AB,"",операции!$L:$L,L$9,операции!$O:$O,$F1718)+SUMIFS(операции!$V:$V,операции!$T:$T,"&lt;"&amp;I$8,операции!$X:$X,"",операции!$AB:$AB,"&gt;="&amp;I$8,операции!$L:$L,L$9,операции!$O:$O,$F1718)+SUMIFS(операции!$V:$V,операции!$T:$T,"&lt;"&amp;I$8,операции!$X:$X,"&gt;="&amp;I$8,операции!$AB:$AB,"&gt;="&amp;I$8,операции!$L:$L,L$9,операции!$O:$O,$F1718)</f>
        <v>0</v>
      </c>
      <c r="M1729" s="277"/>
      <c r="N1729" s="169">
        <f>SUMIFS(операции!$V:$V,операции!$T:$T,"&lt;"&amp;N$8,операции!$X:$X,"",операции!$AB:$AB,"",операции!$O:$O,$F1718)+SUMIFS(операции!$V:$V,операции!$T:$T,"&lt;"&amp;N$8,операции!$X:$X,"&gt;="&amp;N$8,операции!$AB:$AB,"",операции!$O:$O,$F1718)+SUMIFS(операции!$V:$V,операции!$T:$T,"&lt;"&amp;N$8,операции!$X:$X,"",операции!$AB:$AB,"&gt;="&amp;N$8,операции!$O:$O,$F1718)+SUMIFS(операции!$V:$V,операции!$T:$T,"&lt;"&amp;N$8,операции!$X:$X,"&gt;="&amp;N$8,операции!$AB:$AB,"&gt;="&amp;N$8,операции!$O:$O,$F1718)</f>
        <v>20272.799999999996</v>
      </c>
      <c r="O1729" s="170">
        <f>N1729-P1729-Q1729</f>
        <v>0</v>
      </c>
      <c r="P1729" s="169">
        <f>SUMIFS(операции!$V:$V,операции!$T:$T,"&lt;"&amp;N$8,операции!$X:$X,"",операции!$AB:$AB,"",операции!$L:$L,P$9,операции!$O:$O,$F1718)+SUMIFS(операции!$V:$V,операции!$T:$T,"&lt;"&amp;N$8,операции!$X:$X,"&gt;="&amp;N$8,операции!$AB:$AB,"",операции!$L:$L,P$9,операции!$O:$O,$F1718)+SUMIFS(операции!$V:$V,операции!$T:$T,"&lt;"&amp;N$8,операции!$X:$X,"",операции!$AB:$AB,"&gt;="&amp;N$8,операции!$L:$L,P$9,операции!$O:$O,$F1718)+SUMIFS(операции!$V:$V,операции!$T:$T,"&lt;"&amp;N$8,операции!$X:$X,"&gt;="&amp;N$8,операции!$AB:$AB,"&gt;="&amp;N$8,операции!$L:$L,P$9,операции!$O:$O,$F1718)</f>
        <v>20272.799999999996</v>
      </c>
      <c r="Q1729" s="243">
        <f>SUMIFS(операции!$V:$V,операции!$T:$T,"&lt;"&amp;N$8,операции!$X:$X,"",операции!$AB:$AB,"",операции!$L:$L,Q$9,операции!$O:$O,$F1718)+SUMIFS(операции!$V:$V,операции!$T:$T,"&lt;"&amp;N$8,операции!$X:$X,"&gt;="&amp;N$8,операции!$AB:$AB,"",операции!$L:$L,Q$9,операции!$O:$O,$F1718)+SUMIFS(операции!$V:$V,операции!$T:$T,"&lt;"&amp;N$8,операции!$X:$X,"",операции!$AB:$AB,"&gt;="&amp;N$8,операции!$L:$L,Q$9,операции!$O:$O,$F1718)+SUMIFS(операции!$V:$V,операции!$T:$T,"&lt;"&amp;N$8,операции!$X:$X,"&gt;="&amp;N$8,операции!$AB:$AB,"&gt;="&amp;N$8,операции!$L:$L,Q$9,операции!$O:$O,$F1718)</f>
        <v>0</v>
      </c>
      <c r="R1729" s="244"/>
      <c r="S1729" s="169">
        <f>SUMIFS(операции!$V:$V,операции!$T:$T,"&lt;"&amp;S$8,операции!$X:$X,"",операции!$AB:$AB,"",операции!$O:$O,$F1718)+SUMIFS(операции!$V:$V,операции!$T:$T,"&lt;"&amp;S$8,операции!$X:$X,"&gt;="&amp;S$8,операции!$AB:$AB,"",операции!$O:$O,$F1718)+SUMIFS(операции!$V:$V,операции!$T:$T,"&lt;"&amp;S$8,операции!$X:$X,"",операции!$AB:$AB,"&gt;="&amp;S$8,операции!$O:$O,$F1718)+SUMIFS(операции!$V:$V,операции!$T:$T,"&lt;"&amp;S$8,операции!$X:$X,"&gt;="&amp;S$8,операции!$AB:$AB,"&gt;="&amp;S$8,операции!$O:$O,$F1718)</f>
        <v>24066.879999999997</v>
      </c>
      <c r="T1729" s="170">
        <f>S1729-U1729-V1729</f>
        <v>0</v>
      </c>
      <c r="U1729" s="169">
        <f>SUMIFS(операции!$V:$V,операции!$T:$T,"&lt;"&amp;S$8,операции!$X:$X,"",операции!$AB:$AB,"",операции!$L:$L,U$9,операции!$O:$O,$F1718)+SUMIFS(операции!$V:$V,операции!$T:$T,"&lt;"&amp;S$8,операции!$X:$X,"&gt;="&amp;S$8,операции!$AB:$AB,"",операции!$L:$L,U$9,операции!$O:$O,$F1718)+SUMIFS(операции!$V:$V,операции!$T:$T,"&lt;"&amp;S$8,операции!$X:$X,"",операции!$AB:$AB,"&gt;="&amp;S$8,операции!$L:$L,U$9,операции!$O:$O,$F1718)+SUMIFS(операции!$V:$V,операции!$T:$T,"&lt;"&amp;S$8,операции!$X:$X,"&gt;="&amp;S$8,операции!$AB:$AB,"&gt;="&amp;S$8,операции!$L:$L,U$9,операции!$O:$O,$F1718)</f>
        <v>18374.879999999997</v>
      </c>
      <c r="V1729" s="243">
        <f>SUMIFS(операции!$V:$V,операции!$T:$T,"&lt;"&amp;S$8,операции!$X:$X,"",операции!$AB:$AB,"",операции!$L:$L,V$9,операции!$O:$O,$F1718)+SUMIFS(операции!$V:$V,операции!$T:$T,"&lt;"&amp;S$8,операции!$X:$X,"&gt;="&amp;S$8,операции!$AB:$AB,"",операции!$L:$L,V$9,операции!$O:$O,$F1718)+SUMIFS(операции!$V:$V,операции!$T:$T,"&lt;"&amp;S$8,операции!$X:$X,"",операции!$AB:$AB,"&gt;="&amp;S$8,операции!$L:$L,V$9,операции!$O:$O,$F1718)+SUMIFS(операции!$V:$V,операции!$T:$T,"&lt;"&amp;S$8,операции!$X:$X,"&gt;="&amp;S$8,операции!$AB:$AB,"&gt;="&amp;S$8,операции!$L:$L,V$9,операции!$O:$O,$F1718)</f>
        <v>5692</v>
      </c>
      <c r="W1729" s="244"/>
      <c r="X1729" s="169">
        <f>SUMIFS(операции!$V:$V,операции!$T:$T,"&lt;"&amp;X$8,операции!$X:$X,"",операции!$AB:$AB,"",операции!$O:$O,$F1718)+SUMIFS(операции!$V:$V,операции!$T:$T,"&lt;"&amp;X$8,операции!$X:$X,"&gt;="&amp;X$8,операции!$AB:$AB,"",операции!$O:$O,$F1718)+SUMIFS(операции!$V:$V,операции!$T:$T,"&lt;"&amp;X$8,операции!$X:$X,"",операции!$AB:$AB,"&gt;="&amp;X$8,операции!$O:$O,$F1718)+SUMIFS(операции!$V:$V,операции!$T:$T,"&lt;"&amp;X$8,операции!$X:$X,"&gt;="&amp;X$8,операции!$AB:$AB,"&gt;="&amp;X$8,операции!$O:$O,$F1718)</f>
        <v>36749.82</v>
      </c>
      <c r="Y1729" s="170">
        <f>X1729-Z1729-AA1729</f>
        <v>0</v>
      </c>
      <c r="Z1729" s="169">
        <f>SUMIFS(операции!$V:$V,операции!$T:$T,"&lt;"&amp;X$8,операции!$X:$X,"",операции!$AB:$AB,"",операции!$L:$L,Z$9,операции!$O:$O,$F1718)+SUMIFS(операции!$V:$V,операции!$T:$T,"&lt;"&amp;X$8,операции!$X:$X,"&gt;="&amp;X$8,операции!$AB:$AB,"",операции!$L:$L,Z$9,операции!$O:$O,$F1718)+SUMIFS(операции!$V:$V,операции!$T:$T,"&lt;"&amp;X$8,операции!$X:$X,"",операции!$AB:$AB,"&gt;="&amp;X$8,операции!$L:$L,Z$9,операции!$O:$O,$F1718)+SUMIFS(операции!$V:$V,операции!$T:$T,"&lt;"&amp;X$8,операции!$X:$X,"&gt;="&amp;X$8,операции!$AB:$AB,"&gt;="&amp;X$8,операции!$L:$L,Z$9,операции!$O:$O,$F1718)</f>
        <v>13320</v>
      </c>
      <c r="AA1729" s="243">
        <f>SUMIFS(операции!$V:$V,операции!$T:$T,"&lt;"&amp;X$8,операции!$X:$X,"",операции!$AB:$AB,"",операции!$L:$L,AA$9,операции!$O:$O,$F1718)+SUMIFS(операции!$V:$V,операции!$T:$T,"&lt;"&amp;X$8,операции!$X:$X,"&gt;="&amp;X$8,операции!$AB:$AB,"",операции!$L:$L,AA$9,операции!$O:$O,$F1718)+SUMIFS(операции!$V:$V,операции!$T:$T,"&lt;"&amp;X$8,операции!$X:$X,"",операции!$AB:$AB,"&gt;="&amp;X$8,операции!$L:$L,AA$9,операции!$O:$O,$F1718)+SUMIFS(операции!$V:$V,операции!$T:$T,"&lt;"&amp;X$8,операции!$X:$X,"&gt;="&amp;X$8,операции!$AB:$AB,"&gt;="&amp;X$8,операции!$L:$L,AA$9,операции!$O:$O,$F1718)</f>
        <v>23429.82</v>
      </c>
      <c r="AB1729" s="266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</row>
    <row r="1730" spans="1:42" s="192" customFormat="1" ht="11.25">
      <c r="A1730" s="37"/>
      <c r="B1730" s="37"/>
      <c r="C1730" s="37"/>
      <c r="D1730" s="191"/>
      <c r="E1730" s="191" t="s">
        <v>255</v>
      </c>
      <c r="F1730" s="191" t="str">
        <f t="shared" si="3058"/>
        <v>С-Тойз</v>
      </c>
      <c r="G1730" s="191" t="s">
        <v>262</v>
      </c>
      <c r="H1730" s="315"/>
      <c r="I1730" s="316">
        <f>IF(I1729=0,0,(SUMIFS(операции!$AF:$AF,операции!$T:$T,"&lt;"&amp;I$8,операции!$X:$X,"",операции!$AB:$AB,"",операции!$O:$O,$F1718)+SUMIFS(операции!$AF:$AF,операции!$T:$T,"&lt;"&amp;I$8,операции!$X:$X,"&gt;="&amp;I$8,операции!$AB:$AB,"",операции!$O:$O,$F1718)+SUMIFS(операции!$AF:$AF,операции!$T:$T,"&lt;"&amp;I$8,операции!$X:$X,"",операции!$AB:$AB,"&gt;="&amp;I$8,операции!$O:$O,$F1718)+SUMIFS(операции!$AF:$AF,операции!$T:$T,"&lt;"&amp;I$8,операции!$X:$X,"&gt;="&amp;I$8,операции!$AB:$AB,"&gt;="&amp;I$8,операции!$O:$O,$F1718))/I1729)</f>
        <v>42167.197377767268</v>
      </c>
      <c r="J1730" s="317"/>
      <c r="K1730" s="316">
        <f>IF(K1729=0,0,(SUMIFS(операции!$AF:$AF,операции!$T:$T,"&lt;"&amp;I$8,операции!$X:$X,"",операции!$AB:$AB,"",операции!$L:$L,K$9,операции!$O:$O,$F1718)+SUMIFS(операции!$AF:$AF,операции!$T:$T,"&lt;"&amp;I$8,операции!$X:$X,"&gt;="&amp;I$8,операции!$AB:$AB,"",операции!$L:$L,K$9,операции!$O:$O,$F1718)+SUMIFS(операции!$AF:$AF,операции!$T:$T,"&lt;"&amp;I$8,операции!$X:$X,"",операции!$AB:$AB,"&gt;="&amp;I$8,операции!$L:$L,K$9,операции!$O:$O,$F1718)+SUMIFS(операции!$AF:$AF,операции!$T:$T,"&lt;"&amp;I$8,операции!$X:$X,"&gt;="&amp;I$8,операции!$AB:$AB,"&gt;="&amp;I$8,операции!$L:$L,K$9,операции!$O:$O,$F1718))/K1729)</f>
        <v>42167.197377767268</v>
      </c>
      <c r="L1730" s="318">
        <f>IF(L1729=0,0,(SUMIFS(операции!$AF:$AF,операции!$T:$T,"&lt;"&amp;I$8,операции!$X:$X,"",операции!$AB:$AB,"",операции!$L:$L,L$9,операции!$O:$O,$F1718)+SUMIFS(операции!$AF:$AF,операции!$T:$T,"&lt;"&amp;I$8,операции!$X:$X,"&gt;="&amp;I$8,операции!$AB:$AB,"",операции!$L:$L,L$9,операции!$O:$O,$F1718)+SUMIFS(операции!$AF:$AF,операции!$T:$T,"&lt;"&amp;I$8,операции!$X:$X,"",операции!$AB:$AB,"&gt;="&amp;I$8,операции!$L:$L,L$9,операции!$O:$O,$F1718)+SUMIFS(операции!$AF:$AF,операции!$T:$T,"&lt;"&amp;I$8,операции!$X:$X,"&gt;="&amp;I$8,операции!$AB:$AB,"&gt;="&amp;I$8,операции!$L:$L,L$9,операции!$O:$O,$F1718))/L1729)</f>
        <v>0</v>
      </c>
      <c r="M1730" s="274"/>
      <c r="N1730" s="193">
        <f>IF(N1729=0,0,(SUMIFS(операции!$AF:$AF,операции!$T:$T,"&lt;"&amp;N$8,операции!$X:$X,"",операции!$AB:$AB,"",операции!$O:$O,$F1718)+SUMIFS(операции!$AF:$AF,операции!$T:$T,"&lt;"&amp;N$8,операции!$X:$X,"&gt;="&amp;N$8,операции!$AB:$AB,"",операции!$O:$O,$F1718)+SUMIFS(операции!$AF:$AF,операции!$T:$T,"&lt;"&amp;N$8,операции!$X:$X,"",операции!$AB:$AB,"&gt;="&amp;N$8,операции!$O:$O,$F1718)+SUMIFS(операции!$AF:$AF,операции!$T:$T,"&lt;"&amp;N$8,операции!$X:$X,"&gt;="&amp;N$8,операции!$AB:$AB,"&gt;="&amp;N$8,операции!$O:$O,$F1718))/N1729)</f>
        <v>42167.197377767268</v>
      </c>
      <c r="O1730" s="196"/>
      <c r="P1730" s="193">
        <f>IF(P1729=0,0,(SUMIFS(операции!$AF:$AF,операции!$T:$T,"&lt;"&amp;N$8,операции!$X:$X,"",операции!$AB:$AB,"",операции!$L:$L,P$9,операции!$O:$O,$F1718)+SUMIFS(операции!$AF:$AF,операции!$T:$T,"&lt;"&amp;N$8,операции!$X:$X,"&gt;="&amp;N$8,операции!$AB:$AB,"",операции!$L:$L,P$9,операции!$O:$O,$F1718)+SUMIFS(операции!$AF:$AF,операции!$T:$T,"&lt;"&amp;N$8,операции!$X:$X,"",операции!$AB:$AB,"&gt;="&amp;N$8,операции!$L:$L,P$9,операции!$O:$O,$F1718)+SUMIFS(операции!$AF:$AF,операции!$T:$T,"&lt;"&amp;N$8,операции!$X:$X,"&gt;="&amp;N$8,операции!$AB:$AB,"&gt;="&amp;N$8,операции!$L:$L,P$9,операции!$O:$O,$F1718))/P1729)</f>
        <v>42167.197377767268</v>
      </c>
      <c r="Q1730" s="237">
        <f>IF(Q1729=0,0,(SUMIFS(операции!$AF:$AF,операции!$T:$T,"&lt;"&amp;N$8,операции!$X:$X,"",операции!$AB:$AB,"",операции!$L:$L,Q$9,операции!$O:$O,$F1718)+SUMIFS(операции!$AF:$AF,операции!$T:$T,"&lt;"&amp;N$8,операции!$X:$X,"&gt;="&amp;N$8,операции!$AB:$AB,"",операции!$L:$L,Q$9,операции!$O:$O,$F1718)+SUMIFS(операции!$AF:$AF,операции!$T:$T,"&lt;"&amp;N$8,операции!$X:$X,"",операции!$AB:$AB,"&gt;="&amp;N$8,операции!$L:$L,Q$9,операции!$O:$O,$F1718)+SUMIFS(операции!$AF:$AF,операции!$T:$T,"&lt;"&amp;N$8,операции!$X:$X,"&gt;="&amp;N$8,операции!$AB:$AB,"&gt;="&amp;N$8,операции!$L:$L,Q$9,операции!$O:$O,$F1718))/Q1729)</f>
        <v>0</v>
      </c>
      <c r="R1730" s="238"/>
      <c r="S1730" s="193">
        <f>IF(S1729=0,0,(SUMIFS(операции!$AF:$AF,операции!$T:$T,"&lt;"&amp;S$8,операции!$X:$X,"",операции!$AB:$AB,"",операции!$O:$O,$F1718)+SUMIFS(операции!$AF:$AF,операции!$T:$T,"&lt;"&amp;S$8,операции!$X:$X,"&gt;="&amp;S$8,операции!$AB:$AB,"",операции!$O:$O,$F1718)+SUMIFS(операции!$AF:$AF,операции!$T:$T,"&lt;"&amp;S$8,операции!$X:$X,"",операции!$AB:$AB,"&gt;="&amp;S$8,операции!$O:$O,$F1718)+SUMIFS(операции!$AF:$AF,операции!$T:$T,"&lt;"&amp;S$8,операции!$X:$X,"&gt;="&amp;S$8,операции!$AB:$AB,"&gt;="&amp;S$8,операции!$O:$O,$F1718))/S1729)</f>
        <v>42204.318408950399</v>
      </c>
      <c r="T1730" s="196"/>
      <c r="U1730" s="193">
        <f>IF(U1729=0,0,(SUMIFS(операции!$AF:$AF,операции!$T:$T,"&lt;"&amp;S$8,операции!$X:$X,"",операции!$AB:$AB,"",операции!$L:$L,U$9,операции!$O:$O,$F1718)+SUMIFS(операции!$AF:$AF,операции!$T:$T,"&lt;"&amp;S$8,операции!$X:$X,"&gt;="&amp;S$8,операции!$AB:$AB,"",операции!$L:$L,U$9,операции!$O:$O,$F1718)+SUMIFS(операции!$AF:$AF,операции!$T:$T,"&lt;"&amp;S$8,операции!$X:$X,"",операции!$AB:$AB,"&gt;="&amp;S$8,операции!$L:$L,U$9,операции!$O:$O,$F1718)+SUMIFS(операции!$AF:$AF,операции!$T:$T,"&lt;"&amp;S$8,операции!$X:$X,"&gt;="&amp;S$8,операции!$AB:$AB,"&gt;="&amp;S$8,операции!$L:$L,U$9,операции!$O:$O,$F1718))/U1729)</f>
        <v>42172.200886754094</v>
      </c>
      <c r="V1730" s="237">
        <f>IF(V1729=0,0,(SUMIFS(операции!$AF:$AF,операции!$T:$T,"&lt;"&amp;S$8,операции!$X:$X,"",операции!$AB:$AB,"",операции!$L:$L,V$9,операции!$O:$O,$F1718)+SUMIFS(операции!$AF:$AF,операции!$T:$T,"&lt;"&amp;S$8,операции!$X:$X,"&gt;="&amp;S$8,операции!$AB:$AB,"",операции!$L:$L,V$9,операции!$O:$O,$F1718)+SUMIFS(операции!$AF:$AF,операции!$T:$T,"&lt;"&amp;S$8,операции!$X:$X,"",операции!$AB:$AB,"&gt;="&amp;S$8,операции!$L:$L,V$9,операции!$O:$O,$F1718)+SUMIFS(операции!$AF:$AF,операции!$T:$T,"&lt;"&amp;S$8,операции!$X:$X,"&gt;="&amp;S$8,операции!$AB:$AB,"&gt;="&amp;S$8,операции!$L:$L,V$9,операции!$O:$O,$F1718))/V1729)</f>
        <v>42308</v>
      </c>
      <c r="W1730" s="238"/>
      <c r="X1730" s="193">
        <f>IF(X1729=0,0,(SUMIFS(операции!$AF:$AF,операции!$T:$T,"&lt;"&amp;X$8,операции!$X:$X,"",операции!$AB:$AB,"",операции!$O:$O,$F1718)+SUMIFS(операции!$AF:$AF,операции!$T:$T,"&lt;"&amp;X$8,операции!$X:$X,"&gt;="&amp;X$8,операции!$AB:$AB,"",операции!$O:$O,$F1718)+SUMIFS(операции!$AF:$AF,операции!$T:$T,"&lt;"&amp;X$8,операции!$X:$X,"",операции!$AB:$AB,"&gt;="&amp;X$8,операции!$O:$O,$F1718)+SUMIFS(операции!$AF:$AF,операции!$T:$T,"&lt;"&amp;X$8,операции!$X:$X,"&gt;="&amp;X$8,операции!$AB:$AB,"&gt;="&amp;X$8,операции!$O:$O,$F1718))/X1729)</f>
        <v>42277.499197002871</v>
      </c>
      <c r="Y1730" s="196"/>
      <c r="Z1730" s="193">
        <f>IF(Z1729=0,0,(SUMIFS(операции!$AF:$AF,операции!$T:$T,"&lt;"&amp;X$8,операции!$X:$X,"",операции!$AB:$AB,"",операции!$L:$L,Z$9,операции!$O:$O,$F1718)+SUMIFS(операции!$AF:$AF,операции!$T:$T,"&lt;"&amp;X$8,операции!$X:$X,"&gt;="&amp;X$8,операции!$AB:$AB,"",операции!$L:$L,Z$9,операции!$O:$O,$F1718)+SUMIFS(операции!$AF:$AF,операции!$T:$T,"&lt;"&amp;X$8,операции!$X:$X,"",операции!$AB:$AB,"&gt;="&amp;X$8,операции!$L:$L,Z$9,операции!$O:$O,$F1718)+SUMIFS(операции!$AF:$AF,операции!$T:$T,"&lt;"&amp;X$8,операции!$X:$X,"&gt;="&amp;X$8,операции!$AB:$AB,"&gt;="&amp;X$8,операции!$L:$L,Z$9,операции!$O:$O,$F1718))/Z1729)</f>
        <v>42174.027027027027</v>
      </c>
      <c r="AA1730" s="237">
        <f>IF(AA1729=0,0,(SUMIFS(операции!$AF:$AF,операции!$T:$T,"&lt;"&amp;X$8,операции!$X:$X,"",операции!$AB:$AB,"",операции!$L:$L,AA$9,операции!$O:$O,$F1718)+SUMIFS(операции!$AF:$AF,операции!$T:$T,"&lt;"&amp;X$8,операции!$X:$X,"&gt;="&amp;X$8,операции!$AB:$AB,"",операции!$L:$L,AA$9,операции!$O:$O,$F1718)+SUMIFS(операции!$AF:$AF,операции!$T:$T,"&lt;"&amp;X$8,операции!$X:$X,"",операции!$AB:$AB,"&gt;="&amp;X$8,операции!$L:$L,AA$9,операции!$O:$O,$F1718)+SUMIFS(операции!$AF:$AF,операции!$T:$T,"&lt;"&amp;X$8,операции!$X:$X,"&gt;="&amp;X$8,операции!$AB:$AB,"&gt;="&amp;X$8,операции!$L:$L,AA$9,операции!$O:$O,$F1718))/AA1729)</f>
        <v>42336.323776281679</v>
      </c>
      <c r="AB1730" s="265"/>
      <c r="AC1730" s="37"/>
      <c r="AD1730" s="37"/>
      <c r="AE1730" s="37"/>
      <c r="AF1730" s="37"/>
      <c r="AG1730" s="37"/>
      <c r="AH1730" s="37"/>
      <c r="AI1730" s="37"/>
      <c r="AJ1730" s="37"/>
      <c r="AK1730" s="37"/>
      <c r="AL1730" s="37"/>
      <c r="AM1730" s="37"/>
      <c r="AN1730" s="37"/>
      <c r="AO1730" s="37"/>
      <c r="AP1730" s="37"/>
    </row>
    <row r="1731" spans="1:42" s="192" customFormat="1" ht="11.25">
      <c r="A1731" s="37"/>
      <c r="B1731" s="37"/>
      <c r="C1731" s="37"/>
      <c r="D1731" s="191"/>
      <c r="E1731" s="191" t="s">
        <v>263</v>
      </c>
      <c r="F1731" s="191" t="str">
        <f t="shared" si="3058"/>
        <v>С-Тойз</v>
      </c>
      <c r="G1731" s="191" t="s">
        <v>219</v>
      </c>
      <c r="H1731" s="315"/>
      <c r="I1731" s="329">
        <f>IF(I1729=0,0,I$8-I1730)</f>
        <v>110.80262223273166</v>
      </c>
      <c r="J1731" s="317"/>
      <c r="K1731" s="329">
        <f>IF(K1729=0,0,I$8-K1730)</f>
        <v>110.80262223273166</v>
      </c>
      <c r="L1731" s="330">
        <f>IF(L1729=0,0,I$8-L1730)</f>
        <v>0</v>
      </c>
      <c r="M1731" s="274"/>
      <c r="N1731" s="156">
        <f>IF(N1729=0,0,N$8-N1730)</f>
        <v>110.80262223273166</v>
      </c>
      <c r="O1731" s="196"/>
      <c r="P1731" s="156">
        <f>IF(P1729=0,0,N$8-P1730)</f>
        <v>110.80262223273166</v>
      </c>
      <c r="Q1731" s="245">
        <f>IF(Q1729=0,0,N$8-Q1730)</f>
        <v>0</v>
      </c>
      <c r="R1731" s="238"/>
      <c r="S1731" s="156">
        <f>IF(S1729=0,0,S$8-S1730)</f>
        <v>104.68159104960068</v>
      </c>
      <c r="T1731" s="196"/>
      <c r="U1731" s="156">
        <f>IF(U1729=0,0,S$8-U1730)</f>
        <v>136.79911324590648</v>
      </c>
      <c r="V1731" s="245">
        <f>IF(V1729=0,0,S$8-V1730)</f>
        <v>1</v>
      </c>
      <c r="W1731" s="238"/>
      <c r="X1731" s="156">
        <f>IF(X1729=0,0,X$8-X1730)</f>
        <v>61.500802997128631</v>
      </c>
      <c r="Y1731" s="196"/>
      <c r="Z1731" s="156">
        <f>IF(Z1729=0,0,X$8-Z1730)</f>
        <v>164.97297297297337</v>
      </c>
      <c r="AA1731" s="245">
        <f>IF(AA1729=0,0,X$8-AA1730)</f>
        <v>2.6762237183211255</v>
      </c>
      <c r="AB1731" s="265"/>
      <c r="AC1731" s="37"/>
      <c r="AD1731" s="37"/>
      <c r="AE1731" s="37"/>
      <c r="AF1731" s="37"/>
      <c r="AG1731" s="37"/>
      <c r="AH1731" s="37"/>
      <c r="AI1731" s="37"/>
      <c r="AJ1731" s="37"/>
      <c r="AK1731" s="37"/>
      <c r="AL1731" s="37"/>
      <c r="AM1731" s="37"/>
      <c r="AN1731" s="37"/>
      <c r="AO1731" s="37"/>
      <c r="AP1731" s="37"/>
    </row>
    <row r="1732" spans="1:42" s="192" customFormat="1" ht="11.25">
      <c r="A1732" s="37"/>
      <c r="B1732" s="37"/>
      <c r="C1732" s="37"/>
      <c r="D1732" s="191"/>
      <c r="E1732" s="191" t="s">
        <v>311</v>
      </c>
      <c r="F1732" s="191" t="str">
        <f t="shared" si="3058"/>
        <v>С-Тойз</v>
      </c>
      <c r="G1732" s="191" t="s">
        <v>262</v>
      </c>
      <c r="H1732" s="315"/>
      <c r="I1732" s="316">
        <f>I$8</f>
        <v>42278</v>
      </c>
      <c r="J1732" s="317"/>
      <c r="K1732" s="316">
        <f>I$8</f>
        <v>42278</v>
      </c>
      <c r="L1732" s="318">
        <f>I$8</f>
        <v>42278</v>
      </c>
      <c r="M1732" s="274"/>
      <c r="N1732" s="193">
        <f>N$8</f>
        <v>42278</v>
      </c>
      <c r="O1732" s="196"/>
      <c r="P1732" s="193">
        <f>N$8</f>
        <v>42278</v>
      </c>
      <c r="Q1732" s="237">
        <f>N$8</f>
        <v>42278</v>
      </c>
      <c r="R1732" s="238"/>
      <c r="S1732" s="193">
        <f>S$8</f>
        <v>42309</v>
      </c>
      <c r="T1732" s="196"/>
      <c r="U1732" s="193">
        <f>S$8</f>
        <v>42309</v>
      </c>
      <c r="V1732" s="237">
        <f>S$8</f>
        <v>42309</v>
      </c>
      <c r="W1732" s="238"/>
      <c r="X1732" s="193">
        <f>X$8</f>
        <v>42339</v>
      </c>
      <c r="Y1732" s="196"/>
      <c r="Z1732" s="193">
        <f>X$8</f>
        <v>42339</v>
      </c>
      <c r="AA1732" s="237">
        <f>X$8</f>
        <v>42339</v>
      </c>
      <c r="AB1732" s="265"/>
      <c r="AC1732" s="37"/>
      <c r="AD1732" s="37"/>
      <c r="AE1732" s="37"/>
      <c r="AF1732" s="37"/>
      <c r="AG1732" s="37"/>
      <c r="AH1732" s="37"/>
      <c r="AI1732" s="37"/>
      <c r="AJ1732" s="37"/>
      <c r="AK1732" s="37"/>
      <c r="AL1732" s="37"/>
      <c r="AM1732" s="37"/>
      <c r="AN1732" s="37"/>
      <c r="AO1732" s="37"/>
      <c r="AP1732" s="37"/>
    </row>
    <row r="1733" spans="1:42" s="192" customFormat="1" ht="11.25">
      <c r="A1733" s="37"/>
      <c r="B1733" s="37"/>
      <c r="C1733" s="37"/>
      <c r="D1733" s="191"/>
      <c r="E1733" s="191" t="s">
        <v>264</v>
      </c>
      <c r="F1733" s="191" t="str">
        <f t="shared" si="3058"/>
        <v>С-Тойз</v>
      </c>
      <c r="G1733" s="191" t="s">
        <v>219</v>
      </c>
      <c r="H1733" s="315"/>
      <c r="I1733" s="329">
        <f>IF(I1729=0,0,I1732-I1730)</f>
        <v>110.80262223273166</v>
      </c>
      <c r="J1733" s="317"/>
      <c r="K1733" s="329">
        <f>IF(K1729=0,0,K1732-K1730)</f>
        <v>110.80262223273166</v>
      </c>
      <c r="L1733" s="330">
        <f>IF(L1729=0,0,L1732-L1730)</f>
        <v>0</v>
      </c>
      <c r="M1733" s="274"/>
      <c r="N1733" s="156">
        <f>IF(N1729=0,0,N1732-N1730)</f>
        <v>110.80262223273166</v>
      </c>
      <c r="O1733" s="196"/>
      <c r="P1733" s="156">
        <f>IF(P1729=0,0,P1732-P1730)</f>
        <v>110.80262223273166</v>
      </c>
      <c r="Q1733" s="245">
        <f>IF(Q1729=0,0,Q1732-Q1730)</f>
        <v>0</v>
      </c>
      <c r="R1733" s="238"/>
      <c r="S1733" s="156">
        <f>IF(S1729=0,0,S1732-S1730)</f>
        <v>104.68159104960068</v>
      </c>
      <c r="T1733" s="196"/>
      <c r="U1733" s="156">
        <f>IF(U1729=0,0,U1732-U1730)</f>
        <v>136.79911324590648</v>
      </c>
      <c r="V1733" s="245">
        <f>IF(V1729=0,0,V1732-V1730)</f>
        <v>1</v>
      </c>
      <c r="W1733" s="238"/>
      <c r="X1733" s="156">
        <f>IF(X1729=0,0,X1732-X1730)</f>
        <v>61.500802997128631</v>
      </c>
      <c r="Y1733" s="196"/>
      <c r="Z1733" s="156">
        <f>IF(Z1729=0,0,Z1732-Z1730)</f>
        <v>164.97297297297337</v>
      </c>
      <c r="AA1733" s="245">
        <f>IF(AA1729=0,0,AA1732-AA1730)</f>
        <v>2.6762237183211255</v>
      </c>
      <c r="AB1733" s="265"/>
      <c r="AC1733" s="37"/>
      <c r="AD1733" s="37"/>
      <c r="AE1733" s="37"/>
      <c r="AF1733" s="37"/>
      <c r="AG1733" s="37"/>
      <c r="AH1733" s="37"/>
      <c r="AI1733" s="37"/>
      <c r="AJ1733" s="37"/>
      <c r="AK1733" s="37"/>
      <c r="AL1733" s="37"/>
      <c r="AM1733" s="37"/>
      <c r="AN1733" s="37"/>
      <c r="AO1733" s="37"/>
      <c r="AP1733" s="37"/>
    </row>
    <row r="1734" spans="1:42" s="192" customFormat="1" ht="11.25">
      <c r="A1734" s="37"/>
      <c r="B1734" s="37"/>
      <c r="C1734" s="37"/>
      <c r="D1734" s="207"/>
      <c r="E1734" s="207" t="s">
        <v>269</v>
      </c>
      <c r="F1734" s="207" t="str">
        <f t="shared" si="3058"/>
        <v>С-Тойз</v>
      </c>
      <c r="G1734" s="207" t="s">
        <v>219</v>
      </c>
      <c r="H1734" s="331"/>
      <c r="I1734" s="332">
        <f>I1731-I1733</f>
        <v>0</v>
      </c>
      <c r="J1734" s="333"/>
      <c r="K1734" s="332">
        <f t="shared" ref="K1734" si="3083">K1731-K1733</f>
        <v>0</v>
      </c>
      <c r="L1734" s="334">
        <f>L1731-L1733</f>
        <v>0</v>
      </c>
      <c r="M1734" s="278"/>
      <c r="N1734" s="162">
        <f>N1731-N1733</f>
        <v>0</v>
      </c>
      <c r="O1734" s="208"/>
      <c r="P1734" s="162">
        <f t="shared" ref="P1734" si="3084">P1731-P1733</f>
        <v>0</v>
      </c>
      <c r="Q1734" s="246">
        <f>Q1731-Q1733</f>
        <v>0</v>
      </c>
      <c r="R1734" s="247"/>
      <c r="S1734" s="162">
        <f>S1731-S1733</f>
        <v>0</v>
      </c>
      <c r="T1734" s="208"/>
      <c r="U1734" s="162">
        <f t="shared" ref="U1734" si="3085">U1731-U1733</f>
        <v>0</v>
      </c>
      <c r="V1734" s="246">
        <f>V1731-V1733</f>
        <v>0</v>
      </c>
      <c r="W1734" s="247"/>
      <c r="X1734" s="162">
        <f>X1731-X1733</f>
        <v>0</v>
      </c>
      <c r="Y1734" s="208"/>
      <c r="Z1734" s="162">
        <f t="shared" ref="Z1734" si="3086">Z1731-Z1733</f>
        <v>0</v>
      </c>
      <c r="AA1734" s="246">
        <f>AA1731-AA1733</f>
        <v>0</v>
      </c>
      <c r="AB1734" s="265"/>
      <c r="AC1734" s="37"/>
      <c r="AD1734" s="37"/>
      <c r="AE1734" s="37"/>
      <c r="AF1734" s="37"/>
      <c r="AG1734" s="37"/>
      <c r="AH1734" s="37"/>
      <c r="AI1734" s="37"/>
      <c r="AJ1734" s="37"/>
      <c r="AK1734" s="37"/>
      <c r="AL1734" s="37"/>
      <c r="AM1734" s="37"/>
      <c r="AN1734" s="37"/>
      <c r="AO1734" s="37"/>
      <c r="AP1734" s="37"/>
    </row>
    <row r="1735" spans="1:42" s="111" customFormat="1" ht="11.25">
      <c r="A1735" s="108"/>
      <c r="B1735" s="108"/>
      <c r="C1735" s="108" t="s">
        <v>272</v>
      </c>
      <c r="D1735" s="109"/>
      <c r="E1735" s="109"/>
      <c r="F1735" s="109" t="str">
        <f t="shared" si="3058"/>
        <v>С-Тойз</v>
      </c>
      <c r="G1735" s="109"/>
      <c r="H1735" s="307"/>
      <c r="I1735" s="308">
        <f>I1736-K1736-L1736</f>
        <v>0</v>
      </c>
      <c r="J1735" s="335"/>
      <c r="K1735" s="308"/>
      <c r="L1735" s="336"/>
      <c r="M1735" s="272"/>
      <c r="N1735" s="110">
        <f>N1736-P1736-Q1736</f>
        <v>0</v>
      </c>
      <c r="O1735" s="105"/>
      <c r="P1735" s="110"/>
      <c r="Q1735" s="248"/>
      <c r="R1735" s="234"/>
      <c r="S1735" s="110">
        <f>S1736-U1736-V1736</f>
        <v>0</v>
      </c>
      <c r="T1735" s="105"/>
      <c r="U1735" s="110"/>
      <c r="V1735" s="248"/>
      <c r="W1735" s="234"/>
      <c r="X1735" s="110">
        <f>X1736-Z1736-AA1736</f>
        <v>0</v>
      </c>
      <c r="Y1735" s="105"/>
      <c r="Z1735" s="110"/>
      <c r="AA1735" s="248"/>
      <c r="AB1735" s="263"/>
      <c r="AC1735" s="108"/>
      <c r="AD1735" s="108"/>
      <c r="AE1735" s="108"/>
      <c r="AF1735" s="108"/>
      <c r="AG1735" s="108"/>
      <c r="AH1735" s="108"/>
      <c r="AI1735" s="108"/>
      <c r="AJ1735" s="108"/>
      <c r="AK1735" s="108"/>
      <c r="AL1735" s="108"/>
      <c r="AM1735" s="108"/>
      <c r="AN1735" s="108"/>
      <c r="AO1735" s="108"/>
      <c r="AP1735" s="108"/>
    </row>
    <row r="1736" spans="1:42" s="5" customFormat="1">
      <c r="A1736" s="1"/>
      <c r="B1736" s="1"/>
      <c r="C1736" s="1"/>
      <c r="D1736" s="168" t="s">
        <v>273</v>
      </c>
      <c r="E1736" s="168"/>
      <c r="F1736" s="168" t="str">
        <f t="shared" si="3058"/>
        <v>С-Тойз</v>
      </c>
      <c r="G1736" s="168" t="s">
        <v>261</v>
      </c>
      <c r="H1736" s="326"/>
      <c r="I1736" s="327">
        <f>SUMIFS(операции!$V:$V,операции!$T:$T,"&gt;="&amp;I$8,операции!$T:$T,"&lt;="&amp;I$9,операции!$O:$O,$F1718)</f>
        <v>62118.030000000035</v>
      </c>
      <c r="J1736" s="313"/>
      <c r="K1736" s="327">
        <f>SUMIFS(операции!$V:$V,операции!$T:$T,"&gt;="&amp;I$8,операции!$T:$T,"&lt;="&amp;I$9,операции!$L:$L,K$9,операции!$O:$O,$F1718)</f>
        <v>919.08</v>
      </c>
      <c r="L1736" s="328">
        <f>SUMIFS(операции!$V:$V,операции!$T:$T,"&gt;="&amp;I$8,операции!$T:$T,"&lt;="&amp;I$9,операции!$L:$L,L$9,операции!$O:$O,$F1718)</f>
        <v>61198.950000000033</v>
      </c>
      <c r="M1736" s="277"/>
      <c r="N1736" s="169">
        <f>SUMIFS(операции!$V:$V,операции!$T:$T,"&gt;="&amp;N$8,операции!$T:$T,"&lt;="&amp;N$9,операции!$O:$O,$F1718)</f>
        <v>15651.080000000002</v>
      </c>
      <c r="O1736" s="170"/>
      <c r="P1736" s="169">
        <f>SUMIFS(операции!$V:$V,операции!$T:$T,"&gt;="&amp;N$8,операции!$T:$T,"&lt;="&amp;N$9,операции!$L:$L,P$9,операции!$O:$O,$F1718)</f>
        <v>919.08</v>
      </c>
      <c r="Q1736" s="243">
        <f>SUMIFS(операции!$V:$V,операции!$T:$T,"&gt;="&amp;N$8,операции!$T:$T,"&lt;="&amp;N$9,операции!$L:$L,Q$9,операции!$O:$O,$F1718)</f>
        <v>14732</v>
      </c>
      <c r="R1736" s="244"/>
      <c r="S1736" s="169">
        <f>SUMIFS(операции!$V:$V,операции!$T:$T,"&gt;="&amp;S$8,операции!$T:$T,"&lt;="&amp;S$9,операции!$O:$O,$F1718)</f>
        <v>42662.620000000032</v>
      </c>
      <c r="T1736" s="170"/>
      <c r="U1736" s="169">
        <f>SUMIFS(операции!$V:$V,операции!$T:$T,"&gt;="&amp;S$8,операции!$T:$T,"&lt;="&amp;S$9,операции!$L:$L,U$9,операции!$O:$O,$F1718)</f>
        <v>0</v>
      </c>
      <c r="V1736" s="243">
        <f>SUMIFS(операции!$V:$V,операции!$T:$T,"&gt;="&amp;S$8,операции!$T:$T,"&lt;="&amp;S$9,операции!$L:$L,V$9,операции!$O:$O,$F1718)</f>
        <v>42662.620000000032</v>
      </c>
      <c r="W1736" s="244"/>
      <c r="X1736" s="169">
        <f>SUMIFS(операции!$V:$V,операции!$T:$T,"&gt;="&amp;X$8,операции!$T:$T,"&lt;="&amp;X$9,операции!$O:$O,$F1718)</f>
        <v>3804.33</v>
      </c>
      <c r="Y1736" s="170"/>
      <c r="Z1736" s="169">
        <f>SUMIFS(операции!$V:$V,операции!$T:$T,"&gt;="&amp;X$8,операции!$T:$T,"&lt;="&amp;X$9,операции!$L:$L,Z$9,операции!$O:$O,$F1718)</f>
        <v>0</v>
      </c>
      <c r="AA1736" s="243">
        <f>SUMIFS(операции!$V:$V,операции!$T:$T,"&gt;="&amp;X$8,операции!$T:$T,"&lt;="&amp;X$9,операции!$L:$L,AA$9,операции!$O:$O,$F1718)</f>
        <v>3804.33</v>
      </c>
      <c r="AB1736" s="266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</row>
    <row r="1737" spans="1:42" s="192" customFormat="1" ht="11.25">
      <c r="A1737" s="37"/>
      <c r="B1737" s="37"/>
      <c r="C1737" s="37"/>
      <c r="D1737" s="207" t="s">
        <v>255</v>
      </c>
      <c r="E1737" s="207"/>
      <c r="F1737" s="207" t="str">
        <f t="shared" si="3058"/>
        <v>С-Тойз</v>
      </c>
      <c r="G1737" s="207" t="s">
        <v>262</v>
      </c>
      <c r="H1737" s="331"/>
      <c r="I1737" s="337">
        <f>IF(I1736=0,0,SUMIFS(операции!$AF:$AF,операции!$T:$T,"&gt;="&amp;I$8,операции!$T:$T,"&lt;="&amp;I$9,операции!$O:$O,$F1718)/I1736)</f>
        <v>42324.006120123246</v>
      </c>
      <c r="J1737" s="333"/>
      <c r="K1737" s="337">
        <f>IF(K1736=0,0,SUMIFS(операции!$AF:$AF,операции!$T:$T,"&gt;="&amp;I$8,операции!$T:$T,"&lt;="&amp;I$9,операции!$L:$L,K$9,операции!$O:$O,$F1718)/K1736)</f>
        <v>42286</v>
      </c>
      <c r="L1737" s="338">
        <f>IF(L1736=0,0,SUMIFS(операции!$AF:$AF,операции!$T:$T,"&gt;="&amp;I$8,операции!$T:$T,"&lt;="&amp;I$9,операции!$L:$L,L$9,операции!$O:$O,$F1718)/L1736)</f>
        <v>42324.576892413999</v>
      </c>
      <c r="M1737" s="278"/>
      <c r="N1737" s="217">
        <f>IF(N1736=0,0,SUMIFS(операции!$AF:$AF,операции!$T:$T,"&gt;="&amp;N$8,операции!$T:$T,"&lt;="&amp;N$9,операции!$O:$O,$F1718)/N1736)</f>
        <v>42303.479512595928</v>
      </c>
      <c r="O1737" s="208"/>
      <c r="P1737" s="217">
        <f>IF(P1736=0,0,SUMIFS(операции!$AF:$AF,операции!$T:$T,"&gt;="&amp;N$8,операции!$T:$T,"&lt;="&amp;N$9,операции!$L:$L,P$9,операции!$O:$O,$F1718)/P1736)</f>
        <v>42286</v>
      </c>
      <c r="Q1737" s="249">
        <f>IF(Q1736=0,0,SUMIFS(операции!$AF:$AF,операции!$T:$T,"&gt;="&amp;N$8,операции!$T:$T,"&lt;="&amp;N$9,операции!$L:$L,Q$9,операции!$O:$O,$F1718)/Q1736)</f>
        <v>42304.570000678796</v>
      </c>
      <c r="R1737" s="247"/>
      <c r="S1737" s="217">
        <f>IF(S1736=0,0,SUMIFS(операции!$AF:$AF,операции!$T:$T,"&gt;="&amp;S$8,операции!$T:$T,"&lt;="&amp;S$9,операции!$O:$O,$F1718)/S1736)</f>
        <v>42328.209158509228</v>
      </c>
      <c r="T1737" s="208"/>
      <c r="U1737" s="217">
        <f>IF(U1736=0,0,SUMIFS(операции!$AF:$AF,операции!$T:$T,"&gt;="&amp;S$8,операции!$T:$T,"&lt;="&amp;S$9,операции!$L:$L,U$9,операции!$O:$O,$F1718)/U1736)</f>
        <v>0</v>
      </c>
      <c r="V1737" s="249">
        <f>IF(V1736=0,0,SUMIFS(операции!$AF:$AF,операции!$T:$T,"&gt;="&amp;S$8,операции!$T:$T,"&lt;="&amp;S$9,операции!$L:$L,V$9,операции!$O:$O,$F1718)/V1736)</f>
        <v>42328.209158509228</v>
      </c>
      <c r="W1737" s="247"/>
      <c r="X1737" s="217">
        <f>IF(X1736=0,0,SUMIFS(операции!$AF:$AF,операции!$T:$T,"&gt;="&amp;X$8,операции!$T:$T,"&lt;="&amp;X$9,операции!$O:$O,$F1718)/X1736)</f>
        <v>42361.319115323859</v>
      </c>
      <c r="Y1737" s="208"/>
      <c r="Z1737" s="217">
        <f>IF(Z1736=0,0,SUMIFS(операции!$AF:$AF,операции!$T:$T,"&gt;="&amp;X$8,операции!$T:$T,"&lt;="&amp;X$9,операции!$L:$L,Z$9,операции!$O:$O,$F1718)/Z1736)</f>
        <v>0</v>
      </c>
      <c r="AA1737" s="249">
        <f>IF(AA1736=0,0,SUMIFS(операции!$AF:$AF,операции!$T:$T,"&gt;="&amp;X$8,операции!$T:$T,"&lt;="&amp;X$9,операции!$L:$L,AA$9,операции!$O:$O,$F1718)/AA1736)</f>
        <v>42361.319115323859</v>
      </c>
      <c r="AB1737" s="265"/>
      <c r="AC1737" s="37"/>
      <c r="AD1737" s="37"/>
      <c r="AE1737" s="37"/>
      <c r="AF1737" s="37"/>
      <c r="AG1737" s="37"/>
      <c r="AH1737" s="37"/>
      <c r="AI1737" s="37"/>
      <c r="AJ1737" s="37"/>
      <c r="AK1737" s="37"/>
      <c r="AL1737" s="37"/>
      <c r="AM1737" s="37"/>
      <c r="AN1737" s="37"/>
      <c r="AO1737" s="37"/>
      <c r="AP1737" s="37"/>
    </row>
    <row r="1738" spans="1:42" s="93" customFormat="1" ht="15">
      <c r="A1738" s="92"/>
      <c r="B1738" s="92"/>
      <c r="C1738" s="92"/>
      <c r="D1738" s="212" t="s">
        <v>274</v>
      </c>
      <c r="E1738" s="212"/>
      <c r="F1738" s="212" t="str">
        <f t="shared" si="3058"/>
        <v>С-Тойз</v>
      </c>
      <c r="G1738" s="212" t="s">
        <v>261</v>
      </c>
      <c r="H1738" s="339"/>
      <c r="I1738" s="340">
        <f>SUMIFS(операции!$Z:$Z,операции!$X:$X,"&gt;="&amp;I$8,операции!$X:$X,"&lt;="&amp;I$9,операции!$O:$O,$F1718)</f>
        <v>114951</v>
      </c>
      <c r="J1738" s="341">
        <f>I1738-I1751-I1761</f>
        <v>0</v>
      </c>
      <c r="K1738" s="340">
        <f>SUMIFS(операции!$Z:$Z,операции!$X:$X,"&gt;="&amp;I$8,операции!$X:$X,"&lt;="&amp;I$9,операции!$L:$L,K$9,операции!$O:$O,$F1718)</f>
        <v>38942</v>
      </c>
      <c r="L1738" s="342">
        <f>SUMIFS(операции!$Z:$Z,операции!$X:$X,"&gt;="&amp;I$8,операции!$X:$X,"&lt;="&amp;I$9,операции!$L:$L,L$9,операции!$O:$O,$F1718)</f>
        <v>76009</v>
      </c>
      <c r="M1738" s="279"/>
      <c r="N1738" s="213">
        <f>SUMIFS(операции!$Z:$Z,операции!$X:$X,"&gt;="&amp;N$8,операции!$X:$X,"&lt;="&amp;N$9,операции!$O:$O,$F1718)</f>
        <v>23640</v>
      </c>
      <c r="O1738" s="216">
        <f>N1738-N1751-N1761</f>
        <v>0</v>
      </c>
      <c r="P1738" s="213">
        <f>SUMIFS(операции!$Z:$Z,операции!$X:$X,"&gt;="&amp;N$8,операции!$X:$X,"&lt;="&amp;N$9,операции!$L:$L,P$9,операции!$O:$O,$F1718)</f>
        <v>11139</v>
      </c>
      <c r="Q1738" s="250">
        <f>SUMIFS(операции!$Z:$Z,операции!$X:$X,"&gt;="&amp;N$8,операции!$X:$X,"&lt;="&amp;N$9,операции!$L:$L,Q$9,операции!$O:$O,$F1718)</f>
        <v>12501</v>
      </c>
      <c r="R1738" s="251"/>
      <c r="S1738" s="213">
        <f>SUMIFS(операции!$Z:$Z,операции!$X:$X,"&gt;="&amp;S$8,операции!$X:$X,"&lt;="&amp;S$9,операции!$O:$O,$F1718)</f>
        <v>57125</v>
      </c>
      <c r="T1738" s="216">
        <f>S1738-S1751-S1761</f>
        <v>0</v>
      </c>
      <c r="U1738" s="213">
        <f>SUMIFS(операции!$Z:$Z,операции!$X:$X,"&gt;="&amp;S$8,операции!$X:$X,"&lt;="&amp;S$9,операции!$L:$L,U$9,операции!$O:$O,$F1718)</f>
        <v>21046</v>
      </c>
      <c r="V1738" s="250">
        <f>SUMIFS(операции!$Z:$Z,операции!$X:$X,"&gt;="&amp;S$8,операции!$X:$X,"&lt;="&amp;S$9,операции!$L:$L,V$9,операции!$O:$O,$F1718)</f>
        <v>36079</v>
      </c>
      <c r="W1738" s="251"/>
      <c r="X1738" s="213">
        <f>SUMIFS(операции!$Z:$Z,операции!$X:$X,"&gt;="&amp;X$8,операции!$X:$X,"&lt;="&amp;X$9,операции!$O:$O,$F1718)</f>
        <v>34186</v>
      </c>
      <c r="Y1738" s="216">
        <f>X1738-X1751-X1761</f>
        <v>0</v>
      </c>
      <c r="Z1738" s="213">
        <f>SUMIFS(операции!$Z:$Z,операции!$X:$X,"&gt;="&amp;X$8,операции!$X:$X,"&lt;="&amp;X$9,операции!$L:$L,Z$9,операции!$O:$O,$F1718)</f>
        <v>6757</v>
      </c>
      <c r="AA1738" s="250">
        <f>SUMIFS(операции!$Z:$Z,операции!$X:$X,"&gt;="&amp;X$8,операции!$X:$X,"&lt;="&amp;X$9,операции!$L:$L,AA$9,операции!$O:$O,$F1718)</f>
        <v>27429</v>
      </c>
      <c r="AB1738" s="264"/>
      <c r="AC1738" s="92"/>
      <c r="AD1738" s="92"/>
      <c r="AE1738" s="92"/>
      <c r="AF1738" s="92"/>
      <c r="AG1738" s="92"/>
      <c r="AH1738" s="92"/>
      <c r="AI1738" s="92"/>
      <c r="AJ1738" s="92"/>
      <c r="AK1738" s="92"/>
      <c r="AL1738" s="92"/>
      <c r="AM1738" s="92"/>
      <c r="AN1738" s="92"/>
      <c r="AO1738" s="92"/>
      <c r="AP1738" s="92"/>
    </row>
    <row r="1739" spans="1:42" s="407" customFormat="1" ht="11.25">
      <c r="A1739" s="404"/>
      <c r="B1739" s="404"/>
      <c r="C1739" s="404"/>
      <c r="D1739" s="405" t="s">
        <v>332</v>
      </c>
      <c r="E1739" s="405"/>
      <c r="F1739" s="405" t="str">
        <f>F1737</f>
        <v>С-Тойз</v>
      </c>
      <c r="G1739" s="405" t="s">
        <v>218</v>
      </c>
      <c r="H1739" s="408"/>
      <c r="I1739" s="408">
        <f>IF(I$31=0,0,I1738/I$31)</f>
        <v>3.0985967885931658E-2</v>
      </c>
      <c r="J1739" s="409"/>
      <c r="K1739" s="408">
        <f t="shared" ref="K1739" si="3087">IF(K$31=0,0,K1738/K$31)</f>
        <v>2.9912264935009071E-2</v>
      </c>
      <c r="L1739" s="410">
        <f t="shared" ref="L1739" si="3088">IF(L$31=0,0,L1738/L$31)</f>
        <v>3.1566484018037279E-2</v>
      </c>
      <c r="M1739" s="411"/>
      <c r="N1739" s="412">
        <f t="shared" ref="N1739" si="3089">IF(N$31=0,0,N1738/N$31)</f>
        <v>3.0503107729905561E-2</v>
      </c>
      <c r="O1739" s="413"/>
      <c r="P1739" s="412">
        <f t="shared" ref="P1739" si="3090">IF(P$31=0,0,P1738/P$31)</f>
        <v>2.2256811515437305E-2</v>
      </c>
      <c r="Q1739" s="414">
        <f t="shared" ref="Q1739" si="3091">IF(Q$31=0,0,Q1738/Q$31)</f>
        <v>4.5536504606104318E-2</v>
      </c>
      <c r="R1739" s="415"/>
      <c r="S1739" s="412">
        <f t="shared" ref="S1739" si="3092">IF(S$31=0,0,S1738/S$31)</f>
        <v>3.2188629595507959E-2</v>
      </c>
      <c r="T1739" s="413"/>
      <c r="U1739" s="412">
        <f t="shared" ref="U1739" si="3093">IF(U$31=0,0,U1738/U$31)</f>
        <v>3.3419345618534192E-2</v>
      </c>
      <c r="V1739" s="414">
        <f t="shared" ref="V1739" si="3094">IF(V$31=0,0,V1738/V$31)</f>
        <v>3.1511694935979176E-2</v>
      </c>
      <c r="W1739" s="415"/>
      <c r="X1739" s="412">
        <f t="shared" ref="X1739" si="3095">IF(X$31=0,0,X1738/X$31)</f>
        <v>2.946870813859068E-2</v>
      </c>
      <c r="Y1739" s="413"/>
      <c r="Z1739" s="412">
        <f t="shared" ref="Z1739" si="3096">IF(Z$31=0,0,Z1738/Z$31)</f>
        <v>3.9366592287480413E-2</v>
      </c>
      <c r="AA1739" s="414">
        <f t="shared" ref="AA1739" si="3097">IF(AA$31=0,0,AA1738/AA$31)</f>
        <v>2.7749927916352619E-2</v>
      </c>
      <c r="AB1739" s="406"/>
      <c r="AC1739" s="404"/>
      <c r="AD1739" s="404"/>
      <c r="AE1739" s="404"/>
      <c r="AF1739" s="404"/>
      <c r="AG1739" s="404"/>
      <c r="AH1739" s="404"/>
      <c r="AI1739" s="404"/>
      <c r="AJ1739" s="404"/>
      <c r="AK1739" s="404"/>
      <c r="AL1739" s="404"/>
      <c r="AM1739" s="404"/>
      <c r="AN1739" s="404"/>
      <c r="AO1739" s="404"/>
      <c r="AP1739" s="404"/>
    </row>
    <row r="1740" spans="1:42" s="192" customFormat="1" ht="11.25">
      <c r="A1740" s="37"/>
      <c r="B1740" s="37"/>
      <c r="C1740" s="37"/>
      <c r="D1740" s="191" t="s">
        <v>331</v>
      </c>
      <c r="E1740" s="191"/>
      <c r="F1740" s="191" t="str">
        <f>F1738</f>
        <v>С-Тойз</v>
      </c>
      <c r="G1740" s="191" t="s">
        <v>334</v>
      </c>
      <c r="H1740" s="315"/>
      <c r="I1740" s="329">
        <f>SUMIFS(операции!$R:$R,операции!$X:$X,"&gt;="&amp;I$8,операции!$X:$X,"&lt;="&amp;I$9,операции!$O:$O,$F1718)</f>
        <v>68</v>
      </c>
      <c r="J1740" s="317">
        <f>I1740-K1740-L1740</f>
        <v>0</v>
      </c>
      <c r="K1740" s="329">
        <f>SUMIFS(операции!$R:$R,операции!$X:$X,"&gt;="&amp;I$8,операции!$X:$X,"&lt;="&amp;I$9,операции!$L:$L,K$9,операции!$O:$O,$F1718)</f>
        <v>16</v>
      </c>
      <c r="L1740" s="330">
        <f>SUMIFS(операции!$R:$R,операции!$X:$X,"&gt;="&amp;I$8,операции!$X:$X,"&lt;="&amp;I$9,операции!$L:$L,L$9,операции!$O:$O,$F1718)</f>
        <v>52</v>
      </c>
      <c r="M1740" s="402"/>
      <c r="N1740" s="156">
        <f>SUMIFS(операции!$R:$R,операции!$X:$X,"&gt;="&amp;N$8,операции!$X:$X,"&lt;="&amp;N$9,операции!$O:$O,$F1718)</f>
        <v>10</v>
      </c>
      <c r="O1740" s="196">
        <f t="shared" ref="O1740" si="3098">N1740-P1740-Q1740</f>
        <v>0</v>
      </c>
      <c r="P1740" s="156">
        <f>SUMIFS(операции!$R:$R,операции!$X:$X,"&gt;="&amp;N$8,операции!$X:$X,"&lt;="&amp;N$9,операции!$L:$L,P$9,операции!$O:$O,$F1718)</f>
        <v>3</v>
      </c>
      <c r="Q1740" s="245">
        <f>SUMIFS(операции!$R:$R,операции!$X:$X,"&gt;="&amp;N$8,операции!$X:$X,"&lt;="&amp;N$9,операции!$L:$L,Q$9,операции!$O:$O,$F1718)</f>
        <v>7</v>
      </c>
      <c r="R1740" s="403"/>
      <c r="S1740" s="156">
        <f>SUMIFS(операции!$R:$R,операции!$X:$X,"&gt;="&amp;S$8,операции!$X:$X,"&lt;="&amp;S$9,операции!$O:$O,$F1718)</f>
        <v>27</v>
      </c>
      <c r="T1740" s="196">
        <f t="shared" ref="T1740" si="3099">S1740-U1740-V1740</f>
        <v>0</v>
      </c>
      <c r="U1740" s="156">
        <f>SUMIFS(операции!$R:$R,операции!$X:$X,"&gt;="&amp;S$8,операции!$X:$X,"&lt;="&amp;S$9,операции!$L:$L,U$9,операции!$O:$O,$F1718)</f>
        <v>10</v>
      </c>
      <c r="V1740" s="245">
        <f>SUMIFS(операции!$R:$R,операции!$X:$X,"&gt;="&amp;S$8,операции!$X:$X,"&lt;="&amp;S$9,операции!$L:$L,V$9,операции!$O:$O,$F1718)</f>
        <v>17</v>
      </c>
      <c r="W1740" s="403"/>
      <c r="X1740" s="156">
        <f>SUMIFS(операции!$R:$R,операции!$X:$X,"&gt;="&amp;X$8,операции!$X:$X,"&lt;="&amp;X$9,операции!$O:$O,$F1718)</f>
        <v>31</v>
      </c>
      <c r="Y1740" s="196">
        <f t="shared" ref="Y1740" si="3100">X1740-Z1740-AA1740</f>
        <v>0</v>
      </c>
      <c r="Z1740" s="156">
        <f>SUMIFS(операции!$R:$R,операции!$X:$X,"&gt;="&amp;X$8,операции!$X:$X,"&lt;="&amp;X$9,операции!$L:$L,Z$9,операции!$O:$O,$F1718)</f>
        <v>3</v>
      </c>
      <c r="AA1740" s="245">
        <f>SUMIFS(операции!$R:$R,операции!$X:$X,"&gt;="&amp;X$8,операции!$X:$X,"&lt;="&amp;X$9,операции!$L:$L,AA$9,операции!$O:$O,$F1718)</f>
        <v>28</v>
      </c>
      <c r="AB1740" s="265"/>
      <c r="AC1740" s="37"/>
      <c r="AD1740" s="37"/>
      <c r="AE1740" s="37"/>
      <c r="AF1740" s="37"/>
      <c r="AG1740" s="37"/>
      <c r="AH1740" s="37"/>
      <c r="AI1740" s="37"/>
      <c r="AJ1740" s="37"/>
      <c r="AK1740" s="37"/>
      <c r="AL1740" s="37"/>
      <c r="AM1740" s="37"/>
      <c r="AN1740" s="37"/>
      <c r="AO1740" s="37"/>
      <c r="AP1740" s="37"/>
    </row>
    <row r="1741" spans="1:42" s="192" customFormat="1" ht="11.25">
      <c r="A1741" s="37"/>
      <c r="B1741" s="37"/>
      <c r="C1741" s="37"/>
      <c r="D1741" s="191" t="s">
        <v>333</v>
      </c>
      <c r="E1741" s="191"/>
      <c r="F1741" s="191" t="str">
        <f t="shared" si="3058"/>
        <v>С-Тойз</v>
      </c>
      <c r="G1741" s="191" t="s">
        <v>261</v>
      </c>
      <c r="H1741" s="315"/>
      <c r="I1741" s="329">
        <f>IF(I1740=0,0,I1738/I1740)</f>
        <v>1690.4558823529412</v>
      </c>
      <c r="J1741" s="317"/>
      <c r="K1741" s="329">
        <f t="shared" ref="K1741" si="3101">IF(K1740=0,0,K1738/K1740)</f>
        <v>2433.875</v>
      </c>
      <c r="L1741" s="330">
        <f t="shared" ref="L1741" si="3102">IF(L1740=0,0,L1738/L1740)</f>
        <v>1461.7115384615386</v>
      </c>
      <c r="M1741" s="402"/>
      <c r="N1741" s="156">
        <f>IF(N1740=0,0,N1738/N1740)</f>
        <v>2364</v>
      </c>
      <c r="O1741" s="196"/>
      <c r="P1741" s="156">
        <f>IF(P1740=0,0,P1738/P1740)</f>
        <v>3713</v>
      </c>
      <c r="Q1741" s="245">
        <f>IF(Q1740=0,0,Q1738/Q1740)</f>
        <v>1785.8571428571429</v>
      </c>
      <c r="R1741" s="403"/>
      <c r="S1741" s="156">
        <f>IF(S1740=0,0,S1738/S1740)</f>
        <v>2115.7407407407409</v>
      </c>
      <c r="T1741" s="196"/>
      <c r="U1741" s="156">
        <f>IF(U1740=0,0,U1738/U1740)</f>
        <v>2104.6</v>
      </c>
      <c r="V1741" s="245">
        <f>IF(V1740=0,0,V1738/V1740)</f>
        <v>2122.294117647059</v>
      </c>
      <c r="W1741" s="403"/>
      <c r="X1741" s="156">
        <f>IF(X1740=0,0,X1738/X1740)</f>
        <v>1102.7741935483871</v>
      </c>
      <c r="Y1741" s="196"/>
      <c r="Z1741" s="156">
        <f>IF(Z1740=0,0,Z1738/Z1740)</f>
        <v>2252.3333333333335</v>
      </c>
      <c r="AA1741" s="245">
        <f>IF(AA1740=0,0,AA1738/AA1740)</f>
        <v>979.60714285714289</v>
      </c>
      <c r="AB1741" s="265"/>
      <c r="AC1741" s="37"/>
      <c r="AD1741" s="37"/>
      <c r="AE1741" s="37"/>
      <c r="AF1741" s="37"/>
      <c r="AG1741" s="37"/>
      <c r="AH1741" s="37"/>
      <c r="AI1741" s="37"/>
      <c r="AJ1741" s="37"/>
      <c r="AK1741" s="37"/>
      <c r="AL1741" s="37"/>
      <c r="AM1741" s="37"/>
      <c r="AN1741" s="37"/>
      <c r="AO1741" s="37"/>
      <c r="AP1741" s="37"/>
    </row>
    <row r="1742" spans="1:42" s="192" customFormat="1" ht="11.25">
      <c r="A1742" s="37"/>
      <c r="B1742" s="37"/>
      <c r="C1742" s="37"/>
      <c r="D1742" s="191" t="s">
        <v>290</v>
      </c>
      <c r="E1742" s="191"/>
      <c r="F1742" s="191" t="str">
        <f>F1738</f>
        <v>С-Тойз</v>
      </c>
      <c r="G1742" s="191" t="s">
        <v>262</v>
      </c>
      <c r="H1742" s="315"/>
      <c r="I1742" s="316">
        <f>IF(I1738=0,0,SUMIFS(операции!$AG:$AG,операции!$X:$X,"&gt;="&amp;I$8,операции!$X:$X,"&lt;="&amp;I$9,операции!$O:$O,$F1718)/I1738)</f>
        <v>42325.789223234249</v>
      </c>
      <c r="J1742" s="317"/>
      <c r="K1742" s="316">
        <f>IF(K1738=0,0,SUMIFS(операции!$AG:$AG,операции!$X:$X,"&gt;="&amp;I$8,операции!$X:$X,"&lt;="&amp;I$9,операции!$L:$L,K$9,операции!$O:$O,$F1718)/K1738)</f>
        <v>42321.829464331568</v>
      </c>
      <c r="L1742" s="318">
        <f>IF(L1738=0,0,SUMIFS(операции!$AG:$AG,операции!$X:$X,"&gt;="&amp;I$8,операции!$X:$X,"&lt;="&amp;I$9,операции!$L:$L,L$9,операции!$O:$O,$F1718)/L1738)</f>
        <v>42327.817942612062</v>
      </c>
      <c r="M1742" s="274"/>
      <c r="N1742" s="193">
        <f>IF(N1738=0,0,SUMIFS(операции!$AG:$AG,операции!$X:$X,"&gt;="&amp;N$8,операции!$X:$X,"&lt;="&amp;N$9,операции!$O:$O,$F1718)/N1738)</f>
        <v>42302.333840947547</v>
      </c>
      <c r="O1742" s="196"/>
      <c r="P1742" s="193">
        <f>IF(P1738=0,0,SUMIFS(операции!$AG:$AG,операции!$X:$X,"&gt;="&amp;N$8,операции!$X:$X,"&lt;="&amp;N$9,операции!$L:$L,P$9,операции!$O:$O,$F1718)/P1738)</f>
        <v>42298.316365921535</v>
      </c>
      <c r="Q1742" s="237">
        <f>IF(Q1738=0,0,SUMIFS(операции!$AG:$AG,операции!$X:$X,"&gt;="&amp;N$8,операции!$X:$X,"&lt;="&amp;N$9,операции!$L:$L,Q$9,операции!$O:$O,$F1718)/Q1738)</f>
        <v>42305.913606911447</v>
      </c>
      <c r="R1742" s="238"/>
      <c r="S1742" s="193">
        <f>IF(S1738=0,0,SUMIFS(операции!$AG:$AG,операции!$X:$X,"&gt;="&amp;S$8,операции!$X:$X,"&lt;="&amp;S$9,операции!$O:$O,$F1718)/S1738)</f>
        <v>42323.427851203502</v>
      </c>
      <c r="T1742" s="196"/>
      <c r="U1742" s="193">
        <f>IF(U1738=0,0,SUMIFS(операции!$AG:$AG,операции!$X:$X,"&gt;="&amp;S$8,операции!$X:$X,"&lt;="&amp;S$9,операции!$L:$L,U$9,операции!$O:$O,$F1718)/U1738)</f>
        <v>42326.216050555922</v>
      </c>
      <c r="V1742" s="237">
        <f>IF(V1738=0,0,SUMIFS(операции!$AG:$AG,операции!$X:$X,"&gt;="&amp;S$8,операции!$X:$X,"&lt;="&amp;S$9,операции!$L:$L,V$9,операции!$O:$O,$F1718)/V1738)</f>
        <v>42321.801408021289</v>
      </c>
      <c r="W1742" s="238"/>
      <c r="X1742" s="193">
        <f>IF(X1738=0,0,SUMIFS(операции!$AG:$AG,операции!$X:$X,"&gt;="&amp;X$8,операции!$X:$X,"&lt;="&amp;X$9,операции!$O:$O,$F1718)/X1738)</f>
        <v>42345.95474755748</v>
      </c>
      <c r="Y1742" s="196"/>
      <c r="Z1742" s="193">
        <f>IF(Z1738=0,0,SUMIFS(операции!$AG:$AG,операции!$X:$X,"&gt;="&amp;X$8,операции!$X:$X,"&lt;="&amp;X$9,операции!$L:$L,Z$9,операции!$O:$O,$F1718)/Z1738)</f>
        <v>42346.928222583985</v>
      </c>
      <c r="AA1742" s="237">
        <f>IF(AA1738=0,0,SUMIFS(операции!$AG:$AG,операции!$X:$X,"&gt;="&amp;X$8,операции!$X:$X,"&lt;="&amp;X$9,операции!$L:$L,AA$9,операции!$O:$O,$F1718)/AA1738)</f>
        <v>42345.714936745782</v>
      </c>
      <c r="AB1742" s="265"/>
      <c r="AC1742" s="37"/>
      <c r="AD1742" s="37"/>
      <c r="AE1742" s="37"/>
      <c r="AF1742" s="37"/>
      <c r="AG1742" s="37"/>
      <c r="AH1742" s="37"/>
      <c r="AI1742" s="37"/>
      <c r="AJ1742" s="37"/>
      <c r="AK1742" s="37"/>
      <c r="AL1742" s="37"/>
      <c r="AM1742" s="37"/>
      <c r="AN1742" s="37"/>
      <c r="AO1742" s="37"/>
      <c r="AP1742" s="37"/>
    </row>
    <row r="1743" spans="1:42" s="93" customFormat="1" ht="15">
      <c r="A1743" s="92"/>
      <c r="B1743" s="92"/>
      <c r="C1743" s="92"/>
      <c r="D1743" s="151" t="s">
        <v>275</v>
      </c>
      <c r="E1743" s="151"/>
      <c r="F1743" s="151" t="str">
        <f t="shared" si="3058"/>
        <v>С-Тойз</v>
      </c>
      <c r="G1743" s="151" t="s">
        <v>261</v>
      </c>
      <c r="H1743" s="311"/>
      <c r="I1743" s="312">
        <f>SUMIFS(операции!$V:$V,операции!$X:$X,"&gt;="&amp;I$8,операции!$X:$X,"&lt;="&amp;I$9,операции!$O:$O,$F1718)</f>
        <v>91743.840000000055</v>
      </c>
      <c r="J1743" s="313">
        <f>I1743-I1753-I1763</f>
        <v>2.9103830456733704E-11</v>
      </c>
      <c r="K1743" s="312">
        <f>SUMIFS(операции!$V:$V,операции!$X:$X,"&gt;="&amp;I$8,операции!$X:$X,"&lt;="&amp;I$9,операции!$L:$L,K$9,операции!$O:$O,$F1718)</f>
        <v>34349.22</v>
      </c>
      <c r="L1743" s="314">
        <f>SUMIFS(операции!$V:$V,операции!$X:$X,"&gt;="&amp;I$8,операции!$X:$X,"&lt;="&amp;I$9,операции!$L:$L,L$9,операции!$O:$O,$F1718)</f>
        <v>57394.620000000032</v>
      </c>
      <c r="M1743" s="273"/>
      <c r="N1743" s="152">
        <f>SUMIFS(операции!$V:$V,операции!$X:$X,"&gt;="&amp;N$8,операции!$X:$X,"&lt;="&amp;N$9,операции!$O:$O,$F1718)</f>
        <v>19377.57</v>
      </c>
      <c r="O1743" s="170">
        <f>N1743-N1753-N1763</f>
        <v>0</v>
      </c>
      <c r="P1743" s="152">
        <f>SUMIFS(операции!$V:$V,операции!$X:$X,"&gt;="&amp;N$8,операции!$X:$X,"&lt;="&amp;N$9,операции!$L:$L,P$9,операции!$O:$O,$F1718)</f>
        <v>10337.57</v>
      </c>
      <c r="Q1743" s="235">
        <f>SUMIFS(операции!$V:$V,операции!$X:$X,"&gt;="&amp;N$8,операции!$X:$X,"&lt;="&amp;N$9,операции!$L:$L,Q$9,операции!$O:$O,$F1718)</f>
        <v>9040</v>
      </c>
      <c r="R1743" s="236"/>
      <c r="S1743" s="152">
        <f>SUMIFS(операции!$V:$V,операции!$X:$X,"&gt;="&amp;S$8,операции!$X:$X,"&lt;="&amp;S$9,операции!$O:$O,$F1718)</f>
        <v>41117.369999999995</v>
      </c>
      <c r="T1743" s="170">
        <f>S1743-S1753-S1763</f>
        <v>0</v>
      </c>
      <c r="U1743" s="152">
        <f>SUMIFS(операции!$V:$V,операции!$X:$X,"&gt;="&amp;S$8,операции!$X:$X,"&lt;="&amp;S$9,операции!$L:$L,U$9,операции!$O:$O,$F1718)</f>
        <v>16192.57</v>
      </c>
      <c r="V1743" s="235">
        <f>SUMIFS(операции!$V:$V,операции!$X:$X,"&gt;="&amp;S$8,операции!$X:$X,"&lt;="&amp;S$9,операции!$L:$L,V$9,операции!$O:$O,$F1718)</f>
        <v>24924.799999999999</v>
      </c>
      <c r="W1743" s="236"/>
      <c r="X1743" s="152">
        <f>SUMIFS(операции!$V:$V,операции!$X:$X,"&gt;="&amp;X$8,операции!$X:$X,"&lt;="&amp;X$9,операции!$O:$O,$F1718)</f>
        <v>31248.900000000023</v>
      </c>
      <c r="Y1743" s="170">
        <f>X1743-X1753-X1763</f>
        <v>2.3646862246096134E-11</v>
      </c>
      <c r="Z1743" s="152">
        <f>SUMIFS(операции!$V:$V,операции!$X:$X,"&gt;="&amp;X$8,операции!$X:$X,"&lt;="&amp;X$9,операции!$L:$L,Z$9,операции!$O:$O,$F1718)</f>
        <v>7819.08</v>
      </c>
      <c r="AA1743" s="235">
        <f>SUMIFS(операции!$V:$V,операции!$X:$X,"&gt;="&amp;X$8,операции!$X:$X,"&lt;="&amp;X$9,операции!$L:$L,AA$9,операции!$O:$O,$F1718)</f>
        <v>23429.820000000007</v>
      </c>
      <c r="AB1743" s="264"/>
      <c r="AC1743" s="92"/>
      <c r="AD1743" s="92"/>
      <c r="AE1743" s="92"/>
      <c r="AF1743" s="92"/>
      <c r="AG1743" s="92"/>
      <c r="AH1743" s="92"/>
      <c r="AI1743" s="92"/>
      <c r="AJ1743" s="92"/>
      <c r="AK1743" s="92"/>
      <c r="AL1743" s="92"/>
      <c r="AM1743" s="92"/>
      <c r="AN1743" s="92"/>
      <c r="AO1743" s="92"/>
      <c r="AP1743" s="92"/>
    </row>
    <row r="1744" spans="1:42" s="192" customFormat="1" ht="11.25">
      <c r="A1744" s="37"/>
      <c r="B1744" s="37"/>
      <c r="C1744" s="37"/>
      <c r="D1744" s="191" t="s">
        <v>291</v>
      </c>
      <c r="E1744" s="191"/>
      <c r="F1744" s="191" t="str">
        <f t="shared" si="3058"/>
        <v>С-Тойз</v>
      </c>
      <c r="G1744" s="191" t="s">
        <v>262</v>
      </c>
      <c r="H1744" s="315"/>
      <c r="I1744" s="316">
        <f>IF(I1743=0,0,SUMIFS(операции!$AF:$AF,операции!$X:$X,"&gt;="&amp;I$8,операции!$X:$X,"&lt;="&amp;I$9,операции!$O:$O,$F1718)/I1743)</f>
        <v>42260.438260051022</v>
      </c>
      <c r="J1744" s="317"/>
      <c r="K1744" s="316">
        <f>IF(K1743=0,0,SUMIFS(операции!$AF:$AF,операции!$X:$X,"&gt;="&amp;I$8,операции!$X:$X,"&lt;="&amp;I$9,операции!$L:$L,K$9,операции!$O:$O,$F1718)/K1743)</f>
        <v>42157.337435901019</v>
      </c>
      <c r="L1744" s="318">
        <f>IF(L1743=0,0,SUMIFS(операции!$AF:$AF,операции!$X:$X,"&gt;="&amp;I$8,операции!$X:$X,"&lt;="&amp;I$9,операции!$L:$L,L$9,операции!$O:$O,$F1718)/L1743)</f>
        <v>42322.1414805081</v>
      </c>
      <c r="M1744" s="274"/>
      <c r="N1744" s="193">
        <f>IF(N1743=0,0,SUMIFS(операции!$AF:$AF,операции!$X:$X,"&gt;="&amp;N$8,операции!$X:$X,"&lt;="&amp;N$9,операции!$O:$O,$F1718)/N1743)</f>
        <v>42237.55207541502</v>
      </c>
      <c r="O1744" s="196"/>
      <c r="P1744" s="193">
        <f>IF(P1743=0,0,SUMIFS(операции!$AF:$AF,операции!$X:$X,"&gt;="&amp;N$8,операции!$X:$X,"&lt;="&amp;N$9,операции!$L:$L,P$9,операции!$O:$O,$F1718)/P1743)</f>
        <v>42180.834830622676</v>
      </c>
      <c r="Q1744" s="237">
        <f>IF(Q1743=0,0,SUMIFS(операции!$AF:$AF,операции!$X:$X,"&gt;="&amp;N$8,операции!$X:$X,"&lt;="&amp;N$9,операции!$L:$L,Q$9,операции!$O:$O,$F1718)/Q1743)</f>
        <v>42302.410315265486</v>
      </c>
      <c r="R1744" s="238"/>
      <c r="S1744" s="193">
        <f>IF(S1743=0,0,SUMIFS(операции!$AF:$AF,операции!$X:$X,"&gt;="&amp;S$8,операции!$X:$X,"&lt;="&amp;S$9,операции!$O:$O,$F1718)/S1743)</f>
        <v>42246.279411110205</v>
      </c>
      <c r="T1744" s="196"/>
      <c r="U1744" s="193">
        <f>IF(U1743=0,0,SUMIFS(операции!$AF:$AF,операции!$X:$X,"&gt;="&amp;S$8,операции!$X:$X,"&lt;="&amp;S$9,операции!$L:$L,U$9,операции!$O:$O,$F1718)/U1743)</f>
        <v>42139.012435950564</v>
      </c>
      <c r="V1744" s="237">
        <f>IF(V1743=0,0,SUMIFS(операции!$AF:$AF,операции!$X:$X,"&gt;="&amp;S$8,операции!$X:$X,"&lt;="&amp;S$9,операции!$L:$L,V$9,операции!$O:$O,$F1718)/V1743)</f>
        <v>42315.96614897612</v>
      </c>
      <c r="W1744" s="238"/>
      <c r="X1744" s="193">
        <f>IF(X1743=0,0,SUMIFS(операции!$AF:$AF,операции!$X:$X,"&gt;="&amp;X$8,операции!$X:$X,"&lt;="&amp;X$9,операции!$O:$O,$F1718)/X1743)</f>
        <v>42293.260320203248</v>
      </c>
      <c r="Y1744" s="196"/>
      <c r="Z1744" s="193">
        <f>IF(Z1743=0,0,SUMIFS(операции!$AF:$AF,операции!$X:$X,"&gt;="&amp;X$8,операции!$X:$X,"&lt;="&amp;X$9,операции!$L:$L,Z$9,операции!$O:$O,$F1718)/Z1743)</f>
        <v>42164.220967172609</v>
      </c>
      <c r="AA1744" s="237">
        <f>IF(AA1743=0,0,SUMIFS(операции!$AF:$AF,операции!$X:$X,"&gt;="&amp;X$8,операции!$X:$X,"&lt;="&amp;X$9,операции!$L:$L,AA$9,операции!$O:$O,$F1718)/AA1743)</f>
        <v>42336.323776281657</v>
      </c>
      <c r="AB1744" s="265"/>
      <c r="AC1744" s="37"/>
      <c r="AD1744" s="37"/>
      <c r="AE1744" s="37"/>
      <c r="AF1744" s="37"/>
      <c r="AG1744" s="37"/>
      <c r="AH1744" s="37"/>
      <c r="AI1744" s="37"/>
      <c r="AJ1744" s="37"/>
      <c r="AK1744" s="37"/>
      <c r="AL1744" s="37"/>
      <c r="AM1744" s="37"/>
      <c r="AN1744" s="37"/>
      <c r="AO1744" s="37"/>
      <c r="AP1744" s="37"/>
    </row>
    <row r="1745" spans="1:42" s="192" customFormat="1" ht="11.25">
      <c r="A1745" s="37"/>
      <c r="B1745" s="37"/>
      <c r="C1745" s="37"/>
      <c r="D1745" s="191" t="s">
        <v>308</v>
      </c>
      <c r="E1745" s="191"/>
      <c r="F1745" s="191" t="str">
        <f t="shared" si="3058"/>
        <v>С-Тойз</v>
      </c>
      <c r="G1745" s="191" t="s">
        <v>262</v>
      </c>
      <c r="H1745" s="315"/>
      <c r="I1745" s="316">
        <f>IF(I1743=0,0,(I1753*I1755+I1763*I1765)/I1743)</f>
        <v>42316.108068182002</v>
      </c>
      <c r="J1745" s="317"/>
      <c r="K1745" s="316">
        <f t="shared" ref="K1745:L1745" si="3103">IF(K1743=0,0,(K1753*K1755+K1763*K1765)/K1743)</f>
        <v>42256.354314595781</v>
      </c>
      <c r="L1745" s="318">
        <f t="shared" si="3103"/>
        <v>42351.869169619014</v>
      </c>
      <c r="M1745" s="274"/>
      <c r="N1745" s="193">
        <f>IF(N1743=0,0,(N1753*N1755+N1763*N1765)/N1743)</f>
        <v>42273.596402438488</v>
      </c>
      <c r="O1745" s="196"/>
      <c r="P1745" s="193">
        <f t="shared" ref="P1745:Q1745" si="3104">IF(P1743=0,0,(P1753*P1755+P1763*P1765)/P1743)</f>
        <v>42232.398544338757</v>
      </c>
      <c r="Q1745" s="237">
        <f t="shared" si="3104"/>
        <v>42320.707657079649</v>
      </c>
      <c r="R1745" s="238"/>
      <c r="S1745" s="193">
        <f>IF(S1743=0,0,(S1753*S1755+S1763*S1765)/S1743)</f>
        <v>42286.336482610634</v>
      </c>
      <c r="T1745" s="196"/>
      <c r="U1745" s="193">
        <f t="shared" ref="U1745:V1745" si="3105">IF(U1743=0,0,(U1753*U1755+U1763*U1765)/U1743)</f>
        <v>42205.742303414474</v>
      </c>
      <c r="V1745" s="237">
        <f t="shared" si="3105"/>
        <v>42338.695052718584</v>
      </c>
      <c r="W1745" s="238"/>
      <c r="X1745" s="193">
        <f>IF(X1743=0,0,(X1753*X1755+X1763*X1765)/X1743)</f>
        <v>42361.691756189786</v>
      </c>
      <c r="Y1745" s="196"/>
      <c r="Z1745" s="193">
        <f t="shared" ref="Z1745:AA1745" si="3106">IF(Z1743=0,0,(Z1753*Z1755+Z1763*Z1765)/Z1743)</f>
        <v>42362.77020825979</v>
      </c>
      <c r="AA1745" s="237">
        <f t="shared" si="3106"/>
        <v>42361.331851461073</v>
      </c>
      <c r="AB1745" s="265"/>
      <c r="AC1745" s="37"/>
      <c r="AD1745" s="37"/>
      <c r="AE1745" s="37"/>
      <c r="AF1745" s="37"/>
      <c r="AG1745" s="37"/>
      <c r="AH1745" s="37"/>
      <c r="AI1745" s="37"/>
      <c r="AJ1745" s="37"/>
      <c r="AK1745" s="37"/>
      <c r="AL1745" s="37"/>
      <c r="AM1745" s="37"/>
      <c r="AN1745" s="37"/>
      <c r="AO1745" s="37"/>
      <c r="AP1745" s="37"/>
    </row>
    <row r="1746" spans="1:42" s="93" customFormat="1" ht="15">
      <c r="A1746" s="92"/>
      <c r="B1746" s="92"/>
      <c r="C1746" s="92"/>
      <c r="D1746" s="151" t="s">
        <v>278</v>
      </c>
      <c r="E1746" s="151"/>
      <c r="F1746" s="151" t="str">
        <f t="shared" si="3058"/>
        <v>С-Тойз</v>
      </c>
      <c r="G1746" s="151" t="s">
        <v>261</v>
      </c>
      <c r="H1746" s="311"/>
      <c r="I1746" s="312">
        <f>I1738-I1743</f>
        <v>23207.159999999945</v>
      </c>
      <c r="J1746" s="313">
        <f>I1746-K1746-L1746</f>
        <v>0</v>
      </c>
      <c r="K1746" s="312">
        <f t="shared" ref="K1746:L1746" si="3107">K1738-K1743</f>
        <v>4592.7799999999988</v>
      </c>
      <c r="L1746" s="314">
        <f t="shared" si="3107"/>
        <v>18614.379999999968</v>
      </c>
      <c r="M1746" s="273"/>
      <c r="N1746" s="152">
        <f>N1738-N1743</f>
        <v>4262.43</v>
      </c>
      <c r="O1746" s="170">
        <f>N1746-P1746-Q1746</f>
        <v>0</v>
      </c>
      <c r="P1746" s="152">
        <f t="shared" ref="P1746:Q1746" si="3108">P1738-P1743</f>
        <v>801.43000000000029</v>
      </c>
      <c r="Q1746" s="235">
        <f t="shared" si="3108"/>
        <v>3461</v>
      </c>
      <c r="R1746" s="236"/>
      <c r="S1746" s="152">
        <f>S1738-S1743</f>
        <v>16007.630000000005</v>
      </c>
      <c r="T1746" s="170">
        <f>S1746-U1746-V1746</f>
        <v>0</v>
      </c>
      <c r="U1746" s="152">
        <f t="shared" ref="U1746:V1746" si="3109">U1738-U1743</f>
        <v>4853.43</v>
      </c>
      <c r="V1746" s="235">
        <f t="shared" si="3109"/>
        <v>11154.2</v>
      </c>
      <c r="W1746" s="236"/>
      <c r="X1746" s="152">
        <f>X1738-X1743</f>
        <v>2937.0999999999767</v>
      </c>
      <c r="Y1746" s="170">
        <f>X1746-Z1746-AA1746</f>
        <v>-1.6370904631912708E-11</v>
      </c>
      <c r="Z1746" s="152">
        <f t="shared" ref="Z1746:AA1746" si="3110">Z1738-Z1743</f>
        <v>-1062.08</v>
      </c>
      <c r="AA1746" s="235">
        <f t="shared" si="3110"/>
        <v>3999.179999999993</v>
      </c>
      <c r="AB1746" s="264"/>
      <c r="AC1746" s="92"/>
      <c r="AD1746" s="92"/>
      <c r="AE1746" s="92"/>
      <c r="AF1746" s="92"/>
      <c r="AG1746" s="92"/>
      <c r="AH1746" s="92"/>
      <c r="AI1746" s="92"/>
      <c r="AJ1746" s="92"/>
      <c r="AK1746" s="92"/>
      <c r="AL1746" s="92"/>
      <c r="AM1746" s="92"/>
      <c r="AN1746" s="92"/>
      <c r="AO1746" s="92"/>
      <c r="AP1746" s="92"/>
    </row>
    <row r="1747" spans="1:42" s="211" customFormat="1">
      <c r="A1747" s="210"/>
      <c r="B1747" s="210"/>
      <c r="C1747" s="210"/>
      <c r="D1747" s="218" t="s">
        <v>277</v>
      </c>
      <c r="E1747" s="218"/>
      <c r="F1747" s="218" t="str">
        <f t="shared" si="3058"/>
        <v>С-Тойз</v>
      </c>
      <c r="G1747" s="218" t="s">
        <v>218</v>
      </c>
      <c r="H1747" s="343"/>
      <c r="I1747" s="344">
        <f>IF(I1738=0,0,(I1746/I1738))</f>
        <v>0.20188741289766896</v>
      </c>
      <c r="J1747" s="345"/>
      <c r="K1747" s="344">
        <f t="shared" ref="K1747" si="3111">IF(K1738=0,0,(K1746/K1738))</f>
        <v>0.11793898618458216</v>
      </c>
      <c r="L1747" s="346">
        <f t="shared" ref="L1747" si="3112">IF(L1738=0,0,(L1746/L1738))</f>
        <v>0.244897051664934</v>
      </c>
      <c r="M1747" s="280"/>
      <c r="N1747" s="219">
        <f>IF(N1738=0,0,(N1746/N1738))</f>
        <v>0.18030583756345178</v>
      </c>
      <c r="O1747" s="220"/>
      <c r="P1747" s="219">
        <f t="shared" ref="P1747" si="3113">IF(P1738=0,0,(P1746/P1738))</f>
        <v>7.194811024328937E-2</v>
      </c>
      <c r="Q1747" s="252">
        <f t="shared" ref="Q1747" si="3114">IF(Q1738=0,0,(Q1746/Q1738))</f>
        <v>0.27685785137189023</v>
      </c>
      <c r="R1747" s="253"/>
      <c r="S1747" s="219">
        <f>IF(S1738=0,0,(S1746/S1738))</f>
        <v>0.28022109409190382</v>
      </c>
      <c r="T1747" s="220"/>
      <c r="U1747" s="219">
        <f t="shared" ref="U1747" si="3115">IF(U1738=0,0,(U1746/U1738))</f>
        <v>0.23061056732870855</v>
      </c>
      <c r="V1747" s="252">
        <f t="shared" ref="V1747" si="3116">IF(V1738=0,0,(V1746/V1738))</f>
        <v>0.30916045344937498</v>
      </c>
      <c r="W1747" s="253"/>
      <c r="X1747" s="219">
        <f>IF(X1738=0,0,(X1746/X1738))</f>
        <v>8.5915286959573414E-2</v>
      </c>
      <c r="Y1747" s="220"/>
      <c r="Z1747" s="219">
        <f t="shared" ref="Z1747" si="3117">IF(Z1738=0,0,(Z1746/Z1738))</f>
        <v>-0.15718218144146809</v>
      </c>
      <c r="AA1747" s="252">
        <f t="shared" ref="AA1747" si="3118">IF(AA1738=0,0,(AA1746/AA1738))</f>
        <v>0.14580115935688479</v>
      </c>
      <c r="AB1747" s="267"/>
      <c r="AC1747" s="210"/>
      <c r="AD1747" s="210"/>
      <c r="AE1747" s="210"/>
      <c r="AF1747" s="210"/>
      <c r="AG1747" s="210"/>
      <c r="AH1747" s="210"/>
      <c r="AI1747" s="210"/>
      <c r="AJ1747" s="210"/>
      <c r="AK1747" s="210"/>
      <c r="AL1747" s="210"/>
      <c r="AM1747" s="210"/>
      <c r="AN1747" s="210"/>
      <c r="AO1747" s="210"/>
      <c r="AP1747" s="210"/>
    </row>
    <row r="1748" spans="1:42" s="93" customFormat="1" ht="15">
      <c r="A1748" s="92"/>
      <c r="B1748" s="92"/>
      <c r="C1748" s="92"/>
      <c r="D1748" s="198" t="s">
        <v>220</v>
      </c>
      <c r="E1748" s="198"/>
      <c r="F1748" s="198" t="str">
        <f t="shared" si="3058"/>
        <v>С-Тойз</v>
      </c>
      <c r="G1748" s="198" t="s">
        <v>219</v>
      </c>
      <c r="H1748" s="323"/>
      <c r="I1748" s="324">
        <f>I1742-I1744</f>
        <v>65.350963183227577</v>
      </c>
      <c r="J1748" s="321">
        <f>I1748-SUMIFS(ПОбТЗ!$I:$I,ПОбТЗ!$E:$E,$D1748,ПОбТЗ!$F:$F,$F1748)</f>
        <v>0</v>
      </c>
      <c r="K1748" s="324">
        <f t="shared" ref="K1748:L1748" si="3119">K1742-K1744</f>
        <v>164.49202843054809</v>
      </c>
      <c r="L1748" s="325">
        <f t="shared" si="3119"/>
        <v>5.6764621039619669</v>
      </c>
      <c r="M1748" s="276"/>
      <c r="N1748" s="199">
        <f>N1742-N1744</f>
        <v>64.781765532527061</v>
      </c>
      <c r="O1748" s="173">
        <f>N1748-SUMIFS(ПОбТЗ_3!$J:$J,ПОбТЗ_3!$D:$D,$D1748,ПОбТЗ_3!$E:$E,$F1748)</f>
        <v>0</v>
      </c>
      <c r="P1748" s="199">
        <f t="shared" ref="P1748:Q1748" si="3120">P1742-P1744</f>
        <v>117.48153529885894</v>
      </c>
      <c r="Q1748" s="241">
        <f t="shared" si="3120"/>
        <v>3.5032916459604166</v>
      </c>
      <c r="R1748" s="242"/>
      <c r="S1748" s="199">
        <f>S1742-S1744</f>
        <v>77.148440093296813</v>
      </c>
      <c r="T1748" s="173">
        <f>S1748-SUMIFS(ПОбТЗ_3!$K:$K,ПОбТЗ_3!$D:$D,$D1748,ПОбТЗ_3!$E:$E,$F1748)</f>
        <v>0</v>
      </c>
      <c r="U1748" s="199">
        <f t="shared" ref="U1748:V1748" si="3121">U1742-U1744</f>
        <v>187.20361460535787</v>
      </c>
      <c r="V1748" s="241">
        <f t="shared" si="3121"/>
        <v>5.835259045168641</v>
      </c>
      <c r="W1748" s="242"/>
      <c r="X1748" s="199">
        <f>X1742-X1744</f>
        <v>52.694427354232175</v>
      </c>
      <c r="Y1748" s="173">
        <f>X1748-SUMIFS(ПОбТЗ_3!$L:$L,ПОбТЗ_3!$D:$D,$D1748,ПОбТЗ_3!$E:$E,$F1748)</f>
        <v>0</v>
      </c>
      <c r="Z1748" s="199">
        <f t="shared" ref="Z1748:AA1748" si="3122">Z1742-Z1744</f>
        <v>182.70725541137654</v>
      </c>
      <c r="AA1748" s="241">
        <f t="shared" si="3122"/>
        <v>9.3911604641252779</v>
      </c>
      <c r="AB1748" s="264"/>
      <c r="AC1748" s="92"/>
      <c r="AD1748" s="92"/>
      <c r="AE1748" s="92"/>
      <c r="AF1748" s="92"/>
      <c r="AG1748" s="92"/>
      <c r="AH1748" s="92"/>
      <c r="AI1748" s="92"/>
      <c r="AJ1748" s="92"/>
      <c r="AK1748" s="92"/>
      <c r="AL1748" s="92"/>
      <c r="AM1748" s="92"/>
      <c r="AN1748" s="92"/>
      <c r="AO1748" s="92"/>
      <c r="AP1748" s="92"/>
    </row>
    <row r="1749" spans="1:42" s="5" customFormat="1">
      <c r="A1749" s="1"/>
      <c r="B1749" s="1"/>
      <c r="C1749" s="1"/>
      <c r="D1749" s="227" t="s">
        <v>309</v>
      </c>
      <c r="E1749" s="227"/>
      <c r="F1749" s="227" t="str">
        <f t="shared" si="3058"/>
        <v>С-Тойз</v>
      </c>
      <c r="G1749" s="227" t="s">
        <v>219</v>
      </c>
      <c r="H1749" s="347"/>
      <c r="I1749" s="348">
        <f>I1745-I1744</f>
        <v>55.669808130980527</v>
      </c>
      <c r="J1749" s="321"/>
      <c r="K1749" s="348">
        <f t="shared" ref="K1749:L1749" si="3123">K1745-K1744</f>
        <v>99.016878694761544</v>
      </c>
      <c r="L1749" s="349">
        <f t="shared" si="3123"/>
        <v>29.727689110914071</v>
      </c>
      <c r="M1749" s="281"/>
      <c r="N1749" s="228">
        <f>N1745-N1744</f>
        <v>36.044327023468213</v>
      </c>
      <c r="O1749" s="173"/>
      <c r="P1749" s="228">
        <f t="shared" ref="P1749:Q1749" si="3124">P1745-P1744</f>
        <v>51.563713716081111</v>
      </c>
      <c r="Q1749" s="254">
        <f t="shared" si="3124"/>
        <v>18.297341814162792</v>
      </c>
      <c r="R1749" s="255"/>
      <c r="S1749" s="228">
        <f>S1745-S1744</f>
        <v>40.057071500428719</v>
      </c>
      <c r="T1749" s="173"/>
      <c r="U1749" s="228">
        <f t="shared" ref="U1749:V1749" si="3125">U1745-U1744</f>
        <v>66.729867463909613</v>
      </c>
      <c r="V1749" s="254">
        <f t="shared" si="3125"/>
        <v>22.728903742463444</v>
      </c>
      <c r="W1749" s="255"/>
      <c r="X1749" s="228">
        <f>X1745-X1744</f>
        <v>68.431435986538418</v>
      </c>
      <c r="Y1749" s="173"/>
      <c r="Z1749" s="228">
        <f t="shared" ref="Z1749:AA1749" si="3126">Z1745-Z1744</f>
        <v>198.54924108718114</v>
      </c>
      <c r="AA1749" s="254">
        <f t="shared" si="3126"/>
        <v>25.008075179415755</v>
      </c>
      <c r="AB1749" s="266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</row>
    <row r="1750" spans="1:42" s="5" customFormat="1">
      <c r="A1750" s="1"/>
      <c r="B1750" s="1"/>
      <c r="C1750" s="1"/>
      <c r="D1750" s="225" t="s">
        <v>310</v>
      </c>
      <c r="E1750" s="225"/>
      <c r="F1750" s="225" t="str">
        <f t="shared" si="3058"/>
        <v>С-Тойз</v>
      </c>
      <c r="G1750" s="225" t="s">
        <v>219</v>
      </c>
      <c r="H1750" s="350"/>
      <c r="I1750" s="351">
        <f>I1748-I1749</f>
        <v>9.6811550522470498</v>
      </c>
      <c r="J1750" s="352"/>
      <c r="K1750" s="351">
        <f t="shared" ref="K1750" si="3127">K1748-K1749</f>
        <v>65.475149735786545</v>
      </c>
      <c r="L1750" s="353">
        <f t="shared" ref="L1750" si="3128">L1748-L1749</f>
        <v>-24.051227006952104</v>
      </c>
      <c r="M1750" s="282"/>
      <c r="N1750" s="226">
        <f>N1748-N1749</f>
        <v>28.737438509058848</v>
      </c>
      <c r="O1750" s="181"/>
      <c r="P1750" s="226">
        <f t="shared" ref="P1750" si="3129">P1748-P1749</f>
        <v>65.917821582777833</v>
      </c>
      <c r="Q1750" s="256">
        <f t="shared" ref="Q1750" si="3130">Q1748-Q1749</f>
        <v>-14.794050168202375</v>
      </c>
      <c r="R1750" s="257"/>
      <c r="S1750" s="226">
        <f>S1748-S1749</f>
        <v>37.091368592868093</v>
      </c>
      <c r="T1750" s="181"/>
      <c r="U1750" s="226">
        <f t="shared" ref="U1750" si="3131">U1748-U1749</f>
        <v>120.47374714144826</v>
      </c>
      <c r="V1750" s="256">
        <f t="shared" ref="V1750" si="3132">V1748-V1749</f>
        <v>-16.893644697294803</v>
      </c>
      <c r="W1750" s="257"/>
      <c r="X1750" s="226">
        <f>X1748-X1749</f>
        <v>-15.737008632306242</v>
      </c>
      <c r="Y1750" s="181"/>
      <c r="Z1750" s="226">
        <f t="shared" ref="Z1750" si="3133">Z1748-Z1749</f>
        <v>-15.841985675804608</v>
      </c>
      <c r="AA1750" s="256">
        <f t="shared" ref="AA1750" si="3134">AA1748-AA1749</f>
        <v>-15.616914715290477</v>
      </c>
      <c r="AB1750" s="266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</row>
    <row r="1751" spans="1:42" s="5" customFormat="1">
      <c r="A1751" s="1"/>
      <c r="B1751" s="1"/>
      <c r="C1751" s="1"/>
      <c r="D1751" s="223"/>
      <c r="E1751" s="223" t="s">
        <v>293</v>
      </c>
      <c r="F1751" s="223" t="str">
        <f t="shared" si="3058"/>
        <v>С-Тойз</v>
      </c>
      <c r="G1751" s="223" t="s">
        <v>261</v>
      </c>
      <c r="H1751" s="354"/>
      <c r="I1751" s="355">
        <f>SUMIFS(операции!$Z:$Z,операции!$X:$X,"&gt;="&amp;I$8,операции!$X:$X,"&lt;="&amp;I$9,операции!$AB:$AB,"&lt;&gt;"&amp;"",операции!$O:$O,$F1718)</f>
        <v>81679</v>
      </c>
      <c r="J1751" s="341">
        <f>I1751-K1751-L1751</f>
        <v>0</v>
      </c>
      <c r="K1751" s="355">
        <f>SUMIFS(операции!$Z:$Z,операции!$X:$X,"&gt;="&amp;I$8,операции!$X:$X,"&lt;="&amp;I$9,операции!$AB:$AB,"&lt;&gt;"&amp;"",операции!$L:$L,K$9,операции!$O:$O,$F1718)</f>
        <v>26660</v>
      </c>
      <c r="L1751" s="356">
        <f>SUMIFS(операции!$Z:$Z,операции!$X:$X,"&gt;="&amp;I$8,операции!$X:$X,"&lt;="&amp;I$9,операции!$AB:$AB,"&lt;&gt;"&amp;"",операции!$L:$L,L$9,операции!$O:$O,$F1718)</f>
        <v>55019</v>
      </c>
      <c r="M1751" s="283"/>
      <c r="N1751" s="224">
        <f>SUMIFS(операции!$Z:$Z,операции!$X:$X,"&gt;="&amp;N$8,операции!$X:$X,"&lt;="&amp;N$9,операции!$AB:$AB,"&lt;&gt;"&amp;"",операции!$O:$O,$F1718)</f>
        <v>15692</v>
      </c>
      <c r="O1751" s="216">
        <f>N1751-P1751-Q1751</f>
        <v>0</v>
      </c>
      <c r="P1751" s="224">
        <f>SUMIFS(операции!$Z:$Z,операции!$X:$X,"&gt;="&amp;N$8,операции!$X:$X,"&lt;="&amp;N$9,операции!$AB:$AB,"&lt;&gt;"&amp;"",операции!$L:$L,P$9,операции!$O:$O,$F1718)</f>
        <v>8678</v>
      </c>
      <c r="Q1751" s="258">
        <f>SUMIFS(операции!$Z:$Z,операции!$X:$X,"&gt;="&amp;N$8,операции!$X:$X,"&lt;="&amp;N$9,операции!$AB:$AB,"&lt;&gt;"&amp;"",операции!$L:$L,Q$9,операции!$O:$O,$F1718)</f>
        <v>7014</v>
      </c>
      <c r="R1751" s="259"/>
      <c r="S1751" s="224">
        <f>SUMIFS(операции!$Z:$Z,операции!$X:$X,"&gt;="&amp;S$8,операции!$X:$X,"&lt;="&amp;S$9,операции!$AB:$AB,"&lt;&gt;"&amp;"",операции!$O:$O,$F1718)</f>
        <v>47090</v>
      </c>
      <c r="T1751" s="216">
        <f>S1751-U1751-V1751</f>
        <v>0</v>
      </c>
      <c r="U1751" s="224">
        <f>SUMIFS(операции!$Z:$Z,операции!$X:$X,"&gt;="&amp;S$8,операции!$X:$X,"&lt;="&amp;S$9,операции!$AB:$AB,"&lt;&gt;"&amp;"",операции!$L:$L,U$9,операции!$O:$O,$F1718)</f>
        <v>16775</v>
      </c>
      <c r="V1751" s="258">
        <f>SUMIFS(операции!$Z:$Z,операции!$X:$X,"&gt;="&amp;S$8,операции!$X:$X,"&lt;="&amp;S$9,операции!$AB:$AB,"&lt;&gt;"&amp;"",операции!$L:$L,V$9,операции!$O:$O,$F1718)</f>
        <v>30315</v>
      </c>
      <c r="W1751" s="259"/>
      <c r="X1751" s="224">
        <f>SUMIFS(операции!$Z:$Z,операции!$X:$X,"&gt;="&amp;X$8,операции!$X:$X,"&lt;="&amp;X$9,операции!$AB:$AB,"&lt;&gt;"&amp;"",операции!$O:$O,$F1718)</f>
        <v>18897</v>
      </c>
      <c r="Y1751" s="216">
        <f>X1751-Z1751-AA1751</f>
        <v>0</v>
      </c>
      <c r="Z1751" s="224">
        <f>SUMIFS(операции!$Z:$Z,операции!$X:$X,"&gt;="&amp;X$8,операции!$X:$X,"&lt;="&amp;X$9,операции!$AB:$AB,"&lt;&gt;"&amp;"",операции!$L:$L,Z$9,операции!$O:$O,$F1718)</f>
        <v>1207</v>
      </c>
      <c r="AA1751" s="258">
        <f>SUMIFS(операции!$Z:$Z,операции!$X:$X,"&gt;="&amp;X$8,операции!$X:$X,"&lt;="&amp;X$9,операции!$AB:$AB,"&lt;&gt;"&amp;"",операции!$L:$L,AA$9,операции!$O:$O,$F1718)</f>
        <v>17690</v>
      </c>
      <c r="AB1751" s="266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</row>
    <row r="1752" spans="1:42" s="192" customFormat="1" ht="11.25">
      <c r="A1752" s="37"/>
      <c r="B1752" s="37"/>
      <c r="C1752" s="37"/>
      <c r="D1752" s="191"/>
      <c r="E1752" s="191" t="s">
        <v>295</v>
      </c>
      <c r="F1752" s="191" t="str">
        <f t="shared" si="3058"/>
        <v>С-Тойз</v>
      </c>
      <c r="G1752" s="191" t="s">
        <v>262</v>
      </c>
      <c r="H1752" s="315"/>
      <c r="I1752" s="316">
        <f>IF(I1751=0,0,SUMIFS(операции!$AG:$AG,операции!$X:$X,"&gt;="&amp;I$8,операции!$X:$X,"&lt;="&amp;I$9,операции!$AB:$AB,"&lt;&gt;"&amp;"",операции!$O:$O,$F1718)/I1751)</f>
        <v>42324.790386757915</v>
      </c>
      <c r="J1752" s="317"/>
      <c r="K1752" s="316">
        <f>IF(K1751=0,0,SUMIFS(операции!$AG:$AG,операции!$X:$X,"&gt;="&amp;I$8,операции!$X:$X,"&lt;="&amp;I$9,операции!$AB:$AB,"&lt;&gt;"&amp;"",операции!$L:$L,K$9,операции!$O:$O,$F1718)/K1751)</f>
        <v>42319.217741935485</v>
      </c>
      <c r="L1752" s="318">
        <f>IF(L1751=0,0,SUMIFS(операции!$AG:$AG,операции!$X:$X,"&gt;="&amp;I$8,операции!$X:$X,"&lt;="&amp;I$9,операции!$AB:$AB,"&lt;&gt;"&amp;"",операции!$L:$L,L$9,операции!$O:$O,$F1718)/L1751)</f>
        <v>42327.49066686054</v>
      </c>
      <c r="M1752" s="274"/>
      <c r="N1752" s="193">
        <f>IF(N1751=0,0,SUMIFS(операции!$AG:$AG,операции!$X:$X,"&gt;="&amp;N$8,операции!$X:$X,"&lt;="&amp;N$9,операции!$AB:$AB,"&lt;&gt;"&amp;"",операции!$O:$O,$F1718)/N1751)</f>
        <v>42302.339408615859</v>
      </c>
      <c r="O1752" s="196"/>
      <c r="P1752" s="193">
        <f>IF(P1751=0,0,SUMIFS(операции!$AG:$AG,операции!$X:$X,"&gt;="&amp;N$8,операции!$X:$X,"&lt;="&amp;N$9,операции!$AB:$AB,"&lt;&gt;"&amp;"",операции!$L:$L,P$9,операции!$O:$O,$F1718)/P1751)</f>
        <v>42299.540447107625</v>
      </c>
      <c r="Q1752" s="237">
        <f>IF(Q1751=0,0,SUMIFS(операции!$AG:$AG,операции!$X:$X,"&gt;="&amp;N$8,операции!$X:$X,"&lt;="&amp;N$9,операции!$AB:$AB,"&lt;&gt;"&amp;"",операции!$L:$L,Q$9,операции!$O:$O,$F1718)/Q1751)</f>
        <v>42305.802395209583</v>
      </c>
      <c r="R1752" s="238"/>
      <c r="S1752" s="193">
        <f>IF(S1751=0,0,SUMIFS(операции!$AG:$AG,операции!$X:$X,"&gt;="&amp;S$8,операции!$X:$X,"&lt;="&amp;S$9,операции!$AB:$AB,"&lt;&gt;"&amp;"",операции!$O:$O,$F1718)/S1751)</f>
        <v>42323.815969420262</v>
      </c>
      <c r="T1752" s="196"/>
      <c r="U1752" s="193">
        <f>IF(U1751=0,0,SUMIFS(операции!$AG:$AG,операции!$X:$X,"&gt;="&amp;S$8,операции!$X:$X,"&lt;="&amp;S$9,операции!$AB:$AB,"&lt;&gt;"&amp;"",операции!$L:$L,U$9,операции!$O:$O,$F1718)/U1751)</f>
        <v>42327.757913561851</v>
      </c>
      <c r="V1752" s="237">
        <f>IF(V1751=0,0,SUMIFS(операции!$AG:$AG,операции!$X:$X,"&gt;="&amp;S$8,операции!$X:$X,"&lt;="&amp;S$9,операции!$AB:$AB,"&lt;&gt;"&amp;"",операции!$L:$L,V$9,операции!$O:$O,$F1718)/V1751)</f>
        <v>42321.634669305626</v>
      </c>
      <c r="W1752" s="238"/>
      <c r="X1752" s="193">
        <f>IF(X1751=0,0,SUMIFS(операции!$AG:$AG,операции!$X:$X,"&gt;="&amp;X$8,операции!$X:$X,"&lt;="&amp;X$9,операции!$AB:$AB,"&lt;&gt;"&amp;"",операции!$O:$O,$F1718)/X1751)</f>
        <v>42345.861777001643</v>
      </c>
      <c r="Y1752" s="196"/>
      <c r="Z1752" s="193">
        <f>IF(Z1751=0,0,SUMIFS(операции!$AG:$AG,операции!$X:$X,"&gt;="&amp;X$8,операции!$X:$X,"&lt;="&amp;X$9,операции!$AB:$AB,"&lt;&gt;"&amp;"",операции!$L:$L,Z$9,операции!$O:$O,$F1718)/Z1751)</f>
        <v>42342</v>
      </c>
      <c r="AA1752" s="237">
        <f>IF(AA1751=0,0,SUMIFS(операции!$AG:$AG,операции!$X:$X,"&gt;="&amp;X$8,операции!$X:$X,"&lt;="&amp;X$9,операции!$AB:$AB,"&lt;&gt;"&amp;"",операции!$L:$L,AA$9,операции!$O:$O,$F1718)/AA1751)</f>
        <v>42346.125268513286</v>
      </c>
      <c r="AB1752" s="265"/>
      <c r="AC1752" s="37"/>
      <c r="AD1752" s="37"/>
      <c r="AE1752" s="37"/>
      <c r="AF1752" s="37"/>
      <c r="AG1752" s="37"/>
      <c r="AH1752" s="37"/>
      <c r="AI1752" s="37"/>
      <c r="AJ1752" s="37"/>
      <c r="AK1752" s="37"/>
      <c r="AL1752" s="37"/>
      <c r="AM1752" s="37"/>
      <c r="AN1752" s="37"/>
      <c r="AO1752" s="37"/>
      <c r="AP1752" s="37"/>
    </row>
    <row r="1753" spans="1:42" s="93" customFormat="1" ht="15">
      <c r="A1753" s="92"/>
      <c r="B1753" s="92"/>
      <c r="C1753" s="92"/>
      <c r="D1753" s="151"/>
      <c r="E1753" s="151" t="s">
        <v>292</v>
      </c>
      <c r="F1753" s="151" t="str">
        <f t="shared" si="3058"/>
        <v>С-Тойз</v>
      </c>
      <c r="G1753" s="151" t="s">
        <v>261</v>
      </c>
      <c r="H1753" s="311"/>
      <c r="I1753" s="312">
        <f>SUMIFS(операции!$V:$V,операции!$X:$X,"&gt;="&amp;I$8,операции!$X:$X,"&lt;="&amp;I$9,операции!$AB:$AB,"&lt;&gt;"&amp;"",операции!$O:$O,$F1718)</f>
        <v>62208.890000000014</v>
      </c>
      <c r="J1753" s="313">
        <f>I1753-K1753-L1753</f>
        <v>0</v>
      </c>
      <c r="K1753" s="312">
        <f>SUMIFS(операции!$V:$V,операции!$X:$X,"&gt;="&amp;I$8,операции!$X:$X,"&lt;="&amp;I$9,операции!$AB:$AB,"&lt;&gt;"&amp;"",операции!$L:$L,K$9,операции!$O:$O,$F1718)</f>
        <v>21908.119999999995</v>
      </c>
      <c r="L1753" s="314">
        <f>SUMIFS(операции!$V:$V,операции!$X:$X,"&gt;="&amp;I$8,операции!$X:$X,"&lt;="&amp;I$9,операции!$AB:$AB,"&lt;&gt;"&amp;"",операции!$L:$L,L$9,операции!$O:$O,$F1718)</f>
        <v>40300.770000000019</v>
      </c>
      <c r="M1753" s="273"/>
      <c r="N1753" s="152">
        <f>SUMIFS(операции!$V:$V,операции!$X:$X,"&gt;="&amp;N$8,операции!$X:$X,"&lt;="&amp;N$9,операции!$AB:$AB,"&lt;&gt;"&amp;"",операции!$O:$O,$F1718)</f>
        <v>13106.160000000002</v>
      </c>
      <c r="O1753" s="170">
        <f>N1753-P1753-Q1753</f>
        <v>0</v>
      </c>
      <c r="P1753" s="152">
        <f>SUMIFS(операции!$V:$V,операции!$X:$X,"&gt;="&amp;N$8,операции!$X:$X,"&lt;="&amp;N$9,операции!$AB:$AB,"&lt;&gt;"&amp;"",операции!$L:$L,P$9,операции!$O:$O,$F1718)</f>
        <v>8226.42</v>
      </c>
      <c r="Q1753" s="235">
        <f>SUMIFS(операции!$V:$V,операции!$X:$X,"&gt;="&amp;N$8,операции!$X:$X,"&lt;="&amp;N$9,операции!$AB:$AB,"&lt;&gt;"&amp;"",операции!$L:$L,Q$9,операции!$O:$O,$F1718)</f>
        <v>4879.74</v>
      </c>
      <c r="R1753" s="236"/>
      <c r="S1753" s="152">
        <f>SUMIFS(операции!$V:$V,операции!$X:$X,"&gt;="&amp;S$8,операции!$X:$X,"&lt;="&amp;S$9,операции!$AB:$AB,"&lt;&gt;"&amp;"",операции!$O:$O,$F1718)</f>
        <v>33346.21</v>
      </c>
      <c r="T1753" s="170">
        <f>S1753-U1753-V1753</f>
        <v>0</v>
      </c>
      <c r="U1753" s="152">
        <f>SUMIFS(операции!$V:$V,операции!$X:$X,"&gt;="&amp;S$8,операции!$X:$X,"&lt;="&amp;S$9,операции!$AB:$AB,"&lt;&gt;"&amp;"",операции!$L:$L,U$9,операции!$O:$O,$F1718)</f>
        <v>12762.62</v>
      </c>
      <c r="V1753" s="235">
        <f>SUMIFS(операции!$V:$V,операции!$X:$X,"&gt;="&amp;S$8,операции!$X:$X,"&lt;="&amp;S$9,операции!$AB:$AB,"&lt;&gt;"&amp;"",операции!$L:$L,V$9,операции!$O:$O,$F1718)</f>
        <v>20583.59</v>
      </c>
      <c r="W1753" s="236"/>
      <c r="X1753" s="152">
        <f>SUMIFS(операции!$V:$V,операции!$X:$X,"&gt;="&amp;X$8,операции!$X:$X,"&lt;="&amp;X$9,операции!$AB:$AB,"&lt;&gt;"&amp;"",операции!$O:$O,$F1718)</f>
        <v>15756.52</v>
      </c>
      <c r="Y1753" s="170">
        <f>X1753-Z1753-AA1753</f>
        <v>0</v>
      </c>
      <c r="Z1753" s="152">
        <f>SUMIFS(операции!$V:$V,операции!$X:$X,"&gt;="&amp;X$8,операции!$X:$X,"&lt;="&amp;X$9,операции!$AB:$AB,"&lt;&gt;"&amp;"",операции!$L:$L,Z$9,операции!$O:$O,$F1718)</f>
        <v>919.08</v>
      </c>
      <c r="AA1753" s="235">
        <f>SUMIFS(операции!$V:$V,операции!$X:$X,"&gt;="&amp;X$8,операции!$X:$X,"&lt;="&amp;X$9,операции!$AB:$AB,"&lt;&gt;"&amp;"",операции!$L:$L,AA$9,операции!$O:$O,$F1718)</f>
        <v>14837.44</v>
      </c>
      <c r="AB1753" s="264"/>
      <c r="AC1753" s="92"/>
      <c r="AD1753" s="92"/>
      <c r="AE1753" s="92"/>
      <c r="AF1753" s="92"/>
      <c r="AG1753" s="92"/>
      <c r="AH1753" s="92"/>
      <c r="AI1753" s="92"/>
      <c r="AJ1753" s="92"/>
      <c r="AK1753" s="92"/>
      <c r="AL1753" s="92"/>
      <c r="AM1753" s="92"/>
      <c r="AN1753" s="92"/>
      <c r="AO1753" s="92"/>
      <c r="AP1753" s="92"/>
    </row>
    <row r="1754" spans="1:42" s="192" customFormat="1" ht="11.25">
      <c r="A1754" s="37"/>
      <c r="B1754" s="37"/>
      <c r="C1754" s="37"/>
      <c r="D1754" s="191"/>
      <c r="E1754" s="191" t="s">
        <v>294</v>
      </c>
      <c r="F1754" s="191" t="str">
        <f t="shared" si="3058"/>
        <v>С-Тойз</v>
      </c>
      <c r="G1754" s="191" t="s">
        <v>262</v>
      </c>
      <c r="H1754" s="315"/>
      <c r="I1754" s="316">
        <f>IF(I1753=0,0,SUMIFS(операции!$AF:$AF,операции!$X:$X,"&gt;="&amp;I$8,операции!$X:$X,"&lt;="&amp;I$9,операции!$AB:$AB,"&lt;&gt;"&amp;"",операции!$O:$O,$F1718)/I1753)</f>
        <v>42267.572471876629</v>
      </c>
      <c r="J1754" s="317"/>
      <c r="K1754" s="316">
        <f>IF(K1753=0,0,SUMIFS(операции!$AF:$AF,операции!$X:$X,"&gt;="&amp;I$8,операции!$X:$X,"&lt;="&amp;I$9,операции!$AB:$AB,"&lt;&gt;"&amp;"",операции!$L:$L,K$9,операции!$O:$O,$F1718)/K1753)</f>
        <v>42168.367851737174</v>
      </c>
      <c r="L1754" s="318">
        <f>IF(L1753=0,0,SUMIFS(операции!$AF:$AF,операции!$X:$X,"&gt;="&amp;I$8,операции!$X:$X,"&lt;="&amp;I$9,операции!$AB:$AB,"&lt;&gt;"&amp;"",операции!$L:$L,L$9,операции!$O:$O,$F1718)/L1753)</f>
        <v>42321.501633095337</v>
      </c>
      <c r="M1754" s="274"/>
      <c r="N1754" s="193">
        <f>IF(N1753=0,0,SUMIFS(операции!$AF:$AF,операции!$X:$X,"&gt;="&amp;N$8,операции!$X:$X,"&lt;="&amp;N$9,операции!$AB:$AB,"&lt;&gt;"&amp;"",операции!$O:$O,$F1718)/N1753)</f>
        <v>42232.204456530359</v>
      </c>
      <c r="O1754" s="196"/>
      <c r="P1754" s="193">
        <f>IF(P1753=0,0,SUMIFS(операции!$AF:$AF,операции!$X:$X,"&gt;="&amp;N$8,операции!$X:$X,"&lt;="&amp;N$9,операции!$AB:$AB,"&lt;&gt;"&amp;"",операции!$L:$L,P$9,операции!$O:$O,$F1718)/P1753)</f>
        <v>42190.801031311312</v>
      </c>
      <c r="Q1754" s="237">
        <f>IF(Q1753=0,0,SUMIFS(операции!$AF:$AF,операции!$X:$X,"&gt;="&amp;N$8,операции!$X:$X,"&lt;="&amp;N$9,операции!$AB:$AB,"&lt;&gt;"&amp;"",операции!$L:$L,Q$9,операции!$O:$O,$F1718)/Q1753)</f>
        <v>42302.00366003107</v>
      </c>
      <c r="R1754" s="238"/>
      <c r="S1754" s="193">
        <f>IF(S1753=0,0,SUMIFS(операции!$AF:$AF,операции!$X:$X,"&gt;="&amp;S$8,операции!$X:$X,"&lt;="&amp;S$9,операции!$AB:$AB,"&lt;&gt;"&amp;"",операции!$O:$O,$F1718)/S1753)</f>
        <v>42250.43418037612</v>
      </c>
      <c r="T1754" s="196"/>
      <c r="U1754" s="193">
        <f>IF(U1753=0,0,SUMIFS(операции!$AF:$AF,операции!$X:$X,"&gt;="&amp;S$8,операции!$X:$X,"&lt;="&amp;S$9,операции!$AB:$AB,"&lt;&gt;"&amp;"",операции!$L:$L,U$9,операции!$O:$O,$F1718)/U1753)</f>
        <v>42145.436971405557</v>
      </c>
      <c r="V1754" s="237">
        <f>IF(V1753=0,0,SUMIFS(операции!$AF:$AF,операции!$X:$X,"&gt;="&amp;S$8,операции!$X:$X,"&lt;="&amp;S$9,операции!$AB:$AB,"&lt;&gt;"&amp;"",операции!$L:$L,V$9,операции!$O:$O,$F1718)/V1753)</f>
        <v>42315.536501164279</v>
      </c>
      <c r="W1754" s="238"/>
      <c r="X1754" s="193">
        <f>IF(X1753=0,0,SUMIFS(операции!$AF:$AF,операции!$X:$X,"&gt;="&amp;X$8,операции!$X:$X,"&lt;="&amp;X$9,операции!$AB:$AB,"&lt;&gt;"&amp;"",операции!$O:$O,$F1718)/X1753)</f>
        <v>42333.261845889821</v>
      </c>
      <c r="Y1754" s="196"/>
      <c r="Z1754" s="193">
        <f>IF(Z1753=0,0,SUMIFS(операции!$AF:$AF,операции!$X:$X,"&gt;="&amp;X$8,операции!$X:$X,"&lt;="&amp;X$9,операции!$AB:$AB,"&lt;&gt;"&amp;"",операции!$L:$L,Z$9,операции!$O:$O,$F1718)/Z1753)</f>
        <v>42286</v>
      </c>
      <c r="AA1754" s="237">
        <f>IF(AA1753=0,0,SUMIFS(операции!$AF:$AF,операции!$X:$X,"&gt;="&amp;X$8,операции!$X:$X,"&lt;="&amp;X$9,операции!$AB:$AB,"&lt;&gt;"&amp;"",операции!$L:$L,AA$9,операции!$O:$O,$F1718)/AA1753)</f>
        <v>42336.189400597403</v>
      </c>
      <c r="AB1754" s="265"/>
      <c r="AC1754" s="37"/>
      <c r="AD1754" s="37"/>
      <c r="AE1754" s="37"/>
      <c r="AF1754" s="37"/>
      <c r="AG1754" s="37"/>
      <c r="AH1754" s="37"/>
      <c r="AI1754" s="37"/>
      <c r="AJ1754" s="37"/>
      <c r="AK1754" s="37"/>
      <c r="AL1754" s="37"/>
      <c r="AM1754" s="37"/>
      <c r="AN1754" s="37"/>
      <c r="AO1754" s="37"/>
      <c r="AP1754" s="37"/>
    </row>
    <row r="1755" spans="1:42" s="192" customFormat="1" ht="11.25">
      <c r="A1755" s="37"/>
      <c r="B1755" s="37"/>
      <c r="C1755" s="37"/>
      <c r="D1755" s="191"/>
      <c r="E1755" s="191" t="s">
        <v>299</v>
      </c>
      <c r="F1755" s="191" t="str">
        <f t="shared" si="3058"/>
        <v>С-Тойз</v>
      </c>
      <c r="G1755" s="191" t="s">
        <v>262</v>
      </c>
      <c r="H1755" s="315"/>
      <c r="I1755" s="316">
        <f>IF(I1753=0,0,SUMIFS(операции!$AH:$AH,операции!$X:$X,"&gt;="&amp;I$8,операции!$X:$X,"&lt;="&amp;I$9,операции!$AB:$AB,"&lt;&gt;"&amp;"",операции!$O:$O,$F1718)/I1753)</f>
        <v>42290.996535704129</v>
      </c>
      <c r="J1755" s="317"/>
      <c r="K1755" s="316">
        <f>IF(K1753=0,0,SUMIFS(операции!$AH:$AH,операции!$X:$X,"&gt;="&amp;I$8,операции!$X:$X,"&lt;="&amp;I$9,операции!$AB:$AB,"&lt;&gt;"&amp;"",операции!$L:$L,K$9,операции!$O:$O,$F1718)/K1753)</f>
        <v>42192.385510486529</v>
      </c>
      <c r="L1755" s="318">
        <f>IF(L1753=0,0,SUMIFS(операции!$AH:$AH,операции!$X:$X,"&gt;="&amp;I$8,операции!$X:$X,"&lt;="&amp;I$9,операции!$AB:$AB,"&lt;&gt;"&amp;"",операции!$L:$L,L$9,операции!$O:$O,$F1718)/L1753)</f>
        <v>42344.603009570274</v>
      </c>
      <c r="M1755" s="274"/>
      <c r="N1755" s="193">
        <f>IF(N1753=0,0,SUMIFS(операции!$AH:$AH,операции!$X:$X,"&gt;="&amp;N$8,операции!$X:$X,"&lt;="&amp;N$9,операции!$AB:$AB,"&lt;&gt;"&amp;"",операции!$O:$O,$F1718)/N1753)</f>
        <v>42257.133985850924</v>
      </c>
      <c r="O1755" s="196"/>
      <c r="P1755" s="193">
        <f>IF(P1753=0,0,SUMIFS(операции!$AH:$AH,операции!$X:$X,"&gt;="&amp;N$8,операции!$X:$X,"&lt;="&amp;N$9,операции!$AB:$AB,"&lt;&gt;"&amp;"",операции!$L:$L,P$9,операции!$O:$O,$F1718)/P1753)</f>
        <v>42212.996907524779</v>
      </c>
      <c r="Q1755" s="237">
        <f>IF(Q1753=0,0,SUMIFS(операции!$AH:$AH,операции!$X:$X,"&gt;="&amp;N$8,операции!$X:$X,"&lt;="&amp;N$9,операции!$AB:$AB,"&lt;&gt;"&amp;"",операции!$L:$L,Q$9,операции!$O:$O,$F1718)/Q1753)</f>
        <v>42331.541668203638</v>
      </c>
      <c r="R1755" s="238"/>
      <c r="S1755" s="193">
        <f>IF(S1753=0,0,SUMIFS(операции!$AH:$AH,операции!$X:$X,"&gt;="&amp;S$8,операции!$X:$X,"&lt;="&amp;S$9,операции!$AB:$AB,"&lt;&gt;"&amp;"",операции!$O:$O,$F1718)/S1753)</f>
        <v>42274.296569835074</v>
      </c>
      <c r="T1755" s="196"/>
      <c r="U1755" s="193">
        <f>IF(U1753=0,0,SUMIFS(операции!$AH:$AH,операции!$X:$X,"&gt;="&amp;S$8,операции!$X:$X,"&lt;="&amp;S$9,операции!$AB:$AB,"&lt;&gt;"&amp;"",операции!$L:$L,U$9,операции!$O:$O,$F1718)/U1753)</f>
        <v>42170.198090204052</v>
      </c>
      <c r="V1755" s="237">
        <f>IF(V1753=0,0,SUMIFS(операции!$AH:$AH,операции!$X:$X,"&gt;="&amp;S$8,операции!$X:$X,"&lt;="&amp;S$9,операции!$AB:$AB,"&lt;&gt;"&amp;"",операции!$L:$L,V$9,операции!$O:$O,$F1718)/V1753)</f>
        <v>42338.841643756023</v>
      </c>
      <c r="W1755" s="238"/>
      <c r="X1755" s="193">
        <f>IF(X1753=0,0,SUMIFS(операции!$AH:$AH,операции!$X:$X,"&gt;="&amp;X$8,операции!$X:$X,"&lt;="&amp;X$9,операции!$AB:$AB,"&lt;&gt;"&amp;"",операции!$O:$O,$F1718)/X1753)</f>
        <v>42354.506026711482</v>
      </c>
      <c r="Y1755" s="196"/>
      <c r="Z1755" s="193">
        <f>IF(Z1753=0,0,SUMIFS(операции!$AH:$AH,операции!$X:$X,"&gt;="&amp;X$8,операции!$X:$X,"&lt;="&amp;X$9,операции!$AB:$AB,"&lt;&gt;"&amp;"",операции!$L:$L,Z$9,операции!$O:$O,$F1718)/Z1753)</f>
        <v>42316</v>
      </c>
      <c r="AA1755" s="237">
        <f>IF(AA1753=0,0,SUMIFS(операции!$AH:$AH,операции!$X:$X,"&gt;="&amp;X$8,операции!$X:$X,"&lt;="&amp;X$9,операции!$AB:$AB,"&lt;&gt;"&amp;"",операции!$L:$L,AA$9,операции!$O:$O,$F1718)/AA1753)</f>
        <v>42356.89121708327</v>
      </c>
      <c r="AB1755" s="265"/>
      <c r="AC1755" s="37"/>
      <c r="AD1755" s="37"/>
      <c r="AE1755" s="37"/>
      <c r="AF1755" s="37"/>
      <c r="AG1755" s="37"/>
      <c r="AH1755" s="37"/>
      <c r="AI1755" s="37"/>
      <c r="AJ1755" s="37"/>
      <c r="AK1755" s="37"/>
      <c r="AL1755" s="37"/>
      <c r="AM1755" s="37"/>
      <c r="AN1755" s="37"/>
      <c r="AO1755" s="37"/>
      <c r="AP1755" s="37"/>
    </row>
    <row r="1756" spans="1:42" s="5" customFormat="1">
      <c r="A1756" s="1"/>
      <c r="B1756" s="1"/>
      <c r="C1756" s="1"/>
      <c r="D1756" s="168"/>
      <c r="E1756" s="168" t="s">
        <v>296</v>
      </c>
      <c r="F1756" s="168" t="str">
        <f t="shared" si="3058"/>
        <v>С-Тойз</v>
      </c>
      <c r="G1756" s="168" t="s">
        <v>261</v>
      </c>
      <c r="H1756" s="326"/>
      <c r="I1756" s="327">
        <f>I1751-I1753</f>
        <v>19470.109999999986</v>
      </c>
      <c r="J1756" s="313">
        <f>I1756-K1756-L1756</f>
        <v>0</v>
      </c>
      <c r="K1756" s="327">
        <f t="shared" ref="K1756:L1756" si="3135">K1751-K1753</f>
        <v>4751.8800000000047</v>
      </c>
      <c r="L1756" s="328">
        <f t="shared" si="3135"/>
        <v>14718.229999999981</v>
      </c>
      <c r="M1756" s="277"/>
      <c r="N1756" s="169">
        <f>N1751-N1753</f>
        <v>2585.8399999999983</v>
      </c>
      <c r="O1756" s="170">
        <f>N1756-P1756-Q1756</f>
        <v>0</v>
      </c>
      <c r="P1756" s="169">
        <f t="shared" ref="P1756:Q1756" si="3136">P1751-P1753</f>
        <v>451.57999999999993</v>
      </c>
      <c r="Q1756" s="243">
        <f t="shared" si="3136"/>
        <v>2134.2600000000002</v>
      </c>
      <c r="R1756" s="244"/>
      <c r="S1756" s="169">
        <f>S1751-S1753</f>
        <v>13743.79</v>
      </c>
      <c r="T1756" s="170">
        <f>S1756-U1756-V1756</f>
        <v>0</v>
      </c>
      <c r="U1756" s="169">
        <f t="shared" ref="U1756:V1756" si="3137">U1751-U1753</f>
        <v>4012.3799999999992</v>
      </c>
      <c r="V1756" s="243">
        <f t="shared" si="3137"/>
        <v>9731.41</v>
      </c>
      <c r="W1756" s="244"/>
      <c r="X1756" s="169">
        <f>X1751-X1753</f>
        <v>3140.4799999999996</v>
      </c>
      <c r="Y1756" s="170">
        <f>X1756-Z1756-AA1756</f>
        <v>0</v>
      </c>
      <c r="Z1756" s="169">
        <f t="shared" ref="Z1756:AA1756" si="3138">Z1751-Z1753</f>
        <v>287.91999999999996</v>
      </c>
      <c r="AA1756" s="243">
        <f t="shared" si="3138"/>
        <v>2852.5599999999995</v>
      </c>
      <c r="AB1756" s="266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</row>
    <row r="1757" spans="1:42" s="211" customFormat="1">
      <c r="A1757" s="210"/>
      <c r="B1757" s="210"/>
      <c r="C1757" s="210"/>
      <c r="D1757" s="218"/>
      <c r="E1757" s="218" t="s">
        <v>297</v>
      </c>
      <c r="F1757" s="218" t="str">
        <f t="shared" si="3058"/>
        <v>С-Тойз</v>
      </c>
      <c r="G1757" s="218" t="s">
        <v>218</v>
      </c>
      <c r="H1757" s="343"/>
      <c r="I1757" s="344">
        <f>IF(I1751=0,0,(I1756/I1751))</f>
        <v>0.23837351093916412</v>
      </c>
      <c r="J1757" s="345"/>
      <c r="K1757" s="344">
        <f t="shared" ref="K1757" si="3139">IF(K1751=0,0,(K1756/K1751))</f>
        <v>0.17824006001500392</v>
      </c>
      <c r="L1757" s="346">
        <f t="shared" ref="L1757" si="3140">IF(L1751=0,0,(L1756/L1751))</f>
        <v>0.26751176866173471</v>
      </c>
      <c r="M1757" s="280"/>
      <c r="N1757" s="219">
        <f>IF(N1751=0,0,(N1756/N1751))</f>
        <v>0.1647871526892683</v>
      </c>
      <c r="O1757" s="220"/>
      <c r="P1757" s="219">
        <f t="shared" ref="P1757" si="3141">IF(P1751=0,0,(P1756/P1751))</f>
        <v>5.2037335791657056E-2</v>
      </c>
      <c r="Q1757" s="252">
        <f t="shared" ref="Q1757" si="3142">IF(Q1751=0,0,(Q1756/Q1751))</f>
        <v>0.30428571428571433</v>
      </c>
      <c r="R1757" s="253"/>
      <c r="S1757" s="219">
        <f>IF(S1751=0,0,(S1756/S1751))</f>
        <v>0.2918621788065407</v>
      </c>
      <c r="T1757" s="220"/>
      <c r="U1757" s="219">
        <f t="shared" ref="U1757" si="3143">IF(U1751=0,0,(U1756/U1751))</f>
        <v>0.23918807749627416</v>
      </c>
      <c r="V1757" s="252">
        <f t="shared" ref="V1757" si="3144">IF(V1751=0,0,(V1756/V1751))</f>
        <v>0.3210097311561933</v>
      </c>
      <c r="W1757" s="253"/>
      <c r="X1757" s="219">
        <f>IF(X1751=0,0,(X1756/X1751))</f>
        <v>0.16618934222363335</v>
      </c>
      <c r="Y1757" s="220"/>
      <c r="Z1757" s="219">
        <f t="shared" ref="Z1757" si="3145">IF(Z1751=0,0,(Z1756/Z1751))</f>
        <v>0.2385418392709196</v>
      </c>
      <c r="AA1757" s="252">
        <f t="shared" ref="AA1757" si="3146">IF(AA1751=0,0,(AA1756/AA1751))</f>
        <v>0.16125268513284338</v>
      </c>
      <c r="AB1757" s="267"/>
      <c r="AC1757" s="210"/>
      <c r="AD1757" s="210"/>
      <c r="AE1757" s="210"/>
      <c r="AF1757" s="210"/>
      <c r="AG1757" s="210"/>
      <c r="AH1757" s="210"/>
      <c r="AI1757" s="210"/>
      <c r="AJ1757" s="210"/>
      <c r="AK1757" s="210"/>
      <c r="AL1757" s="210"/>
      <c r="AM1757" s="210"/>
      <c r="AN1757" s="210"/>
      <c r="AO1757" s="210"/>
      <c r="AP1757" s="210"/>
    </row>
    <row r="1758" spans="1:42" s="5" customFormat="1">
      <c r="A1758" s="1"/>
      <c r="B1758" s="1"/>
      <c r="C1758" s="1"/>
      <c r="D1758" s="227"/>
      <c r="E1758" s="227" t="s">
        <v>298</v>
      </c>
      <c r="F1758" s="227" t="str">
        <f t="shared" si="3058"/>
        <v>С-Тойз</v>
      </c>
      <c r="G1758" s="227" t="s">
        <v>219</v>
      </c>
      <c r="H1758" s="347"/>
      <c r="I1758" s="348">
        <f>I1752-I1754</f>
        <v>57.217914881286561</v>
      </c>
      <c r="J1758" s="321"/>
      <c r="K1758" s="348">
        <f t="shared" ref="K1758:L1758" si="3147">K1752-K1754</f>
        <v>150.84989019831119</v>
      </c>
      <c r="L1758" s="349">
        <f t="shared" si="3147"/>
        <v>5.9890337652032031</v>
      </c>
      <c r="M1758" s="281"/>
      <c r="N1758" s="228">
        <f>N1752-N1754</f>
        <v>70.134952085500117</v>
      </c>
      <c r="O1758" s="173"/>
      <c r="P1758" s="228">
        <f t="shared" ref="P1758:Q1758" si="3148">P1752-P1754</f>
        <v>108.73941579631355</v>
      </c>
      <c r="Q1758" s="254">
        <f t="shared" si="3148"/>
        <v>3.7987351785122883</v>
      </c>
      <c r="R1758" s="255"/>
      <c r="S1758" s="228">
        <f>S1752-S1754</f>
        <v>73.381789044142351</v>
      </c>
      <c r="T1758" s="173"/>
      <c r="U1758" s="228">
        <f t="shared" ref="U1758:V1758" si="3149">U1752-U1754</f>
        <v>182.32094215629331</v>
      </c>
      <c r="V1758" s="254">
        <f t="shared" si="3149"/>
        <v>6.0981681413468323</v>
      </c>
      <c r="W1758" s="255"/>
      <c r="X1758" s="228">
        <f>X1752-X1754</f>
        <v>12.599931111821206</v>
      </c>
      <c r="Y1758" s="173"/>
      <c r="Z1758" s="228">
        <f t="shared" ref="Z1758:AA1758" si="3150">Z1752-Z1754</f>
        <v>56</v>
      </c>
      <c r="AA1758" s="254">
        <f t="shared" si="3150"/>
        <v>9.9358679158831364</v>
      </c>
      <c r="AB1758" s="266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</row>
    <row r="1759" spans="1:42" s="5" customFormat="1">
      <c r="A1759" s="1"/>
      <c r="B1759" s="1"/>
      <c r="C1759" s="1"/>
      <c r="D1759" s="227"/>
      <c r="E1759" s="227" t="s">
        <v>300</v>
      </c>
      <c r="F1759" s="227" t="str">
        <f t="shared" si="3058"/>
        <v>С-Тойз</v>
      </c>
      <c r="G1759" s="227" t="s">
        <v>219</v>
      </c>
      <c r="H1759" s="347"/>
      <c r="I1759" s="348">
        <f>I1755-I1754</f>
        <v>23.424063827500504</v>
      </c>
      <c r="J1759" s="321"/>
      <c r="K1759" s="348">
        <f t="shared" ref="K1759:L1759" si="3151">K1755-K1754</f>
        <v>24.017658749355178</v>
      </c>
      <c r="L1759" s="349">
        <f t="shared" si="3151"/>
        <v>23.101376474936842</v>
      </c>
      <c r="M1759" s="281"/>
      <c r="N1759" s="228">
        <f>N1755-N1754</f>
        <v>24.929529320565052</v>
      </c>
      <c r="O1759" s="173"/>
      <c r="P1759" s="228">
        <f t="shared" ref="P1759:Q1759" si="3152">P1755-P1754</f>
        <v>22.195876213467272</v>
      </c>
      <c r="Q1759" s="254">
        <f t="shared" si="3152"/>
        <v>29.538008172567061</v>
      </c>
      <c r="R1759" s="255"/>
      <c r="S1759" s="228">
        <f>S1755-S1754</f>
        <v>23.862389458954567</v>
      </c>
      <c r="T1759" s="173"/>
      <c r="U1759" s="228">
        <f t="shared" ref="U1759:V1759" si="3153">U1755-U1754</f>
        <v>24.761118798494863</v>
      </c>
      <c r="V1759" s="254">
        <f t="shared" si="3153"/>
        <v>23.305142591743788</v>
      </c>
      <c r="W1759" s="255"/>
      <c r="X1759" s="228">
        <f>X1755-X1754</f>
        <v>21.244180821660848</v>
      </c>
      <c r="Y1759" s="173"/>
      <c r="Z1759" s="228">
        <f t="shared" ref="Z1759:AA1759" si="3154">Z1755-Z1754</f>
        <v>30</v>
      </c>
      <c r="AA1759" s="254">
        <f t="shared" si="3154"/>
        <v>20.701816485867312</v>
      </c>
      <c r="AB1759" s="266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</row>
    <row r="1760" spans="1:42" s="93" customFormat="1" ht="15">
      <c r="A1760" s="92"/>
      <c r="B1760" s="92"/>
      <c r="C1760" s="92"/>
      <c r="D1760" s="221"/>
      <c r="E1760" s="221" t="s">
        <v>301</v>
      </c>
      <c r="F1760" s="221" t="str">
        <f t="shared" si="3058"/>
        <v>С-Тойз</v>
      </c>
      <c r="G1760" s="221" t="s">
        <v>219</v>
      </c>
      <c r="H1760" s="357"/>
      <c r="I1760" s="358">
        <f>I1758-I1759</f>
        <v>33.793851053786057</v>
      </c>
      <c r="J1760" s="352"/>
      <c r="K1760" s="358">
        <f t="shared" ref="K1760" si="3155">K1758-K1759</f>
        <v>126.83223144895601</v>
      </c>
      <c r="L1760" s="359">
        <f t="shared" ref="L1760" si="3156">L1758-L1759</f>
        <v>-17.112342709733639</v>
      </c>
      <c r="M1760" s="284"/>
      <c r="N1760" s="222">
        <f>N1758-N1759</f>
        <v>45.205422764935065</v>
      </c>
      <c r="O1760" s="181"/>
      <c r="P1760" s="222">
        <f t="shared" ref="P1760" si="3157">P1758-P1759</f>
        <v>86.543539582846279</v>
      </c>
      <c r="Q1760" s="260">
        <f t="shared" ref="Q1760" si="3158">Q1758-Q1759</f>
        <v>-25.739272994054772</v>
      </c>
      <c r="R1760" s="261"/>
      <c r="S1760" s="222">
        <f>S1758-S1759</f>
        <v>49.519399585187784</v>
      </c>
      <c r="T1760" s="181"/>
      <c r="U1760" s="222">
        <f t="shared" ref="U1760" si="3159">U1758-U1759</f>
        <v>157.55982335779845</v>
      </c>
      <c r="V1760" s="260">
        <f t="shared" ref="V1760" si="3160">V1758-V1759</f>
        <v>-17.206974450396956</v>
      </c>
      <c r="W1760" s="261"/>
      <c r="X1760" s="222">
        <f>X1758-X1759</f>
        <v>-8.6442497098396416</v>
      </c>
      <c r="Y1760" s="181"/>
      <c r="Z1760" s="222">
        <f t="shared" ref="Z1760" si="3161">Z1758-Z1759</f>
        <v>26</v>
      </c>
      <c r="AA1760" s="260">
        <f t="shared" ref="AA1760" si="3162">AA1758-AA1759</f>
        <v>-10.765948569984175</v>
      </c>
      <c r="AB1760" s="264"/>
      <c r="AC1760" s="92"/>
      <c r="AD1760" s="92"/>
      <c r="AE1760" s="92"/>
      <c r="AF1760" s="92"/>
      <c r="AG1760" s="92"/>
      <c r="AH1760" s="92"/>
      <c r="AI1760" s="92"/>
      <c r="AJ1760" s="92"/>
      <c r="AK1760" s="92"/>
      <c r="AL1760" s="92"/>
      <c r="AM1760" s="92"/>
      <c r="AN1760" s="92"/>
      <c r="AO1760" s="92"/>
      <c r="AP1760" s="92"/>
    </row>
    <row r="1761" spans="1:42" s="5" customFormat="1">
      <c r="A1761" s="1"/>
      <c r="B1761" s="1"/>
      <c r="C1761" s="1"/>
      <c r="D1761" s="223"/>
      <c r="E1761" s="223" t="s">
        <v>302</v>
      </c>
      <c r="F1761" s="223" t="str">
        <f t="shared" si="3058"/>
        <v>С-Тойз</v>
      </c>
      <c r="G1761" s="223" t="s">
        <v>261</v>
      </c>
      <c r="H1761" s="354"/>
      <c r="I1761" s="355">
        <f>SUMIFS(операции!$Z:$Z,операции!$X:$X,"&gt;="&amp;I$8,операции!$X:$X,"&lt;="&amp;I$9,операции!$AB:$AB,"",операции!$O:$O,$F1718)</f>
        <v>33272</v>
      </c>
      <c r="J1761" s="341">
        <f>I1761-K1761-L1761</f>
        <v>0</v>
      </c>
      <c r="K1761" s="355">
        <f>SUMIFS(операции!$Z:$Z,операции!$X:$X,"&gt;="&amp;I$8,операции!$X:$X,"&lt;="&amp;I$9,операции!$AB:$AB,"",операции!$L:$L,K$9,операции!$O:$O,$F1718)</f>
        <v>12282</v>
      </c>
      <c r="L1761" s="356">
        <f>SUMIFS(операции!$Z:$Z,операции!$X:$X,"&gt;="&amp;I$8,операции!$X:$X,"&lt;="&amp;I$9,операции!$AB:$AB,"",операции!$L:$L,L$9,операции!$O:$O,$F1718)</f>
        <v>20990</v>
      </c>
      <c r="M1761" s="283"/>
      <c r="N1761" s="224">
        <f>SUMIFS(операции!$Z:$Z,операции!$X:$X,"&gt;="&amp;N$8,операции!$X:$X,"&lt;="&amp;N$9,операции!$AB:$AB,"",операции!$O:$O,$F1718)</f>
        <v>7948</v>
      </c>
      <c r="O1761" s="216">
        <f>N1761-P1761-Q1761</f>
        <v>0</v>
      </c>
      <c r="P1761" s="224">
        <f>SUMIFS(операции!$Z:$Z,операции!$X:$X,"&gt;="&amp;N$8,операции!$X:$X,"&lt;="&amp;N$9,операции!$AB:$AB,"",операции!$L:$L,P$9,операции!$O:$O,$F1718)</f>
        <v>2461</v>
      </c>
      <c r="Q1761" s="258">
        <f>SUMIFS(операции!$Z:$Z,операции!$X:$X,"&gt;="&amp;N$8,операции!$X:$X,"&lt;="&amp;N$9,операции!$AB:$AB,"",операции!$L:$L,Q$9,операции!$O:$O,$F1718)</f>
        <v>5487</v>
      </c>
      <c r="R1761" s="259"/>
      <c r="S1761" s="224">
        <f>SUMIFS(операции!$Z:$Z,операции!$X:$X,"&gt;="&amp;S$8,операции!$X:$X,"&lt;="&amp;S$9,операции!$AB:$AB,"",операции!$O:$O,$F1718)</f>
        <v>10035</v>
      </c>
      <c r="T1761" s="216">
        <f>S1761-U1761-V1761</f>
        <v>0</v>
      </c>
      <c r="U1761" s="224">
        <f>SUMIFS(операции!$Z:$Z,операции!$X:$X,"&gt;="&amp;S$8,операции!$X:$X,"&lt;="&amp;S$9,операции!$AB:$AB,"",операции!$L:$L,U$9,операции!$O:$O,$F1718)</f>
        <v>4271</v>
      </c>
      <c r="V1761" s="258">
        <f>SUMIFS(операции!$Z:$Z,операции!$X:$X,"&gt;="&amp;S$8,операции!$X:$X,"&lt;="&amp;S$9,операции!$AB:$AB,"",операции!$L:$L,V$9,операции!$O:$O,$F1718)</f>
        <v>5764</v>
      </c>
      <c r="W1761" s="259"/>
      <c r="X1761" s="224">
        <f>SUMIFS(операции!$Z:$Z,операции!$X:$X,"&gt;="&amp;X$8,операции!$X:$X,"&lt;="&amp;X$9,операции!$AB:$AB,"",операции!$O:$O,$F1718)</f>
        <v>15289</v>
      </c>
      <c r="Y1761" s="216">
        <f>X1761-Z1761-AA1761</f>
        <v>0</v>
      </c>
      <c r="Z1761" s="224">
        <f>SUMIFS(операции!$Z:$Z,операции!$X:$X,"&gt;="&amp;X$8,операции!$X:$X,"&lt;="&amp;X$9,операции!$AB:$AB,"",операции!$L:$L,Z$9,операции!$O:$O,$F1718)</f>
        <v>5550</v>
      </c>
      <c r="AA1761" s="258">
        <f>SUMIFS(операции!$Z:$Z,операции!$X:$X,"&gt;="&amp;X$8,операции!$X:$X,"&lt;="&amp;X$9,операции!$AB:$AB,"",операции!$L:$L,AA$9,операции!$O:$O,$F1718)</f>
        <v>9739</v>
      </c>
      <c r="AB1761" s="266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</row>
    <row r="1762" spans="1:42" s="192" customFormat="1" ht="11.25">
      <c r="A1762" s="37"/>
      <c r="B1762" s="37"/>
      <c r="C1762" s="37"/>
      <c r="D1762" s="191"/>
      <c r="E1762" s="191" t="s">
        <v>303</v>
      </c>
      <c r="F1762" s="191" t="str">
        <f t="shared" si="3058"/>
        <v>С-Тойз</v>
      </c>
      <c r="G1762" s="191" t="s">
        <v>262</v>
      </c>
      <c r="H1762" s="315"/>
      <c r="I1762" s="316">
        <f>IF(I1761=0,0,SUMIFS(операции!$AG:$AG,операции!$X:$X,"&gt;="&amp;I$8,операции!$X:$X,"&lt;="&amp;I$9,операции!$AB:$AB,"",операции!$O:$O,$F1718)/I1761)</f>
        <v>42328.241253907188</v>
      </c>
      <c r="J1762" s="317"/>
      <c r="K1762" s="316">
        <f>IF(K1761=0,0,SUMIFS(операции!$AG:$AG,операции!$X:$X,"&gt;="&amp;I$8,операции!$X:$X,"&lt;="&amp;I$9,операции!$AB:$AB,"",операции!$L:$L,K$9,операции!$O:$O,$F1718)/K1761)</f>
        <v>42327.498615860612</v>
      </c>
      <c r="L1762" s="318">
        <f>IF(L1761=0,0,SUMIFS(операции!$AG:$AG,операции!$X:$X,"&gt;="&amp;I$8,операции!$X:$X,"&lt;="&amp;I$9,операции!$AB:$AB,"",операции!$L:$L,L$9,операции!$O:$O,$F1718)/L1761)</f>
        <v>42328.675797999051</v>
      </c>
      <c r="M1762" s="274"/>
      <c r="N1762" s="193">
        <f>IF(N1761=0,0,SUMIFS(операции!$AG:$AG,операции!$X:$X,"&gt;="&amp;N$8,операции!$X:$X,"&lt;="&amp;N$9,операции!$AB:$AB,"",операции!$O:$O,$F1718)/N1761)</f>
        <v>42302.322848515352</v>
      </c>
      <c r="O1762" s="196"/>
      <c r="P1762" s="193">
        <f>IF(P1761=0,0,SUMIFS(операции!$AG:$AG,операции!$X:$X,"&gt;="&amp;N$8,операции!$X:$X,"&lt;="&amp;N$9,операции!$AB:$AB,"",операции!$L:$L,P$9,операции!$O:$O,$F1718)/P1761)</f>
        <v>42294</v>
      </c>
      <c r="Q1762" s="237">
        <f>IF(Q1761=0,0,SUMIFS(операции!$AG:$AG,операции!$X:$X,"&gt;="&amp;N$8,операции!$X:$X,"&lt;="&amp;N$9,операции!$AB:$AB,"",операции!$L:$L,Q$9,операции!$O:$O,$F1718)/Q1761)</f>
        <v>42306.055768179336</v>
      </c>
      <c r="R1762" s="238"/>
      <c r="S1762" s="193">
        <f>IF(S1761=0,0,SUMIFS(операции!$AG:$AG,операции!$X:$X,"&gt;="&amp;S$8,операции!$X:$X,"&lt;="&amp;S$9,операции!$AB:$AB,"",операции!$O:$O,$F1718)/S1761)</f>
        <v>42321.606576980565</v>
      </c>
      <c r="T1762" s="196"/>
      <c r="U1762" s="193">
        <f>IF(U1761=0,0,SUMIFS(операции!$AG:$AG,операции!$X:$X,"&gt;="&amp;S$8,операции!$X:$X,"&lt;="&amp;S$9,операции!$AB:$AB,"",операции!$L:$L,U$9,операции!$O:$O,$F1718)/U1761)</f>
        <v>42320.160149847812</v>
      </c>
      <c r="V1762" s="237">
        <f>IF(V1761=0,0,SUMIFS(операции!$AG:$AG,операции!$X:$X,"&gt;="&amp;S$8,операции!$X:$X,"&lt;="&amp;S$9,операции!$AB:$AB,"",операции!$L:$L,V$9,операции!$O:$O,$F1718)/V1761)</f>
        <v>42322.678348369191</v>
      </c>
      <c r="W1762" s="238"/>
      <c r="X1762" s="193">
        <f>IF(X1761=0,0,SUMIFS(операции!$AG:$AG,операции!$X:$X,"&gt;="&amp;X$8,операции!$X:$X,"&lt;="&amp;X$9,операции!$AB:$AB,"",операции!$O:$O,$F1718)/X1761)</f>
        <v>42346.069657923996</v>
      </c>
      <c r="Y1762" s="196"/>
      <c r="Z1762" s="193">
        <f>IF(Z1761=0,0,SUMIFS(операции!$AG:$AG,операции!$X:$X,"&gt;="&amp;X$8,операции!$X:$X,"&lt;="&amp;X$9,операции!$AB:$AB,"",операции!$L:$L,Z$9,операции!$O:$O,$F1718)/Z1761)</f>
        <v>42348</v>
      </c>
      <c r="AA1762" s="237">
        <f>IF(AA1761=0,0,SUMIFS(операции!$AG:$AG,операции!$X:$X,"&gt;="&amp;X$8,операции!$X:$X,"&lt;="&amp;X$9,операции!$AB:$AB,"",операции!$L:$L,AA$9,операции!$O:$O,$F1718)/AA1761)</f>
        <v>42344.969606735802</v>
      </c>
      <c r="AB1762" s="265"/>
      <c r="AC1762" s="37"/>
      <c r="AD1762" s="37"/>
      <c r="AE1762" s="37"/>
      <c r="AF1762" s="37"/>
      <c r="AG1762" s="37"/>
      <c r="AH1762" s="37"/>
      <c r="AI1762" s="37"/>
      <c r="AJ1762" s="37"/>
      <c r="AK1762" s="37"/>
      <c r="AL1762" s="37"/>
      <c r="AM1762" s="37"/>
      <c r="AN1762" s="37"/>
      <c r="AO1762" s="37"/>
      <c r="AP1762" s="37"/>
    </row>
    <row r="1763" spans="1:42" s="5" customFormat="1">
      <c r="A1763" s="1"/>
      <c r="B1763" s="1"/>
      <c r="C1763" s="1"/>
      <c r="D1763" s="168"/>
      <c r="E1763" s="168" t="s">
        <v>304</v>
      </c>
      <c r="F1763" s="168" t="str">
        <f t="shared" si="3058"/>
        <v>С-Тойз</v>
      </c>
      <c r="G1763" s="168" t="s">
        <v>261</v>
      </c>
      <c r="H1763" s="326"/>
      <c r="I1763" s="327">
        <f>SUMIFS(операции!$V:$V,операции!$X:$X,"&gt;="&amp;I$8,операции!$X:$X,"&lt;="&amp;I$9,операции!$AB:$AB,"",операции!$O:$O,$F1718)</f>
        <v>29534.950000000012</v>
      </c>
      <c r="J1763" s="313">
        <f>I1763-K1763-L1763</f>
        <v>0</v>
      </c>
      <c r="K1763" s="327">
        <f>SUMIFS(операции!$V:$V,операции!$X:$X,"&gt;="&amp;I$8,операции!$X:$X,"&lt;="&amp;I$9,операции!$AB:$AB,"",операции!$L:$L,K$9,операции!$O:$O,$F1718)</f>
        <v>12441.099999999999</v>
      </c>
      <c r="L1763" s="328">
        <f>SUMIFS(операции!$V:$V,операции!$X:$X,"&gt;="&amp;I$8,операции!$X:$X,"&lt;="&amp;I$9,операции!$AB:$AB,"",операции!$L:$L,L$9,операции!$O:$O,$F1718)</f>
        <v>17093.849999999999</v>
      </c>
      <c r="M1763" s="277"/>
      <c r="N1763" s="169">
        <f>SUMIFS(операции!$V:$V,операции!$X:$X,"&gt;="&amp;N$8,операции!$X:$X,"&lt;="&amp;N$9,операции!$AB:$AB,"",операции!$O:$O,$F1718)</f>
        <v>6271.4099999999989</v>
      </c>
      <c r="O1763" s="170">
        <f>N1763-P1763-Q1763</f>
        <v>0</v>
      </c>
      <c r="P1763" s="169">
        <f>SUMIFS(операции!$V:$V,операции!$X:$X,"&gt;="&amp;N$8,операции!$X:$X,"&lt;="&amp;N$9,операции!$AB:$AB,"",операции!$L:$L,P$9,операции!$O:$O,$F1718)</f>
        <v>2111.15</v>
      </c>
      <c r="Q1763" s="243">
        <f>SUMIFS(операции!$V:$V,операции!$X:$X,"&gt;="&amp;N$8,операции!$X:$X,"&lt;="&amp;N$9,операции!$AB:$AB,"",операции!$L:$L,Q$9,операции!$O:$O,$F1718)</f>
        <v>4160.26</v>
      </c>
      <c r="R1763" s="244"/>
      <c r="S1763" s="169">
        <f>SUMIFS(операции!$V:$V,операции!$X:$X,"&gt;="&amp;S$8,операции!$X:$X,"&lt;="&amp;S$9,операции!$AB:$AB,"",операции!$O:$O,$F1718)</f>
        <v>7771.16</v>
      </c>
      <c r="T1763" s="170">
        <f>S1763-U1763-V1763</f>
        <v>0</v>
      </c>
      <c r="U1763" s="169">
        <f>SUMIFS(операции!$V:$V,операции!$X:$X,"&gt;="&amp;S$8,операции!$X:$X,"&lt;="&amp;S$9,операции!$AB:$AB,"",операции!$L:$L,U$9,операции!$O:$O,$F1718)</f>
        <v>3429.95</v>
      </c>
      <c r="V1763" s="243">
        <f>SUMIFS(операции!$V:$V,операции!$X:$X,"&gt;="&amp;S$8,операции!$X:$X,"&lt;="&amp;S$9,операции!$AB:$AB,"",операции!$L:$L,V$9,операции!$O:$O,$F1718)</f>
        <v>4341.21</v>
      </c>
      <c r="W1763" s="244"/>
      <c r="X1763" s="169">
        <f>SUMIFS(операции!$V:$V,операции!$X:$X,"&gt;="&amp;X$8,операции!$X:$X,"&lt;="&amp;X$9,операции!$AB:$AB,"",операции!$O:$O,$F1718)</f>
        <v>15492.38</v>
      </c>
      <c r="Y1763" s="170">
        <f>X1763-Z1763-AA1763</f>
        <v>0</v>
      </c>
      <c r="Z1763" s="169">
        <f>SUMIFS(операции!$V:$V,операции!$X:$X,"&gt;="&amp;X$8,операции!$X:$X,"&lt;="&amp;X$9,операции!$AB:$AB,"",операции!$L:$L,Z$9,операции!$O:$O,$F1718)</f>
        <v>6900</v>
      </c>
      <c r="AA1763" s="243">
        <f>SUMIFS(операции!$V:$V,операции!$X:$X,"&gt;="&amp;X$8,операции!$X:$X,"&lt;="&amp;X$9,операции!$AB:$AB,"",операции!$L:$L,AA$9,операции!$O:$O,$F1718)</f>
        <v>8592.380000000001</v>
      </c>
      <c r="AB1763" s="266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</row>
    <row r="1764" spans="1:42" s="192" customFormat="1" ht="11.25">
      <c r="A1764" s="37"/>
      <c r="B1764" s="37"/>
      <c r="C1764" s="37"/>
      <c r="D1764" s="191"/>
      <c r="E1764" s="191" t="s">
        <v>305</v>
      </c>
      <c r="F1764" s="191" t="str">
        <f t="shared" si="3058"/>
        <v>С-Тойз</v>
      </c>
      <c r="G1764" s="191" t="s">
        <v>262</v>
      </c>
      <c r="H1764" s="315"/>
      <c r="I1764" s="316">
        <f>IF(I1763=0,0,SUMIFS(операции!$AF:$AF,операции!$X:$X,"&gt;="&amp;I$8,операции!$X:$X,"&lt;="&amp;I$9,операции!$AB:$AB,"",операции!$O:$O,$F1718)/I1763)</f>
        <v>42245.411608619608</v>
      </c>
      <c r="J1764" s="317"/>
      <c r="K1764" s="316">
        <f>IF(K1763=0,0,SUMIFS(операции!$AF:$AF,операции!$X:$X,"&gt;="&amp;I$8,операции!$X:$X,"&lt;="&amp;I$9,операции!$AB:$AB,"",операции!$L:$L,K$9,операции!$O:$O,$F1718)/K1763)</f>
        <v>42137.91345620565</v>
      </c>
      <c r="L1764" s="318">
        <f>IF(L1763=0,0,SUMIFS(операции!$AF:$AF,операции!$X:$X,"&gt;="&amp;I$8,операции!$X:$X,"&lt;="&amp;I$9,операции!$AB:$AB,"",операции!$L:$L,L$9,операции!$O:$O,$F1718)/L1763)</f>
        <v>42323.649996343716</v>
      </c>
      <c r="M1764" s="274"/>
      <c r="N1764" s="193">
        <f>IF(N1763=0,0,SUMIFS(операции!$AF:$AF,операции!$X:$X,"&gt;="&amp;N$8,операции!$X:$X,"&lt;="&amp;N$9,операции!$AB:$AB,"",операции!$O:$O,$F1718)/N1763)</f>
        <v>42248.727672086512</v>
      </c>
      <c r="O1764" s="196"/>
      <c r="P1764" s="193">
        <f>IF(P1763=0,0,SUMIFS(операции!$AF:$AF,операции!$X:$X,"&gt;="&amp;N$8,операции!$X:$X,"&lt;="&amp;N$9,операции!$AB:$AB,"",операции!$L:$L,P$9,операции!$O:$O,$F1718)/P1763)</f>
        <v>42142</v>
      </c>
      <c r="Q1764" s="237">
        <f>IF(Q1763=0,0,SUMIFS(операции!$AF:$AF,операции!$X:$X,"&gt;="&amp;N$8,операции!$X:$X,"&lt;="&amp;N$9,операции!$AB:$AB,"",операции!$L:$L,Q$9,операции!$O:$O,$F1718)/Q1763)</f>
        <v>42302.887297909263</v>
      </c>
      <c r="R1764" s="238"/>
      <c r="S1764" s="193">
        <f>IF(S1763=0,0,SUMIFS(операции!$AF:$AF,операции!$X:$X,"&gt;="&amp;S$8,операции!$X:$X,"&lt;="&amp;S$9,операции!$AB:$AB,"",операции!$O:$O,$F1718)/S1763)</f>
        <v>42228.451209343264</v>
      </c>
      <c r="T1764" s="196"/>
      <c r="U1764" s="193">
        <f>IF(U1763=0,0,SUMIFS(операции!$AF:$AF,операции!$X:$X,"&gt;="&amp;S$8,операции!$X:$X,"&lt;="&amp;S$9,операции!$AB:$AB,"",операции!$L:$L,U$9,операции!$O:$O,$F1718)/U1763)</f>
        <v>42115.107158996492</v>
      </c>
      <c r="V1764" s="237">
        <f>IF(V1763=0,0,SUMIFS(операции!$AF:$AF,операции!$X:$X,"&gt;="&amp;S$8,операции!$X:$X,"&lt;="&amp;S$9,операции!$AB:$AB,"",операции!$L:$L,V$9,операции!$O:$O,$F1718)/V1763)</f>
        <v>42318.003298619507</v>
      </c>
      <c r="W1764" s="238"/>
      <c r="X1764" s="193">
        <f>IF(X1763=0,0,SUMIFS(операции!$AF:$AF,операции!$X:$X,"&gt;="&amp;X$8,операции!$X:$X,"&lt;="&amp;X$9,операции!$AB:$AB,"",операции!$O:$O,$F1718)/X1763)</f>
        <v>42252.576781617798</v>
      </c>
      <c r="Y1764" s="196"/>
      <c r="Z1764" s="193">
        <f>IF(Z1763=0,0,SUMIFS(операции!$AF:$AF,операции!$X:$X,"&gt;="&amp;X$8,операции!$X:$X,"&lt;="&amp;X$9,операции!$AB:$AB,"",операции!$L:$L,Z$9,операции!$O:$O,$F1718)/Z1763)</f>
        <v>42148</v>
      </c>
      <c r="AA1764" s="237">
        <f>IF(AA1763=0,0,SUMIFS(операции!$AF:$AF,операции!$X:$X,"&gt;="&amp;X$8,операции!$X:$X,"&lt;="&amp;X$9,операции!$AB:$AB,"",операции!$L:$L,AA$9,операции!$O:$O,$F1718)/AA1763)</f>
        <v>42336.55581806205</v>
      </c>
      <c r="AB1764" s="265"/>
      <c r="AC1764" s="37"/>
      <c r="AD1764" s="37"/>
      <c r="AE1764" s="37"/>
      <c r="AF1764" s="37"/>
      <c r="AG1764" s="37"/>
      <c r="AH1764" s="37"/>
      <c r="AI1764" s="37"/>
      <c r="AJ1764" s="37"/>
      <c r="AK1764" s="37"/>
      <c r="AL1764" s="37"/>
      <c r="AM1764" s="37"/>
      <c r="AN1764" s="37"/>
      <c r="AO1764" s="37"/>
      <c r="AP1764" s="37"/>
    </row>
    <row r="1765" spans="1:42" s="192" customFormat="1" ht="11.25">
      <c r="A1765" s="37"/>
      <c r="B1765" s="37"/>
      <c r="C1765" s="37"/>
      <c r="D1765" s="191"/>
      <c r="E1765" s="191" t="s">
        <v>307</v>
      </c>
      <c r="F1765" s="191" t="str">
        <f t="shared" si="3058"/>
        <v>С-Тойз</v>
      </c>
      <c r="G1765" s="191" t="s">
        <v>262</v>
      </c>
      <c r="H1765" s="315"/>
      <c r="I1765" s="316">
        <f>I$9</f>
        <v>42369</v>
      </c>
      <c r="J1765" s="317"/>
      <c r="K1765" s="316">
        <f>I$9</f>
        <v>42369</v>
      </c>
      <c r="L1765" s="318">
        <f>I$9</f>
        <v>42369</v>
      </c>
      <c r="M1765" s="274"/>
      <c r="N1765" s="193">
        <f>N$9</f>
        <v>42308</v>
      </c>
      <c r="O1765" s="196"/>
      <c r="P1765" s="193">
        <f>N$9</f>
        <v>42308</v>
      </c>
      <c r="Q1765" s="237">
        <f>N$9</f>
        <v>42308</v>
      </c>
      <c r="R1765" s="238"/>
      <c r="S1765" s="193">
        <f>S$9</f>
        <v>42338</v>
      </c>
      <c r="T1765" s="196"/>
      <c r="U1765" s="193">
        <f>S$9</f>
        <v>42338</v>
      </c>
      <c r="V1765" s="237">
        <f>S$9</f>
        <v>42338</v>
      </c>
      <c r="W1765" s="238"/>
      <c r="X1765" s="193">
        <f>X$9</f>
        <v>42369</v>
      </c>
      <c r="Y1765" s="196"/>
      <c r="Z1765" s="193">
        <f>X$9</f>
        <v>42369</v>
      </c>
      <c r="AA1765" s="237">
        <f>X$9</f>
        <v>42369</v>
      </c>
      <c r="AB1765" s="265"/>
      <c r="AC1765" s="37"/>
      <c r="AD1765" s="37"/>
      <c r="AE1765" s="37"/>
      <c r="AF1765" s="37"/>
      <c r="AG1765" s="37"/>
      <c r="AH1765" s="37"/>
      <c r="AI1765" s="37"/>
      <c r="AJ1765" s="37"/>
      <c r="AK1765" s="37"/>
      <c r="AL1765" s="37"/>
      <c r="AM1765" s="37"/>
      <c r="AN1765" s="37"/>
      <c r="AO1765" s="37"/>
      <c r="AP1765" s="37"/>
    </row>
    <row r="1766" spans="1:42" s="5" customFormat="1">
      <c r="A1766" s="1"/>
      <c r="B1766" s="1"/>
      <c r="C1766" s="1"/>
      <c r="D1766" s="168"/>
      <c r="E1766" s="168" t="s">
        <v>380</v>
      </c>
      <c r="F1766" s="168" t="str">
        <f t="shared" si="3058"/>
        <v>С-Тойз</v>
      </c>
      <c r="G1766" s="168" t="s">
        <v>261</v>
      </c>
      <c r="H1766" s="326"/>
      <c r="I1766" s="327">
        <f>I1761-I1763</f>
        <v>3737.0499999999884</v>
      </c>
      <c r="J1766" s="313">
        <f>I1766-K1766-L1766</f>
        <v>-1.4551915228366852E-11</v>
      </c>
      <c r="K1766" s="327">
        <f t="shared" ref="K1766:L1766" si="3163">K1761-K1763</f>
        <v>-159.09999999999854</v>
      </c>
      <c r="L1766" s="328">
        <f t="shared" si="3163"/>
        <v>3896.1500000000015</v>
      </c>
      <c r="M1766" s="277"/>
      <c r="N1766" s="169">
        <f>N1761-N1763</f>
        <v>1676.5900000000011</v>
      </c>
      <c r="O1766" s="170">
        <f>N1766-P1766-Q1766</f>
        <v>0</v>
      </c>
      <c r="P1766" s="169">
        <f t="shared" ref="P1766:Q1766" si="3164">P1761-P1763</f>
        <v>349.84999999999991</v>
      </c>
      <c r="Q1766" s="243">
        <f t="shared" si="3164"/>
        <v>1326.7399999999998</v>
      </c>
      <c r="R1766" s="244"/>
      <c r="S1766" s="169">
        <f>S1761-S1763</f>
        <v>2263.84</v>
      </c>
      <c r="T1766" s="170">
        <f>S1766-U1766-V1766</f>
        <v>0</v>
      </c>
      <c r="U1766" s="169">
        <f t="shared" ref="U1766:V1766" si="3165">U1761-U1763</f>
        <v>841.05000000000018</v>
      </c>
      <c r="V1766" s="243">
        <f t="shared" si="3165"/>
        <v>1422.79</v>
      </c>
      <c r="W1766" s="244"/>
      <c r="X1766" s="169">
        <f>X1761-X1763</f>
        <v>-203.3799999999992</v>
      </c>
      <c r="Y1766" s="170">
        <f>X1766-Z1766-AA1766</f>
        <v>1.8189894035458565E-12</v>
      </c>
      <c r="Z1766" s="169">
        <f t="shared" ref="Z1766:AA1766" si="3166">Z1761-Z1763</f>
        <v>-1350</v>
      </c>
      <c r="AA1766" s="243">
        <f t="shared" si="3166"/>
        <v>1146.619999999999</v>
      </c>
      <c r="AB1766" s="266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</row>
    <row r="1767" spans="1:42" s="211" customFormat="1">
      <c r="A1767" s="210"/>
      <c r="B1767" s="210"/>
      <c r="C1767" s="210"/>
      <c r="D1767" s="218"/>
      <c r="E1767" s="218" t="s">
        <v>381</v>
      </c>
      <c r="F1767" s="218" t="str">
        <f t="shared" si="3058"/>
        <v>С-Тойз</v>
      </c>
      <c r="G1767" s="218" t="s">
        <v>218</v>
      </c>
      <c r="H1767" s="343"/>
      <c r="I1767" s="344">
        <f>IF(I1761=0,0,(I1766/I1761))</f>
        <v>0.11231816542438051</v>
      </c>
      <c r="J1767" s="345"/>
      <c r="K1767" s="344">
        <f t="shared" ref="K1767" si="3167">IF(K1761=0,0,(K1766/K1761))</f>
        <v>-1.2953916300276709E-2</v>
      </c>
      <c r="L1767" s="346">
        <f t="shared" ref="L1767" si="3168">IF(L1761=0,0,(L1766/L1761))</f>
        <v>0.18561934254406867</v>
      </c>
      <c r="M1767" s="280"/>
      <c r="N1767" s="219">
        <f>IF(N1761=0,0,(N1766/N1761))</f>
        <v>0.21094489179667855</v>
      </c>
      <c r="O1767" s="220"/>
      <c r="P1767" s="219">
        <f t="shared" ref="P1767" si="3169">IF(P1761=0,0,(P1766/P1761))</f>
        <v>0.14215765948801296</v>
      </c>
      <c r="Q1767" s="252">
        <f t="shared" ref="Q1767" si="3170">IF(Q1761=0,0,(Q1766/Q1761))</f>
        <v>0.24179697466739561</v>
      </c>
      <c r="R1767" s="253"/>
      <c r="S1767" s="219">
        <f>IF(S1761=0,0,(S1766/S1761))</f>
        <v>0.22559441953163928</v>
      </c>
      <c r="T1767" s="220"/>
      <c r="U1767" s="219">
        <f t="shared" ref="U1767" si="3171">IF(U1761=0,0,(U1766/U1761))</f>
        <v>0.19692109576211664</v>
      </c>
      <c r="V1767" s="252">
        <f t="shared" ref="V1767" si="3172">IF(V1761=0,0,(V1766/V1761))</f>
        <v>0.24684073560027758</v>
      </c>
      <c r="W1767" s="253"/>
      <c r="X1767" s="219">
        <f>IF(X1761=0,0,(X1766/X1761))</f>
        <v>-1.3302374256000993E-2</v>
      </c>
      <c r="Y1767" s="220"/>
      <c r="Z1767" s="219">
        <f t="shared" ref="Z1767" si="3173">IF(Z1761=0,0,(Z1766/Z1761))</f>
        <v>-0.24324324324324326</v>
      </c>
      <c r="AA1767" s="252">
        <f t="shared" ref="AA1767" si="3174">IF(AA1761=0,0,(AA1766/AA1761))</f>
        <v>0.1177348803778621</v>
      </c>
      <c r="AB1767" s="267"/>
      <c r="AC1767" s="210"/>
      <c r="AD1767" s="210"/>
      <c r="AE1767" s="210"/>
      <c r="AF1767" s="210"/>
      <c r="AG1767" s="210"/>
      <c r="AH1767" s="210"/>
      <c r="AI1767" s="210"/>
      <c r="AJ1767" s="210"/>
      <c r="AK1767" s="210"/>
      <c r="AL1767" s="210"/>
      <c r="AM1767" s="210"/>
      <c r="AN1767" s="210"/>
      <c r="AO1767" s="210"/>
      <c r="AP1767" s="210"/>
    </row>
    <row r="1768" spans="1:42" s="5" customFormat="1">
      <c r="A1768" s="1"/>
      <c r="B1768" s="1"/>
      <c r="C1768" s="1"/>
      <c r="D1768" s="227"/>
      <c r="E1768" s="227" t="s">
        <v>306</v>
      </c>
      <c r="F1768" s="227" t="str">
        <f t="shared" si="3058"/>
        <v>С-Тойз</v>
      </c>
      <c r="G1768" s="227" t="s">
        <v>219</v>
      </c>
      <c r="H1768" s="347"/>
      <c r="I1768" s="348">
        <f>I1762-I1764</f>
        <v>82.829645287580206</v>
      </c>
      <c r="J1768" s="321"/>
      <c r="K1768" s="348">
        <f t="shared" ref="K1768:L1768" si="3175">K1762-K1764</f>
        <v>189.5851596549619</v>
      </c>
      <c r="L1768" s="349">
        <f t="shared" si="3175"/>
        <v>5.0258016553343623</v>
      </c>
      <c r="M1768" s="281"/>
      <c r="N1768" s="228">
        <f>N1762-N1764</f>
        <v>53.595176428840205</v>
      </c>
      <c r="O1768" s="173"/>
      <c r="P1768" s="228">
        <f t="shared" ref="P1768:Q1768" si="3176">P1762-P1764</f>
        <v>152</v>
      </c>
      <c r="Q1768" s="254">
        <f t="shared" si="3176"/>
        <v>3.1684702700731577</v>
      </c>
      <c r="R1768" s="255"/>
      <c r="S1768" s="228">
        <f>S1762-S1764</f>
        <v>93.155367637300515</v>
      </c>
      <c r="T1768" s="173"/>
      <c r="U1768" s="228">
        <f t="shared" ref="U1768:V1768" si="3177">U1762-U1764</f>
        <v>205.05299085131992</v>
      </c>
      <c r="V1768" s="254">
        <f t="shared" si="3177"/>
        <v>4.6750497496832395</v>
      </c>
      <c r="W1768" s="255"/>
      <c r="X1768" s="228">
        <f>X1762-X1764</f>
        <v>93.492876306198013</v>
      </c>
      <c r="Y1768" s="173"/>
      <c r="Z1768" s="228">
        <f t="shared" ref="Z1768:AA1768" si="3178">Z1762-Z1764</f>
        <v>200</v>
      </c>
      <c r="AA1768" s="254">
        <f t="shared" si="3178"/>
        <v>8.4137886737516965</v>
      </c>
      <c r="AB1768" s="266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</row>
    <row r="1769" spans="1:42" s="5" customFormat="1">
      <c r="A1769" s="1"/>
      <c r="B1769" s="1"/>
      <c r="C1769" s="1"/>
      <c r="D1769" s="227"/>
      <c r="E1769" s="227" t="s">
        <v>382</v>
      </c>
      <c r="F1769" s="227" t="str">
        <f t="shared" si="3058"/>
        <v>С-Тойз</v>
      </c>
      <c r="G1769" s="227" t="s">
        <v>219</v>
      </c>
      <c r="H1769" s="347"/>
      <c r="I1769" s="348">
        <f>I1765-I1764</f>
        <v>123.58839138039184</v>
      </c>
      <c r="J1769" s="321"/>
      <c r="K1769" s="348">
        <f t="shared" ref="K1769:L1769" si="3179">K1765-K1764</f>
        <v>231.08654379435029</v>
      </c>
      <c r="L1769" s="349">
        <f t="shared" si="3179"/>
        <v>45.350003656283661</v>
      </c>
      <c r="M1769" s="281"/>
      <c r="N1769" s="228">
        <f>N1765-N1764</f>
        <v>59.27232791348797</v>
      </c>
      <c r="O1769" s="173"/>
      <c r="P1769" s="228">
        <f t="shared" ref="P1769:Q1769" si="3180">P1765-P1764</f>
        <v>166</v>
      </c>
      <c r="Q1769" s="254">
        <f t="shared" si="3180"/>
        <v>5.1127020907370024</v>
      </c>
      <c r="R1769" s="255"/>
      <c r="S1769" s="228">
        <f>S1765-S1764</f>
        <v>109.54879065673595</v>
      </c>
      <c r="T1769" s="173"/>
      <c r="U1769" s="228">
        <f t="shared" ref="U1769:V1769" si="3181">U1765-U1764</f>
        <v>222.89284100350778</v>
      </c>
      <c r="V1769" s="254">
        <f t="shared" si="3181"/>
        <v>19.996701380492595</v>
      </c>
      <c r="W1769" s="255"/>
      <c r="X1769" s="228">
        <f>X1765-X1764</f>
        <v>116.42321838220232</v>
      </c>
      <c r="Y1769" s="173"/>
      <c r="Z1769" s="228">
        <f t="shared" ref="Z1769:AA1769" si="3182">Z1765-Z1764</f>
        <v>221</v>
      </c>
      <c r="AA1769" s="254">
        <f t="shared" si="3182"/>
        <v>32.444181937949907</v>
      </c>
      <c r="AB1769" s="266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</row>
    <row r="1770" spans="1:42" s="5" customFormat="1">
      <c r="A1770" s="1"/>
      <c r="B1770" s="1"/>
      <c r="C1770" s="1"/>
      <c r="D1770" s="225"/>
      <c r="E1770" s="225" t="s">
        <v>383</v>
      </c>
      <c r="F1770" s="225" t="str">
        <f t="shared" si="3058"/>
        <v>С-Тойз</v>
      </c>
      <c r="G1770" s="225" t="s">
        <v>219</v>
      </c>
      <c r="H1770" s="350"/>
      <c r="I1770" s="351">
        <f>I1768-I1769</f>
        <v>-40.758746092811634</v>
      </c>
      <c r="J1770" s="352"/>
      <c r="K1770" s="351">
        <f t="shared" ref="K1770" si="3183">K1768-K1769</f>
        <v>-41.501384139388392</v>
      </c>
      <c r="L1770" s="353">
        <f t="shared" ref="L1770" si="3184">L1768-L1769</f>
        <v>-40.324202000949299</v>
      </c>
      <c r="M1770" s="282"/>
      <c r="N1770" s="226">
        <f>N1768-N1769</f>
        <v>-5.6771514846477658</v>
      </c>
      <c r="O1770" s="181"/>
      <c r="P1770" s="226">
        <f t="shared" ref="P1770" si="3185">P1768-P1769</f>
        <v>-14</v>
      </c>
      <c r="Q1770" s="256">
        <f t="shared" ref="Q1770" si="3186">Q1768-Q1769</f>
        <v>-1.9442318206638447</v>
      </c>
      <c r="R1770" s="257"/>
      <c r="S1770" s="226">
        <f>S1768-S1769</f>
        <v>-16.393423019435431</v>
      </c>
      <c r="T1770" s="181"/>
      <c r="U1770" s="226">
        <f t="shared" ref="U1770" si="3187">U1768-U1769</f>
        <v>-17.839850152187864</v>
      </c>
      <c r="V1770" s="256">
        <f t="shared" ref="V1770" si="3188">V1768-V1769</f>
        <v>-15.321651630809356</v>
      </c>
      <c r="W1770" s="257"/>
      <c r="X1770" s="226">
        <f>X1768-X1769</f>
        <v>-22.930342076004308</v>
      </c>
      <c r="Y1770" s="181"/>
      <c r="Z1770" s="226">
        <f t="shared" ref="Z1770" si="3189">Z1768-Z1769</f>
        <v>-21</v>
      </c>
      <c r="AA1770" s="256">
        <f t="shared" ref="AA1770" si="3190">AA1768-AA1769</f>
        <v>-24.03039326419821</v>
      </c>
      <c r="AB1770" s="266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</row>
    <row r="1771" spans="1:42" s="5" customFormat="1">
      <c r="A1771" s="1"/>
      <c r="B1771" s="1"/>
      <c r="C1771" s="1"/>
      <c r="D1771" s="168" t="s">
        <v>312</v>
      </c>
      <c r="E1771" s="168"/>
      <c r="F1771" s="168" t="str">
        <f t="shared" si="3058"/>
        <v>С-Тойз</v>
      </c>
      <c r="G1771" s="168" t="s">
        <v>261</v>
      </c>
      <c r="H1771" s="326"/>
      <c r="I1771" s="327">
        <f>SUMIFS(операции!$AC:$AC,операции!$AB:$AB,"&gt;="&amp;I$8,операции!$AB:$AB,"&lt;="&amp;I$9,операции!$O:$O,$F1718)</f>
        <v>44031.880000000019</v>
      </c>
      <c r="J1771" s="313">
        <f>I1771-K1771-L1771</f>
        <v>0</v>
      </c>
      <c r="K1771" s="327">
        <f>SUMIFS(операции!$AC:$AC,операции!$AB:$AB,"&gt;="&amp;I$8,операции!$AB:$AB,"&lt;="&amp;I$9,операции!$L:$L,K$9,операции!$O:$O,$F1718)</f>
        <v>2330.7800000000002</v>
      </c>
      <c r="L1771" s="328">
        <f>SUMIFS(операции!$AC:$AC,операции!$AB:$AB,"&gt;="&amp;I$8,операции!$AB:$AB,"&lt;="&amp;I$9,операции!$L:$L,L$9,операции!$O:$O,$F1718)</f>
        <v>41701.10000000002</v>
      </c>
      <c r="M1771" s="277"/>
      <c r="N1771" s="169">
        <f>SUMIFS(операции!$AC:$AC,операции!$AB:$AB,"&gt;="&amp;N$8,операции!$AB:$AB,"&lt;="&amp;N$9,операции!$O:$O,$F1718)</f>
        <v>705.85</v>
      </c>
      <c r="O1771" s="170">
        <f>N1771-P1771-Q1771</f>
        <v>0</v>
      </c>
      <c r="P1771" s="169">
        <f>SUMIFS(операции!$AC:$AC,операции!$AB:$AB,"&gt;="&amp;N$8,операции!$AB:$AB,"&lt;="&amp;N$9,операции!$L:$L,P$9,операции!$O:$O,$F1718)</f>
        <v>705.85</v>
      </c>
      <c r="Q1771" s="243">
        <f>SUMIFS(операции!$AC:$AC,операции!$AB:$AB,"&gt;="&amp;N$8,операции!$AB:$AB,"&lt;="&amp;N$9,операции!$L:$L,Q$9,операции!$O:$O,$F1718)</f>
        <v>0</v>
      </c>
      <c r="R1771" s="244"/>
      <c r="S1771" s="169">
        <f>SUMIFS(операции!$AC:$AC,операции!$AB:$AB,"&gt;="&amp;S$8,операции!$AB:$AB,"&lt;="&amp;S$9,операции!$O:$O,$F1718)</f>
        <v>15912.15</v>
      </c>
      <c r="T1771" s="170">
        <f>S1771-U1771-V1771</f>
        <v>0</v>
      </c>
      <c r="U1771" s="169">
        <f>SUMIFS(операции!$AC:$AC,операции!$AB:$AB,"&gt;="&amp;S$8,операции!$AB:$AB,"&lt;="&amp;S$9,операции!$L:$L,U$9,операции!$O:$O,$F1718)</f>
        <v>1624.93</v>
      </c>
      <c r="V1771" s="243">
        <f>SUMIFS(операции!$AC:$AC,операции!$AB:$AB,"&gt;="&amp;S$8,операции!$AB:$AB,"&lt;="&amp;S$9,операции!$L:$L,V$9,операции!$O:$O,$F1718)</f>
        <v>14287.220000000001</v>
      </c>
      <c r="W1771" s="244"/>
      <c r="X1771" s="169">
        <f>SUMIFS(операции!$AC:$AC,операции!$AB:$AB,"&gt;="&amp;X$8,операции!$AB:$AB,"&lt;="&amp;X$9,операции!$O:$O,$F1718)</f>
        <v>27413.880000000005</v>
      </c>
      <c r="Y1771" s="170">
        <f>X1771-Z1771-AA1771</f>
        <v>0</v>
      </c>
      <c r="Z1771" s="169">
        <f>SUMIFS(операции!$AC:$AC,операции!$AB:$AB,"&gt;="&amp;X$8,операции!$AB:$AB,"&lt;="&amp;X$9,операции!$L:$L,Z$9,операции!$O:$O,$F1718)</f>
        <v>0</v>
      </c>
      <c r="AA1771" s="243">
        <f>SUMIFS(операции!$AC:$AC,операции!$AB:$AB,"&gt;="&amp;X$8,операции!$AB:$AB,"&lt;="&amp;X$9,операции!$L:$L,AA$9,операции!$O:$O,$F1718)</f>
        <v>27413.880000000005</v>
      </c>
      <c r="AB1771" s="266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</row>
    <row r="1772" spans="1:42" s="192" customFormat="1" ht="11.25">
      <c r="A1772" s="37"/>
      <c r="B1772" s="37"/>
      <c r="C1772" s="37"/>
      <c r="D1772" s="207" t="s">
        <v>255</v>
      </c>
      <c r="E1772" s="207"/>
      <c r="F1772" s="207" t="str">
        <f t="shared" si="3058"/>
        <v>С-Тойз</v>
      </c>
      <c r="G1772" s="207" t="s">
        <v>262</v>
      </c>
      <c r="H1772" s="331"/>
      <c r="I1772" s="337">
        <f>IF(I1771=0,0,SUMIFS(операции!$AH:$AH,операции!$AB:$AB,"&gt;="&amp;I$8,операции!$AB:$AB,"&lt;="&amp;I$9,операции!$O:$O,$F1718)/I1771)</f>
        <v>42343.209388742871</v>
      </c>
      <c r="J1772" s="333"/>
      <c r="K1772" s="337">
        <f>IF(K1771=0,0,SUMIFS(операции!$AH:$AH,операции!$AB:$AB,"&gt;="&amp;I$8,операции!$AB:$AB,"&lt;="&amp;I$9,операции!$L:$L,K$9,операции!$O:$O,$F1718)/K1771)</f>
        <v>42307.823359562033</v>
      </c>
      <c r="L1772" s="338">
        <f>IF(L1771=0,0,SUMIFS(операции!$AH:$AH,операции!$AB:$AB,"&gt;="&amp;I$8,операции!$AB:$AB,"&lt;="&amp;I$9,операции!$L:$L,L$9,операции!$O:$O,$F1718)/L1771)</f>
        <v>42345.187203455047</v>
      </c>
      <c r="M1772" s="278"/>
      <c r="N1772" s="217">
        <f>IF(N1771=0,0,SUMIFS(операции!$AH:$AH,операции!$AB:$AB,"&gt;="&amp;N$8,операции!$AB:$AB,"&lt;="&amp;N$9,операции!$O:$O,$F1718)/N1771)</f>
        <v>42288</v>
      </c>
      <c r="O1772" s="208"/>
      <c r="P1772" s="217">
        <f>IF(P1771=0,0,SUMIFS(операции!$AH:$AH,операции!$AB:$AB,"&gt;="&amp;N$8,операции!$AB:$AB,"&lt;="&amp;N$9,операции!$L:$L,P$9,операции!$O:$O,$F1718)/P1771)</f>
        <v>42288</v>
      </c>
      <c r="Q1772" s="249">
        <f>IF(Q1771=0,0,SUMIFS(операции!$AH:$AH,операции!$AB:$AB,"&gt;="&amp;N$8,операции!$AB:$AB,"&lt;="&amp;N$9,операции!$L:$L,Q$9,операции!$O:$O,$F1718)/Q1771)</f>
        <v>0</v>
      </c>
      <c r="R1772" s="247"/>
      <c r="S1772" s="217">
        <f>IF(S1771=0,0,SUMIFS(операции!$AH:$AH,операции!$AB:$AB,"&gt;="&amp;S$8,операции!$AB:$AB,"&lt;="&amp;S$9,операции!$O:$O,$F1718)/S1771)</f>
        <v>42323.926551094613</v>
      </c>
      <c r="T1772" s="208"/>
      <c r="U1772" s="217">
        <f>IF(U1771=0,0,SUMIFS(операции!$AH:$AH,операции!$AB:$AB,"&gt;="&amp;S$8,операции!$AB:$AB,"&lt;="&amp;S$9,операции!$L:$L,U$9,операции!$O:$O,$F1718)/U1771)</f>
        <v>42316.434387942863</v>
      </c>
      <c r="V1772" s="249">
        <f>IF(V1771=0,0,SUMIFS(операции!$AH:$AH,операции!$AB:$AB,"&gt;="&amp;S$8,операции!$AB:$AB,"&lt;="&amp;S$9,операции!$L:$L,V$9,операции!$O:$O,$F1718)/V1771)</f>
        <v>42324.778658129435</v>
      </c>
      <c r="W1772" s="247"/>
      <c r="X1772" s="217">
        <f>IF(X1771=0,0,SUMIFS(операции!$AH:$AH,операции!$AB:$AB,"&gt;="&amp;X$8,операции!$AB:$AB,"&lt;="&amp;X$9,операции!$O:$O,$F1718)/X1771)</f>
        <v>42355.823471540687</v>
      </c>
      <c r="Y1772" s="208"/>
      <c r="Z1772" s="217">
        <f>IF(Z1771=0,0,SUMIFS(операции!$AH:$AH,операции!$AB:$AB,"&gt;="&amp;X$8,операции!$AB:$AB,"&lt;="&amp;X$9,операции!$L:$L,Z$9,операции!$O:$O,$F1718)/Z1771)</f>
        <v>0</v>
      </c>
      <c r="AA1772" s="249">
        <f>IF(AA1771=0,0,SUMIFS(операции!$AH:$AH,операции!$AB:$AB,"&gt;="&amp;X$8,операции!$AB:$AB,"&lt;="&amp;X$9,операции!$L:$L,AA$9,операции!$O:$O,$F1718)/AA1771)</f>
        <v>42355.823471540687</v>
      </c>
      <c r="AB1772" s="265"/>
      <c r="AC1772" s="37"/>
      <c r="AD1772" s="37"/>
      <c r="AE1772" s="37"/>
      <c r="AF1772" s="37"/>
      <c r="AG1772" s="37"/>
      <c r="AH1772" s="37"/>
      <c r="AI1772" s="37"/>
      <c r="AJ1772" s="37"/>
      <c r="AK1772" s="37"/>
      <c r="AL1772" s="37"/>
      <c r="AM1772" s="37"/>
      <c r="AN1772" s="37"/>
      <c r="AO1772" s="37"/>
      <c r="AP1772" s="37"/>
    </row>
    <row r="1773" spans="1:42" s="111" customFormat="1" ht="11.25">
      <c r="A1773" s="108"/>
      <c r="B1773" s="108"/>
      <c r="C1773" s="209" t="s">
        <v>279</v>
      </c>
      <c r="D1773" s="109"/>
      <c r="E1773" s="109"/>
      <c r="F1773" s="109" t="str">
        <f t="shared" si="3058"/>
        <v>С-Тойз</v>
      </c>
      <c r="G1773" s="109"/>
      <c r="H1773" s="307"/>
      <c r="I1773" s="308">
        <f>I1774-K1774-L1774+K1773+L1773</f>
        <v>1.8189894035458565E-12</v>
      </c>
      <c r="J1773" s="309">
        <f>I1718+I1736-I1743-I1774</f>
        <v>0</v>
      </c>
      <c r="K1773" s="308">
        <f>K1718+K1736-K1743-K1774</f>
        <v>0</v>
      </c>
      <c r="L1773" s="336">
        <f>L1718+L1736-L1743-L1774</f>
        <v>0</v>
      </c>
      <c r="M1773" s="272"/>
      <c r="N1773" s="110">
        <f>N1774-P1774-Q1774</f>
        <v>0</v>
      </c>
      <c r="O1773" s="215">
        <f>N1718+N1736-N1743-N1774</f>
        <v>0</v>
      </c>
      <c r="P1773" s="110">
        <f>P1718+P1736-P1743-P1774</f>
        <v>0</v>
      </c>
      <c r="Q1773" s="248">
        <f>Q1718+Q1736-Q1743-Q1774</f>
        <v>0</v>
      </c>
      <c r="R1773" s="234"/>
      <c r="S1773" s="110">
        <f>S1774-U1774-V1774</f>
        <v>0</v>
      </c>
      <c r="T1773" s="215">
        <f>S1718+S1736-S1743-S1774</f>
        <v>0</v>
      </c>
      <c r="U1773" s="110">
        <f>U1718+U1736-U1743-U1774</f>
        <v>0</v>
      </c>
      <c r="V1773" s="248">
        <f>V1718+V1736-V1743-V1774</f>
        <v>0</v>
      </c>
      <c r="W1773" s="234"/>
      <c r="X1773" s="110">
        <f>X1774-Z1774-AA1774</f>
        <v>0</v>
      </c>
      <c r="Y1773" s="215">
        <f>X1718+X1736-X1743-X1774</f>
        <v>0</v>
      </c>
      <c r="Z1773" s="110">
        <f>Z1718+Z1736-Z1743-Z1774</f>
        <v>0</v>
      </c>
      <c r="AA1773" s="248">
        <f>AA1718+AA1736-AA1743-AA1774</f>
        <v>0</v>
      </c>
      <c r="AB1773" s="263"/>
      <c r="AC1773" s="108"/>
      <c r="AD1773" s="108"/>
      <c r="AE1773" s="108"/>
      <c r="AF1773" s="108"/>
      <c r="AG1773" s="108"/>
      <c r="AH1773" s="108"/>
      <c r="AI1773" s="108"/>
      <c r="AJ1773" s="108"/>
      <c r="AK1773" s="108"/>
      <c r="AL1773" s="108"/>
      <c r="AM1773" s="108"/>
      <c r="AN1773" s="108"/>
      <c r="AO1773" s="108"/>
      <c r="AP1773" s="108"/>
    </row>
    <row r="1774" spans="1:42" s="93" customFormat="1" ht="15">
      <c r="A1774" s="92"/>
      <c r="B1774" s="92"/>
      <c r="C1774" s="214"/>
      <c r="D1774" s="151" t="s">
        <v>238</v>
      </c>
      <c r="E1774" s="151"/>
      <c r="F1774" s="151" t="str">
        <f t="shared" si="3058"/>
        <v>С-Тойз</v>
      </c>
      <c r="G1774" s="151" t="s">
        <v>261</v>
      </c>
      <c r="H1774" s="311"/>
      <c r="I1774" s="312">
        <f>SUMIFS(операции!$V:$V,операции!$T:$T,"&lt;="&amp;I$9,операции!$X:$X,"",операции!$O:$O,$F1718)+SUMIFS(операции!$V:$V,операции!$T:$T,"&lt;="&amp;I$9,операции!$X:$X,"&gt;"&amp;I$9,операции!$O:$O,$F1718)</f>
        <v>32082.67</v>
      </c>
      <c r="J1774" s="313">
        <f>I1774-I1779-I1785</f>
        <v>0</v>
      </c>
      <c r="K1774" s="312">
        <f>SUMIFS(операции!$V:$V,операции!$T:$T,"&lt;="&amp;I$9,операции!$X:$X,"",операции!$L:$L,K$9,операции!$O:$O,$F1718)+SUMIFS(операции!$V:$V,операции!$T:$T,"&lt;="&amp;I$9,операции!$X:$X,"&gt;"&amp;I$9,операции!$L:$L,K$9,операции!$O:$O,$F1718)</f>
        <v>28278.339999999997</v>
      </c>
      <c r="L1774" s="314">
        <f>SUMIFS(операции!$V:$V,операции!$T:$T,"&lt;="&amp;I$9,операции!$X:$X,"",операции!$L:$L,L$9,операции!$O:$O,$F1718)+SUMIFS(операции!$V:$V,операции!$T:$T,"&lt;="&amp;I$9,операции!$X:$X,"&gt;"&amp;I$9,операции!$L:$L,L$9,операции!$O:$O,$F1718)</f>
        <v>3804.33</v>
      </c>
      <c r="M1774" s="273"/>
      <c r="N1774" s="152">
        <f>SUMIFS(операции!$V:$V,операции!$T:$T,"&lt;="&amp;N$9,операции!$X:$X,"",операции!$O:$O,$F1718)+SUMIFS(операции!$V:$V,операции!$T:$T,"&lt;="&amp;N$9,операции!$X:$X,"&gt;"&amp;N$9,операции!$O:$O,$F1718)</f>
        <v>57981.989999999991</v>
      </c>
      <c r="O1774" s="170">
        <f>N1774-N1779-N1785</f>
        <v>0</v>
      </c>
      <c r="P1774" s="152">
        <f>SUMIFS(операции!$V:$V,операции!$T:$T,"&lt;="&amp;N$9,операции!$X:$X,"",операции!$L:$L,P$9,операции!$O:$O,$F1718)+SUMIFS(операции!$V:$V,операции!$T:$T,"&lt;="&amp;N$9,операции!$X:$X,"&gt;"&amp;N$9,операции!$L:$L,P$9,операции!$O:$O,$F1718)</f>
        <v>52289.989999999991</v>
      </c>
      <c r="Q1774" s="235">
        <f>SUMIFS(операции!$V:$V,операции!$T:$T,"&lt;="&amp;N$9,операции!$X:$X,"",операции!$L:$L,Q$9,операции!$O:$O,$F1718)+SUMIFS(операции!$V:$V,операции!$T:$T,"&lt;="&amp;N$9,операции!$X:$X,"&gt;"&amp;N$9,операции!$L:$L,Q$9,операции!$O:$O,$F1718)</f>
        <v>5692</v>
      </c>
      <c r="R1774" s="236"/>
      <c r="S1774" s="152">
        <f>SUMIFS(операции!$V:$V,операции!$T:$T,"&lt;="&amp;S$9,операции!$X:$X,"",операции!$O:$O,$F1718)+SUMIFS(операции!$V:$V,операции!$T:$T,"&lt;="&amp;S$9,операции!$X:$X,"&gt;"&amp;S$9,операции!$O:$O,$F1718)</f>
        <v>59527.24000000002</v>
      </c>
      <c r="T1774" s="170">
        <f>S1774-S1779-S1785</f>
        <v>0</v>
      </c>
      <c r="U1774" s="152">
        <f>SUMIFS(операции!$V:$V,операции!$T:$T,"&lt;="&amp;S$9,операции!$X:$X,"",операции!$L:$L,U$9,операции!$O:$O,$F1718)+SUMIFS(операции!$V:$V,операции!$T:$T,"&lt;="&amp;S$9,операции!$X:$X,"&gt;"&amp;S$9,операции!$L:$L,U$9,операции!$O:$O,$F1718)</f>
        <v>36097.42</v>
      </c>
      <c r="V1774" s="235">
        <f>SUMIFS(операции!$V:$V,операции!$T:$T,"&lt;="&amp;S$9,операции!$X:$X,"",операции!$L:$L,V$9,операции!$O:$O,$F1718)+SUMIFS(операции!$V:$V,операции!$T:$T,"&lt;="&amp;S$9,операции!$X:$X,"&gt;"&amp;S$9,операции!$L:$L,V$9,операции!$O:$O,$F1718)</f>
        <v>23429.820000000007</v>
      </c>
      <c r="W1774" s="236"/>
      <c r="X1774" s="152">
        <f>SUMIFS(операции!$V:$V,операции!$T:$T,"&lt;="&amp;X$9,операции!$X:$X,"",операции!$O:$O,$F1718)+SUMIFS(операции!$V:$V,операции!$T:$T,"&lt;="&amp;X$9,операции!$X:$X,"&gt;"&amp;X$9,операции!$O:$O,$F1718)</f>
        <v>32082.67</v>
      </c>
      <c r="Y1774" s="170">
        <f>X1774-X1779-X1785</f>
        <v>0</v>
      </c>
      <c r="Z1774" s="152">
        <f>SUMIFS(операции!$V:$V,операции!$T:$T,"&lt;="&amp;X$9,операции!$X:$X,"",операции!$L:$L,Z$9,операции!$O:$O,$F1718)+SUMIFS(операции!$V:$V,операции!$T:$T,"&lt;="&amp;X$9,операции!$X:$X,"&gt;"&amp;X$9,операции!$L:$L,Z$9,операции!$O:$O,$F1718)</f>
        <v>28278.339999999997</v>
      </c>
      <c r="AA1774" s="235">
        <f>SUMIFS(операции!$V:$V,операции!$T:$T,"&lt;="&amp;X$9,операции!$X:$X,"",операции!$L:$L,AA$9,операции!$O:$O,$F1718)+SUMIFS(операции!$V:$V,операции!$T:$T,"&lt;="&amp;X$9,операции!$X:$X,"&gt;"&amp;X$9,операции!$L:$L,AA$9,операции!$O:$O,$F1718)</f>
        <v>3804.33</v>
      </c>
      <c r="AB1774" s="264"/>
      <c r="AC1774" s="92"/>
      <c r="AD1774" s="92"/>
      <c r="AE1774" s="92"/>
      <c r="AF1774" s="92"/>
      <c r="AG1774" s="92"/>
      <c r="AH1774" s="92"/>
      <c r="AI1774" s="92"/>
      <c r="AJ1774" s="92"/>
      <c r="AK1774" s="92"/>
      <c r="AL1774" s="92"/>
      <c r="AM1774" s="92"/>
      <c r="AN1774" s="92"/>
      <c r="AO1774" s="92"/>
      <c r="AP1774" s="92"/>
    </row>
    <row r="1775" spans="1:42" s="192" customFormat="1" ht="11.25">
      <c r="A1775" s="37"/>
      <c r="B1775" s="37"/>
      <c r="C1775" s="37"/>
      <c r="D1775" s="191" t="s">
        <v>255</v>
      </c>
      <c r="E1775" s="191"/>
      <c r="F1775" s="191" t="str">
        <f t="shared" si="3058"/>
        <v>С-Тойз</v>
      </c>
      <c r="G1775" s="191" t="s">
        <v>262</v>
      </c>
      <c r="H1775" s="315"/>
      <c r="I1775" s="316">
        <f>IF(I1774=0,0,(SUMIFS(операции!$AF:$AF,операции!$T:$T,"&lt;="&amp;I$9,операции!$X:$X,"",операции!$O:$O,$F1718)+SUMIFS(операции!$AF:$AF,операции!$T:$T,"&lt;="&amp;I$9,операции!$X:$X,"&gt;"&amp;I$9,операции!$O:$O,$F1718))/I1774)</f>
        <v>42172.769999192722</v>
      </c>
      <c r="J1775" s="317"/>
      <c r="K1775" s="316">
        <f>IF(K1774=0,0,(SUMIFS(операции!$AF:$AF,операции!$T:$T,"&lt;="&amp;I$9,операции!$X:$X,"",операции!$L:$L,K$9,операции!$O:$O,$F1718)+SUMIFS(операции!$AF:$AF,операции!$T:$T,"&lt;="&amp;I$9,операции!$X:$X,"&gt;"&amp;I$9,операции!$L:$L,K$9,операции!$O:$O,$F1718))/K1774)</f>
        <v>42147.404187091619</v>
      </c>
      <c r="L1775" s="318">
        <f>IF(L1774=0,0,(SUMIFS(операции!$AF:$AF,операции!$T:$T,"&lt;="&amp;I$9,операции!$X:$X,"",операции!$L:$L,L$9,операции!$O:$O,$F1718)+SUMIFS(операции!$AF:$AF,операции!$T:$T,"&lt;="&amp;I$9,операции!$X:$X,"&gt;"&amp;I$9,операции!$L:$L,L$9,операции!$O:$O,$F1718))/L1774)</f>
        <v>42361.319115323859</v>
      </c>
      <c r="M1775" s="274"/>
      <c r="N1775" s="193">
        <f>IF(N1774=0,0,(SUMIFS(операции!$AF:$AF,операции!$T:$T,"&lt;="&amp;N$9,операции!$X:$X,"",операции!$O:$O,$F1718)+SUMIFS(операции!$AF:$AF,операции!$T:$T,"&lt;="&amp;N$9,операции!$X:$X,"&gt;"&amp;N$9,операции!$O:$O,$F1718))/N1774)</f>
        <v>42163.09387104513</v>
      </c>
      <c r="O1775" s="196"/>
      <c r="P1775" s="193">
        <f>IF(P1774=0,0,(SUMIFS(операции!$AF:$AF,операции!$T:$T,"&lt;="&amp;N$9,операции!$X:$X,"",операции!$L:$L,P$9,операции!$O:$O,$F1718)+SUMIFS(операции!$AF:$AF,операции!$T:$T,"&lt;="&amp;N$9,операции!$X:$X,"&gt;"&amp;N$9,операции!$L:$L,P$9,операции!$O:$O,$F1718))/P1774)</f>
        <v>42147.320188816266</v>
      </c>
      <c r="Q1775" s="237">
        <f>IF(Q1774=0,0,(SUMIFS(операции!$AF:$AF,операции!$T:$T,"&lt;="&amp;N$9,операции!$X:$X,"",операции!$L:$L,Q$9,операции!$O:$O,$F1718)+SUMIFS(операции!$AF:$AF,операции!$T:$T,"&lt;="&amp;N$9,операции!$X:$X,"&gt;"&amp;N$9,операции!$L:$L,Q$9,операции!$O:$O,$F1718))/Q1774)</f>
        <v>42308</v>
      </c>
      <c r="R1775" s="238"/>
      <c r="S1775" s="193">
        <f>IF(S1774=0,0,(SUMIFS(операции!$AF:$AF,операции!$T:$T,"&lt;="&amp;S$9,операции!$X:$X,"",операции!$O:$O,$F1718)+SUMIFS(операции!$AF:$AF,операции!$T:$T,"&lt;="&amp;S$9,операции!$X:$X,"&gt;"&amp;S$9,операции!$O:$O,$F1718))/S1774)</f>
        <v>42223.971548823691</v>
      </c>
      <c r="T1775" s="196"/>
      <c r="U1775" s="193">
        <f>IF(U1774=0,0,(SUMIFS(операции!$AF:$AF,операции!$T:$T,"&lt;="&amp;S$9,операции!$X:$X,"",операции!$L:$L,U$9,операции!$O:$O,$F1718)+SUMIFS(операции!$AF:$AF,операции!$T:$T,"&lt;="&amp;S$9,операции!$X:$X,"&gt;"&amp;S$9,операции!$L:$L,U$9,операции!$O:$O,$F1718))/U1774)</f>
        <v>42151.046878142552</v>
      </c>
      <c r="V1775" s="237">
        <f>IF(V1774=0,0,(SUMIFS(операции!$AF:$AF,операции!$T:$T,"&lt;="&amp;S$9,операции!$X:$X,"",операции!$L:$L,V$9,операции!$O:$O,$F1718)+SUMIFS(операции!$AF:$AF,операции!$T:$T,"&lt;="&amp;S$9,операции!$X:$X,"&gt;"&amp;S$9,операции!$L:$L,V$9,операции!$O:$O,$F1718))/V1774)</f>
        <v>42336.323776281657</v>
      </c>
      <c r="W1775" s="238"/>
      <c r="X1775" s="193">
        <f>IF(X1774=0,0,(SUMIFS(операции!$AF:$AF,операции!$T:$T,"&lt;="&amp;X$9,операции!$X:$X,"",операции!$O:$O,$F1718)+SUMIFS(операции!$AF:$AF,операции!$T:$T,"&lt;="&amp;X$9,операции!$X:$X,"&gt;"&amp;X$9,операции!$O:$O,$F1718))/X1774)</f>
        <v>42172.769999192722</v>
      </c>
      <c r="Y1775" s="196"/>
      <c r="Z1775" s="193">
        <f>IF(Z1774=0,0,(SUMIFS(операции!$AF:$AF,операции!$T:$T,"&lt;="&amp;X$9,операции!$X:$X,"",операции!$L:$L,Z$9,операции!$O:$O,$F1718)+SUMIFS(операции!$AF:$AF,операции!$T:$T,"&lt;="&amp;X$9,операции!$X:$X,"&gt;"&amp;X$9,операции!$L:$L,Z$9,операции!$O:$O,$F1718))/Z1774)</f>
        <v>42147.404187091619</v>
      </c>
      <c r="AA1775" s="237">
        <f>IF(AA1774=0,0,(SUMIFS(операции!$AF:$AF,операции!$T:$T,"&lt;="&amp;X$9,операции!$X:$X,"",операции!$L:$L,AA$9,операции!$O:$O,$F1718)+SUMIFS(операции!$AF:$AF,операции!$T:$T,"&lt;="&amp;X$9,операции!$X:$X,"&gt;"&amp;X$9,операции!$L:$L,AA$9,операции!$O:$O,$F1718))/AA1774)</f>
        <v>42361.319115323859</v>
      </c>
      <c r="AB1775" s="265"/>
      <c r="AC1775" s="37"/>
      <c r="AD1775" s="37"/>
      <c r="AE1775" s="37"/>
      <c r="AF1775" s="37"/>
      <c r="AG1775" s="37"/>
      <c r="AH1775" s="37"/>
      <c r="AI1775" s="37"/>
      <c r="AJ1775" s="37"/>
      <c r="AK1775" s="37"/>
      <c r="AL1775" s="37"/>
      <c r="AM1775" s="37"/>
      <c r="AN1775" s="37"/>
      <c r="AO1775" s="37"/>
      <c r="AP1775" s="37"/>
    </row>
    <row r="1776" spans="1:42" s="50" customFormat="1" ht="11.25">
      <c r="A1776" s="48"/>
      <c r="B1776" s="48"/>
      <c r="C1776" s="48"/>
      <c r="D1776" s="154" t="s">
        <v>239</v>
      </c>
      <c r="E1776" s="154"/>
      <c r="F1776" s="154" t="str">
        <f t="shared" si="3058"/>
        <v>С-Тойз</v>
      </c>
      <c r="G1776" s="154" t="s">
        <v>219</v>
      </c>
      <c r="H1776" s="319"/>
      <c r="I1776" s="320">
        <f>IF(I1774=0,0,I$9-I1775)</f>
        <v>196.23000080727797</v>
      </c>
      <c r="J1776" s="321">
        <f>I1776-SUMIFS(ПОбТЗ!$I:$I,ПОбТЗ!$E:$E,$D1776,ПОбТЗ!$F:$F,$F1776)</f>
        <v>0</v>
      </c>
      <c r="K1776" s="320">
        <f>IF(K1774=0,0,I$9-K1775)</f>
        <v>221.59581290838105</v>
      </c>
      <c r="L1776" s="322">
        <f>IF(L1774=0,0,I$9-L1775)</f>
        <v>7.6808846761414316</v>
      </c>
      <c r="M1776" s="275"/>
      <c r="N1776" s="155">
        <f>IF(N1774=0,0,N$9-N1775)</f>
        <v>144.90612895486993</v>
      </c>
      <c r="O1776" s="173">
        <f>N1776-SUMIFS(ПОбТЗ_3!$J:$J,ПОбТЗ_3!$D:$D,$D1776,ПОбТЗ_3!$E:$E,$F1776)</f>
        <v>0</v>
      </c>
      <c r="P1776" s="155">
        <f>IF(P1774=0,0,N$9-P1775)</f>
        <v>160.67981118373427</v>
      </c>
      <c r="Q1776" s="239">
        <f>IF(Q1774=0,0,N$9-Q1775)</f>
        <v>0</v>
      </c>
      <c r="R1776" s="240"/>
      <c r="S1776" s="155">
        <f>IF(S1774=0,0,S$9-S1775)</f>
        <v>114.02845117630932</v>
      </c>
      <c r="T1776" s="173">
        <f>S1776-SUMIFS(ПОбТЗ_3!$K:$K,ПОбТЗ_3!$D:$D,$D1776,ПОбТЗ_3!$E:$E,$F1776)</f>
        <v>0</v>
      </c>
      <c r="U1776" s="155">
        <f>IF(U1774=0,0,S$9-U1775)</f>
        <v>186.95312185744842</v>
      </c>
      <c r="V1776" s="239">
        <f>IF(V1774=0,0,S$9-V1775)</f>
        <v>1.6762237183429534</v>
      </c>
      <c r="W1776" s="240"/>
      <c r="X1776" s="155">
        <f>IF(X1774=0,0,X$9-X1775)</f>
        <v>196.23000080727797</v>
      </c>
      <c r="Y1776" s="173">
        <f>X1776-SUMIFS(ПОбТЗ_3!$L:$L,ПОбТЗ_3!$D:$D,$D1776,ПОбТЗ_3!$E:$E,$F1776)</f>
        <v>0</v>
      </c>
      <c r="Z1776" s="155">
        <f>IF(Z1774=0,0,X$9-Z1775)</f>
        <v>221.59581290838105</v>
      </c>
      <c r="AA1776" s="239">
        <f>IF(AA1774=0,0,X$9-AA1775)</f>
        <v>7.6808846761414316</v>
      </c>
      <c r="AB1776" s="230"/>
      <c r="AC1776" s="48"/>
      <c r="AD1776" s="48"/>
      <c r="AE1776" s="48"/>
      <c r="AF1776" s="48"/>
      <c r="AG1776" s="48"/>
      <c r="AH1776" s="48"/>
      <c r="AI1776" s="48"/>
      <c r="AJ1776" s="48"/>
      <c r="AK1776" s="48"/>
      <c r="AL1776" s="48"/>
      <c r="AM1776" s="48"/>
      <c r="AN1776" s="48"/>
      <c r="AO1776" s="48"/>
      <c r="AP1776" s="48"/>
    </row>
    <row r="1777" spans="1:42" s="93" customFormat="1" ht="15">
      <c r="A1777" s="92"/>
      <c r="B1777" s="92"/>
      <c r="C1777" s="92"/>
      <c r="D1777" s="198" t="s">
        <v>280</v>
      </c>
      <c r="E1777" s="198"/>
      <c r="F1777" s="198" t="str">
        <f t="shared" si="3058"/>
        <v>С-Тойз</v>
      </c>
      <c r="G1777" s="198" t="s">
        <v>219</v>
      </c>
      <c r="H1777" s="323"/>
      <c r="I1777" s="324">
        <f>IF(I1774=0,0,(I1779*I1783+I1785*I1789)/I1774)</f>
        <v>55.390593426300157</v>
      </c>
      <c r="J1777" s="321"/>
      <c r="K1777" s="324">
        <f>IF(K1774=0,0,(K1779*K1783+K1785*K1789)/K1774)</f>
        <v>62.155693014513105</v>
      </c>
      <c r="L1777" s="325">
        <f>IF(L1774=0,0,(L1779*L1783+L1785*L1789)/L1774)</f>
        <v>5.104265402843601</v>
      </c>
      <c r="M1777" s="276"/>
      <c r="N1777" s="199">
        <f>IF(N1774=0,0,(N1779*N1783+N1785*N1789)/N1774)</f>
        <v>59.700201390114898</v>
      </c>
      <c r="O1777" s="173"/>
      <c r="P1777" s="199">
        <f>IF(P1774=0,0,(P1779*P1783+P1785*P1789)/P1774)</f>
        <v>66.198836144351077</v>
      </c>
      <c r="Q1777" s="241">
        <f>IF(Q1774=0,0,(Q1779*Q1783+Q1785*Q1789)/Q1774)</f>
        <v>0</v>
      </c>
      <c r="R1777" s="242"/>
      <c r="S1777" s="199">
        <f>IF(S1774=0,0,(S1779*S1783+S1785*S1789)/S1774)</f>
        <v>49.330119118574117</v>
      </c>
      <c r="T1777" s="173"/>
      <c r="U1777" s="199">
        <f>IF(U1774=0,0,(U1779*U1783+U1785*U1789)/U1774)</f>
        <v>80.260922248737401</v>
      </c>
      <c r="V1777" s="241">
        <f>IF(V1774=0,0,(V1779*V1783+V1785*V1789)/V1774)</f>
        <v>1.6762237183211248</v>
      </c>
      <c r="W1777" s="242"/>
      <c r="X1777" s="199">
        <f>IF(X1774=0,0,(X1779*X1783+X1785*X1789)/X1774)</f>
        <v>55.390593426300157</v>
      </c>
      <c r="Y1777" s="173"/>
      <c r="Z1777" s="199">
        <f>IF(Z1774=0,0,(Z1779*Z1783+Z1785*Z1789)/Z1774)</f>
        <v>62.155693014513105</v>
      </c>
      <c r="AA1777" s="241">
        <f>IF(AA1774=0,0,(AA1779*AA1783+AA1785*AA1789)/AA1774)</f>
        <v>5.104265402843601</v>
      </c>
      <c r="AB1777" s="264"/>
      <c r="AC1777" s="92"/>
      <c r="AD1777" s="92"/>
      <c r="AE1777" s="92"/>
      <c r="AF1777" s="92"/>
      <c r="AG1777" s="92"/>
      <c r="AH1777" s="92"/>
      <c r="AI1777" s="92"/>
      <c r="AJ1777" s="92"/>
      <c r="AK1777" s="92"/>
      <c r="AL1777" s="92"/>
      <c r="AM1777" s="92"/>
      <c r="AN1777" s="92"/>
      <c r="AO1777" s="92"/>
      <c r="AP1777" s="92"/>
    </row>
    <row r="1778" spans="1:42" s="50" customFormat="1" ht="11.25">
      <c r="A1778" s="48"/>
      <c r="B1778" s="48"/>
      <c r="C1778" s="48"/>
      <c r="D1778" s="154" t="s">
        <v>281</v>
      </c>
      <c r="E1778" s="154"/>
      <c r="F1778" s="154" t="str">
        <f t="shared" si="3058"/>
        <v>С-Тойз</v>
      </c>
      <c r="G1778" s="154" t="s">
        <v>219</v>
      </c>
      <c r="H1778" s="319"/>
      <c r="I1778" s="320">
        <f>I1776-I1777</f>
        <v>140.83940738097783</v>
      </c>
      <c r="J1778" s="321"/>
      <c r="K1778" s="320">
        <f>K1776-K1777</f>
        <v>159.44011989386794</v>
      </c>
      <c r="L1778" s="322">
        <f>L1776-L1777</f>
        <v>2.5766192732978306</v>
      </c>
      <c r="M1778" s="275"/>
      <c r="N1778" s="155">
        <f>N1776-N1777</f>
        <v>85.205927564755029</v>
      </c>
      <c r="O1778" s="173"/>
      <c r="P1778" s="155">
        <f>P1776-P1777</f>
        <v>94.480975039383196</v>
      </c>
      <c r="Q1778" s="239">
        <f>Q1776-Q1777</f>
        <v>0</v>
      </c>
      <c r="R1778" s="240"/>
      <c r="S1778" s="155">
        <f>S1776-S1777</f>
        <v>64.6983320577352</v>
      </c>
      <c r="T1778" s="173"/>
      <c r="U1778" s="155">
        <f>U1776-U1777</f>
        <v>106.69219960871102</v>
      </c>
      <c r="V1778" s="239">
        <f>V1776-V1777</f>
        <v>2.1828538976365053E-11</v>
      </c>
      <c r="W1778" s="240"/>
      <c r="X1778" s="155">
        <f>X1776-X1777</f>
        <v>140.83940738097783</v>
      </c>
      <c r="Y1778" s="173"/>
      <c r="Z1778" s="155">
        <f>Z1776-Z1777</f>
        <v>159.44011989386794</v>
      </c>
      <c r="AA1778" s="239">
        <f>AA1776-AA1777</f>
        <v>2.5766192732978306</v>
      </c>
      <c r="AB1778" s="230"/>
      <c r="AC1778" s="48"/>
      <c r="AD1778" s="48"/>
      <c r="AE1778" s="48"/>
      <c r="AF1778" s="48"/>
      <c r="AG1778" s="48"/>
      <c r="AH1778" s="48"/>
      <c r="AI1778" s="48"/>
      <c r="AJ1778" s="48"/>
      <c r="AK1778" s="48"/>
      <c r="AL1778" s="48"/>
      <c r="AM1778" s="48"/>
      <c r="AN1778" s="48"/>
      <c r="AO1778" s="48"/>
      <c r="AP1778" s="48"/>
    </row>
    <row r="1779" spans="1:42" s="5" customFormat="1">
      <c r="A1779" s="1"/>
      <c r="B1779" s="1"/>
      <c r="C1779" s="1"/>
      <c r="D1779" s="168"/>
      <c r="E1779" s="168" t="s">
        <v>282</v>
      </c>
      <c r="F1779" s="168" t="str">
        <f t="shared" si="3058"/>
        <v>С-Тойз</v>
      </c>
      <c r="G1779" s="168" t="s">
        <v>261</v>
      </c>
      <c r="H1779" s="326"/>
      <c r="I1779" s="327">
        <f>SUMIFS(операции!$V:$V,операции!$T:$T,"&lt;="&amp;I$9,операции!$X:$X,"",операции!$AB:$AB,"&lt;&gt;"&amp;"",операции!$AB:$AB,"&lt;="&amp;I$9,операции!$O:$O,$F1718)+SUMIFS(операции!$V:$V,операции!$T:$T,"&lt;="&amp;I$9,операции!$X:$X,"&gt;"&amp;I$9,операции!$AB:$AB,"&lt;&gt;"&amp;"",операции!$AB:$AB,"&lt;="&amp;I$9,операции!$O:$O,$F1718)</f>
        <v>23258.67</v>
      </c>
      <c r="J1779" s="313">
        <f>I1779-K1779-L1779</f>
        <v>1.8189894035458565E-12</v>
      </c>
      <c r="K1779" s="327">
        <f>SUMIFS(операции!$V:$V,операции!$T:$T,"&lt;="&amp;I$9,операции!$X:$X,"",операции!$AB:$AB,"&lt;&gt;"&amp;"",операции!$AB:$AB,"&lt;="&amp;I$9,операции!$L:$L,K$9,операции!$O:$O,$F1718)+SUMIFS(операции!$V:$V,операции!$T:$T,"&lt;="&amp;I$9,операции!$X:$X,"&gt;"&amp;I$9,операции!$AB:$AB,"&lt;&gt;"&amp;"",операции!$AB:$AB,"&lt;="&amp;I$9,операции!$L:$L,K$9,операции!$O:$O,$F1718)</f>
        <v>21858.339999999997</v>
      </c>
      <c r="L1779" s="328">
        <f>SUMIFS(операции!$V:$V,операции!$T:$T,"&lt;="&amp;I$9,операции!$X:$X,"",операции!$AB:$AB,"&lt;&gt;"&amp;"",операции!$AB:$AB,"&lt;="&amp;I$9,операции!$L:$L,L$9,операции!$O:$O,$F1718)+SUMIFS(операции!$V:$V,операции!$T:$T,"&lt;="&amp;I$9,операции!$X:$X,"&gt;"&amp;I$9,операции!$AB:$AB,"&lt;&gt;"&amp;"",операции!$AB:$AB,"&lt;="&amp;I$9,операции!$L:$L,L$9,операции!$O:$O,$F1718)</f>
        <v>1400.33</v>
      </c>
      <c r="M1779" s="277"/>
      <c r="N1779" s="169">
        <f>SUMIFS(операции!$V:$V,операции!$T:$T,"&lt;="&amp;N$9,операции!$X:$X,"",операции!$AB:$AB,"&lt;&gt;"&amp;"",операции!$AB:$AB,"&lt;="&amp;N$9,операции!$O:$O,$F1718)+SUMIFS(операции!$V:$V,операции!$T:$T,"&lt;="&amp;N$9,операции!$X:$X,"&gt;"&amp;N$9,операции!$AB:$AB,"&lt;&gt;"&amp;"",операции!$AB:$AB,"&lt;="&amp;N$9,операции!$O:$O,$F1718)</f>
        <v>33915.11</v>
      </c>
      <c r="O1779" s="170">
        <f>N1779-P1779-Q1779</f>
        <v>0</v>
      </c>
      <c r="P1779" s="169">
        <f>SUMIFS(операции!$V:$V,операции!$T:$T,"&lt;="&amp;N$9,операции!$X:$X,"",операции!$AB:$AB,"&lt;&gt;"&amp;"",операции!$AB:$AB,"&lt;="&amp;N$9,операции!$L:$L,P$9,операции!$O:$O,$F1718)+SUMIFS(операции!$V:$V,операции!$T:$T,"&lt;="&amp;N$9,операции!$X:$X,"&gt;"&amp;N$9,операции!$AB:$AB,"&lt;&gt;"&amp;"",операции!$AB:$AB,"&lt;="&amp;N$9,операции!$L:$L,P$9,операции!$O:$O,$F1718)</f>
        <v>33915.11</v>
      </c>
      <c r="Q1779" s="243">
        <f>SUMIFS(операции!$V:$V,операции!$T:$T,"&lt;="&amp;N$9,операции!$X:$X,"",операции!$AB:$AB,"&lt;&gt;"&amp;"",операции!$AB:$AB,"&lt;="&amp;N$9,операции!$L:$L,Q$9,операции!$O:$O,$F1718)+SUMIFS(операции!$V:$V,операции!$T:$T,"&lt;="&amp;N$9,операции!$X:$X,"&gt;"&amp;N$9,операции!$AB:$AB,"&lt;&gt;"&amp;"",операции!$AB:$AB,"&lt;="&amp;N$9,операции!$L:$L,Q$9,операции!$O:$O,$F1718)</f>
        <v>0</v>
      </c>
      <c r="R1779" s="244"/>
      <c r="S1779" s="169">
        <f>SUMIFS(операции!$V:$V,операции!$T:$T,"&lt;="&amp;S$9,операции!$X:$X,"",операции!$AB:$AB,"&lt;&gt;"&amp;"",операции!$AB:$AB,"&lt;="&amp;S$9,операции!$O:$O,$F1718)+SUMIFS(операции!$V:$V,операции!$T:$T,"&lt;="&amp;S$9,операции!$X:$X,"&gt;"&amp;S$9,операции!$AB:$AB,"&lt;&gt;"&amp;"",операции!$AB:$AB,"&lt;="&amp;S$9,операции!$O:$O,$F1718)</f>
        <v>22777.42</v>
      </c>
      <c r="T1779" s="170">
        <f>S1779-U1779-V1779</f>
        <v>0</v>
      </c>
      <c r="U1779" s="169">
        <f>SUMIFS(операции!$V:$V,операции!$T:$T,"&lt;="&amp;S$9,операции!$X:$X,"",операции!$AB:$AB,"&lt;&gt;"&amp;"",операции!$AB:$AB,"&lt;="&amp;S$9,операции!$L:$L,U$9,операции!$O:$O,$F1718)+SUMIFS(операции!$V:$V,операции!$T:$T,"&lt;="&amp;S$9,операции!$X:$X,"&gt;"&amp;S$9,операции!$AB:$AB,"&lt;&gt;"&amp;"",операции!$AB:$AB,"&lt;="&amp;S$9,операции!$L:$L,U$9,операции!$O:$O,$F1718)</f>
        <v>22777.42</v>
      </c>
      <c r="V1779" s="243">
        <f>SUMIFS(операции!$V:$V,операции!$T:$T,"&lt;="&amp;S$9,операции!$X:$X,"",операции!$AB:$AB,"&lt;&gt;"&amp;"",операции!$AB:$AB,"&lt;="&amp;S$9,операции!$L:$L,V$9,операции!$O:$O,$F1718)+SUMIFS(операции!$V:$V,операции!$T:$T,"&lt;="&amp;S$9,операции!$X:$X,"&gt;"&amp;S$9,операции!$AB:$AB,"&lt;&gt;"&amp;"",операции!$AB:$AB,"&lt;="&amp;S$9,операции!$L:$L,V$9,операции!$O:$O,$F1718)</f>
        <v>0</v>
      </c>
      <c r="W1779" s="244"/>
      <c r="X1779" s="169">
        <f>SUMIFS(операции!$V:$V,операции!$T:$T,"&lt;="&amp;X$9,операции!$X:$X,"",операции!$AB:$AB,"&lt;&gt;"&amp;"",операции!$AB:$AB,"&lt;="&amp;X$9,операции!$O:$O,$F1718)+SUMIFS(операции!$V:$V,операции!$T:$T,"&lt;="&amp;X$9,операции!$X:$X,"&gt;"&amp;X$9,операции!$AB:$AB,"&lt;&gt;"&amp;"",операции!$AB:$AB,"&lt;="&amp;X$9,операции!$O:$O,$F1718)</f>
        <v>23258.67</v>
      </c>
      <c r="Y1779" s="170">
        <f>X1779-Z1779-AA1779</f>
        <v>1.8189894035458565E-12</v>
      </c>
      <c r="Z1779" s="169">
        <f>SUMIFS(операции!$V:$V,операции!$T:$T,"&lt;="&amp;X$9,операции!$X:$X,"",операции!$AB:$AB,"&lt;&gt;"&amp;"",операции!$AB:$AB,"&lt;="&amp;X$9,операции!$L:$L,Z$9,операции!$O:$O,$F1718)+SUMIFS(операции!$V:$V,операции!$T:$T,"&lt;="&amp;X$9,операции!$X:$X,"&gt;"&amp;X$9,операции!$AB:$AB,"&lt;&gt;"&amp;"",операции!$AB:$AB,"&lt;="&amp;X$9,операции!$L:$L,Z$9,операции!$O:$O,$F1718)</f>
        <v>21858.339999999997</v>
      </c>
      <c r="AA1779" s="243">
        <f>SUMIFS(операции!$V:$V,операции!$T:$T,"&lt;="&amp;X$9,операции!$X:$X,"",операции!$AB:$AB,"&lt;&gt;"&amp;"",операции!$AB:$AB,"&lt;="&amp;X$9,операции!$L:$L,AA$9,операции!$O:$O,$F1718)+SUMIFS(операции!$V:$V,операции!$T:$T,"&lt;="&amp;X$9,операции!$X:$X,"&gt;"&amp;X$9,операции!$AB:$AB,"&lt;&gt;"&amp;"",операции!$AB:$AB,"&lt;="&amp;X$9,операции!$L:$L,AA$9,операции!$O:$O,$F1718)</f>
        <v>1400.33</v>
      </c>
      <c r="AB1779" s="266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</row>
    <row r="1780" spans="1:42" s="192" customFormat="1" ht="11.25">
      <c r="A1780" s="37"/>
      <c r="B1780" s="37"/>
      <c r="C1780" s="37"/>
      <c r="D1780" s="191"/>
      <c r="E1780" s="191" t="s">
        <v>255</v>
      </c>
      <c r="F1780" s="191" t="str">
        <f t="shared" si="3058"/>
        <v>С-Тойз</v>
      </c>
      <c r="G1780" s="191" t="s">
        <v>262</v>
      </c>
      <c r="H1780" s="315"/>
      <c r="I1780" s="316">
        <f>IF(I1779=0,0,(SUMIFS(операции!$AF:$AF,операции!$T:$T,"&lt;="&amp;I$9,операции!$X:$X,"",операции!$AB:$AB,"&lt;&gt;"&amp;"",операции!$AB:$AB,"&lt;="&amp;I$9,операции!$O:$O,$F1718)+SUMIFS(операции!$AF:$AF,операции!$T:$T,"&lt;="&amp;I$9,операции!$X:$X,"&gt;"&amp;I$9,операции!$AB:$AB,"&lt;&gt;"&amp;"",операции!$AB:$AB,"&lt;="&amp;I$9,операции!$O:$O,$F1718))/I1779)</f>
        <v>42144.832996469704</v>
      </c>
      <c r="J1780" s="317"/>
      <c r="K1780" s="316">
        <f>IF(K1779=0,0,(SUMIFS(операции!$AF:$AF,операции!$T:$T,"&lt;="&amp;I$9,операции!$X:$X,"",операции!$AB:$AB,"&lt;&gt;"&amp;"",операции!$AB:$AB,"&lt;="&amp;I$9,операции!$L:$L,K$9,операции!$O:$O,$F1718)+SUMIFS(операции!$AF:$AF,операции!$T:$T,"&lt;="&amp;I$9,операции!$X:$X,"&gt;"&amp;I$9,операции!$AB:$AB,"&lt;&gt;"&amp;"",операции!$AB:$AB,"&lt;="&amp;I$9,операции!$L:$L,K$9,операции!$O:$O,$F1718))/K1779)</f>
        <v>42131.368883455936</v>
      </c>
      <c r="L1780" s="318">
        <f>IF(L1779=0,0,(SUMIFS(операции!$AF:$AF,операции!$T:$T,"&lt;="&amp;I$9,операции!$X:$X,"",операции!$AB:$AB,"&lt;&gt;"&amp;"",операции!$AB:$AB,"&lt;="&amp;I$9,операции!$L:$L,L$9,операции!$O:$O,$F1718)+SUMIFS(операции!$AF:$AF,операции!$T:$T,"&lt;="&amp;I$9,операции!$X:$X,"&gt;"&amp;I$9,операции!$AB:$AB,"&lt;&gt;"&amp;"",операции!$AB:$AB,"&lt;="&amp;I$9,операции!$L:$L,L$9,операции!$O:$O,$F1718))/L1779)</f>
        <v>42355</v>
      </c>
      <c r="M1780" s="274"/>
      <c r="N1780" s="193">
        <f>IF(N1779=0,0,(SUMIFS(операции!$AF:$AF,операции!$T:$T,"&lt;="&amp;N$9,операции!$X:$X,"",операции!$AB:$AB,"&lt;&gt;"&amp;"",операции!$AB:$AB,"&lt;="&amp;N$9,операции!$O:$O,$F1718)+SUMIFS(операции!$AF:$AF,операции!$T:$T,"&lt;="&amp;N$9,операции!$X:$X,"&gt;"&amp;N$9,операции!$AB:$AB,"&lt;&gt;"&amp;"",операции!$AB:$AB,"&lt;="&amp;N$9,операции!$O:$O,$F1718))/N1779)</f>
        <v>42133.840066271354</v>
      </c>
      <c r="O1780" s="196"/>
      <c r="P1780" s="193">
        <f>IF(P1779=0,0,(SUMIFS(операции!$AF:$AF,операции!$T:$T,"&lt;="&amp;N$9,операции!$X:$X,"",операции!$AB:$AB,"&lt;&gt;"&amp;"",операции!$AB:$AB,"&lt;="&amp;N$9,операции!$L:$L,P$9,операции!$O:$O,$F1718)+SUMIFS(операции!$AF:$AF,операции!$T:$T,"&lt;="&amp;N$9,операции!$X:$X,"&gt;"&amp;N$9,операции!$AB:$AB,"&lt;&gt;"&amp;"",операции!$AB:$AB,"&lt;="&amp;N$9,операции!$L:$L,P$9,операции!$O:$O,$F1718))/P1779)</f>
        <v>42133.840066271354</v>
      </c>
      <c r="Q1780" s="237">
        <f>IF(Q1779=0,0,(SUMIFS(операции!$AF:$AF,операции!$T:$T,"&lt;="&amp;N$9,операции!$X:$X,"",операции!$AB:$AB,"&lt;&gt;"&amp;"",операции!$AB:$AB,"&lt;="&amp;N$9,операции!$L:$L,Q$9,операции!$O:$O,$F1718)+SUMIFS(операции!$AF:$AF,операции!$T:$T,"&lt;="&amp;N$9,операции!$X:$X,"&gt;"&amp;N$9,операции!$AB:$AB,"&lt;&gt;"&amp;"",операции!$AB:$AB,"&lt;="&amp;N$9,операции!$L:$L,Q$9,операции!$O:$O,$F1718))/Q1779)</f>
        <v>0</v>
      </c>
      <c r="R1780" s="238"/>
      <c r="S1780" s="193">
        <f>IF(S1779=0,0,(SUMIFS(операции!$AF:$AF,операции!$T:$T,"&lt;="&amp;S$9,операции!$X:$X,"",операции!$AB:$AB,"&lt;&gt;"&amp;"",операции!$AB:$AB,"&lt;="&amp;S$9,операции!$O:$O,$F1718)+SUMIFS(операции!$AF:$AF,операции!$T:$T,"&lt;="&amp;S$9,операции!$X:$X,"&gt;"&amp;S$9,операции!$AB:$AB,"&lt;&gt;"&amp;"",операции!$AB:$AB,"&lt;="&amp;S$9,операции!$O:$O,$F1718))/S1779)</f>
        <v>42137.608324384419</v>
      </c>
      <c r="T1780" s="196"/>
      <c r="U1780" s="193">
        <f>IF(U1779=0,0,(SUMIFS(операции!$AF:$AF,операции!$T:$T,"&lt;="&amp;S$9,операции!$X:$X,"",операции!$AB:$AB,"&lt;&gt;"&amp;"",операции!$AB:$AB,"&lt;="&amp;S$9,операции!$L:$L,U$9,операции!$O:$O,$F1718)+SUMIFS(операции!$AF:$AF,операции!$T:$T,"&lt;="&amp;S$9,операции!$X:$X,"&gt;"&amp;S$9,операции!$AB:$AB,"&lt;&gt;"&amp;"",операции!$AB:$AB,"&lt;="&amp;S$9,операции!$L:$L,U$9,операции!$O:$O,$F1718))/U1779)</f>
        <v>42137.608324384419</v>
      </c>
      <c r="V1780" s="237">
        <f>IF(V1779=0,0,(SUMIFS(операции!$AF:$AF,операции!$T:$T,"&lt;="&amp;S$9,операции!$X:$X,"",операции!$AB:$AB,"&lt;&gt;"&amp;"",операции!$AB:$AB,"&lt;="&amp;S$9,операции!$L:$L,V$9,операции!$O:$O,$F1718)+SUMIFS(операции!$AF:$AF,операции!$T:$T,"&lt;="&amp;S$9,операции!$X:$X,"&gt;"&amp;S$9,операции!$AB:$AB,"&lt;&gt;"&amp;"",операции!$AB:$AB,"&lt;="&amp;S$9,операции!$L:$L,V$9,операции!$O:$O,$F1718))/V1779)</f>
        <v>0</v>
      </c>
      <c r="W1780" s="238"/>
      <c r="X1780" s="193">
        <f>IF(X1779=0,0,(SUMIFS(операции!$AF:$AF,операции!$T:$T,"&lt;="&amp;X$9,операции!$X:$X,"",операции!$AB:$AB,"&lt;&gt;"&amp;"",операции!$AB:$AB,"&lt;="&amp;X$9,операции!$O:$O,$F1718)+SUMIFS(операции!$AF:$AF,операции!$T:$T,"&lt;="&amp;X$9,операции!$X:$X,"&gt;"&amp;X$9,операции!$AB:$AB,"&lt;&gt;"&amp;"",операции!$AB:$AB,"&lt;="&amp;X$9,операции!$O:$O,$F1718))/X1779)</f>
        <v>42144.832996469704</v>
      </c>
      <c r="Y1780" s="196"/>
      <c r="Z1780" s="193">
        <f>IF(Z1779=0,0,(SUMIFS(операции!$AF:$AF,операции!$T:$T,"&lt;="&amp;X$9,операции!$X:$X,"",операции!$AB:$AB,"&lt;&gt;"&amp;"",операции!$AB:$AB,"&lt;="&amp;X$9,операции!$L:$L,Z$9,операции!$O:$O,$F1718)+SUMIFS(операции!$AF:$AF,операции!$T:$T,"&lt;="&amp;X$9,операции!$X:$X,"&gt;"&amp;X$9,операции!$AB:$AB,"&lt;&gt;"&amp;"",операции!$AB:$AB,"&lt;="&amp;X$9,операции!$L:$L,Z$9,операции!$O:$O,$F1718))/Z1779)</f>
        <v>42131.368883455936</v>
      </c>
      <c r="AA1780" s="237">
        <f>IF(AA1779=0,0,(SUMIFS(операции!$AF:$AF,операции!$T:$T,"&lt;="&amp;X$9,операции!$X:$X,"",операции!$AB:$AB,"&lt;&gt;"&amp;"",операции!$AB:$AB,"&lt;="&amp;X$9,операции!$L:$L,AA$9,операции!$O:$O,$F1718)+SUMIFS(операции!$AF:$AF,операции!$T:$T,"&lt;="&amp;X$9,операции!$X:$X,"&gt;"&amp;X$9,операции!$AB:$AB,"&lt;&gt;"&amp;"",операции!$AB:$AB,"&lt;="&amp;X$9,операции!$L:$L,AA$9,операции!$O:$O,$F1718))/AA1779)</f>
        <v>42355</v>
      </c>
      <c r="AB1780" s="265"/>
      <c r="AC1780" s="37"/>
      <c r="AD1780" s="37"/>
      <c r="AE1780" s="37"/>
      <c r="AF1780" s="37"/>
      <c r="AG1780" s="37"/>
      <c r="AH1780" s="37"/>
      <c r="AI1780" s="37"/>
      <c r="AJ1780" s="37"/>
      <c r="AK1780" s="37"/>
      <c r="AL1780" s="37"/>
      <c r="AM1780" s="37"/>
      <c r="AN1780" s="37"/>
      <c r="AO1780" s="37"/>
      <c r="AP1780" s="37"/>
    </row>
    <row r="1781" spans="1:42" s="192" customFormat="1" ht="11.25">
      <c r="A1781" s="37"/>
      <c r="B1781" s="37"/>
      <c r="C1781" s="37"/>
      <c r="D1781" s="191"/>
      <c r="E1781" s="191" t="s">
        <v>283</v>
      </c>
      <c r="F1781" s="191" t="str">
        <f t="shared" si="3058"/>
        <v>С-Тойз</v>
      </c>
      <c r="G1781" s="191" t="s">
        <v>219</v>
      </c>
      <c r="H1781" s="315"/>
      <c r="I1781" s="329">
        <f>IF(I1779=0,0,I$9-I1780)</f>
        <v>224.16700353029591</v>
      </c>
      <c r="J1781" s="317"/>
      <c r="K1781" s="329">
        <f>IF(K1779=0,0,I$9-K1780)</f>
        <v>237.63111654406384</v>
      </c>
      <c r="L1781" s="330">
        <f>IF(L1779=0,0,I$9-L1780)</f>
        <v>14</v>
      </c>
      <c r="M1781" s="274"/>
      <c r="N1781" s="156">
        <f>IF(N1779=0,0,N$9-N1780)</f>
        <v>174.15993372864614</v>
      </c>
      <c r="O1781" s="196"/>
      <c r="P1781" s="156">
        <f>IF(P1779=0,0,N$9-P1780)</f>
        <v>174.15993372864614</v>
      </c>
      <c r="Q1781" s="245">
        <f>IF(Q1779=0,0,N$9-Q1780)</f>
        <v>0</v>
      </c>
      <c r="R1781" s="238"/>
      <c r="S1781" s="156">
        <f>IF(S1779=0,0,S$9-S1780)</f>
        <v>200.39167561558133</v>
      </c>
      <c r="T1781" s="196"/>
      <c r="U1781" s="156">
        <f>IF(U1779=0,0,S$9-U1780)</f>
        <v>200.39167561558133</v>
      </c>
      <c r="V1781" s="245">
        <f>IF(V1779=0,0,S$9-V1780)</f>
        <v>0</v>
      </c>
      <c r="W1781" s="238"/>
      <c r="X1781" s="156">
        <f>IF(X1779=0,0,X$9-X1780)</f>
        <v>224.16700353029591</v>
      </c>
      <c r="Y1781" s="196"/>
      <c r="Z1781" s="156">
        <f>IF(Z1779=0,0,X$9-Z1780)</f>
        <v>237.63111654406384</v>
      </c>
      <c r="AA1781" s="245">
        <f>IF(AA1779=0,0,X$9-AA1780)</f>
        <v>14</v>
      </c>
      <c r="AB1781" s="265"/>
      <c r="AC1781" s="37"/>
      <c r="AD1781" s="37"/>
      <c r="AE1781" s="37"/>
      <c r="AF1781" s="37"/>
      <c r="AG1781" s="37"/>
      <c r="AH1781" s="37"/>
      <c r="AI1781" s="37"/>
      <c r="AJ1781" s="37"/>
      <c r="AK1781" s="37"/>
      <c r="AL1781" s="37"/>
      <c r="AM1781" s="37"/>
      <c r="AN1781" s="37"/>
      <c r="AO1781" s="37"/>
      <c r="AP1781" s="37"/>
    </row>
    <row r="1782" spans="1:42" s="192" customFormat="1" ht="11.25">
      <c r="A1782" s="37"/>
      <c r="B1782" s="37"/>
      <c r="C1782" s="37"/>
      <c r="D1782" s="191"/>
      <c r="E1782" s="191" t="s">
        <v>259</v>
      </c>
      <c r="F1782" s="191" t="str">
        <f t="shared" si="3058"/>
        <v>С-Тойз</v>
      </c>
      <c r="G1782" s="191" t="s">
        <v>262</v>
      </c>
      <c r="H1782" s="315"/>
      <c r="I1782" s="316">
        <f>IF(I1779=0,0,(SUMIFS(операции!$AH:$AH,операции!$T:$T,"&lt;="&amp;I$9,операции!$X:$X,"",операции!$AB:$AB,"&lt;&gt;"&amp;"",операции!$AB:$AB,"&lt;="&amp;I$9,операции!$O:$O,$F1718)+SUMIFS(операции!$AH:$AH,операции!$T:$T,"&lt;="&amp;I$9,операции!$X:$X,"&gt;"&amp;I$9,операции!$AB:$AB,"&lt;&gt;"&amp;"",операции!$AB:$AB,"&lt;="&amp;I$9,операции!$O:$O,$F1718))/I1779)</f>
        <v>42174.728176632634</v>
      </c>
      <c r="J1782" s="317"/>
      <c r="K1782" s="316">
        <f>IF(K1779=0,0,(SUMIFS(операции!$AH:$AH,операции!$T:$T,"&lt;="&amp;I$9,операции!$X:$X,"",операции!$AB:$AB,"&lt;&gt;"&amp;"",операции!$AB:$AB,"&lt;="&amp;I$9,операции!$L:$L,K$9,операции!$O:$O,$F1718)+SUMIFS(операции!$AH:$AH,операции!$T:$T,"&lt;="&amp;I$9,операции!$X:$X,"&gt;"&amp;I$9,операции!$AB:$AB,"&lt;&gt;"&amp;"",операции!$AB:$AB,"&lt;="&amp;I$9,операции!$L:$L,K$9,операции!$O:$O,$F1718))/K1779)</f>
        <v>42162.730817619282</v>
      </c>
      <c r="L1782" s="318">
        <f>IF(L1779=0,0,(SUMIFS(операции!$AH:$AH,операции!$T:$T,"&lt;="&amp;I$9,операции!$X:$X,"",операции!$AB:$AB,"&lt;&gt;"&amp;"",операции!$AB:$AB,"&lt;="&amp;I$9,операции!$L:$L,L$9,операции!$O:$O,$F1718)+SUMIFS(операции!$AH:$AH,операции!$T:$T,"&lt;="&amp;I$9,операции!$X:$X,"&gt;"&amp;I$9,операции!$AB:$AB,"&lt;&gt;"&amp;"",операции!$AB:$AB,"&lt;="&amp;I$9,операции!$L:$L,L$9,операции!$O:$O,$F1718))/L1779)</f>
        <v>42362</v>
      </c>
      <c r="M1782" s="274"/>
      <c r="N1782" s="193">
        <f>IF(N1779=0,0,(SUMIFS(операции!$AH:$AH,операции!$T:$T,"&lt;="&amp;N$9,операции!$X:$X,"",операции!$AB:$AB,"&lt;&gt;"&amp;"",операции!$AB:$AB,"&lt;="&amp;N$9,операции!$O:$O,$F1718)+SUMIFS(операции!$AH:$AH,операции!$T:$T,"&lt;="&amp;N$9,операции!$X:$X,"&gt;"&amp;N$9,операции!$AB:$AB,"&lt;&gt;"&amp;"",операции!$AB:$AB,"&lt;="&amp;N$9,операции!$O:$O,$F1718))/N1779)</f>
        <v>42162.330142523497</v>
      </c>
      <c r="O1782" s="196"/>
      <c r="P1782" s="193">
        <f>IF(P1779=0,0,(SUMIFS(операции!$AH:$AH,операции!$T:$T,"&lt;="&amp;N$9,операции!$X:$X,"",операции!$AB:$AB,"&lt;&gt;"&amp;"",операции!$AB:$AB,"&lt;="&amp;N$9,операции!$L:$L,P$9,операции!$O:$O,$F1718)+SUMIFS(операции!$AH:$AH,операции!$T:$T,"&lt;="&amp;N$9,операции!$X:$X,"&gt;"&amp;N$9,операции!$AB:$AB,"&lt;&gt;"&amp;"",операции!$AB:$AB,"&lt;="&amp;N$9,операции!$L:$L,P$9,операции!$O:$O,$F1718))/P1779)</f>
        <v>42162.330142523497</v>
      </c>
      <c r="Q1782" s="237">
        <f>IF(Q1779=0,0,(SUMIFS(операции!$AH:$AH,операции!$T:$T,"&lt;="&amp;N$9,операции!$X:$X,"",операции!$AB:$AB,"&lt;&gt;"&amp;"",операции!$AB:$AB,"&lt;="&amp;N$9,операции!$L:$L,Q$9,операции!$O:$O,$F1718)+SUMIFS(операции!$AH:$AH,операции!$T:$T,"&lt;="&amp;N$9,операции!$X:$X,"&gt;"&amp;N$9,операции!$AB:$AB,"&lt;&gt;"&amp;"",операции!$AB:$AB,"&lt;="&amp;N$9,операции!$L:$L,Q$9,операции!$O:$O,$F1718))/Q1779)</f>
        <v>0</v>
      </c>
      <c r="R1782" s="238"/>
      <c r="S1782" s="193">
        <f>IF(S1779=0,0,(SUMIFS(операции!$AH:$AH,операции!$T:$T,"&lt;="&amp;S$9,операции!$X:$X,"",операции!$AB:$AB,"&lt;&gt;"&amp;"",операции!$AB:$AB,"&lt;="&amp;S$9,операции!$O:$O,$F1718)+SUMIFS(операции!$AH:$AH,операции!$T:$T,"&lt;="&amp;S$9,операции!$X:$X,"&gt;"&amp;S$9,операции!$AB:$AB,"&lt;&gt;"&amp;"",операции!$AB:$AB,"&lt;="&amp;S$9,операции!$O:$O,$F1718))/S1779)</f>
        <v>42168.915303840389</v>
      </c>
      <c r="T1782" s="196"/>
      <c r="U1782" s="193">
        <f>IF(U1779=0,0,(SUMIFS(операции!$AH:$AH,операции!$T:$T,"&lt;="&amp;S$9,операции!$X:$X,"",операции!$AB:$AB,"&lt;&gt;"&amp;"",операции!$AB:$AB,"&lt;="&amp;S$9,операции!$L:$L,U$9,операции!$O:$O,$F1718)+SUMIFS(операции!$AH:$AH,операции!$T:$T,"&lt;="&amp;S$9,операции!$X:$X,"&gt;"&amp;S$9,операции!$AB:$AB,"&lt;&gt;"&amp;"",операции!$AB:$AB,"&lt;="&amp;S$9,операции!$L:$L,U$9,операции!$O:$O,$F1718))/U1779)</f>
        <v>42168.915303840389</v>
      </c>
      <c r="V1782" s="237">
        <f>IF(V1779=0,0,(SUMIFS(операции!$AH:$AH,операции!$T:$T,"&lt;="&amp;S$9,операции!$X:$X,"",операции!$AB:$AB,"&lt;&gt;"&amp;"",операции!$AB:$AB,"&lt;="&amp;S$9,операции!$L:$L,V$9,операции!$O:$O,$F1718)+SUMIFS(операции!$AH:$AH,операции!$T:$T,"&lt;="&amp;S$9,операции!$X:$X,"&gt;"&amp;S$9,операции!$AB:$AB,"&lt;&gt;"&amp;"",операции!$AB:$AB,"&lt;="&amp;S$9,операции!$L:$L,V$9,операции!$O:$O,$F1718))/V1779)</f>
        <v>0</v>
      </c>
      <c r="W1782" s="238"/>
      <c r="X1782" s="193">
        <f>IF(X1779=0,0,(SUMIFS(операции!$AH:$AH,операции!$T:$T,"&lt;="&amp;X$9,операции!$X:$X,"",операции!$AB:$AB,"&lt;&gt;"&amp;"",операции!$AB:$AB,"&lt;="&amp;X$9,операции!$O:$O,$F1718)+SUMIFS(операции!$AH:$AH,операции!$T:$T,"&lt;="&amp;X$9,операции!$X:$X,"&gt;"&amp;X$9,операции!$AB:$AB,"&lt;&gt;"&amp;"",операции!$AB:$AB,"&lt;="&amp;X$9,операции!$O:$O,$F1718))/X1779)</f>
        <v>42174.728176632634</v>
      </c>
      <c r="Y1782" s="196"/>
      <c r="Z1782" s="193">
        <f>IF(Z1779=0,0,(SUMIFS(операции!$AH:$AH,операции!$T:$T,"&lt;="&amp;X$9,операции!$X:$X,"",операции!$AB:$AB,"&lt;&gt;"&amp;"",операции!$AB:$AB,"&lt;="&amp;X$9,операции!$L:$L,Z$9,операции!$O:$O,$F1718)+SUMIFS(операции!$AH:$AH,операции!$T:$T,"&lt;="&amp;X$9,операции!$X:$X,"&gt;"&amp;X$9,операции!$AB:$AB,"&lt;&gt;"&amp;"",операции!$AB:$AB,"&lt;="&amp;X$9,операции!$L:$L,Z$9,операции!$O:$O,$F1718))/Z1779)</f>
        <v>42162.730817619282</v>
      </c>
      <c r="AA1782" s="237">
        <f>IF(AA1779=0,0,(SUMIFS(операции!$AH:$AH,операции!$T:$T,"&lt;="&amp;X$9,операции!$X:$X,"",операции!$AB:$AB,"&lt;&gt;"&amp;"",операции!$AB:$AB,"&lt;="&amp;X$9,операции!$L:$L,AA$9,операции!$O:$O,$F1718)+SUMIFS(операции!$AH:$AH,операции!$T:$T,"&lt;="&amp;X$9,операции!$X:$X,"&gt;"&amp;X$9,операции!$AB:$AB,"&lt;&gt;"&amp;"",операции!$AB:$AB,"&lt;="&amp;X$9,операции!$L:$L,AA$9,операции!$O:$O,$F1718))/AA1779)</f>
        <v>42362</v>
      </c>
      <c r="AB1782" s="265"/>
      <c r="AC1782" s="37"/>
      <c r="AD1782" s="37"/>
      <c r="AE1782" s="37"/>
      <c r="AF1782" s="37"/>
      <c r="AG1782" s="37"/>
      <c r="AH1782" s="37"/>
      <c r="AI1782" s="37"/>
      <c r="AJ1782" s="37"/>
      <c r="AK1782" s="37"/>
      <c r="AL1782" s="37"/>
      <c r="AM1782" s="37"/>
      <c r="AN1782" s="37"/>
      <c r="AO1782" s="37"/>
      <c r="AP1782" s="37"/>
    </row>
    <row r="1783" spans="1:42" s="192" customFormat="1" ht="11.25">
      <c r="A1783" s="37"/>
      <c r="B1783" s="37"/>
      <c r="C1783" s="37"/>
      <c r="D1783" s="191"/>
      <c r="E1783" s="191" t="s">
        <v>284</v>
      </c>
      <c r="F1783" s="191" t="str">
        <f t="shared" si="3058"/>
        <v>С-Тойз</v>
      </c>
      <c r="G1783" s="191" t="s">
        <v>219</v>
      </c>
      <c r="H1783" s="315"/>
      <c r="I1783" s="329">
        <f>I1782-I1780</f>
        <v>29.895180162930046</v>
      </c>
      <c r="J1783" s="317"/>
      <c r="K1783" s="329">
        <f>K1782-K1780</f>
        <v>31.361934163345722</v>
      </c>
      <c r="L1783" s="330">
        <f>L1782-L1780</f>
        <v>7</v>
      </c>
      <c r="M1783" s="274"/>
      <c r="N1783" s="156">
        <f>N1782-N1780</f>
        <v>28.490076252142899</v>
      </c>
      <c r="O1783" s="196"/>
      <c r="P1783" s="156">
        <f>P1782-P1780</f>
        <v>28.490076252142899</v>
      </c>
      <c r="Q1783" s="245">
        <f>Q1782-Q1780</f>
        <v>0</v>
      </c>
      <c r="R1783" s="238"/>
      <c r="S1783" s="156">
        <f>S1782-S1780</f>
        <v>31.306979455970577</v>
      </c>
      <c r="T1783" s="196"/>
      <c r="U1783" s="156">
        <f>U1782-U1780</f>
        <v>31.306979455970577</v>
      </c>
      <c r="V1783" s="245">
        <f>V1782-V1780</f>
        <v>0</v>
      </c>
      <c r="W1783" s="238"/>
      <c r="X1783" s="156">
        <f>X1782-X1780</f>
        <v>29.895180162930046</v>
      </c>
      <c r="Y1783" s="196"/>
      <c r="Z1783" s="156">
        <f>Z1782-Z1780</f>
        <v>31.361934163345722</v>
      </c>
      <c r="AA1783" s="245">
        <f>AA1782-AA1780</f>
        <v>7</v>
      </c>
      <c r="AB1783" s="265"/>
      <c r="AC1783" s="37"/>
      <c r="AD1783" s="37"/>
      <c r="AE1783" s="37"/>
      <c r="AF1783" s="37"/>
      <c r="AG1783" s="37"/>
      <c r="AH1783" s="37"/>
      <c r="AI1783" s="37"/>
      <c r="AJ1783" s="37"/>
      <c r="AK1783" s="37"/>
      <c r="AL1783" s="37"/>
      <c r="AM1783" s="37"/>
      <c r="AN1783" s="37"/>
      <c r="AO1783" s="37"/>
      <c r="AP1783" s="37"/>
    </row>
    <row r="1784" spans="1:42" s="192" customFormat="1" ht="11.25">
      <c r="A1784" s="37"/>
      <c r="B1784" s="37"/>
      <c r="C1784" s="37"/>
      <c r="D1784" s="191"/>
      <c r="E1784" s="191" t="s">
        <v>285</v>
      </c>
      <c r="F1784" s="191" t="str">
        <f t="shared" si="3058"/>
        <v>С-Тойз</v>
      </c>
      <c r="G1784" s="191" t="s">
        <v>219</v>
      </c>
      <c r="H1784" s="315"/>
      <c r="I1784" s="329">
        <f>I1781-I1783</f>
        <v>194.27182336736587</v>
      </c>
      <c r="J1784" s="317"/>
      <c r="K1784" s="329">
        <f>K1781-K1783</f>
        <v>206.26918238071812</v>
      </c>
      <c r="L1784" s="330">
        <f>L1781-L1783</f>
        <v>7</v>
      </c>
      <c r="M1784" s="274"/>
      <c r="N1784" s="156">
        <f>N1781-N1783</f>
        <v>145.66985747650324</v>
      </c>
      <c r="O1784" s="196"/>
      <c r="P1784" s="156">
        <f>P1781-P1783</f>
        <v>145.66985747650324</v>
      </c>
      <c r="Q1784" s="245">
        <f>Q1781-Q1783</f>
        <v>0</v>
      </c>
      <c r="R1784" s="238"/>
      <c r="S1784" s="156">
        <f>S1781-S1783</f>
        <v>169.08469615961076</v>
      </c>
      <c r="T1784" s="196"/>
      <c r="U1784" s="156">
        <f>U1781-U1783</f>
        <v>169.08469615961076</v>
      </c>
      <c r="V1784" s="245">
        <f>V1781-V1783</f>
        <v>0</v>
      </c>
      <c r="W1784" s="238"/>
      <c r="X1784" s="156">
        <f>X1781-X1783</f>
        <v>194.27182336736587</v>
      </c>
      <c r="Y1784" s="196"/>
      <c r="Z1784" s="156">
        <f>Z1781-Z1783</f>
        <v>206.26918238071812</v>
      </c>
      <c r="AA1784" s="245">
        <f>AA1781-AA1783</f>
        <v>7</v>
      </c>
      <c r="AB1784" s="265"/>
      <c r="AC1784" s="37"/>
      <c r="AD1784" s="37"/>
      <c r="AE1784" s="37"/>
      <c r="AF1784" s="37"/>
      <c r="AG1784" s="37"/>
      <c r="AH1784" s="37"/>
      <c r="AI1784" s="37"/>
      <c r="AJ1784" s="37"/>
      <c r="AK1784" s="37"/>
      <c r="AL1784" s="37"/>
      <c r="AM1784" s="37"/>
      <c r="AN1784" s="37"/>
      <c r="AO1784" s="37"/>
      <c r="AP1784" s="37"/>
    </row>
    <row r="1785" spans="1:42" s="5" customFormat="1">
      <c r="A1785" s="1"/>
      <c r="B1785" s="1"/>
      <c r="C1785" s="1"/>
      <c r="D1785" s="168"/>
      <c r="E1785" s="168" t="s">
        <v>286</v>
      </c>
      <c r="F1785" s="168" t="str">
        <f t="shared" si="3058"/>
        <v>С-Тойз</v>
      </c>
      <c r="G1785" s="168" t="s">
        <v>261</v>
      </c>
      <c r="H1785" s="326"/>
      <c r="I1785" s="327">
        <f>SUMIFS(операции!$V:$V,операции!$T:$T,"&lt;="&amp;I$9,операции!$X:$X,"",операции!$AB:$AB,"",операции!$O:$O,$F1718)+SUMIFS(операции!$V:$V,операции!$T:$T,"&lt;="&amp;I$9,операции!$X:$X,"&gt;"&amp;I$9,операции!$AB:$AB,"",операции!$O:$O,$F1718)+SUMIFS(операции!$V:$V,операции!$T:$T,"&lt;="&amp;I$9,операции!$X:$X,"",операции!$AB:$AB,"&gt;"&amp;I$9,операции!$O:$O,$F1718)+SUMIFS(операции!$V:$V,операции!$T:$T,"&lt;="&amp;I$9,операции!$X:$X,"&gt;"&amp;I$9,операции!$AB:$AB,"&gt;"&amp;I$9,операции!$O:$O,$F1718)</f>
        <v>8824</v>
      </c>
      <c r="J1785" s="313">
        <f>I1785-K1785-L1785</f>
        <v>0</v>
      </c>
      <c r="K1785" s="327">
        <f>SUMIFS(операции!$V:$V,операции!$T:$T,"&lt;="&amp;I$9,операции!$X:$X,"",операции!$AB:$AB,"",операции!$L:$L,K$9,операции!$O:$O,$F1718)+SUMIFS(операции!$V:$V,операции!$T:$T,"&lt;="&amp;I$9,операции!$X:$X,"&gt;"&amp;I$9,операции!$AB:$AB,"",операции!$L:$L,K$9,операции!$O:$O,$F1718)+SUMIFS(операции!$V:$V,операции!$T:$T,"&lt;="&amp;I$9,операции!$X:$X,"",операции!$AB:$AB,"&gt;"&amp;I$9,операции!$L:$L,K$9,операции!$O:$O,$F1718)+SUMIFS(операции!$V:$V,операции!$T:$T,"&lt;="&amp;I$9,операции!$X:$X,"&gt;"&amp;I$9,операции!$AB:$AB,"&gt;"&amp;I$9,операции!$L:$L,K$9,операции!$O:$O,$F1718)</f>
        <v>6420</v>
      </c>
      <c r="L1785" s="328">
        <f>SUMIFS(операции!$V:$V,операции!$T:$T,"&lt;="&amp;I$9,операции!$X:$X,"",операции!$AB:$AB,"",операции!$L:$L,L$9,операции!$O:$O,$F1718)+SUMIFS(операции!$V:$V,операции!$T:$T,"&lt;="&amp;I$9,операции!$X:$X,"&gt;"&amp;I$9,операции!$AB:$AB,"",операции!$L:$L,L$9,операции!$O:$O,$F1718)+SUMIFS(операции!$V:$V,операции!$T:$T,"&lt;="&amp;I$9,операции!$X:$X,"",операции!$AB:$AB,"&gt;"&amp;I$9,операции!$L:$L,L$9,операции!$O:$O,$F1718)+SUMIFS(операции!$V:$V,операции!$T:$T,"&lt;="&amp;I$9,операции!$X:$X,"&gt;"&amp;I$9,операции!$AB:$AB,"&gt;"&amp;I$9,операции!$L:$L,L$9,операции!$O:$O,$F1718)</f>
        <v>2404</v>
      </c>
      <c r="M1785" s="277"/>
      <c r="N1785" s="169">
        <f>SUMIFS(операции!$V:$V,операции!$T:$T,"&lt;="&amp;N$9,операции!$X:$X,"",операции!$AB:$AB,"",операции!$O:$O,$F1718)+SUMIFS(операции!$V:$V,операции!$T:$T,"&lt;="&amp;N$9,операции!$X:$X,"&gt;"&amp;N$9,операции!$AB:$AB,"",операции!$O:$O,$F1718)+SUMIFS(операции!$V:$V,операции!$T:$T,"&lt;="&amp;N$9,операции!$X:$X,"",операции!$AB:$AB,"&gt;"&amp;N$9,операции!$O:$O,$F1718)+SUMIFS(операции!$V:$V,операции!$T:$T,"&lt;="&amp;N$9,операции!$X:$X,"&gt;"&amp;N$9,операции!$AB:$AB,"&gt;"&amp;N$9,операции!$O:$O,$F1718)</f>
        <v>24066.879999999997</v>
      </c>
      <c r="O1785" s="170">
        <f>N1785-P1785-Q1785</f>
        <v>0</v>
      </c>
      <c r="P1785" s="169">
        <f>SUMIFS(операции!$V:$V,операции!$T:$T,"&lt;="&amp;N$9,операции!$X:$X,"",операции!$AB:$AB,"",операции!$L:$L,P$9,операции!$O:$O,$F1718)+SUMIFS(операции!$V:$V,операции!$T:$T,"&lt;="&amp;N$9,операции!$X:$X,"&gt;"&amp;N$9,операции!$AB:$AB,"",операции!$L:$L,P$9,операции!$O:$O,$F1718)+SUMIFS(операции!$V:$V,операции!$T:$T,"&lt;="&amp;N$9,операции!$X:$X,"",операции!$AB:$AB,"&gt;"&amp;N$9,операции!$L:$L,P$9,операции!$O:$O,$F1718)+SUMIFS(операции!$V:$V,операции!$T:$T,"&lt;="&amp;N$9,операции!$X:$X,"&gt;"&amp;N$9,операции!$AB:$AB,"&gt;"&amp;N$9,операции!$L:$L,P$9,операции!$O:$O,$F1718)</f>
        <v>18374.879999999997</v>
      </c>
      <c r="Q1785" s="243">
        <f>SUMIFS(операции!$V:$V,операции!$T:$T,"&lt;="&amp;N$9,операции!$X:$X,"",операции!$AB:$AB,"",операции!$L:$L,Q$9,операции!$O:$O,$F1718)+SUMIFS(операции!$V:$V,операции!$T:$T,"&lt;="&amp;N$9,операции!$X:$X,"&gt;"&amp;N$9,операции!$AB:$AB,"",операции!$L:$L,Q$9,операции!$O:$O,$F1718)+SUMIFS(операции!$V:$V,операции!$T:$T,"&lt;="&amp;N$9,операции!$X:$X,"",операции!$AB:$AB,"&gt;"&amp;N$9,операции!$L:$L,Q$9,операции!$O:$O,$F1718)+SUMIFS(операции!$V:$V,операции!$T:$T,"&lt;="&amp;N$9,операции!$X:$X,"&gt;"&amp;N$9,операции!$AB:$AB,"&gt;"&amp;N$9,операции!$L:$L,Q$9,операции!$O:$O,$F1718)</f>
        <v>5692</v>
      </c>
      <c r="R1785" s="244"/>
      <c r="S1785" s="169">
        <f>SUMIFS(операции!$V:$V,операции!$T:$T,"&lt;="&amp;S$9,операции!$X:$X,"",операции!$AB:$AB,"",операции!$O:$O,$F1718)+SUMIFS(операции!$V:$V,операции!$T:$T,"&lt;="&amp;S$9,операции!$X:$X,"&gt;"&amp;S$9,операции!$AB:$AB,"",операции!$O:$O,$F1718)+SUMIFS(операции!$V:$V,операции!$T:$T,"&lt;="&amp;S$9,операции!$X:$X,"",операции!$AB:$AB,"&gt;"&amp;S$9,операции!$O:$O,$F1718)+SUMIFS(операции!$V:$V,операции!$T:$T,"&lt;="&amp;S$9,операции!$X:$X,"&gt;"&amp;S$9,операции!$AB:$AB,"&gt;"&amp;S$9,операции!$O:$O,$F1718)</f>
        <v>36749.82</v>
      </c>
      <c r="T1785" s="170">
        <f>S1785-U1785-V1785</f>
        <v>0</v>
      </c>
      <c r="U1785" s="169">
        <f>SUMIFS(операции!$V:$V,операции!$T:$T,"&lt;="&amp;S$9,операции!$X:$X,"",операции!$AB:$AB,"",операции!$L:$L,U$9,операции!$O:$O,$F1718)+SUMIFS(операции!$V:$V,операции!$T:$T,"&lt;="&amp;S$9,операции!$X:$X,"&gt;"&amp;S$9,операции!$AB:$AB,"",операции!$L:$L,U$9,операции!$O:$O,$F1718)+SUMIFS(операции!$V:$V,операции!$T:$T,"&lt;="&amp;S$9,операции!$X:$X,"",операции!$AB:$AB,"&gt;"&amp;S$9,операции!$L:$L,U$9,операции!$O:$O,$F1718)+SUMIFS(операции!$V:$V,операции!$T:$T,"&lt;="&amp;S$9,операции!$X:$X,"&gt;"&amp;S$9,операции!$AB:$AB,"&gt;"&amp;S$9,операции!$L:$L,U$9,операции!$O:$O,$F1718)</f>
        <v>13320</v>
      </c>
      <c r="V1785" s="243">
        <f>SUMIFS(операции!$V:$V,операции!$T:$T,"&lt;="&amp;S$9,операции!$X:$X,"",операции!$AB:$AB,"",операции!$L:$L,V$9,операции!$O:$O,$F1718)+SUMIFS(операции!$V:$V,операции!$T:$T,"&lt;="&amp;S$9,операции!$X:$X,"&gt;"&amp;S$9,операции!$AB:$AB,"",операции!$L:$L,V$9,операции!$O:$O,$F1718)+SUMIFS(операции!$V:$V,операции!$T:$T,"&lt;="&amp;S$9,операции!$X:$X,"",операции!$AB:$AB,"&gt;"&amp;S$9,операции!$L:$L,V$9,операции!$O:$O,$F1718)+SUMIFS(операции!$V:$V,операции!$T:$T,"&lt;="&amp;S$9,операции!$X:$X,"&gt;"&amp;S$9,операции!$AB:$AB,"&gt;"&amp;S$9,операции!$L:$L,V$9,операции!$O:$O,$F1718)</f>
        <v>23429.82</v>
      </c>
      <c r="W1785" s="244"/>
      <c r="X1785" s="169">
        <f>SUMIFS(операции!$V:$V,операции!$T:$T,"&lt;="&amp;X$9,операции!$X:$X,"",операции!$AB:$AB,"",операции!$O:$O,$F1718)+SUMIFS(операции!$V:$V,операции!$T:$T,"&lt;="&amp;X$9,операции!$X:$X,"&gt;"&amp;X$9,операции!$AB:$AB,"",операции!$O:$O,$F1718)+SUMIFS(операции!$V:$V,операции!$T:$T,"&lt;="&amp;X$9,операции!$X:$X,"",операции!$AB:$AB,"&gt;"&amp;X$9,операции!$O:$O,$F1718)+SUMIFS(операции!$V:$V,операции!$T:$T,"&lt;="&amp;X$9,операции!$X:$X,"&gt;"&amp;X$9,операции!$AB:$AB,"&gt;"&amp;X$9,операции!$O:$O,$F1718)</f>
        <v>8824</v>
      </c>
      <c r="Y1785" s="170">
        <f>X1785-Z1785-AA1785</f>
        <v>0</v>
      </c>
      <c r="Z1785" s="169">
        <f>SUMIFS(операции!$V:$V,операции!$T:$T,"&lt;="&amp;X$9,операции!$X:$X,"",операции!$AB:$AB,"",операции!$L:$L,Z$9,операции!$O:$O,$F1718)+SUMIFS(операции!$V:$V,операции!$T:$T,"&lt;="&amp;X$9,операции!$X:$X,"&gt;"&amp;X$9,операции!$AB:$AB,"",операции!$L:$L,Z$9,операции!$O:$O,$F1718)+SUMIFS(операции!$V:$V,операции!$T:$T,"&lt;="&amp;X$9,операции!$X:$X,"",операции!$AB:$AB,"&gt;"&amp;X$9,операции!$L:$L,Z$9,операции!$O:$O,$F1718)+SUMIFS(операции!$V:$V,операции!$T:$T,"&lt;="&amp;X$9,операции!$X:$X,"&gt;"&amp;X$9,операции!$AB:$AB,"&gt;"&amp;X$9,операции!$L:$L,Z$9,операции!$O:$O,$F1718)</f>
        <v>6420</v>
      </c>
      <c r="AA1785" s="243">
        <f>SUMIFS(операции!$V:$V,операции!$T:$T,"&lt;="&amp;X$9,операции!$X:$X,"",операции!$AB:$AB,"",операции!$L:$L,AA$9,операции!$O:$O,$F1718)+SUMIFS(операции!$V:$V,операции!$T:$T,"&lt;="&amp;X$9,операции!$X:$X,"&gt;"&amp;X$9,операции!$AB:$AB,"",операции!$L:$L,AA$9,операции!$O:$O,$F1718)+SUMIFS(операции!$V:$V,операции!$T:$T,"&lt;="&amp;X$9,операции!$X:$X,"",операции!$AB:$AB,"&gt;"&amp;X$9,операции!$L:$L,AA$9,операции!$O:$O,$F1718)+SUMIFS(операции!$V:$V,операции!$T:$T,"&lt;="&amp;X$9,операции!$X:$X,"&gt;"&amp;X$9,операции!$AB:$AB,"&gt;"&amp;X$9,операции!$L:$L,AA$9,операции!$O:$O,$F1718)</f>
        <v>2404</v>
      </c>
      <c r="AB1785" s="266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</row>
    <row r="1786" spans="1:42" s="192" customFormat="1" ht="11.25">
      <c r="A1786" s="37"/>
      <c r="B1786" s="37"/>
      <c r="C1786" s="37"/>
      <c r="D1786" s="191"/>
      <c r="E1786" s="191" t="s">
        <v>255</v>
      </c>
      <c r="F1786" s="191" t="str">
        <f t="shared" si="3058"/>
        <v>С-Тойз</v>
      </c>
      <c r="G1786" s="191" t="s">
        <v>262</v>
      </c>
      <c r="H1786" s="315"/>
      <c r="I1786" s="316">
        <f>IF(I1785=0,0,(SUMIFS(операции!$AF:$AF,операции!$T:$T,"&lt;="&amp;I$9,операции!$X:$X,"",операции!$AB:$AB,"",операции!$O:$O,$F1718)+SUMIFS(операции!$AF:$AF,операции!$T:$T,"&lt;="&amp;I$9,операции!$X:$X,"&gt;"&amp;I$9,операции!$AB:$AB,"",операции!$O:$O,$F1718)+SUMIFS(операции!$AF:$AF,операции!$T:$T,"&lt;="&amp;I$9,операции!$X:$X,"",операции!$AB:$AB,"&gt;"&amp;I$9,операции!$O:$O,$F1718)+SUMIFS(операции!$AF:$AF,операции!$T:$T,"&lt;="&amp;I$9,операции!$X:$X,"&gt;"&amp;I$9,операции!$AB:$AB,"&gt;"&amp;I$9,операции!$O:$O,$F1718))/I1785)</f>
        <v>42246.407524932001</v>
      </c>
      <c r="J1786" s="317"/>
      <c r="K1786" s="316">
        <f>IF(K1785=0,0,(SUMIFS(операции!$AF:$AF,операции!$T:$T,"&lt;="&amp;I$9,операции!$X:$X,"",операции!$AB:$AB,"",операции!$L:$L,K$9,операции!$O:$O,$F1718)+SUMIFS(операции!$AF:$AF,операции!$T:$T,"&lt;="&amp;I$9,операции!$X:$X,"&gt;"&amp;I$9,операции!$AB:$AB,"",операции!$L:$L,K$9,операции!$O:$O,$F1718)+SUMIFS(операции!$AF:$AF,операции!$T:$T,"&lt;="&amp;I$9,операции!$X:$X,"",операции!$AB:$AB,"&gt;"&amp;I$9,операции!$L:$L,K$9,операции!$O:$O,$F1718)+SUMIFS(операции!$AF:$AF,операции!$T:$T,"&lt;="&amp;I$9,операции!$X:$X,"&gt;"&amp;I$9,операции!$AB:$AB,"&gt;"&amp;I$9,операции!$L:$L,K$9,операции!$O:$O,$F1718))/K1785)</f>
        <v>42202</v>
      </c>
      <c r="L1786" s="318">
        <f>IF(L1785=0,0,(SUMIFS(операции!$AF:$AF,операции!$T:$T,"&lt;="&amp;I$9,операции!$X:$X,"",операции!$AB:$AB,"",операции!$L:$L,L$9,операции!$O:$O,$F1718)+SUMIFS(операции!$AF:$AF,операции!$T:$T,"&lt;="&amp;I$9,операции!$X:$X,"&gt;"&amp;I$9,операции!$AB:$AB,"",операции!$L:$L,L$9,операции!$O:$O,$F1718)+SUMIFS(операции!$AF:$AF,операции!$T:$T,"&lt;="&amp;I$9,операции!$X:$X,"",операции!$AB:$AB,"&gt;"&amp;I$9,операции!$L:$L,L$9,операции!$O:$O,$F1718)+SUMIFS(операции!$AF:$AF,операции!$T:$T,"&lt;="&amp;I$9,операции!$X:$X,"&gt;"&amp;I$9,операции!$AB:$AB,"&gt;"&amp;I$9,операции!$L:$L,L$9,операции!$O:$O,$F1718))/L1785)</f>
        <v>42365</v>
      </c>
      <c r="M1786" s="274"/>
      <c r="N1786" s="193">
        <f>IF(N1785=0,0,(SUMIFS(операции!$AF:$AF,операции!$T:$T,"&lt;="&amp;N$9,операции!$X:$X,"",операции!$AB:$AB,"",операции!$O:$O,$F1718)+SUMIFS(операции!$AF:$AF,операции!$T:$T,"&lt;="&amp;N$9,операции!$X:$X,"&gt;"&amp;N$9,операции!$AB:$AB,"",операции!$O:$O,$F1718)+SUMIFS(операции!$AF:$AF,операции!$T:$T,"&lt;="&amp;N$9,операции!$X:$X,"",операции!$AB:$AB,"&gt;"&amp;N$9,операции!$O:$O,$F1718)+SUMIFS(операции!$AF:$AF,операции!$T:$T,"&lt;="&amp;N$9,операции!$X:$X,"&gt;"&amp;N$9,операции!$AB:$AB,"&gt;"&amp;N$9,операции!$O:$O,$F1718))/N1785)</f>
        <v>42204.318408950399</v>
      </c>
      <c r="O1786" s="196"/>
      <c r="P1786" s="193">
        <f>IF(P1785=0,0,(SUMIFS(операции!$AF:$AF,операции!$T:$T,"&lt;="&amp;N$9,операции!$X:$X,"",операции!$AB:$AB,"",операции!$L:$L,P$9,операции!$O:$O,$F1718)+SUMIFS(операции!$AF:$AF,операции!$T:$T,"&lt;="&amp;N$9,операции!$X:$X,"&gt;"&amp;N$9,операции!$AB:$AB,"",операции!$L:$L,P$9,операции!$O:$O,$F1718)+SUMIFS(операции!$AF:$AF,операции!$T:$T,"&lt;="&amp;N$9,операции!$X:$X,"",операции!$AB:$AB,"&gt;"&amp;N$9,операции!$L:$L,P$9,операции!$O:$O,$F1718)+SUMIFS(операции!$AF:$AF,операции!$T:$T,"&lt;="&amp;N$9,операции!$X:$X,"&gt;"&amp;N$9,операции!$AB:$AB,"&gt;"&amp;N$9,операции!$L:$L,P$9,операции!$O:$O,$F1718))/P1785)</f>
        <v>42172.200886754094</v>
      </c>
      <c r="Q1786" s="237">
        <f>IF(Q1785=0,0,(SUMIFS(операции!$AF:$AF,операции!$T:$T,"&lt;="&amp;N$9,операции!$X:$X,"",операции!$AB:$AB,"",операции!$L:$L,Q$9,операции!$O:$O,$F1718)+SUMIFS(операции!$AF:$AF,операции!$T:$T,"&lt;="&amp;N$9,операции!$X:$X,"&gt;"&amp;N$9,операции!$AB:$AB,"",операции!$L:$L,Q$9,операции!$O:$O,$F1718)+SUMIFS(операции!$AF:$AF,операции!$T:$T,"&lt;="&amp;N$9,операции!$X:$X,"",операции!$AB:$AB,"&gt;"&amp;N$9,операции!$L:$L,Q$9,операции!$O:$O,$F1718)+SUMIFS(операции!$AF:$AF,операции!$T:$T,"&lt;="&amp;N$9,операции!$X:$X,"&gt;"&amp;N$9,операции!$AB:$AB,"&gt;"&amp;N$9,операции!$L:$L,Q$9,операции!$O:$O,$F1718))/Q1785)</f>
        <v>42308</v>
      </c>
      <c r="R1786" s="238"/>
      <c r="S1786" s="193">
        <f>IF(S1785=0,0,(SUMIFS(операции!$AF:$AF,операции!$T:$T,"&lt;="&amp;S$9,операции!$X:$X,"",операции!$AB:$AB,"",операции!$O:$O,$F1718)+SUMIFS(операции!$AF:$AF,операции!$T:$T,"&lt;="&amp;S$9,операции!$X:$X,"&gt;"&amp;S$9,операции!$AB:$AB,"",операции!$O:$O,$F1718)+SUMIFS(операции!$AF:$AF,операции!$T:$T,"&lt;="&amp;S$9,операции!$X:$X,"",операции!$AB:$AB,"&gt;"&amp;S$9,операции!$O:$O,$F1718)+SUMIFS(операции!$AF:$AF,операции!$T:$T,"&lt;="&amp;S$9,операции!$X:$X,"&gt;"&amp;S$9,операции!$AB:$AB,"&gt;"&amp;S$9,операции!$O:$O,$F1718))/S1785)</f>
        <v>42277.499197002871</v>
      </c>
      <c r="T1786" s="196"/>
      <c r="U1786" s="193">
        <f>IF(U1785=0,0,(SUMIFS(операции!$AF:$AF,операции!$T:$T,"&lt;="&amp;S$9,операции!$X:$X,"",операции!$AB:$AB,"",операции!$L:$L,U$9,операции!$O:$O,$F1718)+SUMIFS(операции!$AF:$AF,операции!$T:$T,"&lt;="&amp;S$9,операции!$X:$X,"&gt;"&amp;S$9,операции!$AB:$AB,"",операции!$L:$L,U$9,операции!$O:$O,$F1718)+SUMIFS(операции!$AF:$AF,операции!$T:$T,"&lt;="&amp;S$9,операции!$X:$X,"",операции!$AB:$AB,"&gt;"&amp;S$9,операции!$L:$L,U$9,операции!$O:$O,$F1718)+SUMIFS(операции!$AF:$AF,операции!$T:$T,"&lt;="&amp;S$9,операции!$X:$X,"&gt;"&amp;S$9,операции!$AB:$AB,"&gt;"&amp;S$9,операции!$L:$L,U$9,операции!$O:$O,$F1718))/U1785)</f>
        <v>42174.027027027027</v>
      </c>
      <c r="V1786" s="237">
        <f>IF(V1785=0,0,(SUMIFS(операции!$AF:$AF,операции!$T:$T,"&lt;="&amp;S$9,операции!$X:$X,"",операции!$AB:$AB,"",операции!$L:$L,V$9,операции!$O:$O,$F1718)+SUMIFS(операции!$AF:$AF,операции!$T:$T,"&lt;="&amp;S$9,операции!$X:$X,"&gt;"&amp;S$9,операции!$AB:$AB,"",операции!$L:$L,V$9,операции!$O:$O,$F1718)+SUMIFS(операции!$AF:$AF,операции!$T:$T,"&lt;="&amp;S$9,операции!$X:$X,"",операции!$AB:$AB,"&gt;"&amp;S$9,операции!$L:$L,V$9,операции!$O:$O,$F1718)+SUMIFS(операции!$AF:$AF,операции!$T:$T,"&lt;="&amp;S$9,операции!$X:$X,"&gt;"&amp;S$9,операции!$AB:$AB,"&gt;"&amp;S$9,операции!$L:$L,V$9,операции!$O:$O,$F1718))/V1785)</f>
        <v>42336.323776281679</v>
      </c>
      <c r="W1786" s="238"/>
      <c r="X1786" s="193">
        <f>IF(X1785=0,0,(SUMIFS(операции!$AF:$AF,операции!$T:$T,"&lt;="&amp;X$9,операции!$X:$X,"",операции!$AB:$AB,"",операции!$O:$O,$F1718)+SUMIFS(операции!$AF:$AF,операции!$T:$T,"&lt;="&amp;X$9,операции!$X:$X,"&gt;"&amp;X$9,операции!$AB:$AB,"",операции!$O:$O,$F1718)+SUMIFS(операции!$AF:$AF,операции!$T:$T,"&lt;="&amp;X$9,операции!$X:$X,"",операции!$AB:$AB,"&gt;"&amp;X$9,операции!$O:$O,$F1718)+SUMIFS(операции!$AF:$AF,операции!$T:$T,"&lt;="&amp;X$9,операции!$X:$X,"&gt;"&amp;X$9,операции!$AB:$AB,"&gt;"&amp;X$9,операции!$O:$O,$F1718))/X1785)</f>
        <v>42246.407524932001</v>
      </c>
      <c r="Y1786" s="196"/>
      <c r="Z1786" s="193">
        <f>IF(Z1785=0,0,(SUMIFS(операции!$AF:$AF,операции!$T:$T,"&lt;="&amp;X$9,операции!$X:$X,"",операции!$AB:$AB,"",операции!$L:$L,Z$9,операции!$O:$O,$F1718)+SUMIFS(операции!$AF:$AF,операции!$T:$T,"&lt;="&amp;X$9,операции!$X:$X,"&gt;"&amp;X$9,операции!$AB:$AB,"",операции!$L:$L,Z$9,операции!$O:$O,$F1718)+SUMIFS(операции!$AF:$AF,операции!$T:$T,"&lt;="&amp;X$9,операции!$X:$X,"",операции!$AB:$AB,"&gt;"&amp;X$9,операции!$L:$L,Z$9,операции!$O:$O,$F1718)+SUMIFS(операции!$AF:$AF,операции!$T:$T,"&lt;="&amp;X$9,операции!$X:$X,"&gt;"&amp;X$9,операции!$AB:$AB,"&gt;"&amp;X$9,операции!$L:$L,Z$9,операции!$O:$O,$F1718))/Z1785)</f>
        <v>42202</v>
      </c>
      <c r="AA1786" s="237">
        <f>IF(AA1785=0,0,(SUMIFS(операции!$AF:$AF,операции!$T:$T,"&lt;="&amp;X$9,операции!$X:$X,"",операции!$AB:$AB,"",операции!$L:$L,AA$9,операции!$O:$O,$F1718)+SUMIFS(операции!$AF:$AF,операции!$T:$T,"&lt;="&amp;X$9,операции!$X:$X,"&gt;"&amp;X$9,операции!$AB:$AB,"",операции!$L:$L,AA$9,операции!$O:$O,$F1718)+SUMIFS(операции!$AF:$AF,операции!$T:$T,"&lt;="&amp;X$9,операции!$X:$X,"",операции!$AB:$AB,"&gt;"&amp;X$9,операции!$L:$L,AA$9,операции!$O:$O,$F1718)+SUMIFS(операции!$AF:$AF,операции!$T:$T,"&lt;="&amp;X$9,операции!$X:$X,"&gt;"&amp;X$9,операции!$AB:$AB,"&gt;"&amp;X$9,операции!$L:$L,AA$9,операции!$O:$O,$F1718))/AA1785)</f>
        <v>42365</v>
      </c>
      <c r="AB1786" s="265"/>
      <c r="AC1786" s="37"/>
      <c r="AD1786" s="37"/>
      <c r="AE1786" s="37"/>
      <c r="AF1786" s="37"/>
      <c r="AG1786" s="37"/>
      <c r="AH1786" s="37"/>
      <c r="AI1786" s="37"/>
      <c r="AJ1786" s="37"/>
      <c r="AK1786" s="37"/>
      <c r="AL1786" s="37"/>
      <c r="AM1786" s="37"/>
      <c r="AN1786" s="37"/>
      <c r="AO1786" s="37"/>
      <c r="AP1786" s="37"/>
    </row>
    <row r="1787" spans="1:42" s="192" customFormat="1" ht="11.25">
      <c r="A1787" s="37"/>
      <c r="B1787" s="37"/>
      <c r="C1787" s="37"/>
      <c r="D1787" s="191"/>
      <c r="E1787" s="191" t="s">
        <v>287</v>
      </c>
      <c r="F1787" s="191" t="str">
        <f t="shared" ref="F1787:F1790" si="3191">F1786</f>
        <v>С-Тойз</v>
      </c>
      <c r="G1787" s="191" t="s">
        <v>219</v>
      </c>
      <c r="H1787" s="315"/>
      <c r="I1787" s="329">
        <f>IF(I1785=0,0,I$9-I1786)</f>
        <v>122.59247506799875</v>
      </c>
      <c r="J1787" s="317"/>
      <c r="K1787" s="329">
        <f>IF(K1785=0,0,I$9-K1786)</f>
        <v>167</v>
      </c>
      <c r="L1787" s="330">
        <f>IF(L1785=0,0,I$9-L1786)</f>
        <v>4</v>
      </c>
      <c r="M1787" s="274"/>
      <c r="N1787" s="156">
        <f>IF(N1785=0,0,N$9-N1786)</f>
        <v>103.68159104960068</v>
      </c>
      <c r="O1787" s="196"/>
      <c r="P1787" s="156">
        <f>IF(P1785=0,0,N$9-P1786)</f>
        <v>135.79911324590648</v>
      </c>
      <c r="Q1787" s="245">
        <f>IF(Q1785=0,0,N$9-Q1786)</f>
        <v>0</v>
      </c>
      <c r="R1787" s="238"/>
      <c r="S1787" s="156">
        <f>IF(S1785=0,0,S$9-S1786)</f>
        <v>60.500802997128631</v>
      </c>
      <c r="T1787" s="196"/>
      <c r="U1787" s="156">
        <f>IF(U1785=0,0,S$9-U1786)</f>
        <v>163.97297297297337</v>
      </c>
      <c r="V1787" s="245">
        <f>IF(V1785=0,0,S$9-V1786)</f>
        <v>1.6762237183211255</v>
      </c>
      <c r="W1787" s="238"/>
      <c r="X1787" s="156">
        <f>IF(X1785=0,0,X$9-X1786)</f>
        <v>122.59247506799875</v>
      </c>
      <c r="Y1787" s="196"/>
      <c r="Z1787" s="156">
        <f>IF(Z1785=0,0,X$9-Z1786)</f>
        <v>167</v>
      </c>
      <c r="AA1787" s="245">
        <f>IF(AA1785=0,0,X$9-AA1786)</f>
        <v>4</v>
      </c>
      <c r="AB1787" s="265"/>
      <c r="AC1787" s="37"/>
      <c r="AD1787" s="37"/>
      <c r="AE1787" s="37"/>
      <c r="AF1787" s="37"/>
      <c r="AG1787" s="37"/>
      <c r="AH1787" s="37"/>
      <c r="AI1787" s="37"/>
      <c r="AJ1787" s="37"/>
      <c r="AK1787" s="37"/>
      <c r="AL1787" s="37"/>
      <c r="AM1787" s="37"/>
      <c r="AN1787" s="37"/>
      <c r="AO1787" s="37"/>
      <c r="AP1787" s="37"/>
    </row>
    <row r="1788" spans="1:42" s="192" customFormat="1" ht="11.25">
      <c r="A1788" s="37"/>
      <c r="B1788" s="37"/>
      <c r="C1788" s="37"/>
      <c r="D1788" s="191"/>
      <c r="E1788" s="191" t="s">
        <v>311</v>
      </c>
      <c r="F1788" s="191" t="str">
        <f t="shared" si="3191"/>
        <v>С-Тойз</v>
      </c>
      <c r="G1788" s="191" t="s">
        <v>262</v>
      </c>
      <c r="H1788" s="315"/>
      <c r="I1788" s="316">
        <f>I$9</f>
        <v>42369</v>
      </c>
      <c r="J1788" s="317"/>
      <c r="K1788" s="316">
        <f>I$9</f>
        <v>42369</v>
      </c>
      <c r="L1788" s="318">
        <f>I$9</f>
        <v>42369</v>
      </c>
      <c r="M1788" s="274"/>
      <c r="N1788" s="193">
        <f>N$9</f>
        <v>42308</v>
      </c>
      <c r="O1788" s="196"/>
      <c r="P1788" s="193">
        <f>N$9</f>
        <v>42308</v>
      </c>
      <c r="Q1788" s="237">
        <f>N$9</f>
        <v>42308</v>
      </c>
      <c r="R1788" s="238"/>
      <c r="S1788" s="193">
        <f>S$9</f>
        <v>42338</v>
      </c>
      <c r="T1788" s="196"/>
      <c r="U1788" s="193">
        <f>S$9</f>
        <v>42338</v>
      </c>
      <c r="V1788" s="237">
        <f>S$9</f>
        <v>42338</v>
      </c>
      <c r="W1788" s="238"/>
      <c r="X1788" s="193">
        <f>X$9</f>
        <v>42369</v>
      </c>
      <c r="Y1788" s="196"/>
      <c r="Z1788" s="193">
        <f>X$9</f>
        <v>42369</v>
      </c>
      <c r="AA1788" s="237">
        <f>X$9</f>
        <v>42369</v>
      </c>
      <c r="AB1788" s="265"/>
      <c r="AC1788" s="37"/>
      <c r="AD1788" s="37"/>
      <c r="AE1788" s="37"/>
      <c r="AF1788" s="37"/>
      <c r="AG1788" s="37"/>
      <c r="AH1788" s="37"/>
      <c r="AI1788" s="37"/>
      <c r="AJ1788" s="37"/>
      <c r="AK1788" s="37"/>
      <c r="AL1788" s="37"/>
      <c r="AM1788" s="37"/>
      <c r="AN1788" s="37"/>
      <c r="AO1788" s="37"/>
      <c r="AP1788" s="37"/>
    </row>
    <row r="1789" spans="1:42" s="192" customFormat="1" ht="11.25">
      <c r="A1789" s="37"/>
      <c r="B1789" s="37"/>
      <c r="C1789" s="37"/>
      <c r="D1789" s="191"/>
      <c r="E1789" s="191" t="s">
        <v>288</v>
      </c>
      <c r="F1789" s="191" t="str">
        <f t="shared" si="3191"/>
        <v>С-Тойз</v>
      </c>
      <c r="G1789" s="191" t="s">
        <v>219</v>
      </c>
      <c r="H1789" s="315"/>
      <c r="I1789" s="329">
        <f>IF(I1785=0,0,I1788-I1786)</f>
        <v>122.59247506799875</v>
      </c>
      <c r="J1789" s="317"/>
      <c r="K1789" s="329">
        <f>IF(K1785=0,0,K1788-K1786)</f>
        <v>167</v>
      </c>
      <c r="L1789" s="330">
        <f>IF(L1785=0,0,L1788-L1786)</f>
        <v>4</v>
      </c>
      <c r="M1789" s="274"/>
      <c r="N1789" s="156">
        <f>IF(N1785=0,0,N1788-N1786)</f>
        <v>103.68159104960068</v>
      </c>
      <c r="O1789" s="196"/>
      <c r="P1789" s="156">
        <f>IF(P1785=0,0,P1788-P1786)</f>
        <v>135.79911324590648</v>
      </c>
      <c r="Q1789" s="245">
        <f>IF(Q1785=0,0,Q1788-Q1786)</f>
        <v>0</v>
      </c>
      <c r="R1789" s="238"/>
      <c r="S1789" s="156">
        <f>IF(S1785=0,0,S1788-S1786)</f>
        <v>60.500802997128631</v>
      </c>
      <c r="T1789" s="196"/>
      <c r="U1789" s="156">
        <f>IF(U1785=0,0,U1788-U1786)</f>
        <v>163.97297297297337</v>
      </c>
      <c r="V1789" s="245">
        <f>IF(V1785=0,0,V1788-V1786)</f>
        <v>1.6762237183211255</v>
      </c>
      <c r="W1789" s="238"/>
      <c r="X1789" s="156">
        <f>IF(X1785=0,0,X1788-X1786)</f>
        <v>122.59247506799875</v>
      </c>
      <c r="Y1789" s="196"/>
      <c r="Z1789" s="156">
        <f>IF(Z1785=0,0,Z1788-Z1786)</f>
        <v>167</v>
      </c>
      <c r="AA1789" s="245">
        <f>IF(AA1785=0,0,AA1788-AA1786)</f>
        <v>4</v>
      </c>
      <c r="AB1789" s="265"/>
      <c r="AC1789" s="37"/>
      <c r="AD1789" s="37"/>
      <c r="AE1789" s="37"/>
      <c r="AF1789" s="37"/>
      <c r="AG1789" s="37"/>
      <c r="AH1789" s="37"/>
      <c r="AI1789" s="37"/>
      <c r="AJ1789" s="37"/>
      <c r="AK1789" s="37"/>
      <c r="AL1789" s="37"/>
      <c r="AM1789" s="37"/>
      <c r="AN1789" s="37"/>
      <c r="AO1789" s="37"/>
      <c r="AP1789" s="37"/>
    </row>
    <row r="1790" spans="1:42" s="192" customFormat="1" ht="12" thickBot="1">
      <c r="A1790" s="37"/>
      <c r="B1790" s="37"/>
      <c r="C1790" s="37"/>
      <c r="D1790" s="297"/>
      <c r="E1790" s="297" t="s">
        <v>289</v>
      </c>
      <c r="F1790" s="297" t="str">
        <f t="shared" si="3191"/>
        <v>С-Тойз</v>
      </c>
      <c r="G1790" s="297" t="s">
        <v>219</v>
      </c>
      <c r="H1790" s="377"/>
      <c r="I1790" s="378">
        <f>I1787-I1789</f>
        <v>0</v>
      </c>
      <c r="J1790" s="379"/>
      <c r="K1790" s="378">
        <f>K1787-K1789</f>
        <v>0</v>
      </c>
      <c r="L1790" s="380">
        <f>L1787-L1789</f>
        <v>0</v>
      </c>
      <c r="M1790" s="300"/>
      <c r="N1790" s="298">
        <f>N1787-N1789</f>
        <v>0</v>
      </c>
      <c r="O1790" s="299"/>
      <c r="P1790" s="298">
        <f>P1787-P1789</f>
        <v>0</v>
      </c>
      <c r="Q1790" s="301">
        <f>Q1787-Q1789</f>
        <v>0</v>
      </c>
      <c r="R1790" s="302"/>
      <c r="S1790" s="298">
        <f>S1787-S1789</f>
        <v>0</v>
      </c>
      <c r="T1790" s="299"/>
      <c r="U1790" s="298">
        <f>U1787-U1789</f>
        <v>0</v>
      </c>
      <c r="V1790" s="301">
        <f>V1787-V1789</f>
        <v>0</v>
      </c>
      <c r="W1790" s="302"/>
      <c r="X1790" s="298">
        <f>X1787-X1789</f>
        <v>0</v>
      </c>
      <c r="Y1790" s="299"/>
      <c r="Z1790" s="298">
        <f>Z1787-Z1789</f>
        <v>0</v>
      </c>
      <c r="AA1790" s="301">
        <f>AA1787-AA1789</f>
        <v>0</v>
      </c>
      <c r="AB1790" s="265"/>
      <c r="AC1790" s="37"/>
      <c r="AD1790" s="37"/>
      <c r="AE1790" s="37"/>
      <c r="AF1790" s="37"/>
      <c r="AG1790" s="37"/>
      <c r="AH1790" s="37"/>
      <c r="AI1790" s="37"/>
      <c r="AJ1790" s="37"/>
      <c r="AK1790" s="37"/>
      <c r="AL1790" s="37"/>
      <c r="AM1790" s="37"/>
      <c r="AN1790" s="37"/>
      <c r="AO1790" s="37"/>
      <c r="AP1790" s="37"/>
    </row>
    <row r="1791" spans="1:42" s="111" customFormat="1" ht="11.25">
      <c r="A1791" s="108"/>
      <c r="B1791" s="108"/>
      <c r="C1791" s="108" t="s">
        <v>271</v>
      </c>
      <c r="D1791" s="291"/>
      <c r="E1791" s="291"/>
      <c r="F1791" s="291" t="str">
        <f>F1792</f>
        <v>СуперСпорт</v>
      </c>
      <c r="G1791" s="291"/>
      <c r="H1791" s="373"/>
      <c r="I1791" s="374">
        <f>I1792-K1792-L1792</f>
        <v>0</v>
      </c>
      <c r="J1791" s="375">
        <f>N1791+N1809+N1847+SUM(O:O)+S1791+S1809+S1847+SUM(T:T)+X1791+X1809+X1847+SUM(Y:Y)</f>
        <v>3.6986449458709103E-9</v>
      </c>
      <c r="K1791" s="373"/>
      <c r="L1791" s="376"/>
      <c r="M1791" s="293"/>
      <c r="N1791" s="292">
        <f>N1792-P1792-Q1792</f>
        <v>0</v>
      </c>
      <c r="O1791" s="294"/>
      <c r="P1791" s="291"/>
      <c r="Q1791" s="295"/>
      <c r="R1791" s="296"/>
      <c r="S1791" s="292">
        <f>S1792-U1792-V1792</f>
        <v>-5.9117155615240335E-12</v>
      </c>
      <c r="T1791" s="294"/>
      <c r="U1791" s="291"/>
      <c r="V1791" s="295"/>
      <c r="W1791" s="296"/>
      <c r="X1791" s="292">
        <f>X1792-Z1792-AA1792</f>
        <v>0</v>
      </c>
      <c r="Y1791" s="294"/>
      <c r="Z1791" s="291"/>
      <c r="AA1791" s="295"/>
      <c r="AB1791" s="263"/>
      <c r="AC1791" s="108"/>
      <c r="AD1791" s="108"/>
      <c r="AE1791" s="108"/>
      <c r="AF1791" s="108"/>
      <c r="AG1791" s="108"/>
      <c r="AH1791" s="108"/>
      <c r="AI1791" s="108"/>
      <c r="AJ1791" s="108"/>
      <c r="AK1791" s="108"/>
      <c r="AL1791" s="108"/>
      <c r="AM1791" s="108"/>
      <c r="AN1791" s="108"/>
      <c r="AO1791" s="108"/>
      <c r="AP1791" s="108"/>
    </row>
    <row r="1792" spans="1:42" s="93" customFormat="1" ht="15">
      <c r="A1792" s="92"/>
      <c r="B1792" s="92"/>
      <c r="C1792" s="92"/>
      <c r="D1792" s="151" t="s">
        <v>256</v>
      </c>
      <c r="E1792" s="151"/>
      <c r="F1792" s="286" t="str">
        <f>микс!$H$41</f>
        <v>СуперСпорт</v>
      </c>
      <c r="G1792" s="151" t="s">
        <v>261</v>
      </c>
      <c r="H1792" s="311"/>
      <c r="I1792" s="312">
        <f>SUMIFS(операции!$V:$V,операции!$T:$T,"&lt;"&amp;I$8,операции!$X:$X,"",операции!$O:$O,$F1792)+SUMIFS(операции!$V:$V,операции!$T:$T,"&lt;"&amp;I$8,операции!$X:$X,"&gt;="&amp;I$8,операции!$O:$O,$F1792)</f>
        <v>165229.38</v>
      </c>
      <c r="J1792" s="313">
        <f>I1792-I1797-I1803</f>
        <v>0</v>
      </c>
      <c r="K1792" s="312">
        <f>SUMIFS(операции!$V:$V,операции!$T:$T,"&lt;"&amp;I$8,операции!$X:$X,"",операции!$L:$L,K$9,операции!$O:$O,$F1792)+SUMIFS(операции!$V:$V,операции!$T:$T,"&lt;"&amp;I$8,операции!$X:$X,"&gt;="&amp;I$8,операции!$L:$L,K$9,операции!$O:$O,$F1792)</f>
        <v>165229.38</v>
      </c>
      <c r="L1792" s="314">
        <f>SUMIFS(операции!$V:$V,операции!$T:$T,"&lt;"&amp;I$8,операции!$X:$X,"",операции!$L:$L,L$9,операции!$O:$O,$F1792)+SUMIFS(операции!$V:$V,операции!$T:$T,"&lt;"&amp;I$8,операции!$X:$X,"&gt;="&amp;I$8,операции!$L:$L,L$9,операции!$O:$O,$F1792)</f>
        <v>0</v>
      </c>
      <c r="M1792" s="273"/>
      <c r="N1792" s="152">
        <f>SUMIFS(операции!$V:$V,операции!$T:$T,"&lt;"&amp;N$8,операции!$X:$X,"",операции!$O:$O,$F1792)+SUMIFS(операции!$V:$V,операции!$T:$T,"&lt;"&amp;N$8,операции!$X:$X,"&gt;="&amp;N$8,операции!$O:$O,$F1792)</f>
        <v>165229.38</v>
      </c>
      <c r="O1792" s="170">
        <f>N1792-N1797-N1803</f>
        <v>0</v>
      </c>
      <c r="P1792" s="152">
        <f>SUMIFS(операции!$V:$V,операции!$T:$T,"&lt;"&amp;N$8,операции!$X:$X,"",операции!$L:$L,P$9,операции!$O:$O,$F1792)+SUMIFS(операции!$V:$V,операции!$T:$T,"&lt;"&amp;N$8,операции!$X:$X,"&gt;="&amp;N$8,операции!$L:$L,P$9,операции!$O:$O,$F1792)</f>
        <v>165229.38</v>
      </c>
      <c r="Q1792" s="235">
        <f>SUMIFS(операции!$V:$V,операции!$T:$T,"&lt;"&amp;N$8,операции!$X:$X,"",операции!$L:$L,Q$9,операции!$O:$O,$F1792)+SUMIFS(операции!$V:$V,операции!$T:$T,"&lt;"&amp;N$8,операции!$X:$X,"&gt;="&amp;N$8,операции!$L:$L,Q$9,операции!$O:$O,$F1792)</f>
        <v>0</v>
      </c>
      <c r="R1792" s="236"/>
      <c r="S1792" s="152">
        <f>SUMIFS(операции!$V:$V,операции!$T:$T,"&lt;"&amp;S$8,операции!$X:$X,"",операции!$O:$O,$F1792)+SUMIFS(операции!$V:$V,операции!$T:$T,"&lt;"&amp;S$8,операции!$X:$X,"&gt;="&amp;S$8,операции!$O:$O,$F1792)</f>
        <v>125655.20999999999</v>
      </c>
      <c r="T1792" s="170">
        <f>S1792-S1797-S1803</f>
        <v>0</v>
      </c>
      <c r="U1792" s="152">
        <f>SUMIFS(операции!$V:$V,операции!$T:$T,"&lt;"&amp;S$8,операции!$X:$X,"",операции!$L:$L,U$9,операции!$O:$O,$F1792)+SUMIFS(операции!$V:$V,операции!$T:$T,"&lt;"&amp;S$8,операции!$X:$X,"&gt;="&amp;S$8,операции!$L:$L,U$9,операции!$O:$O,$F1792)</f>
        <v>122679.81</v>
      </c>
      <c r="V1792" s="235">
        <f>SUMIFS(операции!$V:$V,операции!$T:$T,"&lt;"&amp;S$8,операции!$X:$X,"",операции!$L:$L,V$9,операции!$O:$O,$F1792)+SUMIFS(операции!$V:$V,операции!$T:$T,"&lt;"&amp;S$8,операции!$X:$X,"&gt;="&amp;S$8,операции!$L:$L,V$9,операции!$O:$O,$F1792)</f>
        <v>2975.4</v>
      </c>
      <c r="W1792" s="236"/>
      <c r="X1792" s="152">
        <f>SUMIFS(операции!$V:$V,операции!$T:$T,"&lt;"&amp;X$8,операции!$X:$X,"",операции!$O:$O,$F1792)+SUMIFS(операции!$V:$V,операции!$T:$T,"&lt;"&amp;X$8,операции!$X:$X,"&gt;="&amp;X$8,операции!$O:$O,$F1792)</f>
        <v>126155.5</v>
      </c>
      <c r="Y1792" s="170">
        <f>X1792-X1797-X1803</f>
        <v>0</v>
      </c>
      <c r="Z1792" s="152">
        <f>SUMIFS(операции!$V:$V,операции!$T:$T,"&lt;"&amp;X$8,операции!$X:$X,"",операции!$L:$L,Z$9,операции!$O:$O,$F1792)+SUMIFS(операции!$V:$V,операции!$T:$T,"&lt;"&amp;X$8,операции!$X:$X,"&gt;="&amp;X$8,операции!$L:$L,Z$9,операции!$O:$O,$F1792)</f>
        <v>66500.66</v>
      </c>
      <c r="AA1792" s="235">
        <f>SUMIFS(операции!$V:$V,операции!$T:$T,"&lt;"&amp;X$8,операции!$X:$X,"",операции!$L:$L,AA$9,операции!$O:$O,$F1792)+SUMIFS(операции!$V:$V,операции!$T:$T,"&lt;"&amp;X$8,операции!$X:$X,"&gt;="&amp;X$8,операции!$L:$L,AA$9,операции!$O:$O,$F1792)</f>
        <v>59654.840000000011</v>
      </c>
      <c r="AB1792" s="264"/>
      <c r="AC1792" s="92"/>
      <c r="AD1792" s="92"/>
      <c r="AE1792" s="92"/>
      <c r="AF1792" s="92"/>
      <c r="AG1792" s="92"/>
      <c r="AH1792" s="92"/>
      <c r="AI1792" s="92"/>
      <c r="AJ1792" s="92"/>
      <c r="AK1792" s="92"/>
      <c r="AL1792" s="92"/>
      <c r="AM1792" s="92"/>
      <c r="AN1792" s="92"/>
      <c r="AO1792" s="92"/>
      <c r="AP1792" s="92"/>
    </row>
    <row r="1793" spans="1:42" s="192" customFormat="1" ht="11.25">
      <c r="A1793" s="37"/>
      <c r="B1793" s="37"/>
      <c r="C1793" s="37"/>
      <c r="D1793" s="191" t="s">
        <v>255</v>
      </c>
      <c r="E1793" s="191"/>
      <c r="F1793" s="191" t="str">
        <f>F1792</f>
        <v>СуперСпорт</v>
      </c>
      <c r="G1793" s="191" t="s">
        <v>262</v>
      </c>
      <c r="H1793" s="315"/>
      <c r="I1793" s="316">
        <f>IF(I1792=0,0,(SUMIFS(операции!$AF:$AF,операции!$T:$T,"&lt;"&amp;I$8,операции!$X:$X,"",операции!$O:$O,$F1792)+SUMIFS(операции!$AF:$AF,операции!$T:$T,"&lt;"&amp;I$8,операции!$X:$X,"&gt;="&amp;I$8,операции!$O:$O,$F1792))/I1792)</f>
        <v>42212.521448122614</v>
      </c>
      <c r="J1793" s="317"/>
      <c r="K1793" s="316">
        <f>IF(K1792=0,0,(SUMIFS(операции!$AF:$AF,операции!$T:$T,"&lt;"&amp;I$8,операции!$X:$X,"",операции!$L:$L,K$9,операции!$O:$O,$F1792)+SUMIFS(операции!$AF:$AF,операции!$T:$T,"&lt;"&amp;I$8,операции!$X:$X,"&gt;="&amp;I$8,операции!$L:$L,K$9,операции!$O:$O,$F1792))/K1792)</f>
        <v>42212.521448122614</v>
      </c>
      <c r="L1793" s="318">
        <f>IF(L1792=0,0,(SUMIFS(операции!$AF:$AF,операции!$T:$T,"&lt;"&amp;I$8,операции!$X:$X,"",операции!$L:$L,L$9,операции!$O:$O,$F1792)+SUMIFS(операции!$AF:$AF,операции!$T:$T,"&lt;"&amp;I$8,операции!$X:$X,"&gt;="&amp;I$8,операции!$L:$L,L$9,операции!$O:$O,$F1792))/L1792)</f>
        <v>0</v>
      </c>
      <c r="M1793" s="274"/>
      <c r="N1793" s="193">
        <f>IF(N1792=0,0,(SUMIFS(операции!$AF:$AF,операции!$T:$T,"&lt;"&amp;N$8,операции!$X:$X,"",операции!$O:$O,$F1792)+SUMIFS(операции!$AF:$AF,операции!$T:$T,"&lt;"&amp;N$8,операции!$X:$X,"&gt;="&amp;N$8,операции!$O:$O,$F1792))/N1792)</f>
        <v>42212.521448122614</v>
      </c>
      <c r="O1793" s="196"/>
      <c r="P1793" s="193">
        <f>IF(P1792=0,0,(SUMIFS(операции!$AF:$AF,операции!$T:$T,"&lt;"&amp;N$8,операции!$X:$X,"",операции!$L:$L,P$9,операции!$O:$O,$F1792)+SUMIFS(операции!$AF:$AF,операции!$T:$T,"&lt;"&amp;N$8,операции!$X:$X,"&gt;="&amp;N$8,операции!$L:$L,P$9,операции!$O:$O,$F1792))/P1792)</f>
        <v>42212.521448122614</v>
      </c>
      <c r="Q1793" s="237">
        <f>IF(Q1792=0,0,(SUMIFS(операции!$AF:$AF,операции!$T:$T,"&lt;"&amp;N$8,операции!$X:$X,"",операции!$L:$L,Q$9,операции!$O:$O,$F1792)+SUMIFS(операции!$AF:$AF,операции!$T:$T,"&lt;"&amp;N$8,операции!$X:$X,"&gt;="&amp;N$8,операции!$L:$L,Q$9,операции!$O:$O,$F1792))/Q1792)</f>
        <v>0</v>
      </c>
      <c r="R1793" s="238"/>
      <c r="S1793" s="193">
        <f>IF(S1792=0,0,(SUMIFS(операции!$AF:$AF,операции!$T:$T,"&lt;"&amp;S$8,операции!$X:$X,"",операции!$O:$O,$F1792)+SUMIFS(операции!$AF:$AF,операции!$T:$T,"&lt;"&amp;S$8,операции!$X:$X,"&gt;="&amp;S$8,операции!$O:$O,$F1792))/S1792)</f>
        <v>42219.610375646189</v>
      </c>
      <c r="T1793" s="196"/>
      <c r="U1793" s="193">
        <f>IF(U1792=0,0,(SUMIFS(операции!$AF:$AF,операции!$T:$T,"&lt;"&amp;S$8,операции!$X:$X,"",операции!$L:$L,U$9,операции!$O:$O,$F1792)+SUMIFS(операции!$AF:$AF,операции!$T:$T,"&lt;"&amp;S$8,операции!$X:$X,"&gt;="&amp;S$8,операции!$L:$L,U$9,операции!$O:$O,$F1792))/U1792)</f>
        <v>42217.486040041964</v>
      </c>
      <c r="V1793" s="237">
        <f>IF(V1792=0,0,(SUMIFS(операции!$AF:$AF,операции!$T:$T,"&lt;"&amp;S$8,операции!$X:$X,"",операции!$L:$L,V$9,операции!$O:$O,$F1792)+SUMIFS(операции!$AF:$AF,операции!$T:$T,"&lt;"&amp;S$8,операции!$X:$X,"&gt;="&amp;S$8,операции!$L:$L,V$9,операции!$O:$O,$F1792))/V1792)</f>
        <v>42307.199637023594</v>
      </c>
      <c r="W1793" s="238"/>
      <c r="X1793" s="193">
        <f>IF(X1792=0,0,(SUMIFS(операции!$AF:$AF,операции!$T:$T,"&lt;"&amp;X$8,операции!$X:$X,"",операции!$O:$O,$F1792)+SUMIFS(операции!$AF:$AF,операции!$T:$T,"&lt;"&amp;X$8,операции!$X:$X,"&gt;="&amp;X$8,операции!$O:$O,$F1792))/X1792)</f>
        <v>42271.276357986775</v>
      </c>
      <c r="Y1793" s="196"/>
      <c r="Z1793" s="193">
        <f>IF(Z1792=0,0,(SUMIFS(операции!$AF:$AF,операции!$T:$T,"&lt;"&amp;X$8,операции!$X:$X,"",операции!$L:$L,Z$9,операции!$O:$O,$F1792)+SUMIFS(операции!$AF:$AF,операции!$T:$T,"&lt;"&amp;X$8,операции!$X:$X,"&gt;="&amp;X$8,операции!$L:$L,Z$9,операции!$O:$O,$F1792))/Z1792)</f>
        <v>42213.303583753906</v>
      </c>
      <c r="AA1793" s="237">
        <f>IF(AA1792=0,0,(SUMIFS(операции!$AF:$AF,операции!$T:$T,"&lt;"&amp;X$8,операции!$X:$X,"",операции!$L:$L,AA$9,операции!$O:$O,$F1792)+SUMIFS(операции!$AF:$AF,операции!$T:$T,"&lt;"&amp;X$8,операции!$X:$X,"&gt;="&amp;X$8,операции!$L:$L,AA$9,операции!$O:$O,$F1792))/AA1792)</f>
        <v>42335.901923129801</v>
      </c>
      <c r="AB1793" s="265"/>
      <c r="AC1793" s="37"/>
      <c r="AD1793" s="37"/>
      <c r="AE1793" s="37"/>
      <c r="AF1793" s="37"/>
      <c r="AG1793" s="37"/>
      <c r="AH1793" s="37"/>
      <c r="AI1793" s="37"/>
      <c r="AJ1793" s="37"/>
      <c r="AK1793" s="37"/>
      <c r="AL1793" s="37"/>
      <c r="AM1793" s="37"/>
      <c r="AN1793" s="37"/>
      <c r="AO1793" s="37"/>
      <c r="AP1793" s="37"/>
    </row>
    <row r="1794" spans="1:42" s="50" customFormat="1" ht="11.25">
      <c r="A1794" s="48"/>
      <c r="B1794" s="48"/>
      <c r="C1794" s="48"/>
      <c r="D1794" s="154" t="s">
        <v>257</v>
      </c>
      <c r="E1794" s="154"/>
      <c r="F1794" s="154" t="str">
        <f t="shared" ref="F1794:F1860" si="3192">F1793</f>
        <v>СуперСпорт</v>
      </c>
      <c r="G1794" s="154" t="s">
        <v>219</v>
      </c>
      <c r="H1794" s="319"/>
      <c r="I1794" s="320">
        <f>IF(I1792=0,0,I$8-I1793)</f>
        <v>65.478551877386053</v>
      </c>
      <c r="J1794" s="321">
        <f>I1794-IF(I1792=0,0,(I1797*I1799+I1803*I1805)/I1792)</f>
        <v>-1.0615508472255897E-11</v>
      </c>
      <c r="K1794" s="320">
        <f>IF(K1792=0,0,I$8-K1793)</f>
        <v>65.478551877386053</v>
      </c>
      <c r="L1794" s="322">
        <f>IF(L1792=0,0,I$8-L1793)</f>
        <v>0</v>
      </c>
      <c r="M1794" s="275"/>
      <c r="N1794" s="155">
        <f>IF(N1792=0,0,N$8-N1793)</f>
        <v>65.478551877386053</v>
      </c>
      <c r="O1794" s="173">
        <f>N1794-IF(N1792=0,0,(N1797*N1799+N1803*N1805)/N1792)</f>
        <v>-1.0615508472255897E-11</v>
      </c>
      <c r="P1794" s="155">
        <f>IF(P1792=0,0,N$8-P1793)</f>
        <v>65.478551877386053</v>
      </c>
      <c r="Q1794" s="239">
        <f>IF(Q1792=0,0,N$8-Q1793)</f>
        <v>0</v>
      </c>
      <c r="R1794" s="240"/>
      <c r="S1794" s="155">
        <f>IF(S1792=0,0,S$8-S1793)</f>
        <v>89.389624353811087</v>
      </c>
      <c r="T1794" s="173">
        <f>S1794-IF(S1792=0,0,(S1797*S1799+S1803*S1805)/S1792)</f>
        <v>-7.1480599217466079E-12</v>
      </c>
      <c r="U1794" s="155">
        <f>IF(U1792=0,0,S$8-U1793)</f>
        <v>91.513959958036139</v>
      </c>
      <c r="V1794" s="239">
        <f>IF(V1792=0,0,S$8-V1793)</f>
        <v>1.800362976406177</v>
      </c>
      <c r="W1794" s="240"/>
      <c r="X1794" s="155">
        <f>IF(X1792=0,0,X$8-X1793)</f>
        <v>67.72364201322489</v>
      </c>
      <c r="Y1794" s="173">
        <f>X1794-IF(X1792=0,0,(X1797*X1799+X1803*X1805)/X1792)</f>
        <v>-1.1880274541908875E-11</v>
      </c>
      <c r="Z1794" s="155">
        <f>IF(Z1792=0,0,X$8-Z1793)</f>
        <v>125.69641624609358</v>
      </c>
      <c r="AA1794" s="239">
        <f>IF(AA1792=0,0,X$8-AA1793)</f>
        <v>3.0980768701992929</v>
      </c>
      <c r="AB1794" s="230"/>
      <c r="AC1794" s="48"/>
      <c r="AD1794" s="48"/>
      <c r="AE1794" s="48"/>
      <c r="AF1794" s="48"/>
      <c r="AG1794" s="48"/>
      <c r="AH1794" s="48"/>
      <c r="AI1794" s="48"/>
      <c r="AJ1794" s="48"/>
      <c r="AK1794" s="48"/>
      <c r="AL1794" s="48"/>
      <c r="AM1794" s="48"/>
      <c r="AN1794" s="48"/>
      <c r="AO1794" s="48"/>
      <c r="AP1794" s="48"/>
    </row>
    <row r="1795" spans="1:42" s="93" customFormat="1" ht="15">
      <c r="A1795" s="92"/>
      <c r="B1795" s="92"/>
      <c r="C1795" s="92"/>
      <c r="D1795" s="198" t="s">
        <v>267</v>
      </c>
      <c r="E1795" s="198"/>
      <c r="F1795" s="198" t="str">
        <f t="shared" si="3192"/>
        <v>СуперСпорт</v>
      </c>
      <c r="G1795" s="198" t="s">
        <v>219</v>
      </c>
      <c r="H1795" s="323"/>
      <c r="I1795" s="324">
        <f>IF(I1792=0,0,(I1797*I1801+I1803*I1807)/I1792)</f>
        <v>32.336779330644092</v>
      </c>
      <c r="J1795" s="321"/>
      <c r="K1795" s="324">
        <f t="shared" ref="K1795" si="3193">IF(K1792=0,0,(K1797*K1801+K1803*K1807)/K1792)</f>
        <v>32.336779330644092</v>
      </c>
      <c r="L1795" s="325">
        <f>IF(L1792=0,0,(L1797*L1801+L1803*L1807)/L1792)</f>
        <v>0</v>
      </c>
      <c r="M1795" s="276"/>
      <c r="N1795" s="199">
        <f>IF(N1792=0,0,(N1797*N1801+N1803*N1807)/N1792)</f>
        <v>32.336779330644092</v>
      </c>
      <c r="O1795" s="173"/>
      <c r="P1795" s="199">
        <f t="shared" ref="P1795" si="3194">IF(P1792=0,0,(P1797*P1801+P1803*P1807)/P1792)</f>
        <v>32.336779330644092</v>
      </c>
      <c r="Q1795" s="241">
        <f>IF(Q1792=0,0,(Q1797*Q1801+Q1803*Q1807)/Q1792)</f>
        <v>0</v>
      </c>
      <c r="R1795" s="242"/>
      <c r="S1795" s="199">
        <f>IF(S1792=0,0,(S1797*S1801+S1803*S1807)/S1792)</f>
        <v>34.475597470258499</v>
      </c>
      <c r="T1795" s="173"/>
      <c r="U1795" s="199">
        <f t="shared" ref="U1795" si="3195">IF(U1792=0,0,(U1797*U1801+U1803*U1807)/U1792)</f>
        <v>35.268082335640528</v>
      </c>
      <c r="V1795" s="241">
        <f>IF(V1792=0,0,(V1797*V1801+V1803*V1807)/V1792)</f>
        <v>1.8003629764061773</v>
      </c>
      <c r="W1795" s="242"/>
      <c r="X1795" s="199">
        <f>IF(X1792=0,0,(X1797*X1801+X1803*X1807)/X1792)</f>
        <v>23.400015060787492</v>
      </c>
      <c r="Y1795" s="173"/>
      <c r="Z1795" s="199">
        <f t="shared" ref="Z1795" si="3196">IF(Z1792=0,0,(Z1797*Z1801+Z1803*Z1807)/Z1792)</f>
        <v>41.611997835815323</v>
      </c>
      <c r="AA1795" s="241">
        <f>IF(AA1792=0,0,(AA1797*AA1801+AA1803*AA1807)/AA1792)</f>
        <v>3.0980768702211208</v>
      </c>
      <c r="AB1795" s="264"/>
      <c r="AC1795" s="92"/>
      <c r="AD1795" s="92"/>
      <c r="AE1795" s="92"/>
      <c r="AF1795" s="92"/>
      <c r="AG1795" s="92"/>
      <c r="AH1795" s="92"/>
      <c r="AI1795" s="92"/>
      <c r="AJ1795" s="92"/>
      <c r="AK1795" s="92"/>
      <c r="AL1795" s="92"/>
      <c r="AM1795" s="92"/>
      <c r="AN1795" s="92"/>
      <c r="AO1795" s="92"/>
      <c r="AP1795" s="92"/>
    </row>
    <row r="1796" spans="1:42" s="50" customFormat="1" ht="11.25">
      <c r="A1796" s="48"/>
      <c r="B1796" s="48"/>
      <c r="C1796" s="48"/>
      <c r="D1796" s="154" t="s">
        <v>270</v>
      </c>
      <c r="E1796" s="154"/>
      <c r="F1796" s="154" t="str">
        <f t="shared" si="3192"/>
        <v>СуперСпорт</v>
      </c>
      <c r="G1796" s="154" t="s">
        <v>219</v>
      </c>
      <c r="H1796" s="319"/>
      <c r="I1796" s="320">
        <f>I1794-I1795</f>
        <v>33.141772546741961</v>
      </c>
      <c r="J1796" s="321"/>
      <c r="K1796" s="320">
        <f t="shared" ref="K1796" si="3197">K1794-K1795</f>
        <v>33.141772546741961</v>
      </c>
      <c r="L1796" s="322">
        <f t="shared" ref="L1796" si="3198">L1794-L1795</f>
        <v>0</v>
      </c>
      <c r="M1796" s="275"/>
      <c r="N1796" s="155">
        <f>N1794-N1795</f>
        <v>33.141772546741961</v>
      </c>
      <c r="O1796" s="173"/>
      <c r="P1796" s="155">
        <f t="shared" ref="P1796" si="3199">P1794-P1795</f>
        <v>33.141772546741961</v>
      </c>
      <c r="Q1796" s="239">
        <f t="shared" ref="Q1796" si="3200">Q1794-Q1795</f>
        <v>0</v>
      </c>
      <c r="R1796" s="240"/>
      <c r="S1796" s="155">
        <f>S1794-S1795</f>
        <v>54.914026883552587</v>
      </c>
      <c r="T1796" s="173"/>
      <c r="U1796" s="155">
        <f t="shared" ref="U1796" si="3201">U1794-U1795</f>
        <v>56.245877622395611</v>
      </c>
      <c r="V1796" s="239">
        <f t="shared" ref="V1796" si="3202">V1794-V1795</f>
        <v>0</v>
      </c>
      <c r="W1796" s="240"/>
      <c r="X1796" s="155">
        <f>X1794-X1795</f>
        <v>44.323626952437394</v>
      </c>
      <c r="Y1796" s="173"/>
      <c r="Z1796" s="155">
        <f t="shared" ref="Z1796" si="3203">Z1794-Z1795</f>
        <v>84.084418410278261</v>
      </c>
      <c r="AA1796" s="239">
        <f t="shared" ref="AA1796" si="3204">AA1794-AA1795</f>
        <v>-2.1827872842550278E-11</v>
      </c>
      <c r="AB1796" s="230"/>
      <c r="AC1796" s="48"/>
      <c r="AD1796" s="48"/>
      <c r="AE1796" s="48"/>
      <c r="AF1796" s="48"/>
      <c r="AG1796" s="48"/>
      <c r="AH1796" s="48"/>
      <c r="AI1796" s="48"/>
      <c r="AJ1796" s="48"/>
      <c r="AK1796" s="48"/>
      <c r="AL1796" s="48"/>
      <c r="AM1796" s="48"/>
      <c r="AN1796" s="48"/>
      <c r="AO1796" s="48"/>
      <c r="AP1796" s="48"/>
    </row>
    <row r="1797" spans="1:42" s="5" customFormat="1">
      <c r="A1797" s="1"/>
      <c r="B1797" s="1"/>
      <c r="C1797" s="1"/>
      <c r="D1797" s="168"/>
      <c r="E1797" s="168" t="s">
        <v>258</v>
      </c>
      <c r="F1797" s="168" t="str">
        <f t="shared" si="3192"/>
        <v>СуперСпорт</v>
      </c>
      <c r="G1797" s="168" t="s">
        <v>261</v>
      </c>
      <c r="H1797" s="326"/>
      <c r="I1797" s="327">
        <f>SUMIFS(операции!$V:$V,операции!$T:$T,"&lt;"&amp;I$8,операции!$X:$X,"",операции!$AB:$AB,"&lt;&gt;"&amp;"",операции!$AB:$AB,"&lt;"&amp;I$8,операции!$O:$O,$F1792)+SUMIFS(операции!$V:$V,операции!$T:$T,"&lt;"&amp;I$8,операции!$X:$X,"&gt;="&amp;I$8,операции!$AB:$AB,"&lt;&gt;"&amp;"",операции!$AB:$AB,"&lt;"&amp;I$8,операции!$O:$O,$F1792)</f>
        <v>109475.30000000002</v>
      </c>
      <c r="J1797" s="313">
        <f>I1797-K1797-L1797</f>
        <v>0</v>
      </c>
      <c r="K1797" s="327">
        <f>SUMIFS(операции!$V:$V,операции!$T:$T,"&lt;"&amp;I$8,операции!$X:$X,"",операции!$AB:$AB,"&lt;&gt;"&amp;"",операции!$AB:$AB,"&lt;"&amp;I$8,операции!$L:$L,K$9,операции!$O:$O,$F1792)+SUMIFS(операции!$V:$V,операции!$T:$T,"&lt;"&amp;I$8,операции!$X:$X,"&gt;="&amp;I$8,операции!$AB:$AB,"&lt;&gt;"&amp;"",операции!$AB:$AB,"&lt;"&amp;I$8,операции!$L:$L,K$9,операции!$O:$O,$F1792)</f>
        <v>109475.30000000002</v>
      </c>
      <c r="L1797" s="328">
        <f>SUMIFS(операции!$V:$V,операции!$T:$T,"&lt;"&amp;I$8,операции!$X:$X,"",операции!$AB:$AB,"&lt;&gt;"&amp;"",операции!$AB:$AB,"&lt;"&amp;I$8,операции!$L:$L,L$9,операции!$O:$O,$F1792)+SUMIFS(операции!$V:$V,операции!$T:$T,"&lt;"&amp;I$8,операции!$X:$X,"&gt;="&amp;I$8,операции!$AB:$AB,"&lt;&gt;"&amp;"",операции!$AB:$AB,"&lt;"&amp;I$8,операции!$L:$L,L$9,операции!$O:$O,$F1792)</f>
        <v>0</v>
      </c>
      <c r="M1797" s="277"/>
      <c r="N1797" s="169">
        <f>SUMIFS(операции!$V:$V,операции!$T:$T,"&lt;"&amp;N$8,операции!$X:$X,"",операции!$AB:$AB,"&lt;&gt;"&amp;"",операции!$AB:$AB,"&lt;"&amp;N$8,операции!$O:$O,$F1792)+SUMIFS(операции!$V:$V,операции!$T:$T,"&lt;"&amp;N$8,операции!$X:$X,"&gt;="&amp;N$8,операции!$AB:$AB,"&lt;&gt;"&amp;"",операции!$AB:$AB,"&lt;"&amp;N$8,операции!$O:$O,$F1792)</f>
        <v>109475.30000000002</v>
      </c>
      <c r="O1797" s="170">
        <f>N1797-P1797-Q1797</f>
        <v>0</v>
      </c>
      <c r="P1797" s="169">
        <f>SUMIFS(операции!$V:$V,операции!$T:$T,"&lt;"&amp;N$8,операции!$X:$X,"",операции!$AB:$AB,"&lt;&gt;"&amp;"",операции!$AB:$AB,"&lt;"&amp;N$8,операции!$L:$L,P$9,операции!$O:$O,$F1792)+SUMIFS(операции!$V:$V,операции!$T:$T,"&lt;"&amp;N$8,операции!$X:$X,"&gt;="&amp;N$8,операции!$AB:$AB,"&lt;&gt;"&amp;"",операции!$AB:$AB,"&lt;"&amp;N$8,операции!$L:$L,P$9,операции!$O:$O,$F1792)</f>
        <v>109475.30000000002</v>
      </c>
      <c r="Q1797" s="243">
        <f>SUMIFS(операции!$V:$V,операции!$T:$T,"&lt;"&amp;N$8,операции!$X:$X,"",операции!$AB:$AB,"&lt;&gt;"&amp;"",операции!$AB:$AB,"&lt;"&amp;N$8,операции!$L:$L,Q$9,операции!$O:$O,$F1792)+SUMIFS(операции!$V:$V,операции!$T:$T,"&lt;"&amp;N$8,операции!$X:$X,"&gt;="&amp;N$8,операции!$AB:$AB,"&lt;&gt;"&amp;"",операции!$AB:$AB,"&lt;"&amp;N$8,операции!$L:$L,Q$9,операции!$O:$O,$F1792)</f>
        <v>0</v>
      </c>
      <c r="R1797" s="244"/>
      <c r="S1797" s="169">
        <f>SUMIFS(операции!$V:$V,операции!$T:$T,"&lt;"&amp;S$8,операции!$X:$X,"",операции!$AB:$AB,"&lt;&gt;"&amp;"",операции!$AB:$AB,"&lt;"&amp;S$8,операции!$O:$O,$F1792)+SUMIFS(операции!$V:$V,операции!$T:$T,"&lt;"&amp;S$8,операции!$X:$X,"&gt;="&amp;S$8,операции!$AB:$AB,"&lt;&gt;"&amp;"",операции!$AB:$AB,"&lt;"&amp;S$8,операции!$O:$O,$F1792)</f>
        <v>97735.290000000008</v>
      </c>
      <c r="T1797" s="170">
        <f>S1797-U1797-V1797</f>
        <v>0</v>
      </c>
      <c r="U1797" s="169">
        <f>SUMIFS(операции!$V:$V,операции!$T:$T,"&lt;"&amp;S$8,операции!$X:$X,"",операции!$AB:$AB,"&lt;&gt;"&amp;"",операции!$AB:$AB,"&lt;"&amp;S$8,операции!$L:$L,U$9,операции!$O:$O,$F1792)+SUMIFS(операции!$V:$V,операции!$T:$T,"&lt;"&amp;S$8,операции!$X:$X,"&gt;="&amp;S$8,операции!$AB:$AB,"&lt;&gt;"&amp;"",операции!$AB:$AB,"&lt;"&amp;S$8,операции!$L:$L,U$9,операции!$O:$O,$F1792)</f>
        <v>97735.290000000008</v>
      </c>
      <c r="V1797" s="243">
        <f>SUMIFS(операции!$V:$V,операции!$T:$T,"&lt;"&amp;S$8,операции!$X:$X,"",операции!$AB:$AB,"&lt;&gt;"&amp;"",операции!$AB:$AB,"&lt;"&amp;S$8,операции!$L:$L,V$9,операции!$O:$O,$F1792)+SUMIFS(операции!$V:$V,операции!$T:$T,"&lt;"&amp;S$8,операции!$X:$X,"&gt;="&amp;S$8,операции!$AB:$AB,"&lt;&gt;"&amp;"",операции!$AB:$AB,"&lt;"&amp;S$8,операции!$L:$L,V$9,операции!$O:$O,$F1792)</f>
        <v>0</v>
      </c>
      <c r="W1797" s="244"/>
      <c r="X1797" s="169">
        <f>SUMIFS(операции!$V:$V,операции!$T:$T,"&lt;"&amp;X$8,операции!$X:$X,"",операции!$AB:$AB,"&lt;&gt;"&amp;"",операции!$AB:$AB,"&lt;"&amp;X$8,операции!$O:$O,$F1792)+SUMIFS(операции!$V:$V,операции!$T:$T,"&lt;"&amp;X$8,операции!$X:$X,"&gt;="&amp;X$8,операции!$AB:$AB,"&lt;&gt;"&amp;"",операции!$AB:$AB,"&lt;"&amp;X$8,операции!$O:$O,$F1792)</f>
        <v>57521.829999999994</v>
      </c>
      <c r="Y1797" s="170">
        <f>X1797-Z1797-AA1797</f>
        <v>0</v>
      </c>
      <c r="Z1797" s="169">
        <f>SUMIFS(операции!$V:$V,операции!$T:$T,"&lt;"&amp;X$8,операции!$X:$X,"",операции!$AB:$AB,"&lt;&gt;"&amp;"",операции!$AB:$AB,"&lt;"&amp;X$8,операции!$L:$L,Z$9,операции!$O:$O,$F1792)+SUMIFS(операции!$V:$V,операции!$T:$T,"&lt;"&amp;X$8,операции!$X:$X,"&gt;="&amp;X$8,операции!$AB:$AB,"&lt;&gt;"&amp;"",операции!$AB:$AB,"&lt;"&amp;X$8,операции!$L:$L,Z$9,операции!$O:$O,$F1792)</f>
        <v>57521.829999999994</v>
      </c>
      <c r="AA1797" s="243">
        <f>SUMIFS(операции!$V:$V,операции!$T:$T,"&lt;"&amp;X$8,операции!$X:$X,"",операции!$AB:$AB,"&lt;&gt;"&amp;"",операции!$AB:$AB,"&lt;"&amp;X$8,операции!$L:$L,AA$9,операции!$O:$O,$F1792)+SUMIFS(операции!$V:$V,операции!$T:$T,"&lt;"&amp;X$8,операции!$X:$X,"&gt;="&amp;X$8,операции!$AB:$AB,"&lt;&gt;"&amp;"",операции!$AB:$AB,"&lt;"&amp;X$8,операции!$L:$L,AA$9,операции!$O:$O,$F1792)</f>
        <v>0</v>
      </c>
      <c r="AB1797" s="266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</row>
    <row r="1798" spans="1:42" s="192" customFormat="1" ht="11.25">
      <c r="A1798" s="37"/>
      <c r="B1798" s="37"/>
      <c r="C1798" s="37"/>
      <c r="D1798" s="191"/>
      <c r="E1798" s="191" t="s">
        <v>255</v>
      </c>
      <c r="F1798" s="191" t="str">
        <f t="shared" si="3192"/>
        <v>СуперСпорт</v>
      </c>
      <c r="G1798" s="191" t="s">
        <v>262</v>
      </c>
      <c r="H1798" s="315"/>
      <c r="I1798" s="316">
        <f>IF(I1797=0,0,(SUMIFS(операции!$AF:$AF,операции!$T:$T,"&lt;"&amp;I$8,операции!$X:$X,"",операции!$AB:$AB,"&lt;&gt;"&amp;"",операции!$AB:$AB,"&lt;"&amp;I$8,операции!$O:$O,$F1792)+SUMIFS(операции!$AF:$AF,операции!$T:$T,"&lt;"&amp;I$8,операции!$X:$X,"&gt;="&amp;I$8,операции!$AB:$AB,"&lt;&gt;"&amp;"",операции!$AB:$AB,"&lt;"&amp;I$8,операции!$O:$O,$F1792))/I1797)</f>
        <v>42201.144447743005</v>
      </c>
      <c r="J1798" s="317"/>
      <c r="K1798" s="316">
        <f>IF(K1797=0,0,(SUMIFS(операции!$AF:$AF,операции!$T:$T,"&lt;"&amp;I$8,операции!$X:$X,"",операции!$AB:$AB,"&lt;&gt;"&amp;"",операции!$AB:$AB,"&lt;"&amp;I$8,операции!$L:$L,K$9,операции!$O:$O,$F1792)+SUMIFS(операции!$AF:$AF,операции!$T:$T,"&lt;"&amp;I$8,операции!$X:$X,"&gt;="&amp;I$8,операции!$AB:$AB,"&lt;&gt;"&amp;"",операции!$AB:$AB,"&lt;"&amp;I$8,операции!$L:$L,K$9,операции!$O:$O,$F1792))/K1797)</f>
        <v>42201.144447743005</v>
      </c>
      <c r="L1798" s="318">
        <f>IF(L1797=0,0,(SUMIFS(операции!$AF:$AF,операции!$T:$T,"&lt;"&amp;I$8,операции!$X:$X,"",операции!$AB:$AB,"&lt;&gt;"&amp;"",операции!$AB:$AB,"&lt;"&amp;I$8,операции!$L:$L,L$9,операции!$O:$O,$F1792)+SUMIFS(операции!$AF:$AF,операции!$T:$T,"&lt;"&amp;I$8,операции!$X:$X,"&gt;="&amp;I$8,операции!$AB:$AB,"&lt;&gt;"&amp;"",операции!$AB:$AB,"&lt;"&amp;I$8,операции!$L:$L,L$9,операции!$O:$O,$F1792))/L1797)</f>
        <v>0</v>
      </c>
      <c r="M1798" s="274"/>
      <c r="N1798" s="193">
        <f>IF(N1797=0,0,(SUMIFS(операции!$AF:$AF,операции!$T:$T,"&lt;"&amp;N$8,операции!$X:$X,"",операции!$AB:$AB,"&lt;&gt;"&amp;"",операции!$AB:$AB,"&lt;"&amp;N$8,операции!$O:$O,$F1792)+SUMIFS(операции!$AF:$AF,операции!$T:$T,"&lt;"&amp;N$8,операции!$X:$X,"&gt;="&amp;N$8,операции!$AB:$AB,"&lt;&gt;"&amp;"",операции!$AB:$AB,"&lt;"&amp;N$8,операции!$O:$O,$F1792))/N1797)</f>
        <v>42201.144447743005</v>
      </c>
      <c r="O1798" s="196"/>
      <c r="P1798" s="193">
        <f>IF(P1797=0,0,(SUMIFS(операции!$AF:$AF,операции!$T:$T,"&lt;"&amp;N$8,операции!$X:$X,"",операции!$AB:$AB,"&lt;&gt;"&amp;"",операции!$AB:$AB,"&lt;"&amp;N$8,операции!$L:$L,P$9,операции!$O:$O,$F1792)+SUMIFS(операции!$AF:$AF,операции!$T:$T,"&lt;"&amp;N$8,операции!$X:$X,"&gt;="&amp;N$8,операции!$AB:$AB,"&lt;&gt;"&amp;"",операции!$AB:$AB,"&lt;"&amp;N$8,операции!$L:$L,P$9,операции!$O:$O,$F1792))/P1797)</f>
        <v>42201.144447743005</v>
      </c>
      <c r="Q1798" s="237">
        <f>IF(Q1797=0,0,(SUMIFS(операции!$AF:$AF,операции!$T:$T,"&lt;"&amp;N$8,операции!$X:$X,"",операции!$AB:$AB,"&lt;&gt;"&amp;"",операции!$AB:$AB,"&lt;"&amp;N$8,операции!$L:$L,Q$9,операции!$O:$O,$F1792)+SUMIFS(операции!$AF:$AF,операции!$T:$T,"&lt;"&amp;N$8,операции!$X:$X,"&gt;="&amp;N$8,операции!$AB:$AB,"&lt;&gt;"&amp;"",операции!$AB:$AB,"&lt;"&amp;N$8,операции!$L:$L,Q$9,операции!$O:$O,$F1792))/Q1797)</f>
        <v>0</v>
      </c>
      <c r="R1798" s="238"/>
      <c r="S1798" s="193">
        <f>IF(S1797=0,0,(SUMIFS(операции!$AF:$AF,операции!$T:$T,"&lt;"&amp;S$8,операции!$X:$X,"",операции!$AB:$AB,"&lt;&gt;"&amp;"",операции!$AB:$AB,"&lt;"&amp;S$8,операции!$O:$O,$F1792)+SUMIFS(операции!$AF:$AF,операции!$T:$T,"&lt;"&amp;S$8,операции!$X:$X,"&gt;="&amp;S$8,операции!$AB:$AB,"&lt;&gt;"&amp;"",операции!$AB:$AB,"&lt;"&amp;S$8,операции!$O:$O,$F1792))/S1797)</f>
        <v>42211.793376271766</v>
      </c>
      <c r="T1798" s="196"/>
      <c r="U1798" s="193">
        <f>IF(U1797=0,0,(SUMIFS(операции!$AF:$AF,операции!$T:$T,"&lt;"&amp;S$8,операции!$X:$X,"",операции!$AB:$AB,"&lt;&gt;"&amp;"",операции!$AB:$AB,"&lt;"&amp;S$8,операции!$L:$L,U$9,операции!$O:$O,$F1792)+SUMIFS(операции!$AF:$AF,операции!$T:$T,"&lt;"&amp;S$8,операции!$X:$X,"&gt;="&amp;S$8,операции!$AB:$AB,"&lt;&gt;"&amp;"",операции!$AB:$AB,"&lt;"&amp;S$8,операции!$L:$L,U$9,операции!$O:$O,$F1792))/U1797)</f>
        <v>42211.793376271766</v>
      </c>
      <c r="V1798" s="237">
        <f>IF(V1797=0,0,(SUMIFS(операции!$AF:$AF,операции!$T:$T,"&lt;"&amp;S$8,операции!$X:$X,"",операции!$AB:$AB,"&lt;&gt;"&amp;"",операции!$AB:$AB,"&lt;"&amp;S$8,операции!$L:$L,V$9,операции!$O:$O,$F1792)+SUMIFS(операции!$AF:$AF,операции!$T:$T,"&lt;"&amp;S$8,операции!$X:$X,"&gt;="&amp;S$8,операции!$AB:$AB,"&lt;&gt;"&amp;"",операции!$AB:$AB,"&lt;"&amp;S$8,операции!$L:$L,V$9,операции!$O:$O,$F1792))/V1797)</f>
        <v>0</v>
      </c>
      <c r="W1798" s="238"/>
      <c r="X1798" s="193">
        <f>IF(X1797=0,0,(SUMIFS(операции!$AF:$AF,операции!$T:$T,"&lt;"&amp;X$8,операции!$X:$X,"",операции!$AB:$AB,"&lt;&gt;"&amp;"",операции!$AB:$AB,"&lt;"&amp;X$8,операции!$O:$O,$F1792)+SUMIFS(операции!$AF:$AF,операции!$T:$T,"&lt;"&amp;X$8,операции!$X:$X,"&gt;="&amp;X$8,операции!$AB:$AB,"&lt;&gt;"&amp;"",операции!$AB:$AB,"&lt;"&amp;X$8,операции!$O:$O,$F1792))/X1797)</f>
        <v>42213.919874941392</v>
      </c>
      <c r="Y1798" s="196"/>
      <c r="Z1798" s="193">
        <f>IF(Z1797=0,0,(SUMIFS(операции!$AF:$AF,операции!$T:$T,"&lt;"&amp;X$8,операции!$X:$X,"",операции!$AB:$AB,"&lt;&gt;"&amp;"",операции!$AB:$AB,"&lt;"&amp;X$8,операции!$L:$L,Z$9,операции!$O:$O,$F1792)+SUMIFS(операции!$AF:$AF,операции!$T:$T,"&lt;"&amp;X$8,операции!$X:$X,"&gt;="&amp;X$8,операции!$AB:$AB,"&lt;&gt;"&amp;"",операции!$AB:$AB,"&lt;"&amp;X$8,операции!$L:$L,Z$9,операции!$O:$O,$F1792))/Z1797)</f>
        <v>42213.919874941392</v>
      </c>
      <c r="AA1798" s="237">
        <f>IF(AA1797=0,0,(SUMIFS(операции!$AF:$AF,операции!$T:$T,"&lt;"&amp;X$8,операции!$X:$X,"",операции!$AB:$AB,"&lt;&gt;"&amp;"",операции!$AB:$AB,"&lt;"&amp;X$8,операции!$L:$L,AA$9,операции!$O:$O,$F1792)+SUMIFS(операции!$AF:$AF,операции!$T:$T,"&lt;"&amp;X$8,операции!$X:$X,"&gt;="&amp;X$8,операции!$AB:$AB,"&lt;&gt;"&amp;"",операции!$AB:$AB,"&lt;"&amp;X$8,операции!$L:$L,AA$9,операции!$O:$O,$F1792))/AA1797)</f>
        <v>0</v>
      </c>
      <c r="AB1798" s="265"/>
      <c r="AC1798" s="37"/>
      <c r="AD1798" s="37"/>
      <c r="AE1798" s="37"/>
      <c r="AF1798" s="37"/>
      <c r="AG1798" s="37"/>
      <c r="AH1798" s="37"/>
      <c r="AI1798" s="37"/>
      <c r="AJ1798" s="37"/>
      <c r="AK1798" s="37"/>
      <c r="AL1798" s="37"/>
      <c r="AM1798" s="37"/>
      <c r="AN1798" s="37"/>
      <c r="AO1798" s="37"/>
      <c r="AP1798" s="37"/>
    </row>
    <row r="1799" spans="1:42" s="192" customFormat="1" ht="11.25">
      <c r="A1799" s="37"/>
      <c r="B1799" s="37"/>
      <c r="C1799" s="37"/>
      <c r="D1799" s="191"/>
      <c r="E1799" s="191" t="s">
        <v>260</v>
      </c>
      <c r="F1799" s="191" t="str">
        <f t="shared" si="3192"/>
        <v>СуперСпорт</v>
      </c>
      <c r="G1799" s="191" t="s">
        <v>219</v>
      </c>
      <c r="H1799" s="315"/>
      <c r="I1799" s="329">
        <f>IF(I1797=0,0,I$8-I1798)</f>
        <v>76.855552256994997</v>
      </c>
      <c r="J1799" s="317"/>
      <c r="K1799" s="329">
        <f>IF(K1797=0,0,I$8-K1798)</f>
        <v>76.855552256994997</v>
      </c>
      <c r="L1799" s="330">
        <f>IF(L1797=0,0,I$8-L1798)</f>
        <v>0</v>
      </c>
      <c r="M1799" s="274"/>
      <c r="N1799" s="156">
        <f>IF(N1797=0,0,N$8-N1798)</f>
        <v>76.855552256994997</v>
      </c>
      <c r="O1799" s="196"/>
      <c r="P1799" s="156">
        <f>IF(P1797=0,0,N$8-P1798)</f>
        <v>76.855552256994997</v>
      </c>
      <c r="Q1799" s="245">
        <f>IF(Q1797=0,0,N$8-Q1798)</f>
        <v>0</v>
      </c>
      <c r="R1799" s="238"/>
      <c r="S1799" s="156">
        <f>IF(S1797=0,0,S$8-S1798)</f>
        <v>97.206623728234263</v>
      </c>
      <c r="T1799" s="196"/>
      <c r="U1799" s="156">
        <f>IF(U1797=0,0,S$8-U1798)</f>
        <v>97.206623728234263</v>
      </c>
      <c r="V1799" s="245">
        <f>IF(V1797=0,0,S$8-V1798)</f>
        <v>0</v>
      </c>
      <c r="W1799" s="238"/>
      <c r="X1799" s="156">
        <f>IF(X1797=0,0,X$8-X1798)</f>
        <v>125.08012505860825</v>
      </c>
      <c r="Y1799" s="196"/>
      <c r="Z1799" s="156">
        <f>IF(Z1797=0,0,X$8-Z1798)</f>
        <v>125.08012505860825</v>
      </c>
      <c r="AA1799" s="245">
        <f>IF(AA1797=0,0,X$8-AA1798)</f>
        <v>0</v>
      </c>
      <c r="AB1799" s="265"/>
      <c r="AC1799" s="37"/>
      <c r="AD1799" s="37"/>
      <c r="AE1799" s="37"/>
      <c r="AF1799" s="37"/>
      <c r="AG1799" s="37"/>
      <c r="AH1799" s="37"/>
      <c r="AI1799" s="37"/>
      <c r="AJ1799" s="37"/>
      <c r="AK1799" s="37"/>
      <c r="AL1799" s="37"/>
      <c r="AM1799" s="37"/>
      <c r="AN1799" s="37"/>
      <c r="AO1799" s="37"/>
      <c r="AP1799" s="37"/>
    </row>
    <row r="1800" spans="1:42" s="192" customFormat="1" ht="11.25">
      <c r="A1800" s="37"/>
      <c r="B1800" s="37"/>
      <c r="C1800" s="37"/>
      <c r="D1800" s="191"/>
      <c r="E1800" s="191" t="s">
        <v>259</v>
      </c>
      <c r="F1800" s="191" t="str">
        <f t="shared" si="3192"/>
        <v>СуперСпорт</v>
      </c>
      <c r="G1800" s="191" t="s">
        <v>262</v>
      </c>
      <c r="H1800" s="315"/>
      <c r="I1800" s="316">
        <f>IF(I1797=0,0,(SUMIFS(операции!$AH:$AH,операции!$T:$T,"&lt;"&amp;I$8,операции!$X:$X,"",операции!$AB:$AB,"&lt;&gt;"&amp;"",операции!$AB:$AB,"&lt;"&amp;I$8,операции!$O:$O,$F1792)+SUMIFS(операции!$AH:$AH,операции!$T:$T,"&lt;"&amp;I$8,операции!$X:$X,"&gt;="&amp;I$8,операции!$AB:$AB,"&lt;&gt;"&amp;"",операции!$AB:$AB,"&lt;"&amp;I$8,операции!$O:$O,$F1792))/I1797)</f>
        <v>42227.979634401541</v>
      </c>
      <c r="J1800" s="317"/>
      <c r="K1800" s="316">
        <f>IF(K1797=0,0,(SUMIFS(операции!$AH:$AH,операции!$T:$T,"&lt;"&amp;I$8,операции!$X:$X,"",операции!$AB:$AB,"&lt;&gt;"&amp;"",операции!$AB:$AB,"&lt;"&amp;I$8,операции!$L:$L,K$9,операции!$O:$O,$F1792)+SUMIFS(операции!$AH:$AH,операции!$T:$T,"&lt;"&amp;I$8,операции!$X:$X,"&gt;="&amp;I$8,операции!$AB:$AB,"&lt;&gt;"&amp;"",операции!$AB:$AB,"&lt;"&amp;I$8,операции!$L:$L,K$9,операции!$O:$O,$F1792))/K1797)</f>
        <v>42227.979634401541</v>
      </c>
      <c r="L1800" s="318">
        <f>IF(L1797=0,0,(SUMIFS(операции!$AH:$AH,операции!$T:$T,"&lt;"&amp;I$8,операции!$X:$X,"",операции!$AB:$AB,"&lt;&gt;"&amp;"",операции!$AB:$AB,"&lt;"&amp;I$8,операции!$L:$L,L$9,операции!$O:$O,$F1792)+SUMIFS(операции!$AH:$AH,операции!$T:$T,"&lt;"&amp;I$8,операции!$X:$X,"&gt;="&amp;I$8,операции!$AB:$AB,"&lt;&gt;"&amp;"",операции!$AB:$AB,"&lt;"&amp;I$8,операции!$L:$L,L$9,операции!$O:$O,$F1792))/L1797)</f>
        <v>0</v>
      </c>
      <c r="M1800" s="274"/>
      <c r="N1800" s="193">
        <f>IF(N1797=0,0,(SUMIFS(операции!$AH:$AH,операции!$T:$T,"&lt;"&amp;N$8,операции!$X:$X,"",операции!$AB:$AB,"&lt;&gt;"&amp;"",операции!$AB:$AB,"&lt;"&amp;N$8,операции!$O:$O,$F1792)+SUMIFS(операции!$AH:$AH,операции!$T:$T,"&lt;"&amp;N$8,операции!$X:$X,"&gt;="&amp;N$8,операции!$AB:$AB,"&lt;&gt;"&amp;"",операции!$AB:$AB,"&lt;"&amp;N$8,операции!$O:$O,$F1792))/N1797)</f>
        <v>42227.979634401541</v>
      </c>
      <c r="O1800" s="196"/>
      <c r="P1800" s="193">
        <f>IF(P1797=0,0,(SUMIFS(операции!$AH:$AH,операции!$T:$T,"&lt;"&amp;N$8,операции!$X:$X,"",операции!$AB:$AB,"&lt;&gt;"&amp;"",операции!$AB:$AB,"&lt;"&amp;N$8,операции!$L:$L,P$9,операции!$O:$O,$F1792)+SUMIFS(операции!$AH:$AH,операции!$T:$T,"&lt;"&amp;N$8,операции!$X:$X,"&gt;="&amp;N$8,операции!$AB:$AB,"&lt;&gt;"&amp;"",операции!$AB:$AB,"&lt;"&amp;N$8,операции!$L:$L,P$9,операции!$O:$O,$F1792))/P1797)</f>
        <v>42227.979634401541</v>
      </c>
      <c r="Q1800" s="237">
        <f>IF(Q1797=0,0,(SUMIFS(операции!$AH:$AH,операции!$T:$T,"&lt;"&amp;N$8,операции!$X:$X,"",операции!$AB:$AB,"&lt;&gt;"&amp;"",операции!$AB:$AB,"&lt;"&amp;N$8,операции!$L:$L,Q$9,операции!$O:$O,$F1792)+SUMIFS(операции!$AH:$AH,операции!$T:$T,"&lt;"&amp;N$8,операции!$X:$X,"&gt;="&amp;N$8,операции!$AB:$AB,"&lt;&gt;"&amp;"",операции!$AB:$AB,"&lt;"&amp;N$8,операции!$L:$L,Q$9,операции!$O:$O,$F1792))/Q1797)</f>
        <v>0</v>
      </c>
      <c r="R1800" s="238"/>
      <c r="S1800" s="193">
        <f>IF(S1797=0,0,(SUMIFS(операции!$AH:$AH,операции!$T:$T,"&lt;"&amp;S$8,операции!$X:$X,"",операции!$AB:$AB,"&lt;&gt;"&amp;"",операции!$AB:$AB,"&lt;"&amp;S$8,операции!$O:$O,$F1792)+SUMIFS(операции!$AH:$AH,операции!$T:$T,"&lt;"&amp;S$8,операции!$X:$X,"&gt;="&amp;S$8,операции!$AB:$AB,"&lt;&gt;"&amp;"",операции!$AB:$AB,"&lt;"&amp;S$8,операции!$O:$O,$F1792))/S1797)</f>
        <v>42238.398750645756</v>
      </c>
      <c r="T1800" s="196"/>
      <c r="U1800" s="193">
        <f>IF(U1797=0,0,(SUMIFS(операции!$AH:$AH,операции!$T:$T,"&lt;"&amp;S$8,операции!$X:$X,"",операции!$AB:$AB,"&lt;&gt;"&amp;"",операции!$AB:$AB,"&lt;"&amp;S$8,операции!$L:$L,U$9,операции!$O:$O,$F1792)+SUMIFS(операции!$AH:$AH,операции!$T:$T,"&lt;"&amp;S$8,операции!$X:$X,"&gt;="&amp;S$8,операции!$AB:$AB,"&lt;&gt;"&amp;"",операции!$AB:$AB,"&lt;"&amp;S$8,операции!$L:$L,U$9,операции!$O:$O,$F1792))/U1797)</f>
        <v>42238.398750645756</v>
      </c>
      <c r="V1800" s="237">
        <f>IF(V1797=0,0,(SUMIFS(операции!$AH:$AH,операции!$T:$T,"&lt;"&amp;S$8,операции!$X:$X,"",операции!$AB:$AB,"&lt;&gt;"&amp;"",операции!$AB:$AB,"&lt;"&amp;S$8,операции!$L:$L,V$9,операции!$O:$O,$F1792)+SUMIFS(операции!$AH:$AH,операции!$T:$T,"&lt;"&amp;S$8,операции!$X:$X,"&gt;="&amp;S$8,операции!$AB:$AB,"&lt;&gt;"&amp;"",операции!$AB:$AB,"&lt;"&amp;S$8,операции!$L:$L,V$9,операции!$O:$O,$F1792))/V1797)</f>
        <v>0</v>
      </c>
      <c r="W1800" s="238"/>
      <c r="X1800" s="193">
        <f>IF(X1797=0,0,(SUMIFS(операции!$AH:$AH,операции!$T:$T,"&lt;"&amp;X$8,операции!$X:$X,"",операции!$AB:$AB,"&lt;&gt;"&amp;"",операции!$AB:$AB,"&lt;"&amp;X$8,операции!$O:$O,$F1792)+SUMIFS(операции!$AH:$AH,операции!$T:$T,"&lt;"&amp;X$8,операции!$X:$X,"&gt;="&amp;X$8,операции!$AB:$AB,"&lt;&gt;"&amp;"",операции!$AB:$AB,"&lt;"&amp;X$8,операции!$O:$O,$F1792))/X1797)</f>
        <v>42241.790482847995</v>
      </c>
      <c r="Y1800" s="196"/>
      <c r="Z1800" s="193">
        <f>IF(Z1797=0,0,(SUMIFS(операции!$AH:$AH,операции!$T:$T,"&lt;"&amp;X$8,операции!$X:$X,"",операции!$AB:$AB,"&lt;&gt;"&amp;"",операции!$AB:$AB,"&lt;"&amp;X$8,операции!$L:$L,Z$9,операции!$O:$O,$F1792)+SUMIFS(операции!$AH:$AH,операции!$T:$T,"&lt;"&amp;X$8,операции!$X:$X,"&gt;="&amp;X$8,операции!$AB:$AB,"&lt;&gt;"&amp;"",операции!$AB:$AB,"&lt;"&amp;X$8,операции!$L:$L,Z$9,операции!$O:$O,$F1792))/Z1797)</f>
        <v>42241.790482847995</v>
      </c>
      <c r="AA1800" s="237">
        <f>IF(AA1797=0,0,(SUMIFS(операции!$AH:$AH,операции!$T:$T,"&lt;"&amp;X$8,операции!$X:$X,"",операции!$AB:$AB,"&lt;&gt;"&amp;"",операции!$AB:$AB,"&lt;"&amp;X$8,операции!$L:$L,AA$9,операции!$O:$O,$F1792)+SUMIFS(операции!$AH:$AH,операции!$T:$T,"&lt;"&amp;X$8,операции!$X:$X,"&gt;="&amp;X$8,операции!$AB:$AB,"&lt;&gt;"&amp;"",операции!$AB:$AB,"&lt;"&amp;X$8,операции!$L:$L,AA$9,операции!$O:$O,$F1792))/AA1797)</f>
        <v>0</v>
      </c>
      <c r="AB1800" s="265"/>
      <c r="AC1800" s="37"/>
      <c r="AD1800" s="37"/>
      <c r="AE1800" s="37"/>
      <c r="AF1800" s="37"/>
      <c r="AG1800" s="37"/>
      <c r="AH1800" s="37"/>
      <c r="AI1800" s="37"/>
      <c r="AJ1800" s="37"/>
      <c r="AK1800" s="37"/>
      <c r="AL1800" s="37"/>
      <c r="AM1800" s="37"/>
      <c r="AN1800" s="37"/>
      <c r="AO1800" s="37"/>
      <c r="AP1800" s="37"/>
    </row>
    <row r="1801" spans="1:42" s="192" customFormat="1" ht="11.25">
      <c r="A1801" s="37"/>
      <c r="B1801" s="37"/>
      <c r="C1801" s="37"/>
      <c r="D1801" s="191"/>
      <c r="E1801" s="191" t="s">
        <v>265</v>
      </c>
      <c r="F1801" s="191" t="str">
        <f t="shared" si="3192"/>
        <v>СуперСпорт</v>
      </c>
      <c r="G1801" s="191" t="s">
        <v>219</v>
      </c>
      <c r="H1801" s="315"/>
      <c r="I1801" s="329">
        <f>I1800-I1798</f>
        <v>26.835186658536259</v>
      </c>
      <c r="J1801" s="317"/>
      <c r="K1801" s="329">
        <f t="shared" ref="K1801" si="3205">K1800-K1798</f>
        <v>26.835186658536259</v>
      </c>
      <c r="L1801" s="330">
        <f>L1800-L1798</f>
        <v>0</v>
      </c>
      <c r="M1801" s="274"/>
      <c r="N1801" s="156">
        <f>N1800-N1798</f>
        <v>26.835186658536259</v>
      </c>
      <c r="O1801" s="196"/>
      <c r="P1801" s="156">
        <f t="shared" ref="P1801" si="3206">P1800-P1798</f>
        <v>26.835186658536259</v>
      </c>
      <c r="Q1801" s="245">
        <f>Q1800-Q1798</f>
        <v>0</v>
      </c>
      <c r="R1801" s="238"/>
      <c r="S1801" s="156">
        <f>S1800-S1798</f>
        <v>26.605374373990344</v>
      </c>
      <c r="T1801" s="196"/>
      <c r="U1801" s="156">
        <f t="shared" ref="U1801" si="3207">U1800-U1798</f>
        <v>26.605374373990344</v>
      </c>
      <c r="V1801" s="245">
        <f>V1800-V1798</f>
        <v>0</v>
      </c>
      <c r="W1801" s="238"/>
      <c r="X1801" s="156">
        <f>X1800-X1798</f>
        <v>27.870607906603254</v>
      </c>
      <c r="Y1801" s="196"/>
      <c r="Z1801" s="156">
        <f t="shared" ref="Z1801" si="3208">Z1800-Z1798</f>
        <v>27.870607906603254</v>
      </c>
      <c r="AA1801" s="245">
        <f>AA1800-AA1798</f>
        <v>0</v>
      </c>
      <c r="AB1801" s="265"/>
      <c r="AC1801" s="37"/>
      <c r="AD1801" s="37"/>
      <c r="AE1801" s="37"/>
      <c r="AF1801" s="37"/>
      <c r="AG1801" s="37"/>
      <c r="AH1801" s="37"/>
      <c r="AI1801" s="37"/>
      <c r="AJ1801" s="37"/>
      <c r="AK1801" s="37"/>
      <c r="AL1801" s="37"/>
      <c r="AM1801" s="37"/>
      <c r="AN1801" s="37"/>
      <c r="AO1801" s="37"/>
      <c r="AP1801" s="37"/>
    </row>
    <row r="1802" spans="1:42" s="192" customFormat="1" ht="11.25">
      <c r="A1802" s="37"/>
      <c r="B1802" s="37"/>
      <c r="C1802" s="37"/>
      <c r="D1802" s="191"/>
      <c r="E1802" s="191" t="s">
        <v>268</v>
      </c>
      <c r="F1802" s="191" t="str">
        <f t="shared" si="3192"/>
        <v>СуперСпорт</v>
      </c>
      <c r="G1802" s="191" t="s">
        <v>219</v>
      </c>
      <c r="H1802" s="315"/>
      <c r="I1802" s="329">
        <f>I1799-I1801</f>
        <v>50.020365598458739</v>
      </c>
      <c r="J1802" s="317"/>
      <c r="K1802" s="329">
        <f t="shared" ref="K1802" si="3209">K1799-K1801</f>
        <v>50.020365598458739</v>
      </c>
      <c r="L1802" s="330">
        <f t="shared" ref="L1802" si="3210">L1799-L1801</f>
        <v>0</v>
      </c>
      <c r="M1802" s="274"/>
      <c r="N1802" s="156">
        <f>N1799-N1801</f>
        <v>50.020365598458739</v>
      </c>
      <c r="O1802" s="196"/>
      <c r="P1802" s="156">
        <f t="shared" ref="P1802" si="3211">P1799-P1801</f>
        <v>50.020365598458739</v>
      </c>
      <c r="Q1802" s="245">
        <f t="shared" ref="Q1802" si="3212">Q1799-Q1801</f>
        <v>0</v>
      </c>
      <c r="R1802" s="238"/>
      <c r="S1802" s="156">
        <f>S1799-S1801</f>
        <v>70.601249354243919</v>
      </c>
      <c r="T1802" s="196"/>
      <c r="U1802" s="156">
        <f t="shared" ref="U1802" si="3213">U1799-U1801</f>
        <v>70.601249354243919</v>
      </c>
      <c r="V1802" s="245">
        <f t="shared" ref="V1802" si="3214">V1799-V1801</f>
        <v>0</v>
      </c>
      <c r="W1802" s="238"/>
      <c r="X1802" s="156">
        <f>X1799-X1801</f>
        <v>97.209517152004992</v>
      </c>
      <c r="Y1802" s="196"/>
      <c r="Z1802" s="156">
        <f t="shared" ref="Z1802" si="3215">Z1799-Z1801</f>
        <v>97.209517152004992</v>
      </c>
      <c r="AA1802" s="245">
        <f t="shared" ref="AA1802" si="3216">AA1799-AA1801</f>
        <v>0</v>
      </c>
      <c r="AB1802" s="265"/>
      <c r="AC1802" s="37"/>
      <c r="AD1802" s="37"/>
      <c r="AE1802" s="37"/>
      <c r="AF1802" s="37"/>
      <c r="AG1802" s="37"/>
      <c r="AH1802" s="37"/>
      <c r="AI1802" s="37"/>
      <c r="AJ1802" s="37"/>
      <c r="AK1802" s="37"/>
      <c r="AL1802" s="37"/>
      <c r="AM1802" s="37"/>
      <c r="AN1802" s="37"/>
      <c r="AO1802" s="37"/>
      <c r="AP1802" s="37"/>
    </row>
    <row r="1803" spans="1:42" s="5" customFormat="1">
      <c r="A1803" s="1"/>
      <c r="B1803" s="1"/>
      <c r="C1803" s="1"/>
      <c r="D1803" s="168"/>
      <c r="E1803" s="168" t="s">
        <v>276</v>
      </c>
      <c r="F1803" s="168" t="str">
        <f t="shared" si="3192"/>
        <v>СуперСпорт</v>
      </c>
      <c r="G1803" s="168" t="s">
        <v>261</v>
      </c>
      <c r="H1803" s="326"/>
      <c r="I1803" s="327">
        <f>SUMIFS(операции!$V:$V,операции!$T:$T,"&lt;"&amp;I$8,операции!$X:$X,"",операции!$AB:$AB,"",операции!$O:$O,$F1792)+SUMIFS(операции!$V:$V,операции!$T:$T,"&lt;"&amp;I$8,операции!$X:$X,"&gt;="&amp;I$8,операции!$AB:$AB,"",операции!$O:$O,$F1792)+SUMIFS(операции!$V:$V,операции!$T:$T,"&lt;"&amp;I$8,операции!$X:$X,"",операции!$AB:$AB,"&gt;="&amp;I$8,операции!$O:$O,$F1792)+SUMIFS(операции!$V:$V,операции!$T:$T,"&lt;"&amp;I$8,операции!$X:$X,"&gt;="&amp;I$8,операции!$AB:$AB,"&gt;="&amp;I$8,операции!$O:$O,$F1792)</f>
        <v>55754.079999999994</v>
      </c>
      <c r="J1803" s="313">
        <f>I1803-K1803-L1803</f>
        <v>0</v>
      </c>
      <c r="K1803" s="327">
        <f>SUMIFS(операции!$V:$V,операции!$T:$T,"&lt;"&amp;I$8,операции!$X:$X,"",операции!$AB:$AB,"",операции!$L:$L,K$9,операции!$O:$O,$F1792)+SUMIFS(операции!$V:$V,операции!$T:$T,"&lt;"&amp;I$8,операции!$X:$X,"&gt;="&amp;I$8,операции!$AB:$AB,"",операции!$L:$L,K$9,операции!$O:$O,$F1792)+SUMIFS(операции!$V:$V,операции!$T:$T,"&lt;"&amp;I$8,операции!$X:$X,"",операции!$AB:$AB,"&gt;="&amp;I$8,операции!$L:$L,K$9,операции!$O:$O,$F1792)+SUMIFS(операции!$V:$V,операции!$T:$T,"&lt;"&amp;I$8,операции!$X:$X,"&gt;="&amp;I$8,операции!$AB:$AB,"&gt;="&amp;I$8,операции!$L:$L,K$9,операции!$O:$O,$F1792)</f>
        <v>55754.079999999994</v>
      </c>
      <c r="L1803" s="328">
        <f>SUMIFS(операции!$V:$V,операции!$T:$T,"&lt;"&amp;I$8,операции!$X:$X,"",операции!$AB:$AB,"",операции!$L:$L,L$9,операции!$O:$O,$F1792)+SUMIFS(операции!$V:$V,операции!$T:$T,"&lt;"&amp;I$8,операции!$X:$X,"&gt;="&amp;I$8,операции!$AB:$AB,"",операции!$L:$L,L$9,операции!$O:$O,$F1792)+SUMIFS(операции!$V:$V,операции!$T:$T,"&lt;"&amp;I$8,операции!$X:$X,"",операции!$AB:$AB,"&gt;="&amp;I$8,операции!$L:$L,L$9,операции!$O:$O,$F1792)+SUMIFS(операции!$V:$V,операции!$T:$T,"&lt;"&amp;I$8,операции!$X:$X,"&gt;="&amp;I$8,операции!$AB:$AB,"&gt;="&amp;I$8,операции!$L:$L,L$9,операции!$O:$O,$F1792)</f>
        <v>0</v>
      </c>
      <c r="M1803" s="277"/>
      <c r="N1803" s="169">
        <f>SUMIFS(операции!$V:$V,операции!$T:$T,"&lt;"&amp;N$8,операции!$X:$X,"",операции!$AB:$AB,"",операции!$O:$O,$F1792)+SUMIFS(операции!$V:$V,операции!$T:$T,"&lt;"&amp;N$8,операции!$X:$X,"&gt;="&amp;N$8,операции!$AB:$AB,"",операции!$O:$O,$F1792)+SUMIFS(операции!$V:$V,операции!$T:$T,"&lt;"&amp;N$8,операции!$X:$X,"",операции!$AB:$AB,"&gt;="&amp;N$8,операции!$O:$O,$F1792)+SUMIFS(операции!$V:$V,операции!$T:$T,"&lt;"&amp;N$8,операции!$X:$X,"&gt;="&amp;N$8,операции!$AB:$AB,"&gt;="&amp;N$8,операции!$O:$O,$F1792)</f>
        <v>55754.079999999994</v>
      </c>
      <c r="O1803" s="170">
        <f>N1803-P1803-Q1803</f>
        <v>0</v>
      </c>
      <c r="P1803" s="169">
        <f>SUMIFS(операции!$V:$V,операции!$T:$T,"&lt;"&amp;N$8,операции!$X:$X,"",операции!$AB:$AB,"",операции!$L:$L,P$9,операции!$O:$O,$F1792)+SUMIFS(операции!$V:$V,операции!$T:$T,"&lt;"&amp;N$8,операции!$X:$X,"&gt;="&amp;N$8,операции!$AB:$AB,"",операции!$L:$L,P$9,операции!$O:$O,$F1792)+SUMIFS(операции!$V:$V,операции!$T:$T,"&lt;"&amp;N$8,операции!$X:$X,"",операции!$AB:$AB,"&gt;="&amp;N$8,операции!$L:$L,P$9,операции!$O:$O,$F1792)+SUMIFS(операции!$V:$V,операции!$T:$T,"&lt;"&amp;N$8,операции!$X:$X,"&gt;="&amp;N$8,операции!$AB:$AB,"&gt;="&amp;N$8,операции!$L:$L,P$9,операции!$O:$O,$F1792)</f>
        <v>55754.079999999994</v>
      </c>
      <c r="Q1803" s="243">
        <f>SUMIFS(операции!$V:$V,операции!$T:$T,"&lt;"&amp;N$8,операции!$X:$X,"",операции!$AB:$AB,"",операции!$L:$L,Q$9,операции!$O:$O,$F1792)+SUMIFS(операции!$V:$V,операции!$T:$T,"&lt;"&amp;N$8,операции!$X:$X,"&gt;="&amp;N$8,операции!$AB:$AB,"",операции!$L:$L,Q$9,операции!$O:$O,$F1792)+SUMIFS(операции!$V:$V,операции!$T:$T,"&lt;"&amp;N$8,операции!$X:$X,"",операции!$AB:$AB,"&gt;="&amp;N$8,операции!$L:$L,Q$9,операции!$O:$O,$F1792)+SUMIFS(операции!$V:$V,операции!$T:$T,"&lt;"&amp;N$8,операции!$X:$X,"&gt;="&amp;N$8,операции!$AB:$AB,"&gt;="&amp;N$8,операции!$L:$L,Q$9,операции!$O:$O,$F1792)</f>
        <v>0</v>
      </c>
      <c r="R1803" s="244"/>
      <c r="S1803" s="169">
        <f>SUMIFS(операции!$V:$V,операции!$T:$T,"&lt;"&amp;S$8,операции!$X:$X,"",операции!$AB:$AB,"",операции!$O:$O,$F1792)+SUMIFS(операции!$V:$V,операции!$T:$T,"&lt;"&amp;S$8,операции!$X:$X,"&gt;="&amp;S$8,операции!$AB:$AB,"",операции!$O:$O,$F1792)+SUMIFS(операции!$V:$V,операции!$T:$T,"&lt;"&amp;S$8,операции!$X:$X,"",операции!$AB:$AB,"&gt;="&amp;S$8,операции!$O:$O,$F1792)+SUMIFS(операции!$V:$V,операции!$T:$T,"&lt;"&amp;S$8,операции!$X:$X,"&gt;="&amp;S$8,операции!$AB:$AB,"&gt;="&amp;S$8,операции!$O:$O,$F1792)</f>
        <v>27919.920000000006</v>
      </c>
      <c r="T1803" s="170">
        <f>S1803-U1803-V1803</f>
        <v>0</v>
      </c>
      <c r="U1803" s="169">
        <f>SUMIFS(операции!$V:$V,операции!$T:$T,"&lt;"&amp;S$8,операции!$X:$X,"",операции!$AB:$AB,"",операции!$L:$L,U$9,операции!$O:$O,$F1792)+SUMIFS(операции!$V:$V,операции!$T:$T,"&lt;"&amp;S$8,операции!$X:$X,"&gt;="&amp;S$8,операции!$AB:$AB,"",операции!$L:$L,U$9,операции!$O:$O,$F1792)+SUMIFS(операции!$V:$V,операции!$T:$T,"&lt;"&amp;S$8,операции!$X:$X,"",операции!$AB:$AB,"&gt;="&amp;S$8,операции!$L:$L,U$9,операции!$O:$O,$F1792)+SUMIFS(операции!$V:$V,операции!$T:$T,"&lt;"&amp;S$8,операции!$X:$X,"&gt;="&amp;S$8,операции!$AB:$AB,"&gt;="&amp;S$8,операции!$L:$L,U$9,операции!$O:$O,$F1792)</f>
        <v>24944.520000000004</v>
      </c>
      <c r="V1803" s="243">
        <f>SUMIFS(операции!$V:$V,операции!$T:$T,"&lt;"&amp;S$8,операции!$X:$X,"",операции!$AB:$AB,"",операции!$L:$L,V$9,операции!$O:$O,$F1792)+SUMIFS(операции!$V:$V,операции!$T:$T,"&lt;"&amp;S$8,операции!$X:$X,"&gt;="&amp;S$8,операции!$AB:$AB,"",операции!$L:$L,V$9,операции!$O:$O,$F1792)+SUMIFS(операции!$V:$V,операции!$T:$T,"&lt;"&amp;S$8,операции!$X:$X,"",операции!$AB:$AB,"&gt;="&amp;S$8,операции!$L:$L,V$9,операции!$O:$O,$F1792)+SUMIFS(операции!$V:$V,операции!$T:$T,"&lt;"&amp;S$8,операции!$X:$X,"&gt;="&amp;S$8,операции!$AB:$AB,"&gt;="&amp;S$8,операции!$L:$L,V$9,операции!$O:$O,$F1792)</f>
        <v>2975.4</v>
      </c>
      <c r="W1803" s="244"/>
      <c r="X1803" s="169">
        <f>SUMIFS(операции!$V:$V,операции!$T:$T,"&lt;"&amp;X$8,операции!$X:$X,"",операции!$AB:$AB,"",операции!$O:$O,$F1792)+SUMIFS(операции!$V:$V,операции!$T:$T,"&lt;"&amp;X$8,операции!$X:$X,"&gt;="&amp;X$8,операции!$AB:$AB,"",операции!$O:$O,$F1792)+SUMIFS(операции!$V:$V,операции!$T:$T,"&lt;"&amp;X$8,операции!$X:$X,"",операции!$AB:$AB,"&gt;="&amp;X$8,операции!$O:$O,$F1792)+SUMIFS(операции!$V:$V,операции!$T:$T,"&lt;"&amp;X$8,операции!$X:$X,"&gt;="&amp;X$8,операции!$AB:$AB,"&gt;="&amp;X$8,операции!$O:$O,$F1792)</f>
        <v>68633.670000000013</v>
      </c>
      <c r="Y1803" s="170">
        <f>X1803-Z1803-AA1803</f>
        <v>0</v>
      </c>
      <c r="Z1803" s="169">
        <f>SUMIFS(операции!$V:$V,операции!$T:$T,"&lt;"&amp;X$8,операции!$X:$X,"",операции!$AB:$AB,"",операции!$L:$L,Z$9,операции!$O:$O,$F1792)+SUMIFS(операции!$V:$V,операции!$T:$T,"&lt;"&amp;X$8,операции!$X:$X,"&gt;="&amp;X$8,операции!$AB:$AB,"",операции!$L:$L,Z$9,операции!$O:$O,$F1792)+SUMIFS(операции!$V:$V,операции!$T:$T,"&lt;"&amp;X$8,операции!$X:$X,"",операции!$AB:$AB,"&gt;="&amp;X$8,операции!$L:$L,Z$9,операции!$O:$O,$F1792)+SUMIFS(операции!$V:$V,операции!$T:$T,"&lt;"&amp;X$8,операции!$X:$X,"&gt;="&amp;X$8,операции!$AB:$AB,"&gt;="&amp;X$8,операции!$L:$L,Z$9,операции!$O:$O,$F1792)</f>
        <v>8978.83</v>
      </c>
      <c r="AA1803" s="243">
        <f>SUMIFS(операции!$V:$V,операции!$T:$T,"&lt;"&amp;X$8,операции!$X:$X,"",операции!$AB:$AB,"",операции!$L:$L,AA$9,операции!$O:$O,$F1792)+SUMIFS(операции!$V:$V,операции!$T:$T,"&lt;"&amp;X$8,операции!$X:$X,"&gt;="&amp;X$8,операции!$AB:$AB,"",операции!$L:$L,AA$9,операции!$O:$O,$F1792)+SUMIFS(операции!$V:$V,операции!$T:$T,"&lt;"&amp;X$8,операции!$X:$X,"",операции!$AB:$AB,"&gt;="&amp;X$8,операции!$L:$L,AA$9,операции!$O:$O,$F1792)+SUMIFS(операции!$V:$V,операции!$T:$T,"&lt;"&amp;X$8,операции!$X:$X,"&gt;="&amp;X$8,операции!$AB:$AB,"&gt;="&amp;X$8,операции!$L:$L,AA$9,операции!$O:$O,$F1792)</f>
        <v>59654.840000000018</v>
      </c>
      <c r="AB1803" s="266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</row>
    <row r="1804" spans="1:42" s="192" customFormat="1" ht="11.25">
      <c r="A1804" s="37"/>
      <c r="B1804" s="37"/>
      <c r="C1804" s="37"/>
      <c r="D1804" s="191"/>
      <c r="E1804" s="191" t="s">
        <v>255</v>
      </c>
      <c r="F1804" s="191" t="str">
        <f t="shared" si="3192"/>
        <v>СуперСпорт</v>
      </c>
      <c r="G1804" s="191" t="s">
        <v>262</v>
      </c>
      <c r="H1804" s="315"/>
      <c r="I1804" s="316">
        <f>IF(I1803=0,0,(SUMIFS(операции!$AF:$AF,операции!$T:$T,"&lt;"&amp;I$8,операции!$X:$X,"",операции!$AB:$AB,"",операции!$O:$O,$F1792)+SUMIFS(операции!$AF:$AF,операции!$T:$T,"&lt;"&amp;I$8,операции!$X:$X,"&gt;="&amp;I$8,операции!$AB:$AB,"",операции!$O:$O,$F1792)+SUMIFS(операции!$AF:$AF,операции!$T:$T,"&lt;"&amp;I$8,операции!$X:$X,"",операции!$AB:$AB,"&gt;="&amp;I$8,операции!$O:$O,$F1792)+SUMIFS(операции!$AF:$AF,операции!$T:$T,"&lt;"&amp;I$8,операции!$X:$X,"&gt;="&amp;I$8,операции!$AB:$AB,"&gt;="&amp;I$8,операции!$O:$O,$F1792))/I1803)</f>
        <v>42234.860629930583</v>
      </c>
      <c r="J1804" s="317"/>
      <c r="K1804" s="316">
        <f>IF(K1803=0,0,(SUMIFS(операции!$AF:$AF,операции!$T:$T,"&lt;"&amp;I$8,операции!$X:$X,"",операции!$AB:$AB,"",операции!$L:$L,K$9,операции!$O:$O,$F1792)+SUMIFS(операции!$AF:$AF,операции!$T:$T,"&lt;"&amp;I$8,операции!$X:$X,"&gt;="&amp;I$8,операции!$AB:$AB,"",операции!$L:$L,K$9,операции!$O:$O,$F1792)+SUMIFS(операции!$AF:$AF,операции!$T:$T,"&lt;"&amp;I$8,операции!$X:$X,"",операции!$AB:$AB,"&gt;="&amp;I$8,операции!$L:$L,K$9,операции!$O:$O,$F1792)+SUMIFS(операции!$AF:$AF,операции!$T:$T,"&lt;"&amp;I$8,операции!$X:$X,"&gt;="&amp;I$8,операции!$AB:$AB,"&gt;="&amp;I$8,операции!$L:$L,K$9,операции!$O:$O,$F1792))/K1803)</f>
        <v>42234.860629930583</v>
      </c>
      <c r="L1804" s="318">
        <f>IF(L1803=0,0,(SUMIFS(операции!$AF:$AF,операции!$T:$T,"&lt;"&amp;I$8,операции!$X:$X,"",операции!$AB:$AB,"",операции!$L:$L,L$9,операции!$O:$O,$F1792)+SUMIFS(операции!$AF:$AF,операции!$T:$T,"&lt;"&amp;I$8,операции!$X:$X,"&gt;="&amp;I$8,операции!$AB:$AB,"",операции!$L:$L,L$9,операции!$O:$O,$F1792)+SUMIFS(операции!$AF:$AF,операции!$T:$T,"&lt;"&amp;I$8,операции!$X:$X,"",операции!$AB:$AB,"&gt;="&amp;I$8,операции!$L:$L,L$9,операции!$O:$O,$F1792)+SUMIFS(операции!$AF:$AF,операции!$T:$T,"&lt;"&amp;I$8,операции!$X:$X,"&gt;="&amp;I$8,операции!$AB:$AB,"&gt;="&amp;I$8,операции!$L:$L,L$9,операции!$O:$O,$F1792))/L1803)</f>
        <v>0</v>
      </c>
      <c r="M1804" s="274"/>
      <c r="N1804" s="193">
        <f>IF(N1803=0,0,(SUMIFS(операции!$AF:$AF,операции!$T:$T,"&lt;"&amp;N$8,операции!$X:$X,"",операции!$AB:$AB,"",операции!$O:$O,$F1792)+SUMIFS(операции!$AF:$AF,операции!$T:$T,"&lt;"&amp;N$8,операции!$X:$X,"&gt;="&amp;N$8,операции!$AB:$AB,"",операции!$O:$O,$F1792)+SUMIFS(операции!$AF:$AF,операции!$T:$T,"&lt;"&amp;N$8,операции!$X:$X,"",операции!$AB:$AB,"&gt;="&amp;N$8,операции!$O:$O,$F1792)+SUMIFS(операции!$AF:$AF,операции!$T:$T,"&lt;"&amp;N$8,операции!$X:$X,"&gt;="&amp;N$8,операции!$AB:$AB,"&gt;="&amp;N$8,операции!$O:$O,$F1792))/N1803)</f>
        <v>42234.860629930583</v>
      </c>
      <c r="O1804" s="196"/>
      <c r="P1804" s="193">
        <f>IF(P1803=0,0,(SUMIFS(операции!$AF:$AF,операции!$T:$T,"&lt;"&amp;N$8,операции!$X:$X,"",операции!$AB:$AB,"",операции!$L:$L,P$9,операции!$O:$O,$F1792)+SUMIFS(операции!$AF:$AF,операции!$T:$T,"&lt;"&amp;N$8,операции!$X:$X,"&gt;="&amp;N$8,операции!$AB:$AB,"",операции!$L:$L,P$9,операции!$O:$O,$F1792)+SUMIFS(операции!$AF:$AF,операции!$T:$T,"&lt;"&amp;N$8,операции!$X:$X,"",операции!$AB:$AB,"&gt;="&amp;N$8,операции!$L:$L,P$9,операции!$O:$O,$F1792)+SUMIFS(операции!$AF:$AF,операции!$T:$T,"&lt;"&amp;N$8,операции!$X:$X,"&gt;="&amp;N$8,операции!$AB:$AB,"&gt;="&amp;N$8,операции!$L:$L,P$9,операции!$O:$O,$F1792))/P1803)</f>
        <v>42234.860629930583</v>
      </c>
      <c r="Q1804" s="237">
        <f>IF(Q1803=0,0,(SUMIFS(операции!$AF:$AF,операции!$T:$T,"&lt;"&amp;N$8,операции!$X:$X,"",операции!$AB:$AB,"",операции!$L:$L,Q$9,операции!$O:$O,$F1792)+SUMIFS(операции!$AF:$AF,операции!$T:$T,"&lt;"&amp;N$8,операции!$X:$X,"&gt;="&amp;N$8,операции!$AB:$AB,"",операции!$L:$L,Q$9,операции!$O:$O,$F1792)+SUMIFS(операции!$AF:$AF,операции!$T:$T,"&lt;"&amp;N$8,операции!$X:$X,"",операции!$AB:$AB,"&gt;="&amp;N$8,операции!$L:$L,Q$9,операции!$O:$O,$F1792)+SUMIFS(операции!$AF:$AF,операции!$T:$T,"&lt;"&amp;N$8,операции!$X:$X,"&gt;="&amp;N$8,операции!$AB:$AB,"&gt;="&amp;N$8,операции!$L:$L,Q$9,операции!$O:$O,$F1792))/Q1803)</f>
        <v>0</v>
      </c>
      <c r="R1804" s="238"/>
      <c r="S1804" s="193">
        <f>IF(S1803=0,0,(SUMIFS(операции!$AF:$AF,операции!$T:$T,"&lt;"&amp;S$8,операции!$X:$X,"",операции!$AB:$AB,"",операции!$O:$O,$F1792)+SUMIFS(операции!$AF:$AF,операции!$T:$T,"&lt;"&amp;S$8,операции!$X:$X,"&gt;="&amp;S$8,операции!$AB:$AB,"",операции!$O:$O,$F1792)+SUMIFS(операции!$AF:$AF,операции!$T:$T,"&lt;"&amp;S$8,операции!$X:$X,"",операции!$AB:$AB,"&gt;="&amp;S$8,операции!$O:$O,$F1792)+SUMIFS(операции!$AF:$AF,операции!$T:$T,"&lt;"&amp;S$8,операции!$X:$X,"&gt;="&amp;S$8,операции!$AB:$AB,"&gt;="&amp;S$8,операции!$O:$O,$F1792))/S1803)</f>
        <v>42246.974232734181</v>
      </c>
      <c r="T1804" s="196"/>
      <c r="U1804" s="193">
        <f>IF(U1803=0,0,(SUMIFS(операции!$AF:$AF,операции!$T:$T,"&lt;"&amp;S$8,операции!$X:$X,"",операции!$AB:$AB,"",операции!$L:$L,U$9,операции!$O:$O,$F1792)+SUMIFS(операции!$AF:$AF,операции!$T:$T,"&lt;"&amp;S$8,операции!$X:$X,"&gt;="&amp;S$8,операции!$AB:$AB,"",операции!$L:$L,U$9,операции!$O:$O,$F1792)+SUMIFS(операции!$AF:$AF,операции!$T:$T,"&lt;"&amp;S$8,операции!$X:$X,"",операции!$AB:$AB,"&gt;="&amp;S$8,операции!$L:$L,U$9,операции!$O:$O,$F1792)+SUMIFS(операции!$AF:$AF,операции!$T:$T,"&lt;"&amp;S$8,операции!$X:$X,"&gt;="&amp;S$8,операции!$AB:$AB,"&gt;="&amp;S$8,операции!$L:$L,U$9,операции!$O:$O,$F1792))/U1803)</f>
        <v>42239.790503886215</v>
      </c>
      <c r="V1804" s="237">
        <f>IF(V1803=0,0,(SUMIFS(операции!$AF:$AF,операции!$T:$T,"&lt;"&amp;S$8,операции!$X:$X,"",операции!$AB:$AB,"",операции!$L:$L,V$9,операции!$O:$O,$F1792)+SUMIFS(операции!$AF:$AF,операции!$T:$T,"&lt;"&amp;S$8,операции!$X:$X,"&gt;="&amp;S$8,операции!$AB:$AB,"",операции!$L:$L,V$9,операции!$O:$O,$F1792)+SUMIFS(операции!$AF:$AF,операции!$T:$T,"&lt;"&amp;S$8,операции!$X:$X,"",операции!$AB:$AB,"&gt;="&amp;S$8,операции!$L:$L,V$9,операции!$O:$O,$F1792)+SUMIFS(операции!$AF:$AF,операции!$T:$T,"&lt;"&amp;S$8,операции!$X:$X,"&gt;="&amp;S$8,операции!$AB:$AB,"&gt;="&amp;S$8,операции!$L:$L,V$9,операции!$O:$O,$F1792))/V1803)</f>
        <v>42307.199637023594</v>
      </c>
      <c r="W1804" s="238"/>
      <c r="X1804" s="193">
        <f>IF(X1803=0,0,(SUMIFS(операции!$AF:$AF,операции!$T:$T,"&lt;"&amp;X$8,операции!$X:$X,"",операции!$AB:$AB,"",операции!$O:$O,$F1792)+SUMIFS(операции!$AF:$AF,операции!$T:$T,"&lt;"&amp;X$8,операции!$X:$X,"&gt;="&amp;X$8,операции!$AB:$AB,"",операции!$O:$O,$F1792)+SUMIFS(операции!$AF:$AF,операции!$T:$T,"&lt;"&amp;X$8,операции!$X:$X,"",операции!$AB:$AB,"&gt;="&amp;X$8,операции!$O:$O,$F1792)+SUMIFS(операции!$AF:$AF,операции!$T:$T,"&lt;"&amp;X$8,операции!$X:$X,"&gt;="&amp;X$8,операции!$AB:$AB,"&gt;="&amp;X$8,операции!$O:$O,$F1792))/X1803)</f>
        <v>42319.346785622845</v>
      </c>
      <c r="Y1804" s="196"/>
      <c r="Z1804" s="193">
        <f>IF(Z1803=0,0,(SUMIFS(операции!$AF:$AF,операции!$T:$T,"&lt;"&amp;X$8,операции!$X:$X,"",операции!$AB:$AB,"",операции!$L:$L,Z$9,операции!$O:$O,$F1792)+SUMIFS(операции!$AF:$AF,операции!$T:$T,"&lt;"&amp;X$8,операции!$X:$X,"&gt;="&amp;X$8,операции!$AB:$AB,"",операции!$L:$L,Z$9,операции!$O:$O,$F1792)+SUMIFS(операции!$AF:$AF,операции!$T:$T,"&lt;"&amp;X$8,операции!$X:$X,"",операции!$AB:$AB,"&gt;="&amp;X$8,операции!$L:$L,Z$9,операции!$O:$O,$F1792)+SUMIFS(операции!$AF:$AF,операции!$T:$T,"&lt;"&amp;X$8,операции!$X:$X,"&gt;="&amp;X$8,операции!$AB:$AB,"&gt;="&amp;X$8,операции!$L:$L,Z$9,операции!$O:$O,$F1792))/Z1803)</f>
        <v>42209.355385946721</v>
      </c>
      <c r="AA1804" s="237">
        <f>IF(AA1803=0,0,(SUMIFS(операции!$AF:$AF,операции!$T:$T,"&lt;"&amp;X$8,операции!$X:$X,"",операции!$AB:$AB,"",операции!$L:$L,AA$9,операции!$O:$O,$F1792)+SUMIFS(операции!$AF:$AF,операции!$T:$T,"&lt;"&amp;X$8,операции!$X:$X,"&gt;="&amp;X$8,операции!$AB:$AB,"",операции!$L:$L,AA$9,операции!$O:$O,$F1792)+SUMIFS(операции!$AF:$AF,операции!$T:$T,"&lt;"&amp;X$8,операции!$X:$X,"",операции!$AB:$AB,"&gt;="&amp;X$8,операции!$L:$L,AA$9,операции!$O:$O,$F1792)+SUMIFS(операции!$AF:$AF,операции!$T:$T,"&lt;"&amp;X$8,операции!$X:$X,"&gt;="&amp;X$8,операции!$AB:$AB,"&gt;="&amp;X$8,операции!$L:$L,AA$9,операции!$O:$O,$F1792))/AA1803)</f>
        <v>42335.901923129779</v>
      </c>
      <c r="AB1804" s="265"/>
      <c r="AC1804" s="37"/>
      <c r="AD1804" s="37"/>
      <c r="AE1804" s="37"/>
      <c r="AF1804" s="37"/>
      <c r="AG1804" s="37"/>
      <c r="AH1804" s="37"/>
      <c r="AI1804" s="37"/>
      <c r="AJ1804" s="37"/>
      <c r="AK1804" s="37"/>
      <c r="AL1804" s="37"/>
      <c r="AM1804" s="37"/>
      <c r="AN1804" s="37"/>
      <c r="AO1804" s="37"/>
      <c r="AP1804" s="37"/>
    </row>
    <row r="1805" spans="1:42" s="192" customFormat="1" ht="11.25">
      <c r="A1805" s="37"/>
      <c r="B1805" s="37"/>
      <c r="C1805" s="37"/>
      <c r="D1805" s="191"/>
      <c r="E1805" s="191" t="s">
        <v>263</v>
      </c>
      <c r="F1805" s="191" t="str">
        <f t="shared" si="3192"/>
        <v>СуперСпорт</v>
      </c>
      <c r="G1805" s="191" t="s">
        <v>219</v>
      </c>
      <c r="H1805" s="315"/>
      <c r="I1805" s="329">
        <f>IF(I1803=0,0,I$8-I1804)</f>
        <v>43.139370069417055</v>
      </c>
      <c r="J1805" s="317"/>
      <c r="K1805" s="329">
        <f>IF(K1803=0,0,I$8-K1804)</f>
        <v>43.139370069417055</v>
      </c>
      <c r="L1805" s="330">
        <f>IF(L1803=0,0,I$8-L1804)</f>
        <v>0</v>
      </c>
      <c r="M1805" s="274"/>
      <c r="N1805" s="156">
        <f>IF(N1803=0,0,N$8-N1804)</f>
        <v>43.139370069417055</v>
      </c>
      <c r="O1805" s="196"/>
      <c r="P1805" s="156">
        <f>IF(P1803=0,0,N$8-P1804)</f>
        <v>43.139370069417055</v>
      </c>
      <c r="Q1805" s="245">
        <f>IF(Q1803=0,0,N$8-Q1804)</f>
        <v>0</v>
      </c>
      <c r="R1805" s="238"/>
      <c r="S1805" s="156">
        <f>IF(S1803=0,0,S$8-S1804)</f>
        <v>62.025767265819013</v>
      </c>
      <c r="T1805" s="196"/>
      <c r="U1805" s="156">
        <f>IF(U1803=0,0,S$8-U1804)</f>
        <v>69.209496113784553</v>
      </c>
      <c r="V1805" s="245">
        <f>IF(V1803=0,0,S$8-V1804)</f>
        <v>1.800362976406177</v>
      </c>
      <c r="W1805" s="238"/>
      <c r="X1805" s="156">
        <f>IF(X1803=0,0,X$8-X1804)</f>
        <v>19.653214377154654</v>
      </c>
      <c r="Y1805" s="196"/>
      <c r="Z1805" s="156">
        <f>IF(Z1803=0,0,X$8-Z1804)</f>
        <v>129.64461405327893</v>
      </c>
      <c r="AA1805" s="245">
        <f>IF(AA1803=0,0,X$8-AA1804)</f>
        <v>3.0980768702211208</v>
      </c>
      <c r="AB1805" s="265"/>
      <c r="AC1805" s="37"/>
      <c r="AD1805" s="37"/>
      <c r="AE1805" s="37"/>
      <c r="AF1805" s="37"/>
      <c r="AG1805" s="37"/>
      <c r="AH1805" s="37"/>
      <c r="AI1805" s="37"/>
      <c r="AJ1805" s="37"/>
      <c r="AK1805" s="37"/>
      <c r="AL1805" s="37"/>
      <c r="AM1805" s="37"/>
      <c r="AN1805" s="37"/>
      <c r="AO1805" s="37"/>
      <c r="AP1805" s="37"/>
    </row>
    <row r="1806" spans="1:42" s="192" customFormat="1" ht="11.25">
      <c r="A1806" s="37"/>
      <c r="B1806" s="37"/>
      <c r="C1806" s="37"/>
      <c r="D1806" s="191"/>
      <c r="E1806" s="191" t="s">
        <v>311</v>
      </c>
      <c r="F1806" s="191" t="str">
        <f t="shared" si="3192"/>
        <v>СуперСпорт</v>
      </c>
      <c r="G1806" s="191" t="s">
        <v>262</v>
      </c>
      <c r="H1806" s="315"/>
      <c r="I1806" s="316">
        <f>I$8</f>
        <v>42278</v>
      </c>
      <c r="J1806" s="317"/>
      <c r="K1806" s="316">
        <f>I$8</f>
        <v>42278</v>
      </c>
      <c r="L1806" s="318">
        <f>I$8</f>
        <v>42278</v>
      </c>
      <c r="M1806" s="274"/>
      <c r="N1806" s="193">
        <f>N$8</f>
        <v>42278</v>
      </c>
      <c r="O1806" s="196"/>
      <c r="P1806" s="193">
        <f>N$8</f>
        <v>42278</v>
      </c>
      <c r="Q1806" s="237">
        <f>N$8</f>
        <v>42278</v>
      </c>
      <c r="R1806" s="238"/>
      <c r="S1806" s="193">
        <f>S$8</f>
        <v>42309</v>
      </c>
      <c r="T1806" s="196"/>
      <c r="U1806" s="193">
        <f>S$8</f>
        <v>42309</v>
      </c>
      <c r="V1806" s="237">
        <f>S$8</f>
        <v>42309</v>
      </c>
      <c r="W1806" s="238"/>
      <c r="X1806" s="193">
        <f>X$8</f>
        <v>42339</v>
      </c>
      <c r="Y1806" s="196"/>
      <c r="Z1806" s="193">
        <f>X$8</f>
        <v>42339</v>
      </c>
      <c r="AA1806" s="237">
        <f>X$8</f>
        <v>42339</v>
      </c>
      <c r="AB1806" s="265"/>
      <c r="AC1806" s="37"/>
      <c r="AD1806" s="37"/>
      <c r="AE1806" s="37"/>
      <c r="AF1806" s="37"/>
      <c r="AG1806" s="37"/>
      <c r="AH1806" s="37"/>
      <c r="AI1806" s="37"/>
      <c r="AJ1806" s="37"/>
      <c r="AK1806" s="37"/>
      <c r="AL1806" s="37"/>
      <c r="AM1806" s="37"/>
      <c r="AN1806" s="37"/>
      <c r="AO1806" s="37"/>
      <c r="AP1806" s="37"/>
    </row>
    <row r="1807" spans="1:42" s="192" customFormat="1" ht="11.25">
      <c r="A1807" s="37"/>
      <c r="B1807" s="37"/>
      <c r="C1807" s="37"/>
      <c r="D1807" s="191"/>
      <c r="E1807" s="191" t="s">
        <v>264</v>
      </c>
      <c r="F1807" s="191" t="str">
        <f t="shared" si="3192"/>
        <v>СуперСпорт</v>
      </c>
      <c r="G1807" s="191" t="s">
        <v>219</v>
      </c>
      <c r="H1807" s="315"/>
      <c r="I1807" s="329">
        <f>IF(I1803=0,0,I1806-I1804)</f>
        <v>43.139370069417055</v>
      </c>
      <c r="J1807" s="317"/>
      <c r="K1807" s="329">
        <f>IF(K1803=0,0,K1806-K1804)</f>
        <v>43.139370069417055</v>
      </c>
      <c r="L1807" s="330">
        <f>IF(L1803=0,0,L1806-L1804)</f>
        <v>0</v>
      </c>
      <c r="M1807" s="274"/>
      <c r="N1807" s="156">
        <f>IF(N1803=0,0,N1806-N1804)</f>
        <v>43.139370069417055</v>
      </c>
      <c r="O1807" s="196"/>
      <c r="P1807" s="156">
        <f>IF(P1803=0,0,P1806-P1804)</f>
        <v>43.139370069417055</v>
      </c>
      <c r="Q1807" s="245">
        <f>IF(Q1803=0,0,Q1806-Q1804)</f>
        <v>0</v>
      </c>
      <c r="R1807" s="238"/>
      <c r="S1807" s="156">
        <f>IF(S1803=0,0,S1806-S1804)</f>
        <v>62.025767265819013</v>
      </c>
      <c r="T1807" s="196"/>
      <c r="U1807" s="156">
        <f>IF(U1803=0,0,U1806-U1804)</f>
        <v>69.209496113784553</v>
      </c>
      <c r="V1807" s="245">
        <f>IF(V1803=0,0,V1806-V1804)</f>
        <v>1.800362976406177</v>
      </c>
      <c r="W1807" s="238"/>
      <c r="X1807" s="156">
        <f>IF(X1803=0,0,X1806-X1804)</f>
        <v>19.653214377154654</v>
      </c>
      <c r="Y1807" s="196"/>
      <c r="Z1807" s="156">
        <f>IF(Z1803=0,0,Z1806-Z1804)</f>
        <v>129.64461405327893</v>
      </c>
      <c r="AA1807" s="245">
        <f>IF(AA1803=0,0,AA1806-AA1804)</f>
        <v>3.0980768702211208</v>
      </c>
      <c r="AB1807" s="265"/>
      <c r="AC1807" s="37"/>
      <c r="AD1807" s="37"/>
      <c r="AE1807" s="37"/>
      <c r="AF1807" s="37"/>
      <c r="AG1807" s="37"/>
      <c r="AH1807" s="37"/>
      <c r="AI1807" s="37"/>
      <c r="AJ1807" s="37"/>
      <c r="AK1807" s="37"/>
      <c r="AL1807" s="37"/>
      <c r="AM1807" s="37"/>
      <c r="AN1807" s="37"/>
      <c r="AO1807" s="37"/>
      <c r="AP1807" s="37"/>
    </row>
    <row r="1808" spans="1:42" s="192" customFormat="1" ht="11.25">
      <c r="A1808" s="37"/>
      <c r="B1808" s="37"/>
      <c r="C1808" s="37"/>
      <c r="D1808" s="207"/>
      <c r="E1808" s="207" t="s">
        <v>269</v>
      </c>
      <c r="F1808" s="207" t="str">
        <f t="shared" si="3192"/>
        <v>СуперСпорт</v>
      </c>
      <c r="G1808" s="207" t="s">
        <v>219</v>
      </c>
      <c r="H1808" s="331"/>
      <c r="I1808" s="332">
        <f>I1805-I1807</f>
        <v>0</v>
      </c>
      <c r="J1808" s="333"/>
      <c r="K1808" s="332">
        <f t="shared" ref="K1808" si="3217">K1805-K1807</f>
        <v>0</v>
      </c>
      <c r="L1808" s="334">
        <f>L1805-L1807</f>
        <v>0</v>
      </c>
      <c r="M1808" s="278"/>
      <c r="N1808" s="162">
        <f>N1805-N1807</f>
        <v>0</v>
      </c>
      <c r="O1808" s="208"/>
      <c r="P1808" s="162">
        <f t="shared" ref="P1808" si="3218">P1805-P1807</f>
        <v>0</v>
      </c>
      <c r="Q1808" s="246">
        <f>Q1805-Q1807</f>
        <v>0</v>
      </c>
      <c r="R1808" s="247"/>
      <c r="S1808" s="162">
        <f>S1805-S1807</f>
        <v>0</v>
      </c>
      <c r="T1808" s="208"/>
      <c r="U1808" s="162">
        <f t="shared" ref="U1808" si="3219">U1805-U1807</f>
        <v>0</v>
      </c>
      <c r="V1808" s="246">
        <f>V1805-V1807</f>
        <v>0</v>
      </c>
      <c r="W1808" s="247"/>
      <c r="X1808" s="162">
        <f>X1805-X1807</f>
        <v>0</v>
      </c>
      <c r="Y1808" s="208"/>
      <c r="Z1808" s="162">
        <f t="shared" ref="Z1808" si="3220">Z1805-Z1807</f>
        <v>0</v>
      </c>
      <c r="AA1808" s="246">
        <f>AA1805-AA1807</f>
        <v>0</v>
      </c>
      <c r="AB1808" s="265"/>
      <c r="AC1808" s="37"/>
      <c r="AD1808" s="37"/>
      <c r="AE1808" s="37"/>
      <c r="AF1808" s="37"/>
      <c r="AG1808" s="37"/>
      <c r="AH1808" s="37"/>
      <c r="AI1808" s="37"/>
      <c r="AJ1808" s="37"/>
      <c r="AK1808" s="37"/>
      <c r="AL1808" s="37"/>
      <c r="AM1808" s="37"/>
      <c r="AN1808" s="37"/>
      <c r="AO1808" s="37"/>
      <c r="AP1808" s="37"/>
    </row>
    <row r="1809" spans="1:42" s="111" customFormat="1" ht="11.25">
      <c r="A1809" s="108"/>
      <c r="B1809" s="108"/>
      <c r="C1809" s="108" t="s">
        <v>272</v>
      </c>
      <c r="D1809" s="109"/>
      <c r="E1809" s="109"/>
      <c r="F1809" s="109" t="str">
        <f t="shared" si="3192"/>
        <v>СуперСпорт</v>
      </c>
      <c r="G1809" s="109"/>
      <c r="H1809" s="307"/>
      <c r="I1809" s="308">
        <f>I1810-K1810-L1810</f>
        <v>0</v>
      </c>
      <c r="J1809" s="335"/>
      <c r="K1809" s="308"/>
      <c r="L1809" s="336"/>
      <c r="M1809" s="272"/>
      <c r="N1809" s="110">
        <f>N1810-P1810-Q1810</f>
        <v>0</v>
      </c>
      <c r="O1809" s="105"/>
      <c r="P1809" s="110"/>
      <c r="Q1809" s="248"/>
      <c r="R1809" s="234"/>
      <c r="S1809" s="110">
        <f>S1810-U1810-V1810</f>
        <v>0</v>
      </c>
      <c r="T1809" s="105"/>
      <c r="U1809" s="110"/>
      <c r="V1809" s="248"/>
      <c r="W1809" s="234"/>
      <c r="X1809" s="110">
        <f>X1810-Z1810-AA1810</f>
        <v>0</v>
      </c>
      <c r="Y1809" s="105"/>
      <c r="Z1809" s="110"/>
      <c r="AA1809" s="248"/>
      <c r="AB1809" s="263"/>
      <c r="AC1809" s="108"/>
      <c r="AD1809" s="108"/>
      <c r="AE1809" s="108"/>
      <c r="AF1809" s="108"/>
      <c r="AG1809" s="108"/>
      <c r="AH1809" s="108"/>
      <c r="AI1809" s="108"/>
      <c r="AJ1809" s="108"/>
      <c r="AK1809" s="108"/>
      <c r="AL1809" s="108"/>
      <c r="AM1809" s="108"/>
      <c r="AN1809" s="108"/>
      <c r="AO1809" s="108"/>
      <c r="AP1809" s="108"/>
    </row>
    <row r="1810" spans="1:42" s="5" customFormat="1">
      <c r="A1810" s="1"/>
      <c r="B1810" s="1"/>
      <c r="C1810" s="1"/>
      <c r="D1810" s="168" t="s">
        <v>273</v>
      </c>
      <c r="E1810" s="168"/>
      <c r="F1810" s="168" t="str">
        <f t="shared" si="3192"/>
        <v>СуперСпорт</v>
      </c>
      <c r="G1810" s="168" t="s">
        <v>261</v>
      </c>
      <c r="H1810" s="326"/>
      <c r="I1810" s="327">
        <f>SUMIFS(операции!$V:$V,операции!$T:$T,"&gt;="&amp;I$8,операции!$T:$T,"&lt;="&amp;I$9,операции!$O:$O,$F1792)</f>
        <v>95759.150000000009</v>
      </c>
      <c r="J1810" s="313"/>
      <c r="K1810" s="327">
        <f>SUMIFS(операции!$V:$V,операции!$T:$T,"&gt;="&amp;I$8,операции!$T:$T,"&lt;="&amp;I$9,операции!$L:$L,K$9,операции!$O:$O,$F1792)</f>
        <v>4343.76</v>
      </c>
      <c r="L1810" s="328">
        <f>SUMIFS(операции!$V:$V,операции!$T:$T,"&gt;="&amp;I$8,операции!$T:$T,"&lt;="&amp;I$9,операции!$L:$L,L$9,операции!$O:$O,$F1792)</f>
        <v>91415.390000000014</v>
      </c>
      <c r="M1810" s="277"/>
      <c r="N1810" s="169">
        <f>SUMIFS(операции!$V:$V,операции!$T:$T,"&gt;="&amp;N$8,операции!$T:$T,"&lt;="&amp;N$9,операции!$O:$O,$F1792)</f>
        <v>17148.07</v>
      </c>
      <c r="O1810" s="170"/>
      <c r="P1810" s="169">
        <f>SUMIFS(операции!$V:$V,операции!$T:$T,"&gt;="&amp;N$8,операции!$T:$T,"&lt;="&amp;N$9,операции!$L:$L,P$9,операции!$O:$O,$F1792)</f>
        <v>4343.76</v>
      </c>
      <c r="Q1810" s="243">
        <f>SUMIFS(операции!$V:$V,операции!$T:$T,"&gt;="&amp;N$8,операции!$T:$T,"&lt;="&amp;N$9,операции!$L:$L,Q$9,операции!$O:$O,$F1792)</f>
        <v>12804.310000000001</v>
      </c>
      <c r="R1810" s="244"/>
      <c r="S1810" s="169">
        <f>SUMIFS(операции!$V:$V,операции!$T:$T,"&gt;="&amp;S$8,операции!$T:$T,"&lt;="&amp;S$9,операции!$O:$O,$F1792)</f>
        <v>73988.39</v>
      </c>
      <c r="T1810" s="170"/>
      <c r="U1810" s="169">
        <f>SUMIFS(операции!$V:$V,операции!$T:$T,"&gt;="&amp;S$8,операции!$T:$T,"&lt;="&amp;S$9,операции!$L:$L,U$9,операции!$O:$O,$F1792)</f>
        <v>0</v>
      </c>
      <c r="V1810" s="243">
        <f>SUMIFS(операции!$V:$V,операции!$T:$T,"&gt;="&amp;S$8,операции!$T:$T,"&lt;="&amp;S$9,операции!$L:$L,V$9,операции!$O:$O,$F1792)</f>
        <v>73988.39</v>
      </c>
      <c r="W1810" s="244"/>
      <c r="X1810" s="169">
        <f>SUMIFS(операции!$V:$V,операции!$T:$T,"&gt;="&amp;X$8,операции!$T:$T,"&lt;="&amp;X$9,операции!$O:$O,$F1792)</f>
        <v>4622.6899999999996</v>
      </c>
      <c r="Y1810" s="170"/>
      <c r="Z1810" s="169">
        <f>SUMIFS(операции!$V:$V,операции!$T:$T,"&gt;="&amp;X$8,операции!$T:$T,"&lt;="&amp;X$9,операции!$L:$L,Z$9,операции!$O:$O,$F1792)</f>
        <v>0</v>
      </c>
      <c r="AA1810" s="243">
        <f>SUMIFS(операции!$V:$V,операции!$T:$T,"&gt;="&amp;X$8,операции!$T:$T,"&lt;="&amp;X$9,операции!$L:$L,AA$9,операции!$O:$O,$F1792)</f>
        <v>4622.6899999999996</v>
      </c>
      <c r="AB1810" s="266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</row>
    <row r="1811" spans="1:42" s="192" customFormat="1" ht="11.25">
      <c r="A1811" s="37"/>
      <c r="B1811" s="37"/>
      <c r="C1811" s="37"/>
      <c r="D1811" s="207" t="s">
        <v>255</v>
      </c>
      <c r="E1811" s="207"/>
      <c r="F1811" s="207" t="str">
        <f t="shared" si="3192"/>
        <v>СуперСпорт</v>
      </c>
      <c r="G1811" s="207" t="s">
        <v>262</v>
      </c>
      <c r="H1811" s="331"/>
      <c r="I1811" s="337">
        <f>IF(I1810=0,0,SUMIFS(операции!$AF:$AF,операции!$T:$T,"&gt;="&amp;I$8,операции!$T:$T,"&lt;="&amp;I$9,операции!$O:$O,$F1792)/I1810)</f>
        <v>42328.544860517242</v>
      </c>
      <c r="J1811" s="333"/>
      <c r="K1811" s="337">
        <f>IF(K1810=0,0,SUMIFS(операции!$AF:$AF,операции!$T:$T,"&gt;="&amp;I$8,операции!$T:$T,"&lt;="&amp;I$9,операции!$L:$L,K$9,операции!$O:$O,$F1792)/K1810)</f>
        <v>42292.392839383385</v>
      </c>
      <c r="L1811" s="338">
        <f>IF(L1810=0,0,SUMIFS(операции!$AF:$AF,операции!$T:$T,"&gt;="&amp;I$8,операции!$T:$T,"&lt;="&amp;I$9,операции!$L:$L,L$9,операции!$O:$O,$F1792)/L1810)</f>
        <v>42330.262686184447</v>
      </c>
      <c r="M1811" s="278"/>
      <c r="N1811" s="217">
        <f>IF(N1810=0,0,SUMIFS(операции!$AF:$AF,операции!$T:$T,"&gt;="&amp;N$8,операции!$T:$T,"&lt;="&amp;N$9,операции!$O:$O,$F1792)/N1810)</f>
        <v>42299.492237901999</v>
      </c>
      <c r="O1811" s="208"/>
      <c r="P1811" s="217">
        <f>IF(P1810=0,0,SUMIFS(операции!$AF:$AF,операции!$T:$T,"&gt;="&amp;N$8,операции!$T:$T,"&lt;="&amp;N$9,операции!$L:$L,P$9,операции!$O:$O,$F1792)/P1810)</f>
        <v>42292.392839383385</v>
      </c>
      <c r="Q1811" s="249">
        <f>IF(Q1810=0,0,SUMIFS(операции!$AF:$AF,операции!$T:$T,"&gt;="&amp;N$8,операции!$T:$T,"&lt;="&amp;N$9,операции!$L:$L,Q$9,операции!$O:$O,$F1792)/Q1810)</f>
        <v>42301.900652202261</v>
      </c>
      <c r="R1811" s="247"/>
      <c r="S1811" s="217">
        <f>IF(S1810=0,0,SUMIFS(операции!$AF:$AF,операции!$T:$T,"&gt;="&amp;S$8,операции!$T:$T,"&lt;="&amp;S$9,операции!$O:$O,$F1792)/S1810)</f>
        <v>42333.368330085315</v>
      </c>
      <c r="T1811" s="208"/>
      <c r="U1811" s="217">
        <f>IF(U1810=0,0,SUMIFS(операции!$AF:$AF,операции!$T:$T,"&gt;="&amp;S$8,операции!$T:$T,"&lt;="&amp;S$9,операции!$L:$L,U$9,операции!$O:$O,$F1792)/U1810)</f>
        <v>0</v>
      </c>
      <c r="V1811" s="249">
        <f>IF(V1810=0,0,SUMIFS(операции!$AF:$AF,операции!$T:$T,"&gt;="&amp;S$8,операции!$T:$T,"&lt;="&amp;S$9,операции!$L:$L,V$9,операции!$O:$O,$F1792)/V1810)</f>
        <v>42333.368330085315</v>
      </c>
      <c r="W1811" s="247"/>
      <c r="X1811" s="217">
        <f>IF(X1810=0,0,SUMIFS(операции!$AF:$AF,операции!$T:$T,"&gt;="&amp;X$8,операции!$T:$T,"&lt;="&amp;X$9,операции!$O:$O,$F1792)/X1810)</f>
        <v>42359.114866019569</v>
      </c>
      <c r="Y1811" s="208"/>
      <c r="Z1811" s="217">
        <f>IF(Z1810=0,0,SUMIFS(операции!$AF:$AF,операции!$T:$T,"&gt;="&amp;X$8,операции!$T:$T,"&lt;="&amp;X$9,операции!$L:$L,Z$9,операции!$O:$O,$F1792)/Z1810)</f>
        <v>0</v>
      </c>
      <c r="AA1811" s="249">
        <f>IF(AA1810=0,0,SUMIFS(операции!$AF:$AF,операции!$T:$T,"&gt;="&amp;X$8,операции!$T:$T,"&lt;="&amp;X$9,операции!$L:$L,AA$9,операции!$O:$O,$F1792)/AA1810)</f>
        <v>42359.114866019569</v>
      </c>
      <c r="AB1811" s="265"/>
      <c r="AC1811" s="37"/>
      <c r="AD1811" s="37"/>
      <c r="AE1811" s="37"/>
      <c r="AF1811" s="37"/>
      <c r="AG1811" s="37"/>
      <c r="AH1811" s="37"/>
      <c r="AI1811" s="37"/>
      <c r="AJ1811" s="37"/>
      <c r="AK1811" s="37"/>
      <c r="AL1811" s="37"/>
      <c r="AM1811" s="37"/>
      <c r="AN1811" s="37"/>
      <c r="AO1811" s="37"/>
      <c r="AP1811" s="37"/>
    </row>
    <row r="1812" spans="1:42" s="93" customFormat="1" ht="15">
      <c r="A1812" s="92"/>
      <c r="B1812" s="92"/>
      <c r="C1812" s="92"/>
      <c r="D1812" s="212" t="s">
        <v>274</v>
      </c>
      <c r="E1812" s="212"/>
      <c r="F1812" s="212" t="str">
        <f t="shared" si="3192"/>
        <v>СуперСпорт</v>
      </c>
      <c r="G1812" s="212" t="s">
        <v>261</v>
      </c>
      <c r="H1812" s="339"/>
      <c r="I1812" s="340">
        <f>SUMIFS(операции!$Z:$Z,операции!$X:$X,"&gt;="&amp;I$8,операции!$X:$X,"&lt;="&amp;I$9,операции!$O:$O,$F1792)</f>
        <v>224280</v>
      </c>
      <c r="J1812" s="341">
        <f>I1812-I1825-I1835</f>
        <v>0</v>
      </c>
      <c r="K1812" s="340">
        <f>SUMIFS(операции!$Z:$Z,операции!$X:$X,"&gt;="&amp;I$8,операции!$X:$X,"&lt;="&amp;I$9,операции!$L:$L,K$9,операции!$O:$O,$F1792)</f>
        <v>127011</v>
      </c>
      <c r="L1812" s="342">
        <f>SUMIFS(операции!$Z:$Z,операции!$X:$X,"&gt;="&amp;I$8,операции!$X:$X,"&lt;="&amp;I$9,операции!$L:$L,L$9,операции!$O:$O,$F1792)</f>
        <v>97269</v>
      </c>
      <c r="M1812" s="279"/>
      <c r="N1812" s="213">
        <f>SUMIFS(операции!$Z:$Z,операции!$X:$X,"&gt;="&amp;N$8,операции!$X:$X,"&lt;="&amp;N$9,операции!$O:$O,$F1792)</f>
        <v>65072</v>
      </c>
      <c r="O1812" s="216">
        <f>N1812-N1825-N1835</f>
        <v>0</v>
      </c>
      <c r="P1812" s="213">
        <f>SUMIFS(операции!$Z:$Z,операции!$X:$X,"&gt;="&amp;N$8,операции!$X:$X,"&lt;="&amp;N$9,операции!$L:$L,P$9,операции!$O:$O,$F1792)</f>
        <v>53412</v>
      </c>
      <c r="Q1812" s="250">
        <f>SUMIFS(операции!$Z:$Z,операции!$X:$X,"&gt;="&amp;N$8,операции!$X:$X,"&lt;="&amp;N$9,операции!$L:$L,Q$9,операции!$O:$O,$F1792)</f>
        <v>11660</v>
      </c>
      <c r="R1812" s="251"/>
      <c r="S1812" s="213">
        <f>SUMIFS(операции!$Z:$Z,операции!$X:$X,"&gt;="&amp;S$8,операции!$X:$X,"&lt;="&amp;S$9,операции!$O:$O,$F1792)</f>
        <v>82901</v>
      </c>
      <c r="T1812" s="216">
        <f>S1812-S1825-S1835</f>
        <v>0</v>
      </c>
      <c r="U1812" s="213">
        <f>SUMIFS(операции!$Z:$Z,операции!$X:$X,"&gt;="&amp;S$8,операции!$X:$X,"&lt;="&amp;S$9,операции!$L:$L,U$9,операции!$O:$O,$F1792)</f>
        <v>61610</v>
      </c>
      <c r="V1812" s="250">
        <f>SUMIFS(операции!$Z:$Z,операции!$X:$X,"&gt;="&amp;S$8,операции!$X:$X,"&lt;="&amp;S$9,операции!$L:$L,V$9,операции!$O:$O,$F1792)</f>
        <v>21291</v>
      </c>
      <c r="W1812" s="251"/>
      <c r="X1812" s="213">
        <f>SUMIFS(операции!$Z:$Z,операции!$X:$X,"&gt;="&amp;X$8,операции!$X:$X,"&lt;="&amp;X$9,операции!$O:$O,$F1792)</f>
        <v>76307</v>
      </c>
      <c r="Y1812" s="216">
        <f>X1812-X1825-X1835</f>
        <v>0</v>
      </c>
      <c r="Z1812" s="213">
        <f>SUMIFS(операции!$Z:$Z,операции!$X:$X,"&gt;="&amp;X$8,операции!$X:$X,"&lt;="&amp;X$9,операции!$L:$L,Z$9,операции!$O:$O,$F1792)</f>
        <v>11989</v>
      </c>
      <c r="AA1812" s="250">
        <f>SUMIFS(операции!$Z:$Z,операции!$X:$X,"&gt;="&amp;X$8,операции!$X:$X,"&lt;="&amp;X$9,операции!$L:$L,AA$9,операции!$O:$O,$F1792)</f>
        <v>64318</v>
      </c>
      <c r="AB1812" s="264"/>
      <c r="AC1812" s="92"/>
      <c r="AD1812" s="92"/>
      <c r="AE1812" s="92"/>
      <c r="AF1812" s="92"/>
      <c r="AG1812" s="92"/>
      <c r="AH1812" s="92"/>
      <c r="AI1812" s="92"/>
      <c r="AJ1812" s="92"/>
      <c r="AK1812" s="92"/>
      <c r="AL1812" s="92"/>
      <c r="AM1812" s="92"/>
      <c r="AN1812" s="92"/>
      <c r="AO1812" s="92"/>
      <c r="AP1812" s="92"/>
    </row>
    <row r="1813" spans="1:42" s="407" customFormat="1" ht="11.25">
      <c r="A1813" s="404"/>
      <c r="B1813" s="404"/>
      <c r="C1813" s="404"/>
      <c r="D1813" s="405" t="s">
        <v>332</v>
      </c>
      <c r="E1813" s="405"/>
      <c r="F1813" s="405" t="str">
        <f>F1811</f>
        <v>СуперСпорт</v>
      </c>
      <c r="G1813" s="405" t="s">
        <v>218</v>
      </c>
      <c r="H1813" s="408"/>
      <c r="I1813" s="408">
        <f>IF(I$31=0,0,I1812/I$31)</f>
        <v>6.0456480391268906E-2</v>
      </c>
      <c r="J1813" s="409"/>
      <c r="K1813" s="408">
        <f t="shared" ref="K1813" si="3221">IF(K$31=0,0,K1812/K$31)</f>
        <v>9.7560132547389378E-2</v>
      </c>
      <c r="L1813" s="410">
        <f t="shared" ref="L1813" si="3222">IF(L$31=0,0,L1812/L$31)</f>
        <v>4.0395747002992644E-2</v>
      </c>
      <c r="M1813" s="411"/>
      <c r="N1813" s="412">
        <f t="shared" ref="N1813" si="3223">IF(N$31=0,0,N1812/N$31)</f>
        <v>8.3963545947564069E-2</v>
      </c>
      <c r="O1813" s="413"/>
      <c r="P1813" s="412">
        <f t="shared" ref="P1813" si="3224">IF(P$31=0,0,P1812/P$31)</f>
        <v>0.10672240027493826</v>
      </c>
      <c r="Q1813" s="414">
        <f t="shared" ref="Q1813" si="3225">IF(Q$31=0,0,Q1812/Q$31)</f>
        <v>4.2473053652281927E-2</v>
      </c>
      <c r="R1813" s="415"/>
      <c r="S1813" s="412">
        <f t="shared" ref="S1813" si="3226">IF(S$31=0,0,S1812/S$31)</f>
        <v>4.671281544152657E-2</v>
      </c>
      <c r="T1813" s="413"/>
      <c r="U1813" s="412">
        <f t="shared" ref="U1813" si="3227">IF(U$31=0,0,U1812/U$31)</f>
        <v>9.7831696453382661E-2</v>
      </c>
      <c r="V1813" s="414">
        <f t="shared" ref="V1813" si="3228">IF(V$31=0,0,V1812/V$31)</f>
        <v>1.8595734274285115E-2</v>
      </c>
      <c r="W1813" s="415"/>
      <c r="X1813" s="412">
        <f t="shared" ref="X1813" si="3229">IF(X$31=0,0,X1812/X$31)</f>
        <v>6.5777473583672821E-2</v>
      </c>
      <c r="Y1813" s="413"/>
      <c r="Z1813" s="412">
        <f t="shared" ref="Z1813" si="3230">IF(Z$31=0,0,Z1812/Z$31)</f>
        <v>6.9848464545597552E-2</v>
      </c>
      <c r="AA1813" s="414">
        <f t="shared" ref="AA1813" si="3231">IF(AA$31=0,0,AA1812/AA$31)</f>
        <v>6.5070540804402915E-2</v>
      </c>
      <c r="AB1813" s="406"/>
      <c r="AC1813" s="404"/>
      <c r="AD1813" s="404"/>
      <c r="AE1813" s="404"/>
      <c r="AF1813" s="404"/>
      <c r="AG1813" s="404"/>
      <c r="AH1813" s="404"/>
      <c r="AI1813" s="404"/>
      <c r="AJ1813" s="404"/>
      <c r="AK1813" s="404"/>
      <c r="AL1813" s="404"/>
      <c r="AM1813" s="404"/>
      <c r="AN1813" s="404"/>
      <c r="AO1813" s="404"/>
      <c r="AP1813" s="404"/>
    </row>
    <row r="1814" spans="1:42" s="192" customFormat="1" ht="11.25">
      <c r="A1814" s="37"/>
      <c r="B1814" s="37"/>
      <c r="C1814" s="37"/>
      <c r="D1814" s="191" t="s">
        <v>331</v>
      </c>
      <c r="E1814" s="191"/>
      <c r="F1814" s="191" t="str">
        <f>F1812</f>
        <v>СуперСпорт</v>
      </c>
      <c r="G1814" s="191" t="s">
        <v>334</v>
      </c>
      <c r="H1814" s="315"/>
      <c r="I1814" s="329">
        <f>SUMIFS(операции!$R:$R,операции!$X:$X,"&gt;="&amp;I$8,операции!$X:$X,"&lt;="&amp;I$9,операции!$O:$O,$F1792)</f>
        <v>102</v>
      </c>
      <c r="J1814" s="317">
        <f>I1814-K1814-L1814</f>
        <v>0</v>
      </c>
      <c r="K1814" s="329">
        <f>SUMIFS(операции!$R:$R,операции!$X:$X,"&gt;="&amp;I$8,операции!$X:$X,"&lt;="&amp;I$9,операции!$L:$L,K$9,операции!$O:$O,$F1792)</f>
        <v>53</v>
      </c>
      <c r="L1814" s="330">
        <f>SUMIFS(операции!$R:$R,операции!$X:$X,"&gt;="&amp;I$8,операции!$X:$X,"&lt;="&amp;I$9,операции!$L:$L,L$9,операции!$O:$O,$F1792)</f>
        <v>49</v>
      </c>
      <c r="M1814" s="402"/>
      <c r="N1814" s="156">
        <f>SUMIFS(операции!$R:$R,операции!$X:$X,"&gt;="&amp;N$8,операции!$X:$X,"&lt;="&amp;N$9,операции!$O:$O,$F1792)</f>
        <v>28</v>
      </c>
      <c r="O1814" s="196">
        <f t="shared" ref="O1814" si="3232">N1814-P1814-Q1814</f>
        <v>0</v>
      </c>
      <c r="P1814" s="156">
        <f>SUMIFS(операции!$R:$R,операции!$X:$X,"&gt;="&amp;N$8,операции!$X:$X,"&lt;="&amp;N$9,операции!$L:$L,P$9,операции!$O:$O,$F1792)</f>
        <v>21</v>
      </c>
      <c r="Q1814" s="245">
        <f>SUMIFS(операции!$R:$R,операции!$X:$X,"&gt;="&amp;N$8,операции!$X:$X,"&lt;="&amp;N$9,операции!$L:$L,Q$9,операции!$O:$O,$F1792)</f>
        <v>7</v>
      </c>
      <c r="R1814" s="403"/>
      <c r="S1814" s="156">
        <f>SUMIFS(операции!$R:$R,операции!$X:$X,"&gt;="&amp;S$8,операции!$X:$X,"&lt;="&amp;S$9,операции!$O:$O,$F1792)</f>
        <v>36</v>
      </c>
      <c r="T1814" s="196">
        <f t="shared" ref="T1814" si="3233">S1814-U1814-V1814</f>
        <v>0</v>
      </c>
      <c r="U1814" s="156">
        <f>SUMIFS(операции!$R:$R,операции!$X:$X,"&gt;="&amp;S$8,операции!$X:$X,"&lt;="&amp;S$9,операции!$L:$L,U$9,операции!$O:$O,$F1792)</f>
        <v>25</v>
      </c>
      <c r="V1814" s="245">
        <f>SUMIFS(операции!$R:$R,операции!$X:$X,"&gt;="&amp;S$8,операции!$X:$X,"&lt;="&amp;S$9,операции!$L:$L,V$9,операции!$O:$O,$F1792)</f>
        <v>11</v>
      </c>
      <c r="W1814" s="403"/>
      <c r="X1814" s="156">
        <f>SUMIFS(операции!$R:$R,операции!$X:$X,"&gt;="&amp;X$8,операции!$X:$X,"&lt;="&amp;X$9,операции!$O:$O,$F1792)</f>
        <v>38</v>
      </c>
      <c r="Y1814" s="196">
        <f t="shared" ref="Y1814" si="3234">X1814-Z1814-AA1814</f>
        <v>0</v>
      </c>
      <c r="Z1814" s="156">
        <f>SUMIFS(операции!$R:$R,операции!$X:$X,"&gt;="&amp;X$8,операции!$X:$X,"&lt;="&amp;X$9,операции!$L:$L,Z$9,операции!$O:$O,$F1792)</f>
        <v>7</v>
      </c>
      <c r="AA1814" s="245">
        <f>SUMIFS(операции!$R:$R,операции!$X:$X,"&gt;="&amp;X$8,операции!$X:$X,"&lt;="&amp;X$9,операции!$L:$L,AA$9,операции!$O:$O,$F1792)</f>
        <v>31</v>
      </c>
      <c r="AB1814" s="265"/>
      <c r="AC1814" s="37"/>
      <c r="AD1814" s="37"/>
      <c r="AE1814" s="37"/>
      <c r="AF1814" s="37"/>
      <c r="AG1814" s="37"/>
      <c r="AH1814" s="37"/>
      <c r="AI1814" s="37"/>
      <c r="AJ1814" s="37"/>
      <c r="AK1814" s="37"/>
      <c r="AL1814" s="37"/>
      <c r="AM1814" s="37"/>
      <c r="AN1814" s="37"/>
      <c r="AO1814" s="37"/>
      <c r="AP1814" s="37"/>
    </row>
    <row r="1815" spans="1:42" s="192" customFormat="1" ht="11.25">
      <c r="A1815" s="37"/>
      <c r="B1815" s="37"/>
      <c r="C1815" s="37"/>
      <c r="D1815" s="191" t="s">
        <v>333</v>
      </c>
      <c r="E1815" s="191"/>
      <c r="F1815" s="191" t="str">
        <f t="shared" si="3192"/>
        <v>СуперСпорт</v>
      </c>
      <c r="G1815" s="191" t="s">
        <v>261</v>
      </c>
      <c r="H1815" s="315"/>
      <c r="I1815" s="329">
        <f>IF(I1814=0,0,I1812/I1814)</f>
        <v>2198.8235294117649</v>
      </c>
      <c r="J1815" s="317"/>
      <c r="K1815" s="329">
        <f t="shared" ref="K1815" si="3235">IF(K1814=0,0,K1812/K1814)</f>
        <v>2396.433962264151</v>
      </c>
      <c r="L1815" s="330">
        <f t="shared" ref="L1815" si="3236">IF(L1814=0,0,L1812/L1814)</f>
        <v>1985.0816326530612</v>
      </c>
      <c r="M1815" s="402"/>
      <c r="N1815" s="156">
        <f>IF(N1814=0,0,N1812/N1814)</f>
        <v>2324</v>
      </c>
      <c r="O1815" s="196"/>
      <c r="P1815" s="156">
        <f>IF(P1814=0,0,P1812/P1814)</f>
        <v>2543.4285714285716</v>
      </c>
      <c r="Q1815" s="245">
        <f>IF(Q1814=0,0,Q1812/Q1814)</f>
        <v>1665.7142857142858</v>
      </c>
      <c r="R1815" s="403"/>
      <c r="S1815" s="156">
        <f>IF(S1814=0,0,S1812/S1814)</f>
        <v>2302.8055555555557</v>
      </c>
      <c r="T1815" s="196"/>
      <c r="U1815" s="156">
        <f>IF(U1814=0,0,U1812/U1814)</f>
        <v>2464.4</v>
      </c>
      <c r="V1815" s="245">
        <f>IF(V1814=0,0,V1812/V1814)</f>
        <v>1935.5454545454545</v>
      </c>
      <c r="W1815" s="403"/>
      <c r="X1815" s="156">
        <f>IF(X1814=0,0,X1812/X1814)</f>
        <v>2008.078947368421</v>
      </c>
      <c r="Y1815" s="196"/>
      <c r="Z1815" s="156">
        <f>IF(Z1814=0,0,Z1812/Z1814)</f>
        <v>1712.7142857142858</v>
      </c>
      <c r="AA1815" s="245">
        <f>IF(AA1814=0,0,AA1812/AA1814)</f>
        <v>2074.7741935483873</v>
      </c>
      <c r="AB1815" s="265"/>
      <c r="AC1815" s="37"/>
      <c r="AD1815" s="37"/>
      <c r="AE1815" s="37"/>
      <c r="AF1815" s="37"/>
      <c r="AG1815" s="37"/>
      <c r="AH1815" s="37"/>
      <c r="AI1815" s="37"/>
      <c r="AJ1815" s="37"/>
      <c r="AK1815" s="37"/>
      <c r="AL1815" s="37"/>
      <c r="AM1815" s="37"/>
      <c r="AN1815" s="37"/>
      <c r="AO1815" s="37"/>
      <c r="AP1815" s="37"/>
    </row>
    <row r="1816" spans="1:42" s="192" customFormat="1" ht="11.25">
      <c r="A1816" s="37"/>
      <c r="B1816" s="37"/>
      <c r="C1816" s="37"/>
      <c r="D1816" s="191" t="s">
        <v>290</v>
      </c>
      <c r="E1816" s="191"/>
      <c r="F1816" s="191" t="str">
        <f>F1812</f>
        <v>СуперСпорт</v>
      </c>
      <c r="G1816" s="191" t="s">
        <v>262</v>
      </c>
      <c r="H1816" s="315"/>
      <c r="I1816" s="316">
        <f>IF(I1812=0,0,SUMIFS(операции!$AG:$AG,операции!$X:$X,"&gt;="&amp;I$8,операции!$X:$X,"&lt;="&amp;I$9,операции!$O:$O,$F1792)/I1812)</f>
        <v>42324.20424023542</v>
      </c>
      <c r="J1816" s="317"/>
      <c r="K1816" s="316">
        <f>IF(K1812=0,0,SUMIFS(операции!$AG:$AG,операции!$X:$X,"&gt;="&amp;I$8,операции!$X:$X,"&lt;="&amp;I$9,операции!$L:$L,K$9,операции!$O:$O,$F1792)/K1812)</f>
        <v>42316.54016581241</v>
      </c>
      <c r="L1816" s="318">
        <f>IF(L1812=0,0,SUMIFS(операции!$AG:$AG,операции!$X:$X,"&gt;="&amp;I$8,операции!$X:$X,"&lt;="&amp;I$9,операции!$L:$L,L$9,операции!$O:$O,$F1792)/L1812)</f>
        <v>42334.211763254483</v>
      </c>
      <c r="M1816" s="274"/>
      <c r="N1816" s="193">
        <f>IF(N1812=0,0,SUMIFS(операции!$AG:$AG,операции!$X:$X,"&gt;="&amp;N$8,операции!$X:$X,"&lt;="&amp;N$9,операции!$O:$O,$F1792)/N1812)</f>
        <v>42303.115303048929</v>
      </c>
      <c r="O1816" s="196"/>
      <c r="P1816" s="193">
        <f>IF(P1812=0,0,SUMIFS(операции!$AG:$AG,операции!$X:$X,"&gt;="&amp;N$8,операции!$X:$X,"&lt;="&amp;N$9,операции!$L:$L,P$9,операции!$O:$O,$F1792)/P1812)</f>
        <v>42302.973507825955</v>
      </c>
      <c r="Q1816" s="237">
        <f>IF(Q1812=0,0,SUMIFS(операции!$AG:$AG,операции!$X:$X,"&gt;="&amp;N$8,операции!$X:$X,"&lt;="&amp;N$9,операции!$L:$L,Q$9,операции!$O:$O,$F1792)/Q1812)</f>
        <v>42303.764837049741</v>
      </c>
      <c r="R1816" s="238"/>
      <c r="S1816" s="193">
        <f>IF(S1812=0,0,SUMIFS(операции!$AG:$AG,операции!$X:$X,"&gt;="&amp;S$8,операции!$X:$X,"&lt;="&amp;S$9,операции!$O:$O,$F1792)/S1812)</f>
        <v>42324.212892486219</v>
      </c>
      <c r="T1816" s="196"/>
      <c r="U1816" s="193">
        <f>IF(U1812=0,0,SUMIFS(операции!$AG:$AG,операции!$X:$X,"&gt;="&amp;S$8,операции!$X:$X,"&lt;="&amp;S$9,операции!$L:$L,U$9,операции!$O:$O,$F1792)/U1812)</f>
        <v>42323.432478493749</v>
      </c>
      <c r="V1816" s="237">
        <f>IF(V1812=0,0,SUMIFS(операции!$AG:$AG,операции!$X:$X,"&gt;="&amp;S$8,операции!$X:$X,"&lt;="&amp;S$9,операции!$L:$L,V$9,операции!$O:$O,$F1792)/V1812)</f>
        <v>42326.471185007751</v>
      </c>
      <c r="W1816" s="238"/>
      <c r="X1816" s="193">
        <f>IF(X1812=0,0,SUMIFS(операции!$AG:$AG,операции!$X:$X,"&gt;="&amp;X$8,операции!$X:$X,"&lt;="&amp;X$9,операции!$O:$O,$F1792)/X1812)</f>
        <v>42342.178764726697</v>
      </c>
      <c r="Y1816" s="196"/>
      <c r="Z1816" s="193">
        <f>IF(Z1812=0,0,SUMIFS(операции!$AG:$AG,операции!$X:$X,"&gt;="&amp;X$8,операции!$X:$X,"&lt;="&amp;X$9,операции!$L:$L,Z$9,операции!$O:$O,$F1792)/Z1812)</f>
        <v>42341.562015180585</v>
      </c>
      <c r="AA1816" s="237">
        <f>IF(AA1812=0,0,SUMIFS(операции!$AG:$AG,операции!$X:$X,"&gt;="&amp;X$8,операции!$X:$X,"&lt;="&amp;X$9,операции!$L:$L,AA$9,операции!$O:$O,$F1792)/AA1812)</f>
        <v>42342.293728038807</v>
      </c>
      <c r="AB1816" s="265"/>
      <c r="AC1816" s="37"/>
      <c r="AD1816" s="37"/>
      <c r="AE1816" s="37"/>
      <c r="AF1816" s="37"/>
      <c r="AG1816" s="37"/>
      <c r="AH1816" s="37"/>
      <c r="AI1816" s="37"/>
      <c r="AJ1816" s="37"/>
      <c r="AK1816" s="37"/>
      <c r="AL1816" s="37"/>
      <c r="AM1816" s="37"/>
      <c r="AN1816" s="37"/>
      <c r="AO1816" s="37"/>
      <c r="AP1816" s="37"/>
    </row>
    <row r="1817" spans="1:42" s="93" customFormat="1" ht="15">
      <c r="A1817" s="92"/>
      <c r="B1817" s="92"/>
      <c r="C1817" s="92"/>
      <c r="D1817" s="151" t="s">
        <v>275</v>
      </c>
      <c r="E1817" s="151"/>
      <c r="F1817" s="151" t="str">
        <f t="shared" si="3192"/>
        <v>СуперСпорт</v>
      </c>
      <c r="G1817" s="151" t="s">
        <v>261</v>
      </c>
      <c r="H1817" s="311"/>
      <c r="I1817" s="312">
        <f>SUMIFS(операции!$V:$V,операции!$X:$X,"&gt;="&amp;I$8,операции!$X:$X,"&lt;="&amp;I$9,операции!$O:$O,$F1792)</f>
        <v>200274.43999999983</v>
      </c>
      <c r="J1817" s="313">
        <f>I1817-I1827-I1837</f>
        <v>-1.7462298274040222E-10</v>
      </c>
      <c r="K1817" s="312">
        <f>SUMIFS(операции!$V:$V,операции!$X:$X,"&gt;="&amp;I$8,операции!$X:$X,"&lt;="&amp;I$9,операции!$L:$L,K$9,операции!$O:$O,$F1792)</f>
        <v>113481.73999999998</v>
      </c>
      <c r="L1817" s="314">
        <f>SUMIFS(операции!$V:$V,операции!$X:$X,"&gt;="&amp;I$8,операции!$X:$X,"&lt;="&amp;I$9,операции!$L:$L,L$9,операции!$O:$O,$F1792)</f>
        <v>86792.700000000012</v>
      </c>
      <c r="M1817" s="273"/>
      <c r="N1817" s="152">
        <f>SUMIFS(операции!$V:$V,операции!$X:$X,"&gt;="&amp;N$8,операции!$X:$X,"&lt;="&amp;N$9,операции!$O:$O,$F1792)</f>
        <v>56722.240000000005</v>
      </c>
      <c r="O1817" s="170">
        <f>N1817-N1827-N1837</f>
        <v>0</v>
      </c>
      <c r="P1817" s="152">
        <f>SUMIFS(операции!$V:$V,операции!$X:$X,"&gt;="&amp;N$8,операции!$X:$X,"&lt;="&amp;N$9,операции!$L:$L,P$9,операции!$O:$O,$F1792)</f>
        <v>46893.330000000009</v>
      </c>
      <c r="Q1817" s="235">
        <f>SUMIFS(операции!$V:$V,операции!$X:$X,"&gt;="&amp;N$8,операции!$X:$X,"&lt;="&amp;N$9,операции!$L:$L,Q$9,операции!$O:$O,$F1792)</f>
        <v>9828.91</v>
      </c>
      <c r="R1817" s="236"/>
      <c r="S1817" s="152">
        <f>SUMIFS(операции!$V:$V,операции!$X:$X,"&gt;="&amp;S$8,операции!$X:$X,"&lt;="&amp;S$9,операции!$O:$O,$F1792)</f>
        <v>73488.099999999991</v>
      </c>
      <c r="T1817" s="170">
        <f>S1817-S1827-S1837</f>
        <v>0</v>
      </c>
      <c r="U1817" s="152">
        <f>SUMIFS(операции!$V:$V,операции!$X:$X,"&gt;="&amp;S$8,операции!$X:$X,"&lt;="&amp;S$9,операции!$L:$L,U$9,операции!$O:$O,$F1792)</f>
        <v>56179.149999999994</v>
      </c>
      <c r="V1817" s="235">
        <f>SUMIFS(операции!$V:$V,операции!$X:$X,"&gt;="&amp;S$8,операции!$X:$X,"&lt;="&amp;S$9,операции!$L:$L,V$9,операции!$O:$O,$F1792)</f>
        <v>17308.95</v>
      </c>
      <c r="W1817" s="236"/>
      <c r="X1817" s="152">
        <f>SUMIFS(операции!$V:$V,операции!$X:$X,"&gt;="&amp;X$8,операции!$X:$X,"&lt;="&amp;X$9,операции!$O:$O,$F1792)</f>
        <v>70064.099999999991</v>
      </c>
      <c r="Y1817" s="170">
        <f>X1817-X1827-X1837</f>
        <v>-2.9103830456733704E-11</v>
      </c>
      <c r="Z1817" s="152">
        <f>SUMIFS(операции!$V:$V,операции!$X:$X,"&gt;="&amp;X$8,операции!$X:$X,"&lt;="&amp;X$9,операции!$L:$L,Z$9,операции!$O:$O,$F1792)</f>
        <v>10409.259999999998</v>
      </c>
      <c r="AA1817" s="235">
        <f>SUMIFS(операции!$V:$V,операции!$X:$X,"&gt;="&amp;X$8,операции!$X:$X,"&lt;="&amp;X$9,операции!$L:$L,AA$9,операции!$O:$O,$F1792)</f>
        <v>59654.840000000011</v>
      </c>
      <c r="AB1817" s="264"/>
      <c r="AC1817" s="92"/>
      <c r="AD1817" s="92"/>
      <c r="AE1817" s="92"/>
      <c r="AF1817" s="92"/>
      <c r="AG1817" s="92"/>
      <c r="AH1817" s="92"/>
      <c r="AI1817" s="92"/>
      <c r="AJ1817" s="92"/>
      <c r="AK1817" s="92"/>
      <c r="AL1817" s="92"/>
      <c r="AM1817" s="92"/>
      <c r="AN1817" s="92"/>
      <c r="AO1817" s="92"/>
      <c r="AP1817" s="92"/>
    </row>
    <row r="1818" spans="1:42" s="192" customFormat="1" ht="11.25">
      <c r="A1818" s="37"/>
      <c r="B1818" s="37"/>
      <c r="C1818" s="37"/>
      <c r="D1818" s="191" t="s">
        <v>291</v>
      </c>
      <c r="E1818" s="191"/>
      <c r="F1818" s="191" t="str">
        <f t="shared" si="3192"/>
        <v>СуперСпорт</v>
      </c>
      <c r="G1818" s="191" t="s">
        <v>262</v>
      </c>
      <c r="H1818" s="315"/>
      <c r="I1818" s="316">
        <f>IF(I1817=0,0,SUMIFS(операции!$AF:$AF,операции!$X:$X,"&gt;="&amp;I$8,операции!$X:$X,"&lt;="&amp;I$9,операции!$O:$O,$F1792)/I1817)</f>
        <v>42265.720486598308</v>
      </c>
      <c r="J1818" s="317"/>
      <c r="K1818" s="316">
        <f>IF(K1817=0,0,SUMIFS(операции!$AF:$AF,операции!$X:$X,"&gt;="&amp;I$8,операции!$X:$X,"&lt;="&amp;I$9,операции!$L:$L,K$9,операции!$O:$O,$F1792)/K1817)</f>
        <v>42217.532847927811</v>
      </c>
      <c r="L1818" s="318">
        <f>IF(L1817=0,0,SUMIFS(операции!$AF:$AF,операции!$X:$X,"&gt;="&amp;I$8,операции!$X:$X,"&lt;="&amp;I$9,операции!$L:$L,L$9,операции!$O:$O,$F1792)/L1817)</f>
        <v>42328.725982254255</v>
      </c>
      <c r="M1818" s="274"/>
      <c r="N1818" s="193">
        <f>IF(N1817=0,0,SUMIFS(операции!$AF:$AF,операции!$X:$X,"&gt;="&amp;N$8,операции!$X:$X,"&lt;="&amp;N$9,операции!$O:$O,$F1792)/N1817)</f>
        <v>42223.110249172103</v>
      </c>
      <c r="O1818" s="196"/>
      <c r="P1818" s="193">
        <f>IF(P1817=0,0,SUMIFS(операции!$AF:$AF,операции!$X:$X,"&gt;="&amp;N$8,операции!$X:$X,"&lt;="&amp;N$9,операции!$L:$L,P$9,операции!$O:$O,$F1792)/P1817)</f>
        <v>42206.931889034095</v>
      </c>
      <c r="Q1818" s="237">
        <f>IF(Q1817=0,0,SUMIFS(операции!$AF:$AF,операции!$X:$X,"&gt;="&amp;N$8,операции!$X:$X,"&lt;="&amp;N$9,операции!$L:$L,Q$9,операции!$O:$O,$F1792)/Q1817)</f>
        <v>42300.296547633472</v>
      </c>
      <c r="R1818" s="238"/>
      <c r="S1818" s="193">
        <f>IF(S1817=0,0,SUMIFS(операции!$AF:$AF,операции!$X:$X,"&gt;="&amp;S$8,операции!$X:$X,"&lt;="&amp;S$9,операции!$O:$O,$F1792)/S1817)</f>
        <v>42245.44884559542</v>
      </c>
      <c r="T1818" s="196"/>
      <c r="U1818" s="193">
        <f>IF(U1817=0,0,SUMIFS(операции!$AF:$AF,операции!$X:$X,"&gt;="&amp;S$8,операции!$X:$X,"&lt;="&amp;S$9,операции!$L:$L,U$9,операции!$O:$O,$F1792)/U1817)</f>
        <v>42222.436917788902</v>
      </c>
      <c r="V1818" s="237">
        <f>IF(V1817=0,0,SUMIFS(операции!$AF:$AF,операции!$X:$X,"&gt;="&amp;S$8,операции!$X:$X,"&lt;="&amp;S$9,операции!$L:$L,V$9,операции!$O:$O,$F1792)/V1817)</f>
        <v>42320.137982951019</v>
      </c>
      <c r="W1818" s="238"/>
      <c r="X1818" s="193">
        <f>IF(X1817=0,0,SUMIFS(операции!$AF:$AF,операции!$X:$X,"&gt;="&amp;X$8,операции!$X:$X,"&lt;="&amp;X$9,операции!$O:$O,$F1792)/X1817)</f>
        <v>42321.479034769603</v>
      </c>
      <c r="Y1818" s="196"/>
      <c r="Z1818" s="193">
        <f>IF(Z1817=0,0,SUMIFS(операции!$AF:$AF,операции!$X:$X,"&gt;="&amp;X$8,операции!$X:$X,"&lt;="&amp;X$9,операции!$L:$L,Z$9,операции!$O:$O,$F1792)/Z1817)</f>
        <v>42238.822333191798</v>
      </c>
      <c r="AA1818" s="237">
        <f>IF(AA1817=0,0,SUMIFS(операции!$AF:$AF,операции!$X:$X,"&gt;="&amp;X$8,операции!$X:$X,"&lt;="&amp;X$9,операции!$L:$L,AA$9,операции!$O:$O,$F1792)/AA1817)</f>
        <v>42335.901923129801</v>
      </c>
      <c r="AB1818" s="265"/>
      <c r="AC1818" s="37"/>
      <c r="AD1818" s="37"/>
      <c r="AE1818" s="37"/>
      <c r="AF1818" s="37"/>
      <c r="AG1818" s="37"/>
      <c r="AH1818" s="37"/>
      <c r="AI1818" s="37"/>
      <c r="AJ1818" s="37"/>
      <c r="AK1818" s="37"/>
      <c r="AL1818" s="37"/>
      <c r="AM1818" s="37"/>
      <c r="AN1818" s="37"/>
      <c r="AO1818" s="37"/>
      <c r="AP1818" s="37"/>
    </row>
    <row r="1819" spans="1:42" s="192" customFormat="1" ht="11.25">
      <c r="A1819" s="37"/>
      <c r="B1819" s="37"/>
      <c r="C1819" s="37"/>
      <c r="D1819" s="191" t="s">
        <v>308</v>
      </c>
      <c r="E1819" s="191"/>
      <c r="F1819" s="191" t="str">
        <f t="shared" si="3192"/>
        <v>СуперСпорт</v>
      </c>
      <c r="G1819" s="191" t="s">
        <v>262</v>
      </c>
      <c r="H1819" s="315"/>
      <c r="I1819" s="316">
        <f>IF(I1817=0,0,(I1827*I1829+I1837*I1839)/I1817)</f>
        <v>42306.39580168097</v>
      </c>
      <c r="J1819" s="317"/>
      <c r="K1819" s="316">
        <f t="shared" ref="K1819:L1819" si="3237">IF(K1817=0,0,(K1827*K1829+K1837*K1839)/K1817)</f>
        <v>42270.172525905931</v>
      </c>
      <c r="L1819" s="318">
        <f t="shared" si="3237"/>
        <v>42353.757853598298</v>
      </c>
      <c r="M1819" s="274"/>
      <c r="N1819" s="193">
        <f>IF(N1817=0,0,(N1827*N1829+N1837*N1839)/N1817)</f>
        <v>42267.085396486451</v>
      </c>
      <c r="O1819" s="196"/>
      <c r="P1819" s="193">
        <f t="shared" ref="P1819:Q1819" si="3238">IF(P1817=0,0,(P1827*P1829+P1837*P1839)/P1817)</f>
        <v>42255.35682153517</v>
      </c>
      <c r="Q1819" s="237">
        <f t="shared" si="3238"/>
        <v>42323.041950735133</v>
      </c>
      <c r="R1819" s="238"/>
      <c r="S1819" s="193">
        <f>IF(S1817=0,0,(S1827*S1829+S1837*S1839)/S1817)</f>
        <v>42279.810298946366</v>
      </c>
      <c r="T1819" s="196"/>
      <c r="U1819" s="193">
        <f t="shared" ref="U1819:V1819" si="3239">IF(U1817=0,0,(U1827*U1829+U1837*U1839)/U1817)</f>
        <v>42260.163113717463</v>
      </c>
      <c r="V1819" s="237">
        <f t="shared" si="3239"/>
        <v>42343.578590266879</v>
      </c>
      <c r="W1819" s="238"/>
      <c r="X1819" s="193">
        <f>IF(X1817=0,0,(X1827*X1829+X1837*X1839)/X1817)</f>
        <v>42351.222144293599</v>
      </c>
      <c r="Y1819" s="196"/>
      <c r="Z1819" s="193">
        <f t="shared" ref="Z1819:AA1819" si="3240">IF(Z1817=0,0,(Z1827*Z1829+Z1837*Z1839)/Z1817)</f>
        <v>42295.418383247226</v>
      </c>
      <c r="AA1819" s="237">
        <f t="shared" si="3240"/>
        <v>42360.959423912624</v>
      </c>
      <c r="AB1819" s="265"/>
      <c r="AC1819" s="37"/>
      <c r="AD1819" s="37"/>
      <c r="AE1819" s="37"/>
      <c r="AF1819" s="37"/>
      <c r="AG1819" s="37"/>
      <c r="AH1819" s="37"/>
      <c r="AI1819" s="37"/>
      <c r="AJ1819" s="37"/>
      <c r="AK1819" s="37"/>
      <c r="AL1819" s="37"/>
      <c r="AM1819" s="37"/>
      <c r="AN1819" s="37"/>
      <c r="AO1819" s="37"/>
      <c r="AP1819" s="37"/>
    </row>
    <row r="1820" spans="1:42" s="93" customFormat="1" ht="15">
      <c r="A1820" s="92"/>
      <c r="B1820" s="92"/>
      <c r="C1820" s="92"/>
      <c r="D1820" s="151" t="s">
        <v>278</v>
      </c>
      <c r="E1820" s="151"/>
      <c r="F1820" s="151" t="str">
        <f t="shared" si="3192"/>
        <v>СуперСпорт</v>
      </c>
      <c r="G1820" s="151" t="s">
        <v>261</v>
      </c>
      <c r="H1820" s="311"/>
      <c r="I1820" s="312">
        <f>I1812-I1817</f>
        <v>24005.560000000172</v>
      </c>
      <c r="J1820" s="313">
        <f>I1820-K1820-L1820</f>
        <v>1.6007106751203537E-10</v>
      </c>
      <c r="K1820" s="312">
        <f t="shared" ref="K1820:L1820" si="3241">K1812-K1817</f>
        <v>13529.260000000024</v>
      </c>
      <c r="L1820" s="314">
        <f t="shared" si="3241"/>
        <v>10476.299999999988</v>
      </c>
      <c r="M1820" s="273"/>
      <c r="N1820" s="152">
        <f>N1812-N1817</f>
        <v>8349.7599999999948</v>
      </c>
      <c r="O1820" s="170">
        <f>N1820-P1820-Q1820</f>
        <v>3.637978807091713E-12</v>
      </c>
      <c r="P1820" s="152">
        <f t="shared" ref="P1820:Q1820" si="3242">P1812-P1817</f>
        <v>6518.669999999991</v>
      </c>
      <c r="Q1820" s="235">
        <f t="shared" si="3242"/>
        <v>1831.0900000000001</v>
      </c>
      <c r="R1820" s="236"/>
      <c r="S1820" s="152">
        <f>S1812-S1817</f>
        <v>9412.9000000000087</v>
      </c>
      <c r="T1820" s="170">
        <f>S1820-U1820-V1820</f>
        <v>3.637978807091713E-12</v>
      </c>
      <c r="U1820" s="152">
        <f t="shared" ref="U1820:V1820" si="3243">U1812-U1817</f>
        <v>5430.8500000000058</v>
      </c>
      <c r="V1820" s="235">
        <f t="shared" si="3243"/>
        <v>3982.0499999999993</v>
      </c>
      <c r="W1820" s="236"/>
      <c r="X1820" s="152">
        <f>X1812-X1817</f>
        <v>6242.9000000000087</v>
      </c>
      <c r="Y1820" s="170">
        <f>X1820-Z1820-AA1820</f>
        <v>1.8189894035458565E-11</v>
      </c>
      <c r="Z1820" s="152">
        <f t="shared" ref="Z1820:AA1820" si="3244">Z1812-Z1817</f>
        <v>1579.7400000000016</v>
      </c>
      <c r="AA1820" s="235">
        <f t="shared" si="3244"/>
        <v>4663.1599999999889</v>
      </c>
      <c r="AB1820" s="264"/>
      <c r="AC1820" s="92"/>
      <c r="AD1820" s="92"/>
      <c r="AE1820" s="92"/>
      <c r="AF1820" s="92"/>
      <c r="AG1820" s="92"/>
      <c r="AH1820" s="92"/>
      <c r="AI1820" s="92"/>
      <c r="AJ1820" s="92"/>
      <c r="AK1820" s="92"/>
      <c r="AL1820" s="92"/>
      <c r="AM1820" s="92"/>
      <c r="AN1820" s="92"/>
      <c r="AO1820" s="92"/>
      <c r="AP1820" s="92"/>
    </row>
    <row r="1821" spans="1:42" s="211" customFormat="1">
      <c r="A1821" s="210"/>
      <c r="B1821" s="210"/>
      <c r="C1821" s="210"/>
      <c r="D1821" s="218" t="s">
        <v>277</v>
      </c>
      <c r="E1821" s="218"/>
      <c r="F1821" s="218" t="str">
        <f t="shared" si="3192"/>
        <v>СуперСпорт</v>
      </c>
      <c r="G1821" s="218" t="s">
        <v>218</v>
      </c>
      <c r="H1821" s="343"/>
      <c r="I1821" s="344">
        <f>IF(I1812=0,0,(I1820/I1812))</f>
        <v>0.10703388621366226</v>
      </c>
      <c r="J1821" s="345"/>
      <c r="K1821" s="344">
        <f t="shared" ref="K1821" si="3245">IF(K1812=0,0,(K1820/K1812))</f>
        <v>0.10652038012455634</v>
      </c>
      <c r="L1821" s="346">
        <f t="shared" ref="L1821" si="3246">IF(L1812=0,0,(L1820/L1812))</f>
        <v>0.1077044073651419</v>
      </c>
      <c r="M1821" s="280"/>
      <c r="N1821" s="219">
        <f>IF(N1812=0,0,(N1820/N1812))</f>
        <v>0.12831571182689935</v>
      </c>
      <c r="O1821" s="220"/>
      <c r="P1821" s="219">
        <f t="shared" ref="P1821" si="3247">IF(P1812=0,0,(P1820/P1812))</f>
        <v>0.12204504605706566</v>
      </c>
      <c r="Q1821" s="252">
        <f t="shared" ref="Q1821" si="3248">IF(Q1812=0,0,(Q1820/Q1812))</f>
        <v>0.15704030874785593</v>
      </c>
      <c r="R1821" s="253"/>
      <c r="S1821" s="219">
        <f>IF(S1812=0,0,(S1820/S1812))</f>
        <v>0.11354386557460114</v>
      </c>
      <c r="T1821" s="220"/>
      <c r="U1821" s="219">
        <f t="shared" ref="U1821" si="3249">IF(U1812=0,0,(U1820/U1812))</f>
        <v>8.8148839474111437E-2</v>
      </c>
      <c r="V1821" s="252">
        <f t="shared" ref="V1821" si="3250">IF(V1812=0,0,(V1820/V1812))</f>
        <v>0.18702973087219948</v>
      </c>
      <c r="W1821" s="253"/>
      <c r="X1821" s="219">
        <f>IF(X1812=0,0,(X1820/X1812))</f>
        <v>8.181293983513975E-2</v>
      </c>
      <c r="Y1821" s="220"/>
      <c r="Z1821" s="219">
        <f t="shared" ref="Z1821" si="3251">IF(Z1812=0,0,(Z1820/Z1812))</f>
        <v>0.13176578530319472</v>
      </c>
      <c r="AA1821" s="252">
        <f t="shared" ref="AA1821" si="3252">IF(AA1812=0,0,(AA1820/AA1812))</f>
        <v>7.2501632513448627E-2</v>
      </c>
      <c r="AB1821" s="267"/>
      <c r="AC1821" s="210"/>
      <c r="AD1821" s="210"/>
      <c r="AE1821" s="210"/>
      <c r="AF1821" s="210"/>
      <c r="AG1821" s="210"/>
      <c r="AH1821" s="210"/>
      <c r="AI1821" s="210"/>
      <c r="AJ1821" s="210"/>
      <c r="AK1821" s="210"/>
      <c r="AL1821" s="210"/>
      <c r="AM1821" s="210"/>
      <c r="AN1821" s="210"/>
      <c r="AO1821" s="210"/>
      <c r="AP1821" s="210"/>
    </row>
    <row r="1822" spans="1:42" s="93" customFormat="1" ht="15">
      <c r="A1822" s="92"/>
      <c r="B1822" s="92"/>
      <c r="C1822" s="92"/>
      <c r="D1822" s="198" t="s">
        <v>220</v>
      </c>
      <c r="E1822" s="198"/>
      <c r="F1822" s="198" t="str">
        <f t="shared" si="3192"/>
        <v>СуперСпорт</v>
      </c>
      <c r="G1822" s="198" t="s">
        <v>219</v>
      </c>
      <c r="H1822" s="323"/>
      <c r="I1822" s="324">
        <f>I1816-I1818</f>
        <v>58.483753637112386</v>
      </c>
      <c r="J1822" s="321">
        <f>I1822-SUMIFS(ПОбТЗ!$I:$I,ПОбТЗ!$E:$E,$D1822,ПОбТЗ!$F:$F,$F1822)</f>
        <v>0</v>
      </c>
      <c r="K1822" s="324">
        <f t="shared" ref="K1822:L1822" si="3253">K1816-K1818</f>
        <v>99.007317884599615</v>
      </c>
      <c r="L1822" s="325">
        <f t="shared" si="3253"/>
        <v>5.4857810002285987</v>
      </c>
      <c r="M1822" s="276"/>
      <c r="N1822" s="199">
        <f>N1816-N1818</f>
        <v>80.005053876826423</v>
      </c>
      <c r="O1822" s="173">
        <f>N1822-SUMIFS(ПОбТЗ_3!$J:$J,ПОбТЗ_3!$D:$D,$D1822,ПОбТЗ_3!$E:$E,$F1822)</f>
        <v>0</v>
      </c>
      <c r="P1822" s="199">
        <f t="shared" ref="P1822:Q1822" si="3254">P1816-P1818</f>
        <v>96.041618791859946</v>
      </c>
      <c r="Q1822" s="241">
        <f t="shared" si="3254"/>
        <v>3.4682894162688171</v>
      </c>
      <c r="R1822" s="242"/>
      <c r="S1822" s="199">
        <f>S1816-S1818</f>
        <v>78.764046890799364</v>
      </c>
      <c r="T1822" s="173">
        <f>S1822-SUMIFS(ПОбТЗ_3!$K:$K,ПОбТЗ_3!$D:$D,$D1822,ПОбТЗ_3!$E:$E,$F1822)</f>
        <v>0</v>
      </c>
      <c r="U1822" s="199">
        <f t="shared" ref="U1822:V1822" si="3255">U1816-U1818</f>
        <v>100.99556070484687</v>
      </c>
      <c r="V1822" s="241">
        <f t="shared" si="3255"/>
        <v>6.3332020567322616</v>
      </c>
      <c r="W1822" s="242"/>
      <c r="X1822" s="199">
        <f>X1816-X1818</f>
        <v>20.69972995709395</v>
      </c>
      <c r="Y1822" s="173">
        <f>X1822-SUMIFS(ПОбТЗ_3!$L:$L,ПОбТЗ_3!$D:$D,$D1822,ПОбТЗ_3!$E:$E,$F1822)</f>
        <v>0</v>
      </c>
      <c r="Z1822" s="199">
        <f t="shared" ref="Z1822:AA1822" si="3256">Z1816-Z1818</f>
        <v>102.7396819887872</v>
      </c>
      <c r="AA1822" s="241">
        <f t="shared" si="3256"/>
        <v>6.3918049090061686</v>
      </c>
      <c r="AB1822" s="264"/>
      <c r="AC1822" s="92"/>
      <c r="AD1822" s="92"/>
      <c r="AE1822" s="92"/>
      <c r="AF1822" s="92"/>
      <c r="AG1822" s="92"/>
      <c r="AH1822" s="92"/>
      <c r="AI1822" s="92"/>
      <c r="AJ1822" s="92"/>
      <c r="AK1822" s="92"/>
      <c r="AL1822" s="92"/>
      <c r="AM1822" s="92"/>
      <c r="AN1822" s="92"/>
      <c r="AO1822" s="92"/>
      <c r="AP1822" s="92"/>
    </row>
    <row r="1823" spans="1:42" s="5" customFormat="1">
      <c r="A1823" s="1"/>
      <c r="B1823" s="1"/>
      <c r="C1823" s="1"/>
      <c r="D1823" s="227" t="s">
        <v>309</v>
      </c>
      <c r="E1823" s="227"/>
      <c r="F1823" s="227" t="str">
        <f t="shared" si="3192"/>
        <v>СуперСпорт</v>
      </c>
      <c r="G1823" s="227" t="s">
        <v>219</v>
      </c>
      <c r="H1823" s="347"/>
      <c r="I1823" s="348">
        <f>I1819-I1818</f>
        <v>40.675315082662564</v>
      </c>
      <c r="J1823" s="321"/>
      <c r="K1823" s="348">
        <f t="shared" ref="K1823:L1823" si="3257">K1819-K1818</f>
        <v>52.639677978120744</v>
      </c>
      <c r="L1823" s="349">
        <f t="shared" si="3257"/>
        <v>25.031871344042884</v>
      </c>
      <c r="M1823" s="281"/>
      <c r="N1823" s="228">
        <f>N1819-N1818</f>
        <v>43.975147314347851</v>
      </c>
      <c r="O1823" s="173"/>
      <c r="P1823" s="228">
        <f t="shared" ref="P1823:Q1823" si="3258">P1819-P1818</f>
        <v>48.424932501075091</v>
      </c>
      <c r="Q1823" s="254">
        <f t="shared" si="3258"/>
        <v>22.745403101660486</v>
      </c>
      <c r="R1823" s="255"/>
      <c r="S1823" s="228">
        <f>S1819-S1818</f>
        <v>34.361453350946249</v>
      </c>
      <c r="T1823" s="173"/>
      <c r="U1823" s="228">
        <f t="shared" ref="U1823:V1823" si="3259">U1819-U1818</f>
        <v>37.726195928560628</v>
      </c>
      <c r="V1823" s="254">
        <f t="shared" si="3259"/>
        <v>23.440607315860689</v>
      </c>
      <c r="W1823" s="255"/>
      <c r="X1823" s="228">
        <f>X1819-X1818</f>
        <v>29.743109523995372</v>
      </c>
      <c r="Y1823" s="173"/>
      <c r="Z1823" s="228">
        <f t="shared" ref="Z1823:AA1823" si="3260">Z1819-Z1818</f>
        <v>56.59605005542835</v>
      </c>
      <c r="AA1823" s="254">
        <f t="shared" si="3260"/>
        <v>25.057500782822899</v>
      </c>
      <c r="AB1823" s="266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</row>
    <row r="1824" spans="1:42" s="5" customFormat="1">
      <c r="A1824" s="1"/>
      <c r="B1824" s="1"/>
      <c r="C1824" s="1"/>
      <c r="D1824" s="225" t="s">
        <v>310</v>
      </c>
      <c r="E1824" s="225"/>
      <c r="F1824" s="225" t="str">
        <f t="shared" si="3192"/>
        <v>СуперСпорт</v>
      </c>
      <c r="G1824" s="225" t="s">
        <v>219</v>
      </c>
      <c r="H1824" s="350"/>
      <c r="I1824" s="351">
        <f>I1822-I1823</f>
        <v>17.808438554449822</v>
      </c>
      <c r="J1824" s="352"/>
      <c r="K1824" s="351">
        <f t="shared" ref="K1824" si="3261">K1822-K1823</f>
        <v>46.367639906478871</v>
      </c>
      <c r="L1824" s="353">
        <f t="shared" ref="L1824" si="3262">L1822-L1823</f>
        <v>-19.546090343814285</v>
      </c>
      <c r="M1824" s="282"/>
      <c r="N1824" s="226">
        <f>N1822-N1823</f>
        <v>36.029906562478573</v>
      </c>
      <c r="O1824" s="181"/>
      <c r="P1824" s="226">
        <f t="shared" ref="P1824" si="3263">P1822-P1823</f>
        <v>47.616686290784855</v>
      </c>
      <c r="Q1824" s="256">
        <f t="shared" ref="Q1824" si="3264">Q1822-Q1823</f>
        <v>-19.277113685391669</v>
      </c>
      <c r="R1824" s="257"/>
      <c r="S1824" s="226">
        <f>S1822-S1823</f>
        <v>44.402593539853115</v>
      </c>
      <c r="T1824" s="181"/>
      <c r="U1824" s="226">
        <f t="shared" ref="U1824" si="3265">U1822-U1823</f>
        <v>63.269364776286238</v>
      </c>
      <c r="V1824" s="256">
        <f t="shared" ref="V1824" si="3266">V1822-V1823</f>
        <v>-17.107405259128427</v>
      </c>
      <c r="W1824" s="257"/>
      <c r="X1824" s="226">
        <f>X1822-X1823</f>
        <v>-9.0433795669014216</v>
      </c>
      <c r="Y1824" s="181"/>
      <c r="Z1824" s="226">
        <f t="shared" ref="Z1824" si="3267">Z1822-Z1823</f>
        <v>46.143631933358847</v>
      </c>
      <c r="AA1824" s="256">
        <f t="shared" ref="AA1824" si="3268">AA1822-AA1823</f>
        <v>-18.66569587381673</v>
      </c>
      <c r="AB1824" s="266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</row>
    <row r="1825" spans="1:42" s="5" customFormat="1">
      <c r="A1825" s="1"/>
      <c r="B1825" s="1"/>
      <c r="C1825" s="1"/>
      <c r="D1825" s="223"/>
      <c r="E1825" s="223" t="s">
        <v>293</v>
      </c>
      <c r="F1825" s="223" t="str">
        <f t="shared" si="3192"/>
        <v>СуперСпорт</v>
      </c>
      <c r="G1825" s="223" t="s">
        <v>261</v>
      </c>
      <c r="H1825" s="354"/>
      <c r="I1825" s="355">
        <f>SUMIFS(операции!$Z:$Z,операции!$X:$X,"&gt;="&amp;I$8,операции!$X:$X,"&lt;="&amp;I$9,операции!$AB:$AB,"&lt;&gt;"&amp;"",операции!$O:$O,$F1792)</f>
        <v>170829</v>
      </c>
      <c r="J1825" s="341">
        <f>I1825-K1825-L1825</f>
        <v>0</v>
      </c>
      <c r="K1825" s="355">
        <f>SUMIFS(операции!$Z:$Z,операции!$X:$X,"&gt;="&amp;I$8,операции!$X:$X,"&lt;="&amp;I$9,операции!$AB:$AB,"&lt;&gt;"&amp;"",операции!$L:$L,K$9,операции!$O:$O,$F1792)</f>
        <v>100576</v>
      </c>
      <c r="L1825" s="356">
        <f>SUMIFS(операции!$Z:$Z,операции!$X:$X,"&gt;="&amp;I$8,операции!$X:$X,"&lt;="&amp;I$9,операции!$AB:$AB,"&lt;&gt;"&amp;"",операции!$L:$L,L$9,операции!$O:$O,$F1792)</f>
        <v>70253</v>
      </c>
      <c r="M1825" s="283"/>
      <c r="N1825" s="224">
        <f>SUMIFS(операции!$Z:$Z,операции!$X:$X,"&gt;="&amp;N$8,операции!$X:$X,"&lt;="&amp;N$9,операции!$AB:$AB,"&lt;&gt;"&amp;"",операции!$O:$O,$F1792)</f>
        <v>50334</v>
      </c>
      <c r="O1825" s="216">
        <f>N1825-P1825-Q1825</f>
        <v>0</v>
      </c>
      <c r="P1825" s="224">
        <f>SUMIFS(операции!$Z:$Z,операции!$X:$X,"&gt;="&amp;N$8,операции!$X:$X,"&lt;="&amp;N$9,операции!$AB:$AB,"&lt;&gt;"&amp;"",операции!$L:$L,P$9,операции!$O:$O,$F1792)</f>
        <v>39938</v>
      </c>
      <c r="Q1825" s="258">
        <f>SUMIFS(операции!$Z:$Z,операции!$X:$X,"&gt;="&amp;N$8,операции!$X:$X,"&lt;="&amp;N$9,операции!$AB:$AB,"&lt;&gt;"&amp;"",операции!$L:$L,Q$9,операции!$O:$O,$F1792)</f>
        <v>10396</v>
      </c>
      <c r="R1825" s="259"/>
      <c r="S1825" s="224">
        <f>SUMIFS(операции!$Z:$Z,операции!$X:$X,"&gt;="&amp;S$8,операции!$X:$X,"&lt;="&amp;S$9,операции!$AB:$AB,"&lt;&gt;"&amp;"",операции!$O:$O,$F1792)</f>
        <v>73149</v>
      </c>
      <c r="T1825" s="216">
        <f>S1825-U1825-V1825</f>
        <v>0</v>
      </c>
      <c r="U1825" s="224">
        <f>SUMIFS(операции!$Z:$Z,операции!$X:$X,"&gt;="&amp;S$8,операции!$X:$X,"&lt;="&amp;S$9,операции!$AB:$AB,"&lt;&gt;"&amp;"",операции!$L:$L,U$9,операции!$O:$O,$F1792)</f>
        <v>51858</v>
      </c>
      <c r="V1825" s="258">
        <f>SUMIFS(операции!$Z:$Z,операции!$X:$X,"&gt;="&amp;S$8,операции!$X:$X,"&lt;="&amp;S$9,операции!$AB:$AB,"&lt;&gt;"&amp;"",операции!$L:$L,V$9,операции!$O:$O,$F1792)</f>
        <v>21291</v>
      </c>
      <c r="W1825" s="259"/>
      <c r="X1825" s="224">
        <f>SUMIFS(операции!$Z:$Z,операции!$X:$X,"&gt;="&amp;X$8,операции!$X:$X,"&lt;="&amp;X$9,операции!$AB:$AB,"&lt;&gt;"&amp;"",операции!$O:$O,$F1792)</f>
        <v>47346</v>
      </c>
      <c r="Y1825" s="216">
        <f>X1825-Z1825-AA1825</f>
        <v>0</v>
      </c>
      <c r="Z1825" s="224">
        <f>SUMIFS(операции!$Z:$Z,операции!$X:$X,"&gt;="&amp;X$8,операции!$X:$X,"&lt;="&amp;X$9,операции!$AB:$AB,"&lt;&gt;"&amp;"",операции!$L:$L,Z$9,операции!$O:$O,$F1792)</f>
        <v>8780</v>
      </c>
      <c r="AA1825" s="258">
        <f>SUMIFS(операции!$Z:$Z,операции!$X:$X,"&gt;="&amp;X$8,операции!$X:$X,"&lt;="&amp;X$9,операции!$AB:$AB,"&lt;&gt;"&amp;"",операции!$L:$L,AA$9,операции!$O:$O,$F1792)</f>
        <v>38566</v>
      </c>
      <c r="AB1825" s="266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</row>
    <row r="1826" spans="1:42" s="192" customFormat="1" ht="11.25">
      <c r="A1826" s="37"/>
      <c r="B1826" s="37"/>
      <c r="C1826" s="37"/>
      <c r="D1826" s="191"/>
      <c r="E1826" s="191" t="s">
        <v>295</v>
      </c>
      <c r="F1826" s="191" t="str">
        <f t="shared" si="3192"/>
        <v>СуперСпорт</v>
      </c>
      <c r="G1826" s="191" t="s">
        <v>262</v>
      </c>
      <c r="H1826" s="315"/>
      <c r="I1826" s="316">
        <f>IF(I1825=0,0,SUMIFS(операции!$AG:$AG,операции!$X:$X,"&gt;="&amp;I$8,операции!$X:$X,"&lt;="&amp;I$9,операции!$AB:$AB,"&lt;&gt;"&amp;"",операции!$O:$O,$F1792)/I1825)</f>
        <v>42322.889983550805</v>
      </c>
      <c r="J1826" s="317"/>
      <c r="K1826" s="316">
        <f>IF(K1825=0,0,SUMIFS(операции!$AG:$AG,операции!$X:$X,"&gt;="&amp;I$8,операции!$X:$X,"&lt;="&amp;I$9,операции!$AB:$AB,"&lt;&gt;"&amp;"",операции!$L:$L,K$9,операции!$O:$O,$F1792)/K1825)</f>
        <v>42316.693097756921</v>
      </c>
      <c r="L1826" s="318">
        <f>IF(L1825=0,0,SUMIFS(операции!$AG:$AG,операции!$X:$X,"&gt;="&amp;I$8,операции!$X:$X,"&lt;="&amp;I$9,операции!$AB:$AB,"&lt;&gt;"&amp;"",операции!$L:$L,L$9,операции!$O:$O,$F1792)/L1825)</f>
        <v>42331.761604486645</v>
      </c>
      <c r="M1826" s="274"/>
      <c r="N1826" s="193">
        <f>IF(N1825=0,0,SUMIFS(операции!$AG:$AG,операции!$X:$X,"&gt;="&amp;N$8,операции!$X:$X,"&lt;="&amp;N$9,операции!$AB:$AB,"&lt;&gt;"&amp;"",операции!$O:$O,$F1792)/N1825)</f>
        <v>42302.686196209324</v>
      </c>
      <c r="O1826" s="196"/>
      <c r="P1826" s="193">
        <f>IF(P1825=0,0,SUMIFS(операции!$AG:$AG,операции!$X:$X,"&gt;="&amp;N$8,операции!$X:$X,"&lt;="&amp;N$9,операции!$AB:$AB,"&lt;&gt;"&amp;"",операции!$L:$L,P$9,операции!$O:$O,$F1792)/P1825)</f>
        <v>42302.254619660474</v>
      </c>
      <c r="Q1826" s="237">
        <f>IF(Q1825=0,0,SUMIFS(операции!$AG:$AG,операции!$X:$X,"&gt;="&amp;N$8,операции!$X:$X,"&lt;="&amp;N$9,операции!$AB:$AB,"&lt;&gt;"&amp;"",операции!$L:$L,Q$9,операции!$O:$O,$F1792)/Q1825)</f>
        <v>42304.344170834935</v>
      </c>
      <c r="R1826" s="238"/>
      <c r="S1826" s="193">
        <f>IF(S1825=0,0,SUMIFS(операции!$AG:$AG,операции!$X:$X,"&gt;="&amp;S$8,операции!$X:$X,"&lt;="&amp;S$9,операции!$AB:$AB,"&lt;&gt;"&amp;"",операции!$O:$O,$F1792)/S1825)</f>
        <v>42324.3781869882</v>
      </c>
      <c r="T1826" s="196"/>
      <c r="U1826" s="193">
        <f>IF(U1825=0,0,SUMIFS(операции!$AG:$AG,операции!$X:$X,"&gt;="&amp;S$8,операции!$X:$X,"&lt;="&amp;S$9,операции!$AB:$AB,"&lt;&gt;"&amp;"",операции!$L:$L,U$9,операции!$O:$O,$F1792)/U1825)</f>
        <v>42323.518878475836</v>
      </c>
      <c r="V1826" s="237">
        <f>IF(V1825=0,0,SUMIFS(операции!$AG:$AG,операции!$X:$X,"&gt;="&amp;S$8,операции!$X:$X,"&lt;="&amp;S$9,операции!$AB:$AB,"&lt;&gt;"&amp;"",операции!$L:$L,V$9,операции!$O:$O,$F1792)/V1825)</f>
        <v>42326.471185007751</v>
      </c>
      <c r="W1826" s="238"/>
      <c r="X1826" s="193">
        <f>IF(X1825=0,0,SUMIFS(операции!$AG:$AG,операции!$X:$X,"&gt;="&amp;X$8,операции!$X:$X,"&lt;="&amp;X$9,операции!$AB:$AB,"&lt;&gt;"&amp;"",операции!$O:$O,$F1792)/X1825)</f>
        <v>42342.069572931185</v>
      </c>
      <c r="Y1826" s="196"/>
      <c r="Z1826" s="193">
        <f>IF(Z1825=0,0,SUMIFS(операции!$AG:$AG,операции!$X:$X,"&gt;="&amp;X$8,операции!$X:$X,"&lt;="&amp;X$9,операции!$AB:$AB,"&lt;&gt;"&amp;"",операции!$L:$L,Z$9,операции!$O:$O,$F1792)/Z1825)</f>
        <v>42342.054441913438</v>
      </c>
      <c r="AA1826" s="237">
        <f>IF(AA1825=0,0,SUMIFS(операции!$AG:$AG,операции!$X:$X,"&gt;="&amp;X$8,операции!$X:$X,"&lt;="&amp;X$9,операции!$AB:$AB,"&lt;&gt;"&amp;"",операции!$L:$L,AA$9,операции!$O:$O,$F1792)/AA1825)</f>
        <v>42342.073017683972</v>
      </c>
      <c r="AB1826" s="265"/>
      <c r="AC1826" s="37"/>
      <c r="AD1826" s="37"/>
      <c r="AE1826" s="37"/>
      <c r="AF1826" s="37"/>
      <c r="AG1826" s="37"/>
      <c r="AH1826" s="37"/>
      <c r="AI1826" s="37"/>
      <c r="AJ1826" s="37"/>
      <c r="AK1826" s="37"/>
      <c r="AL1826" s="37"/>
      <c r="AM1826" s="37"/>
      <c r="AN1826" s="37"/>
      <c r="AO1826" s="37"/>
      <c r="AP1826" s="37"/>
    </row>
    <row r="1827" spans="1:42" s="93" customFormat="1" ht="15">
      <c r="A1827" s="92"/>
      <c r="B1827" s="92"/>
      <c r="C1827" s="92"/>
      <c r="D1827" s="151"/>
      <c r="E1827" s="151" t="s">
        <v>292</v>
      </c>
      <c r="F1827" s="151" t="str">
        <f t="shared" si="3192"/>
        <v>СуперСпорт</v>
      </c>
      <c r="G1827" s="151" t="s">
        <v>261</v>
      </c>
      <c r="H1827" s="311"/>
      <c r="I1827" s="312">
        <f>SUMIFS(операции!$V:$V,операции!$X:$X,"&gt;="&amp;I$8,операции!$X:$X,"&lt;="&amp;I$9,операции!$AB:$AB,"&lt;&gt;"&amp;"",операции!$O:$O,$F1792)</f>
        <v>151452.82999999999</v>
      </c>
      <c r="J1827" s="313">
        <f>I1827-K1827-L1827</f>
        <v>0</v>
      </c>
      <c r="K1827" s="312">
        <f>SUMIFS(операции!$V:$V,операции!$X:$X,"&gt;="&amp;I$8,операции!$X:$X,"&lt;="&amp;I$9,операции!$AB:$AB,"&lt;&gt;"&amp;"",операции!$L:$L,K$9,операции!$O:$O,$F1792)</f>
        <v>89797.290000000008</v>
      </c>
      <c r="L1827" s="314">
        <f>SUMIFS(операции!$V:$V,операции!$X:$X,"&gt;="&amp;I$8,операции!$X:$X,"&lt;="&amp;I$9,операции!$AB:$AB,"&lt;&gt;"&amp;"",операции!$L:$L,L$9,операции!$O:$O,$F1792)</f>
        <v>61655.539999999994</v>
      </c>
      <c r="M1827" s="273"/>
      <c r="N1827" s="152">
        <f>SUMIFS(операции!$V:$V,операции!$X:$X,"&gt;="&amp;N$8,операции!$X:$X,"&lt;="&amp;N$9,операции!$AB:$AB,"&lt;&gt;"&amp;"",операции!$O:$O,$F1792)</f>
        <v>44060.670000000006</v>
      </c>
      <c r="O1827" s="170">
        <f>N1827-P1827-Q1827</f>
        <v>0</v>
      </c>
      <c r="P1827" s="152">
        <f>SUMIFS(операции!$V:$V,операции!$X:$X,"&gt;="&amp;N$8,операции!$X:$X,"&lt;="&amp;N$9,операции!$AB:$AB,"&lt;&gt;"&amp;"",операции!$L:$L,P$9,операции!$O:$O,$F1792)</f>
        <v>35026.639999999999</v>
      </c>
      <c r="Q1827" s="235">
        <f>SUMIFS(операции!$V:$V,операции!$X:$X,"&gt;="&amp;N$8,операции!$X:$X,"&lt;="&amp;N$9,операции!$AB:$AB,"&lt;&gt;"&amp;"",операции!$L:$L,Q$9,операции!$O:$O,$F1792)</f>
        <v>9034.0300000000007</v>
      </c>
      <c r="R1827" s="236"/>
      <c r="S1827" s="152">
        <f>SUMIFS(операции!$V:$V,операции!$X:$X,"&gt;="&amp;S$8,операции!$X:$X,"&lt;="&amp;S$9,операции!$AB:$AB,"&lt;&gt;"&amp;"",операции!$O:$O,$F1792)</f>
        <v>64764.899999999987</v>
      </c>
      <c r="T1827" s="170">
        <f>S1827-U1827-V1827</f>
        <v>0</v>
      </c>
      <c r="U1827" s="152">
        <f>SUMIFS(операции!$V:$V,операции!$X:$X,"&gt;="&amp;S$8,операции!$X:$X,"&lt;="&amp;S$9,операции!$AB:$AB,"&lt;&gt;"&amp;"",операции!$L:$L,U$9,операции!$O:$O,$F1792)</f>
        <v>47455.95</v>
      </c>
      <c r="V1827" s="235">
        <f>SUMIFS(операции!$V:$V,операции!$X:$X,"&gt;="&amp;S$8,операции!$X:$X,"&lt;="&amp;S$9,операции!$AB:$AB,"&lt;&gt;"&amp;"",операции!$L:$L,V$9,операции!$O:$O,$F1792)</f>
        <v>17308.95</v>
      </c>
      <c r="W1827" s="236"/>
      <c r="X1827" s="152">
        <f>SUMIFS(операции!$V:$V,операции!$X:$X,"&gt;="&amp;X$8,операции!$X:$X,"&lt;="&amp;X$9,операции!$AB:$AB,"&lt;&gt;"&amp;"",операции!$O:$O,$F1792)</f>
        <v>42627.260000000017</v>
      </c>
      <c r="Y1827" s="170">
        <f>X1827-Z1827-AA1827</f>
        <v>0</v>
      </c>
      <c r="Z1827" s="152">
        <f>SUMIFS(операции!$V:$V,операции!$X:$X,"&gt;="&amp;X$8,операции!$X:$X,"&lt;="&amp;X$9,операции!$AB:$AB,"&lt;&gt;"&amp;"",операции!$L:$L,Z$9,операции!$O:$O,$F1792)</f>
        <v>7314.7</v>
      </c>
      <c r="AA1827" s="235">
        <f>SUMIFS(операции!$V:$V,операции!$X:$X,"&gt;="&amp;X$8,операции!$X:$X,"&lt;="&amp;X$9,операции!$AB:$AB,"&lt;&gt;"&amp;"",операции!$L:$L,AA$9,операции!$O:$O,$F1792)</f>
        <v>35312.560000000012</v>
      </c>
      <c r="AB1827" s="264"/>
      <c r="AC1827" s="92"/>
      <c r="AD1827" s="92"/>
      <c r="AE1827" s="92"/>
      <c r="AF1827" s="92"/>
      <c r="AG1827" s="92"/>
      <c r="AH1827" s="92"/>
      <c r="AI1827" s="92"/>
      <c r="AJ1827" s="92"/>
      <c r="AK1827" s="92"/>
      <c r="AL1827" s="92"/>
      <c r="AM1827" s="92"/>
      <c r="AN1827" s="92"/>
      <c r="AO1827" s="92"/>
      <c r="AP1827" s="92"/>
    </row>
    <row r="1828" spans="1:42" s="192" customFormat="1" ht="11.25">
      <c r="A1828" s="37"/>
      <c r="B1828" s="37"/>
      <c r="C1828" s="37"/>
      <c r="D1828" s="191"/>
      <c r="E1828" s="191" t="s">
        <v>294</v>
      </c>
      <c r="F1828" s="191" t="str">
        <f t="shared" si="3192"/>
        <v>СуперСпорт</v>
      </c>
      <c r="G1828" s="191" t="s">
        <v>262</v>
      </c>
      <c r="H1828" s="315"/>
      <c r="I1828" s="316">
        <f>IF(I1827=0,0,SUMIFS(операции!$AF:$AF,операции!$X:$X,"&gt;="&amp;I$8,операции!$X:$X,"&lt;="&amp;I$9,операции!$AB:$AB,"&lt;&gt;"&amp;"",операции!$O:$O,$F1792)/I1827)</f>
        <v>42260.625422714118</v>
      </c>
      <c r="J1828" s="317"/>
      <c r="K1828" s="316">
        <f>IF(K1827=0,0,SUMIFS(операции!$AF:$AF,операции!$X:$X,"&gt;="&amp;I$8,операции!$X:$X,"&lt;="&amp;I$9,операции!$AB:$AB,"&lt;&gt;"&amp;"",операции!$L:$L,K$9,операции!$O:$O,$F1792)/K1827)</f>
        <v>42215.774275593401</v>
      </c>
      <c r="L1828" s="318">
        <f>IF(L1827=0,0,SUMIFS(операции!$AF:$AF,операции!$X:$X,"&gt;="&amp;I$8,операции!$X:$X,"&lt;="&amp;I$9,операции!$AB:$AB,"&lt;&gt;"&amp;"",операции!$L:$L,L$9,операции!$O:$O,$F1792)/L1827)</f>
        <v>42325.948205789799</v>
      </c>
      <c r="M1828" s="274"/>
      <c r="N1828" s="193">
        <f>IF(N1827=0,0,SUMIFS(операции!$AF:$AF,операции!$X:$X,"&gt;="&amp;N$8,операции!$X:$X,"&lt;="&amp;N$9,операции!$AB:$AB,"&lt;&gt;"&amp;"",операции!$O:$O,$F1792)/N1827)</f>
        <v>42224.503710451958</v>
      </c>
      <c r="O1828" s="196"/>
      <c r="P1828" s="193">
        <f>IF(P1827=0,0,SUMIFS(операции!$AF:$AF,операции!$X:$X,"&gt;="&amp;N$8,операции!$X:$X,"&lt;="&amp;N$9,операции!$AB:$AB,"&lt;&gt;"&amp;"",операции!$L:$L,P$9,операции!$O:$O,$F1792)/P1827)</f>
        <v>42204.835112931185</v>
      </c>
      <c r="Q1828" s="237">
        <f>IF(Q1827=0,0,SUMIFS(операции!$AF:$AF,операции!$X:$X,"&gt;="&amp;N$8,операции!$X:$X,"&lt;="&amp;N$9,операции!$AB:$AB,"&lt;&gt;"&amp;"",операции!$L:$L,Q$9,операции!$O:$O,$F1792)/Q1827)</f>
        <v>42300.762576613095</v>
      </c>
      <c r="R1828" s="238"/>
      <c r="S1828" s="193">
        <f>IF(S1827=0,0,SUMIFS(операции!$AF:$AF,операции!$X:$X,"&gt;="&amp;S$8,операции!$X:$X,"&lt;="&amp;S$9,операции!$AB:$AB,"&lt;&gt;"&amp;"",операции!$O:$O,$F1792)/S1827)</f>
        <v>42245.462459140697</v>
      </c>
      <c r="T1828" s="196"/>
      <c r="U1828" s="193">
        <f>IF(U1827=0,0,SUMIFS(операции!$AF:$AF,операции!$X:$X,"&gt;="&amp;S$8,операции!$X:$X,"&lt;="&amp;S$9,операции!$AB:$AB,"&lt;&gt;"&amp;"",операции!$L:$L,U$9,операции!$O:$O,$F1792)/U1827)</f>
        <v>42218.225518191088</v>
      </c>
      <c r="V1828" s="237">
        <f>IF(V1827=0,0,SUMIFS(операции!$AF:$AF,операции!$X:$X,"&gt;="&amp;S$8,операции!$X:$X,"&lt;="&amp;S$9,операции!$AB:$AB,"&lt;&gt;"&amp;"",операции!$L:$L,V$9,операции!$O:$O,$F1792)/V1827)</f>
        <v>42320.137982951019</v>
      </c>
      <c r="W1828" s="238"/>
      <c r="X1828" s="193">
        <f>IF(X1827=0,0,SUMIFS(операции!$AF:$AF,операции!$X:$X,"&gt;="&amp;X$8,операции!$X:$X,"&lt;="&amp;X$9,операции!$AB:$AB,"&lt;&gt;"&amp;"",операции!$O:$O,$F1792)/X1827)</f>
        <v>42320.999339859038</v>
      </c>
      <c r="Y1828" s="196"/>
      <c r="Z1828" s="193">
        <f>IF(Z1827=0,0,SUMIFS(операции!$AF:$AF,операции!$X:$X,"&gt;="&amp;X$8,операции!$X:$X,"&lt;="&amp;X$9,операции!$AB:$AB,"&lt;&gt;"&amp;"",операции!$L:$L,Z$9,операции!$O:$O,$F1792)/Z1827)</f>
        <v>42252.253702817608</v>
      </c>
      <c r="AA1828" s="237">
        <f>IF(AA1827=0,0,SUMIFS(операции!$AF:$AF,операции!$X:$X,"&gt;="&amp;X$8,операции!$X:$X,"&lt;="&amp;X$9,операции!$AB:$AB,"&lt;&gt;"&amp;"",операции!$L:$L,AA$9,операции!$O:$O,$F1792)/AA1827)</f>
        <v>42335.239420761325</v>
      </c>
      <c r="AB1828" s="265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37"/>
    </row>
    <row r="1829" spans="1:42" s="192" customFormat="1" ht="11.25">
      <c r="A1829" s="37"/>
      <c r="B1829" s="37"/>
      <c r="C1829" s="37"/>
      <c r="D1829" s="191"/>
      <c r="E1829" s="191" t="s">
        <v>299</v>
      </c>
      <c r="F1829" s="191" t="str">
        <f t="shared" si="3192"/>
        <v>СуперСпорт</v>
      </c>
      <c r="G1829" s="191" t="s">
        <v>262</v>
      </c>
      <c r="H1829" s="315"/>
      <c r="I1829" s="316">
        <f>IF(I1827=0,0,SUMIFS(операции!$AH:$AH,операции!$X:$X,"&gt;="&amp;I$8,операции!$X:$X,"&lt;="&amp;I$9,операции!$AB:$AB,"&lt;&gt;"&amp;"",операции!$O:$O,$F1792)/I1827)</f>
        <v>42286.215011697044</v>
      </c>
      <c r="J1829" s="317"/>
      <c r="K1829" s="316">
        <f>IF(K1827=0,0,SUMIFS(операции!$AH:$AH,операции!$X:$X,"&gt;="&amp;I$8,операции!$X:$X,"&lt;="&amp;I$9,операции!$AB:$AB,"&lt;&gt;"&amp;"",операции!$L:$L,K$9,операции!$O:$O,$F1792)/K1827)</f>
        <v>42244.106323141816</v>
      </c>
      <c r="L1829" s="318">
        <f>IF(L1827=0,0,SUMIFS(операции!$AH:$AH,операции!$X:$X,"&gt;="&amp;I$8,операции!$X:$X,"&lt;="&amp;I$9,операции!$AB:$AB,"&lt;&gt;"&amp;"",операции!$L:$L,L$9,операции!$O:$O,$F1792)/L1827)</f>
        <v>42347.543581971724</v>
      </c>
      <c r="M1829" s="274"/>
      <c r="N1829" s="193">
        <f>IF(N1827=0,0,SUMIFS(операции!$AH:$AH,операции!$X:$X,"&gt;="&amp;N$8,операции!$X:$X,"&lt;="&amp;N$9,операции!$AB:$AB,"&lt;&gt;"&amp;"",операции!$O:$O,$F1792)/N1827)</f>
        <v>42255.327901277939</v>
      </c>
      <c r="O1829" s="196"/>
      <c r="P1829" s="193">
        <f>IF(P1827=0,0,SUMIFS(операции!$AH:$AH,операции!$X:$X,"&gt;="&amp;N$8,операции!$X:$X,"&lt;="&amp;N$9,операции!$AB:$AB,"&lt;&gt;"&amp;"",операции!$L:$L,P$9,операции!$O:$O,$F1792)/P1827)</f>
        <v>42237.521817108354</v>
      </c>
      <c r="Q1829" s="237">
        <f>IF(Q1827=0,0,SUMIFS(операции!$AH:$AH,операции!$X:$X,"&gt;="&amp;N$8,операции!$X:$X,"&lt;="&amp;N$9,операции!$AB:$AB,"&lt;&gt;"&amp;"",операции!$L:$L,Q$9,операции!$O:$O,$F1792)/Q1827)</f>
        <v>42324.365451520527</v>
      </c>
      <c r="R1829" s="238"/>
      <c r="S1829" s="193">
        <f>IF(S1827=0,0,SUMIFS(операции!$AH:$AH,операции!$X:$X,"&gt;="&amp;S$8,операции!$X:$X,"&lt;="&amp;S$9,операции!$AB:$AB,"&lt;&gt;"&amp;"",операции!$O:$O,$F1792)/S1827)</f>
        <v>42271.972714078162</v>
      </c>
      <c r="T1829" s="196"/>
      <c r="U1829" s="193">
        <f>IF(U1827=0,0,SUMIFS(операции!$AH:$AH,операции!$X:$X,"&gt;="&amp;S$8,операции!$X:$X,"&lt;="&amp;S$9,операции!$AB:$AB,"&lt;&gt;"&amp;"",операции!$L:$L,U$9,операции!$O:$O,$F1792)/U1827)</f>
        <v>42245.855387785938</v>
      </c>
      <c r="V1829" s="237">
        <f>IF(V1827=0,0,SUMIFS(операции!$AH:$AH,операции!$X:$X,"&gt;="&amp;S$8,операции!$X:$X,"&lt;="&amp;S$9,операции!$AB:$AB,"&lt;&gt;"&amp;"",операции!$L:$L,V$9,операции!$O:$O,$F1792)/V1827)</f>
        <v>42343.578590266879</v>
      </c>
      <c r="W1829" s="238"/>
      <c r="X1829" s="193">
        <f>IF(X1827=0,0,SUMIFS(операции!$AH:$AH,операции!$X:$X,"&gt;="&amp;X$8,операции!$X:$X,"&lt;="&amp;X$9,операции!$AB:$AB,"&lt;&gt;"&amp;"",операции!$O:$O,$F1792)/X1827)</f>
        <v>42339.779509168533</v>
      </c>
      <c r="Y1829" s="196"/>
      <c r="Z1829" s="193">
        <f>IF(Z1827=0,0,SUMIFS(операции!$AH:$AH,операции!$X:$X,"&gt;="&amp;X$8,операции!$X:$X,"&lt;="&amp;X$9,операции!$AB:$AB,"&lt;&gt;"&amp;"",операции!$L:$L,Z$9,операции!$O:$O,$F1792)/Z1827)</f>
        <v>42264.28891410448</v>
      </c>
      <c r="AA1829" s="237">
        <f>IF(AA1827=0,0,SUMIFS(операции!$AH:$AH,операции!$X:$X,"&gt;="&amp;X$8,операции!$X:$X,"&lt;="&amp;X$9,операции!$AB:$AB,"&lt;&gt;"&amp;"",операции!$L:$L,AA$9,операции!$O:$O,$F1792)/AA1827)</f>
        <v>42355.416751433477</v>
      </c>
      <c r="AB1829" s="265"/>
      <c r="AC1829" s="37"/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37"/>
    </row>
    <row r="1830" spans="1:42" s="5" customFormat="1">
      <c r="A1830" s="1"/>
      <c r="B1830" s="1"/>
      <c r="C1830" s="1"/>
      <c r="D1830" s="168"/>
      <c r="E1830" s="168" t="s">
        <v>296</v>
      </c>
      <c r="F1830" s="168" t="str">
        <f t="shared" si="3192"/>
        <v>СуперСпорт</v>
      </c>
      <c r="G1830" s="168" t="s">
        <v>261</v>
      </c>
      <c r="H1830" s="326"/>
      <c r="I1830" s="327">
        <f>I1825-I1827</f>
        <v>19376.170000000013</v>
      </c>
      <c r="J1830" s="313">
        <f>I1830-K1830-L1830</f>
        <v>1.4551915228366852E-11</v>
      </c>
      <c r="K1830" s="327">
        <f t="shared" ref="K1830:L1830" si="3269">K1825-K1827</f>
        <v>10778.709999999992</v>
      </c>
      <c r="L1830" s="328">
        <f t="shared" si="3269"/>
        <v>8597.4600000000064</v>
      </c>
      <c r="M1830" s="277"/>
      <c r="N1830" s="169">
        <f>N1825-N1827</f>
        <v>6273.3299999999945</v>
      </c>
      <c r="O1830" s="170">
        <f>N1830-P1830-Q1830</f>
        <v>-5.4569682106375694E-12</v>
      </c>
      <c r="P1830" s="169">
        <f t="shared" ref="P1830:Q1830" si="3270">P1825-P1827</f>
        <v>4911.3600000000006</v>
      </c>
      <c r="Q1830" s="243">
        <f t="shared" si="3270"/>
        <v>1361.9699999999993</v>
      </c>
      <c r="R1830" s="244"/>
      <c r="S1830" s="169">
        <f>S1825-S1827</f>
        <v>8384.1000000000131</v>
      </c>
      <c r="T1830" s="170">
        <f>S1830-U1830-V1830</f>
        <v>1.0913936421275139E-11</v>
      </c>
      <c r="U1830" s="169">
        <f t="shared" ref="U1830:V1830" si="3271">U1825-U1827</f>
        <v>4402.0500000000029</v>
      </c>
      <c r="V1830" s="243">
        <f t="shared" si="3271"/>
        <v>3982.0499999999993</v>
      </c>
      <c r="W1830" s="244"/>
      <c r="X1830" s="169">
        <f>X1825-X1827</f>
        <v>4718.7399999999834</v>
      </c>
      <c r="Y1830" s="170">
        <f>X1830-Z1830-AA1830</f>
        <v>-4.5474735088646412E-12</v>
      </c>
      <c r="Z1830" s="169">
        <f t="shared" ref="Z1830:AA1830" si="3272">Z1825-Z1827</f>
        <v>1465.3000000000002</v>
      </c>
      <c r="AA1830" s="243">
        <f t="shared" si="3272"/>
        <v>3253.4399999999878</v>
      </c>
      <c r="AB1830" s="266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</row>
    <row r="1831" spans="1:42" s="211" customFormat="1">
      <c r="A1831" s="210"/>
      <c r="B1831" s="210"/>
      <c r="C1831" s="210"/>
      <c r="D1831" s="218"/>
      <c r="E1831" s="218" t="s">
        <v>297</v>
      </c>
      <c r="F1831" s="218" t="str">
        <f t="shared" si="3192"/>
        <v>СуперСпорт</v>
      </c>
      <c r="G1831" s="218" t="s">
        <v>218</v>
      </c>
      <c r="H1831" s="343"/>
      <c r="I1831" s="344">
        <f>IF(I1825=0,0,(I1830/I1825))</f>
        <v>0.11342436003254724</v>
      </c>
      <c r="J1831" s="345"/>
      <c r="K1831" s="344">
        <f t="shared" ref="K1831" si="3273">IF(K1825=0,0,(K1830/K1825))</f>
        <v>0.10716980194082079</v>
      </c>
      <c r="L1831" s="346">
        <f t="shared" ref="L1831" si="3274">IF(L1825=0,0,(L1830/L1825))</f>
        <v>0.1223785461119099</v>
      </c>
      <c r="M1831" s="280"/>
      <c r="N1831" s="219">
        <f>IF(N1825=0,0,(N1830/N1825))</f>
        <v>0.12463404458219085</v>
      </c>
      <c r="O1831" s="220"/>
      <c r="P1831" s="219">
        <f t="shared" ref="P1831" si="3275">IF(P1825=0,0,(P1830/P1825))</f>
        <v>0.12297461064650209</v>
      </c>
      <c r="Q1831" s="252">
        <f t="shared" ref="Q1831" si="3276">IF(Q1825=0,0,(Q1830/Q1825))</f>
        <v>0.13100904193920732</v>
      </c>
      <c r="R1831" s="253"/>
      <c r="S1831" s="219">
        <f>IF(S1825=0,0,(S1830/S1825))</f>
        <v>0.11461674117212831</v>
      </c>
      <c r="T1831" s="220"/>
      <c r="U1831" s="219">
        <f t="shared" ref="U1831" si="3277">IF(U1825=0,0,(U1830/U1825))</f>
        <v>8.4886613444405928E-2</v>
      </c>
      <c r="V1831" s="252">
        <f t="shared" ref="V1831" si="3278">IF(V1825=0,0,(V1830/V1825))</f>
        <v>0.18702973087219948</v>
      </c>
      <c r="W1831" s="253"/>
      <c r="X1831" s="219">
        <f>IF(X1825=0,0,(X1830/X1825))</f>
        <v>9.9665019220208331E-2</v>
      </c>
      <c r="Y1831" s="220"/>
      <c r="Z1831" s="219">
        <f t="shared" ref="Z1831" si="3279">IF(Z1825=0,0,(Z1830/Z1825))</f>
        <v>0.16689066059225516</v>
      </c>
      <c r="AA1831" s="252">
        <f t="shared" ref="AA1831" si="3280">IF(AA1825=0,0,(AA1830/AA1825))</f>
        <v>8.4360317378001037E-2</v>
      </c>
      <c r="AB1831" s="267"/>
      <c r="AC1831" s="210"/>
      <c r="AD1831" s="210"/>
      <c r="AE1831" s="210"/>
      <c r="AF1831" s="210"/>
      <c r="AG1831" s="210"/>
      <c r="AH1831" s="210"/>
      <c r="AI1831" s="210"/>
      <c r="AJ1831" s="210"/>
      <c r="AK1831" s="210"/>
      <c r="AL1831" s="210"/>
      <c r="AM1831" s="210"/>
      <c r="AN1831" s="210"/>
      <c r="AO1831" s="210"/>
      <c r="AP1831" s="210"/>
    </row>
    <row r="1832" spans="1:42" s="5" customFormat="1">
      <c r="A1832" s="1"/>
      <c r="B1832" s="1"/>
      <c r="C1832" s="1"/>
      <c r="D1832" s="227"/>
      <c r="E1832" s="227" t="s">
        <v>298</v>
      </c>
      <c r="F1832" s="227" t="str">
        <f t="shared" si="3192"/>
        <v>СуперСпорт</v>
      </c>
      <c r="G1832" s="227" t="s">
        <v>219</v>
      </c>
      <c r="H1832" s="347"/>
      <c r="I1832" s="348">
        <f>I1826-I1828</f>
        <v>62.264560836687451</v>
      </c>
      <c r="J1832" s="321"/>
      <c r="K1832" s="348">
        <f t="shared" ref="K1832:L1832" si="3281">K1826-K1828</f>
        <v>100.91882216351951</v>
      </c>
      <c r="L1832" s="349">
        <f t="shared" si="3281"/>
        <v>5.8133986968459794</v>
      </c>
      <c r="M1832" s="281"/>
      <c r="N1832" s="228">
        <f>N1826-N1828</f>
        <v>78.182485757366521</v>
      </c>
      <c r="O1832" s="173"/>
      <c r="P1832" s="228">
        <f t="shared" ref="P1832:Q1832" si="3282">P1826-P1828</f>
        <v>97.419506729289424</v>
      </c>
      <c r="Q1832" s="254">
        <f t="shared" si="3282"/>
        <v>3.5815942218396231</v>
      </c>
      <c r="R1832" s="255"/>
      <c r="S1832" s="228">
        <f>S1826-S1828</f>
        <v>78.915727847503149</v>
      </c>
      <c r="T1832" s="173"/>
      <c r="U1832" s="228">
        <f t="shared" ref="U1832:V1832" si="3283">U1826-U1828</f>
        <v>105.29336028474791</v>
      </c>
      <c r="V1832" s="254">
        <f t="shared" si="3283"/>
        <v>6.3332020567322616</v>
      </c>
      <c r="W1832" s="255"/>
      <c r="X1832" s="228">
        <f>X1826-X1828</f>
        <v>21.070233072146948</v>
      </c>
      <c r="Y1832" s="173"/>
      <c r="Z1832" s="228">
        <f t="shared" ref="Z1832:AA1832" si="3284">Z1826-Z1828</f>
        <v>89.800739095830068</v>
      </c>
      <c r="AA1832" s="254">
        <f t="shared" si="3284"/>
        <v>6.8335969226463931</v>
      </c>
      <c r="AB1832" s="266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</row>
    <row r="1833" spans="1:42" s="5" customFormat="1">
      <c r="A1833" s="1"/>
      <c r="B1833" s="1"/>
      <c r="C1833" s="1"/>
      <c r="D1833" s="227"/>
      <c r="E1833" s="227" t="s">
        <v>300</v>
      </c>
      <c r="F1833" s="227" t="str">
        <f t="shared" si="3192"/>
        <v>СуперСпорт</v>
      </c>
      <c r="G1833" s="227" t="s">
        <v>219</v>
      </c>
      <c r="H1833" s="347"/>
      <c r="I1833" s="348">
        <f>I1829-I1828</f>
        <v>25.589588982926216</v>
      </c>
      <c r="J1833" s="321"/>
      <c r="K1833" s="348">
        <f t="shared" ref="K1833:L1833" si="3285">K1829-K1828</f>
        <v>28.332047548414266</v>
      </c>
      <c r="L1833" s="349">
        <f t="shared" si="3285"/>
        <v>21.595376181925531</v>
      </c>
      <c r="M1833" s="281"/>
      <c r="N1833" s="228">
        <f>N1829-N1828</f>
        <v>30.824190825980622</v>
      </c>
      <c r="O1833" s="173"/>
      <c r="P1833" s="228">
        <f t="shared" ref="P1833:Q1833" si="3286">P1829-P1828</f>
        <v>32.686704177169304</v>
      </c>
      <c r="Q1833" s="254">
        <f t="shared" si="3286"/>
        <v>23.602874907432124</v>
      </c>
      <c r="R1833" s="255"/>
      <c r="S1833" s="228">
        <f>S1829-S1828</f>
        <v>26.510254937464197</v>
      </c>
      <c r="T1833" s="173"/>
      <c r="U1833" s="228">
        <f t="shared" ref="U1833:V1833" si="3287">U1829-U1828</f>
        <v>27.629869594849879</v>
      </c>
      <c r="V1833" s="254">
        <f t="shared" si="3287"/>
        <v>23.440607315860689</v>
      </c>
      <c r="W1833" s="255"/>
      <c r="X1833" s="228">
        <f>X1829-X1828</f>
        <v>18.78016930949525</v>
      </c>
      <c r="Y1833" s="173"/>
      <c r="Z1833" s="228">
        <f t="shared" ref="Z1833:AA1833" si="3288">Z1829-Z1828</f>
        <v>12.035211286871345</v>
      </c>
      <c r="AA1833" s="254">
        <f t="shared" si="3288"/>
        <v>20.177330672151584</v>
      </c>
      <c r="AB1833" s="266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</row>
    <row r="1834" spans="1:42" s="93" customFormat="1" ht="15">
      <c r="A1834" s="92"/>
      <c r="B1834" s="92"/>
      <c r="C1834" s="92"/>
      <c r="D1834" s="221"/>
      <c r="E1834" s="221" t="s">
        <v>301</v>
      </c>
      <c r="F1834" s="221" t="str">
        <f t="shared" si="3192"/>
        <v>СуперСпорт</v>
      </c>
      <c r="G1834" s="221" t="s">
        <v>219</v>
      </c>
      <c r="H1834" s="357"/>
      <c r="I1834" s="358">
        <f>I1832-I1833</f>
        <v>36.674971853761235</v>
      </c>
      <c r="J1834" s="352"/>
      <c r="K1834" s="358">
        <f t="shared" ref="K1834" si="3289">K1832-K1833</f>
        <v>72.586774615105242</v>
      </c>
      <c r="L1834" s="359">
        <f t="shared" ref="L1834" si="3290">L1832-L1833</f>
        <v>-15.781977485079551</v>
      </c>
      <c r="M1834" s="284"/>
      <c r="N1834" s="222">
        <f>N1832-N1833</f>
        <v>47.358294931385899</v>
      </c>
      <c r="O1834" s="181"/>
      <c r="P1834" s="222">
        <f t="shared" ref="P1834" si="3291">P1832-P1833</f>
        <v>64.73280255212012</v>
      </c>
      <c r="Q1834" s="260">
        <f t="shared" ref="Q1834" si="3292">Q1832-Q1833</f>
        <v>-20.021280685592501</v>
      </c>
      <c r="R1834" s="261"/>
      <c r="S1834" s="222">
        <f>S1832-S1833</f>
        <v>52.405472910038952</v>
      </c>
      <c r="T1834" s="181"/>
      <c r="U1834" s="222">
        <f t="shared" ref="U1834" si="3293">U1832-U1833</f>
        <v>77.663490689898026</v>
      </c>
      <c r="V1834" s="260">
        <f t="shared" ref="V1834" si="3294">V1832-V1833</f>
        <v>-17.107405259128427</v>
      </c>
      <c r="W1834" s="261"/>
      <c r="X1834" s="222">
        <f>X1832-X1833</f>
        <v>2.2900637626516982</v>
      </c>
      <c r="Y1834" s="181"/>
      <c r="Z1834" s="222">
        <f t="shared" ref="Z1834" si="3295">Z1832-Z1833</f>
        <v>77.765527808958723</v>
      </c>
      <c r="AA1834" s="260">
        <f t="shared" ref="AA1834" si="3296">AA1832-AA1833</f>
        <v>-13.343733749505191</v>
      </c>
      <c r="AB1834" s="264"/>
      <c r="AC1834" s="92"/>
      <c r="AD1834" s="92"/>
      <c r="AE1834" s="92"/>
      <c r="AF1834" s="92"/>
      <c r="AG1834" s="92"/>
      <c r="AH1834" s="92"/>
      <c r="AI1834" s="92"/>
      <c r="AJ1834" s="92"/>
      <c r="AK1834" s="92"/>
      <c r="AL1834" s="92"/>
      <c r="AM1834" s="92"/>
      <c r="AN1834" s="92"/>
      <c r="AO1834" s="92"/>
      <c r="AP1834" s="92"/>
    </row>
    <row r="1835" spans="1:42" s="5" customFormat="1">
      <c r="A1835" s="1"/>
      <c r="B1835" s="1"/>
      <c r="C1835" s="1"/>
      <c r="D1835" s="223"/>
      <c r="E1835" s="223" t="s">
        <v>302</v>
      </c>
      <c r="F1835" s="223" t="str">
        <f t="shared" si="3192"/>
        <v>СуперСпорт</v>
      </c>
      <c r="G1835" s="223" t="s">
        <v>261</v>
      </c>
      <c r="H1835" s="354"/>
      <c r="I1835" s="355">
        <f>SUMIFS(операции!$Z:$Z,операции!$X:$X,"&gt;="&amp;I$8,операции!$X:$X,"&lt;="&amp;I$9,операции!$AB:$AB,"",операции!$O:$O,$F1792)</f>
        <v>53451</v>
      </c>
      <c r="J1835" s="341">
        <f>I1835-K1835-L1835</f>
        <v>0</v>
      </c>
      <c r="K1835" s="355">
        <f>SUMIFS(операции!$Z:$Z,операции!$X:$X,"&gt;="&amp;I$8,операции!$X:$X,"&lt;="&amp;I$9,операции!$AB:$AB,"",операции!$L:$L,K$9,операции!$O:$O,$F1792)</f>
        <v>26435</v>
      </c>
      <c r="L1835" s="356">
        <f>SUMIFS(операции!$Z:$Z,операции!$X:$X,"&gt;="&amp;I$8,операции!$X:$X,"&lt;="&amp;I$9,операции!$AB:$AB,"",операции!$L:$L,L$9,операции!$O:$O,$F1792)</f>
        <v>27016</v>
      </c>
      <c r="M1835" s="283"/>
      <c r="N1835" s="224">
        <f>SUMIFS(операции!$Z:$Z,операции!$X:$X,"&gt;="&amp;N$8,операции!$X:$X,"&lt;="&amp;N$9,операции!$AB:$AB,"",операции!$O:$O,$F1792)</f>
        <v>14738</v>
      </c>
      <c r="O1835" s="216">
        <f>N1835-P1835-Q1835</f>
        <v>0</v>
      </c>
      <c r="P1835" s="224">
        <f>SUMIFS(операции!$Z:$Z,операции!$X:$X,"&gt;="&amp;N$8,операции!$X:$X,"&lt;="&amp;N$9,операции!$AB:$AB,"",операции!$L:$L,P$9,операции!$O:$O,$F1792)</f>
        <v>13474</v>
      </c>
      <c r="Q1835" s="258">
        <f>SUMIFS(операции!$Z:$Z,операции!$X:$X,"&gt;="&amp;N$8,операции!$X:$X,"&lt;="&amp;N$9,операции!$AB:$AB,"",операции!$L:$L,Q$9,операции!$O:$O,$F1792)</f>
        <v>1264</v>
      </c>
      <c r="R1835" s="259"/>
      <c r="S1835" s="224">
        <f>SUMIFS(операции!$Z:$Z,операции!$X:$X,"&gt;="&amp;S$8,операции!$X:$X,"&lt;="&amp;S$9,операции!$AB:$AB,"",операции!$O:$O,$F1792)</f>
        <v>9752</v>
      </c>
      <c r="T1835" s="216">
        <f>S1835-U1835-V1835</f>
        <v>0</v>
      </c>
      <c r="U1835" s="224">
        <f>SUMIFS(операции!$Z:$Z,операции!$X:$X,"&gt;="&amp;S$8,операции!$X:$X,"&lt;="&amp;S$9,операции!$AB:$AB,"",операции!$L:$L,U$9,операции!$O:$O,$F1792)</f>
        <v>9752</v>
      </c>
      <c r="V1835" s="258">
        <f>SUMIFS(операции!$Z:$Z,операции!$X:$X,"&gt;="&amp;S$8,операции!$X:$X,"&lt;="&amp;S$9,операции!$AB:$AB,"",операции!$L:$L,V$9,операции!$O:$O,$F1792)</f>
        <v>0</v>
      </c>
      <c r="W1835" s="259"/>
      <c r="X1835" s="224">
        <f>SUMIFS(операции!$Z:$Z,операции!$X:$X,"&gt;="&amp;X$8,операции!$X:$X,"&lt;="&amp;X$9,операции!$AB:$AB,"",операции!$O:$O,$F1792)</f>
        <v>28961</v>
      </c>
      <c r="Y1835" s="216">
        <f>X1835-Z1835-AA1835</f>
        <v>0</v>
      </c>
      <c r="Z1835" s="224">
        <f>SUMIFS(операции!$Z:$Z,операции!$X:$X,"&gt;="&amp;X$8,операции!$X:$X,"&lt;="&amp;X$9,операции!$AB:$AB,"",операции!$L:$L,Z$9,операции!$O:$O,$F1792)</f>
        <v>3209</v>
      </c>
      <c r="AA1835" s="258">
        <f>SUMIFS(операции!$Z:$Z,операции!$X:$X,"&gt;="&amp;X$8,операции!$X:$X,"&lt;="&amp;X$9,операции!$AB:$AB,"",операции!$L:$L,AA$9,операции!$O:$O,$F1792)</f>
        <v>25752</v>
      </c>
      <c r="AB1835" s="266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</row>
    <row r="1836" spans="1:42" s="192" customFormat="1" ht="11.25">
      <c r="A1836" s="37"/>
      <c r="B1836" s="37"/>
      <c r="C1836" s="37"/>
      <c r="D1836" s="191"/>
      <c r="E1836" s="191" t="s">
        <v>303</v>
      </c>
      <c r="F1836" s="191" t="str">
        <f t="shared" si="3192"/>
        <v>СуперСпорт</v>
      </c>
      <c r="G1836" s="191" t="s">
        <v>262</v>
      </c>
      <c r="H1836" s="315"/>
      <c r="I1836" s="316">
        <f>IF(I1835=0,0,SUMIFS(операции!$AG:$AG,операции!$X:$X,"&gt;="&amp;I$8,операции!$X:$X,"&lt;="&amp;I$9,операции!$AB:$AB,"",операции!$O:$O,$F1792)/I1835)</f>
        <v>42328.404594862586</v>
      </c>
      <c r="J1836" s="317"/>
      <c r="K1836" s="316">
        <f>IF(K1835=0,0,SUMIFS(операции!$AG:$AG,операции!$X:$X,"&gt;="&amp;I$8,операции!$X:$X,"&lt;="&amp;I$9,операции!$AB:$AB,"",операции!$L:$L,K$9,операции!$O:$O,$F1792)/K1835)</f>
        <v>42315.95831284282</v>
      </c>
      <c r="L1836" s="318">
        <f>IF(L1835=0,0,SUMIFS(операции!$AG:$AG,операции!$X:$X,"&gt;="&amp;I$8,операции!$X:$X,"&lt;="&amp;I$9,операции!$AB:$AB,"",операции!$L:$L,L$9,операции!$O:$O,$F1792)/L1835)</f>
        <v>42340.583209949662</v>
      </c>
      <c r="M1836" s="274"/>
      <c r="N1836" s="193">
        <f>IF(N1835=0,0,SUMIFS(операции!$AG:$AG,операции!$X:$X,"&gt;="&amp;N$8,операции!$X:$X,"&lt;="&amp;N$9,операции!$AB:$AB,"",операции!$O:$O,$F1792)/N1835)</f>
        <v>42304.580811507665</v>
      </c>
      <c r="O1836" s="196"/>
      <c r="P1836" s="193">
        <f>IF(P1835=0,0,SUMIFS(операции!$AG:$AG,операции!$X:$X,"&gt;="&amp;N$8,операции!$X:$X,"&lt;="&amp;N$9,операции!$AB:$AB,"",операции!$L:$L,P$9,операции!$O:$O,$F1792)/P1835)</f>
        <v>42305.104349116817</v>
      </c>
      <c r="Q1836" s="237">
        <f>IF(Q1835=0,0,SUMIFS(операции!$AG:$AG,операции!$X:$X,"&gt;="&amp;N$8,операции!$X:$X,"&lt;="&amp;N$9,операции!$AB:$AB,"",операции!$L:$L,Q$9,операции!$O:$O,$F1792)/Q1835)</f>
        <v>42299</v>
      </c>
      <c r="R1836" s="238"/>
      <c r="S1836" s="193">
        <f>IF(S1835=0,0,SUMIFS(операции!$AG:$AG,операции!$X:$X,"&gt;="&amp;S$8,операции!$X:$X,"&lt;="&amp;S$9,операции!$AB:$AB,"",операции!$O:$O,$F1792)/S1835)</f>
        <v>42322.973031173089</v>
      </c>
      <c r="T1836" s="196"/>
      <c r="U1836" s="193">
        <f>IF(U1835=0,0,SUMIFS(операции!$AG:$AG,операции!$X:$X,"&gt;="&amp;S$8,операции!$X:$X,"&lt;="&amp;S$9,операции!$AB:$AB,"",операции!$L:$L,U$9,операции!$O:$O,$F1792)/U1835)</f>
        <v>42322.973031173089</v>
      </c>
      <c r="V1836" s="237">
        <f>IF(V1835=0,0,SUMIFS(операции!$AG:$AG,операции!$X:$X,"&gt;="&amp;S$8,операции!$X:$X,"&lt;="&amp;S$9,операции!$AB:$AB,"",операции!$L:$L,V$9,операции!$O:$O,$F1792)/V1835)</f>
        <v>0</v>
      </c>
      <c r="W1836" s="238"/>
      <c r="X1836" s="193">
        <f>IF(X1835=0,0,SUMIFS(операции!$AG:$AG,операции!$X:$X,"&gt;="&amp;X$8,операции!$X:$X,"&lt;="&amp;X$9,операции!$AB:$AB,"",операции!$O:$O,$F1792)/X1835)</f>
        <v>42342.357273574809</v>
      </c>
      <c r="Y1836" s="196"/>
      <c r="Z1836" s="193">
        <f>IF(Z1835=0,0,SUMIFS(операции!$AG:$AG,операции!$X:$X,"&gt;="&amp;X$8,операции!$X:$X,"&lt;="&amp;X$9,операции!$AB:$AB,"",операции!$L:$L,Z$9,операции!$O:$O,$F1792)/Z1835)</f>
        <v>42340.214708631975</v>
      </c>
      <c r="AA1836" s="237">
        <f>IF(AA1835=0,0,SUMIFS(операции!$AG:$AG,операции!$X:$X,"&gt;="&amp;X$8,операции!$X:$X,"&lt;="&amp;X$9,операции!$AB:$AB,"",операции!$L:$L,AA$9,операции!$O:$O,$F1792)/AA1835)</f>
        <v>42342.624262193225</v>
      </c>
      <c r="AB1836" s="265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37"/>
    </row>
    <row r="1837" spans="1:42" s="5" customFormat="1">
      <c r="A1837" s="1"/>
      <c r="B1837" s="1"/>
      <c r="C1837" s="1"/>
      <c r="D1837" s="168"/>
      <c r="E1837" s="168" t="s">
        <v>304</v>
      </c>
      <c r="F1837" s="168" t="str">
        <f t="shared" si="3192"/>
        <v>СуперСпорт</v>
      </c>
      <c r="G1837" s="168" t="s">
        <v>261</v>
      </c>
      <c r="H1837" s="326"/>
      <c r="I1837" s="327">
        <f>SUMIFS(операции!$V:$V,операции!$X:$X,"&gt;="&amp;I$8,операции!$X:$X,"&lt;="&amp;I$9,операции!$AB:$AB,"",операции!$O:$O,$F1792)</f>
        <v>48821.610000000015</v>
      </c>
      <c r="J1837" s="313">
        <f>I1837-K1837-L1837</f>
        <v>0</v>
      </c>
      <c r="K1837" s="327">
        <f>SUMIFS(операции!$V:$V,операции!$X:$X,"&gt;="&amp;I$8,операции!$X:$X,"&lt;="&amp;I$9,операции!$AB:$AB,"",операции!$L:$L,K$9,операции!$O:$O,$F1792)</f>
        <v>23684.449999999997</v>
      </c>
      <c r="L1837" s="328">
        <f>SUMIFS(операции!$V:$V,операции!$X:$X,"&gt;="&amp;I$8,операции!$X:$X,"&lt;="&amp;I$9,операции!$AB:$AB,"",операции!$L:$L,L$9,операции!$O:$O,$F1792)</f>
        <v>25137.160000000003</v>
      </c>
      <c r="M1837" s="277"/>
      <c r="N1837" s="169">
        <f>SUMIFS(операции!$V:$V,операции!$X:$X,"&gt;="&amp;N$8,операции!$X:$X,"&lt;="&amp;N$9,операции!$AB:$AB,"",операции!$O:$O,$F1792)</f>
        <v>12661.57</v>
      </c>
      <c r="O1837" s="170">
        <f>N1837-P1837-Q1837</f>
        <v>1.0231815394945443E-12</v>
      </c>
      <c r="P1837" s="169">
        <f>SUMIFS(операции!$V:$V,операции!$X:$X,"&gt;="&amp;N$8,операции!$X:$X,"&lt;="&amp;N$9,операции!$AB:$AB,"",операции!$L:$L,P$9,операции!$O:$O,$F1792)</f>
        <v>11866.689999999999</v>
      </c>
      <c r="Q1837" s="243">
        <f>SUMIFS(операции!$V:$V,операции!$X:$X,"&gt;="&amp;N$8,операции!$X:$X,"&lt;="&amp;N$9,операции!$AB:$AB,"",операции!$L:$L,Q$9,операции!$O:$O,$F1792)</f>
        <v>794.88</v>
      </c>
      <c r="R1837" s="244"/>
      <c r="S1837" s="169">
        <f>SUMIFS(операции!$V:$V,операции!$X:$X,"&gt;="&amp;S$8,операции!$X:$X,"&lt;="&amp;S$9,операции!$AB:$AB,"",операции!$O:$O,$F1792)</f>
        <v>8723.2000000000007</v>
      </c>
      <c r="T1837" s="170">
        <f>S1837-U1837-V1837</f>
        <v>0</v>
      </c>
      <c r="U1837" s="169">
        <f>SUMIFS(операции!$V:$V,операции!$X:$X,"&gt;="&amp;S$8,операции!$X:$X,"&lt;="&amp;S$9,операции!$AB:$AB,"",операции!$L:$L,U$9,операции!$O:$O,$F1792)</f>
        <v>8723.2000000000007</v>
      </c>
      <c r="V1837" s="243">
        <f>SUMIFS(операции!$V:$V,операции!$X:$X,"&gt;="&amp;S$8,операции!$X:$X,"&lt;="&amp;S$9,операции!$AB:$AB,"",операции!$L:$L,V$9,операции!$O:$O,$F1792)</f>
        <v>0</v>
      </c>
      <c r="W1837" s="244"/>
      <c r="X1837" s="169">
        <f>SUMIFS(операции!$V:$V,операции!$X:$X,"&gt;="&amp;X$8,операции!$X:$X,"&lt;="&amp;X$9,операции!$AB:$AB,"",операции!$O:$O,$F1792)</f>
        <v>27436.840000000004</v>
      </c>
      <c r="Y1837" s="170">
        <f>X1837-Z1837-AA1837</f>
        <v>0</v>
      </c>
      <c r="Z1837" s="169">
        <f>SUMIFS(операции!$V:$V,операции!$X:$X,"&gt;="&amp;X$8,операции!$X:$X,"&lt;="&amp;X$9,операции!$AB:$AB,"",операции!$L:$L,Z$9,операции!$O:$O,$F1792)</f>
        <v>3094.56</v>
      </c>
      <c r="AA1837" s="243">
        <f>SUMIFS(операции!$V:$V,операции!$X:$X,"&gt;="&amp;X$8,операции!$X:$X,"&lt;="&amp;X$9,операции!$AB:$AB,"",операции!$L:$L,AA$9,операции!$O:$O,$F1792)</f>
        <v>24342.280000000006</v>
      </c>
      <c r="AB1837" s="266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</row>
    <row r="1838" spans="1:42" s="192" customFormat="1" ht="11.25">
      <c r="A1838" s="37"/>
      <c r="B1838" s="37"/>
      <c r="C1838" s="37"/>
      <c r="D1838" s="191"/>
      <c r="E1838" s="191" t="s">
        <v>305</v>
      </c>
      <c r="F1838" s="191" t="str">
        <f t="shared" si="3192"/>
        <v>СуперСпорт</v>
      </c>
      <c r="G1838" s="191" t="s">
        <v>262</v>
      </c>
      <c r="H1838" s="315"/>
      <c r="I1838" s="316">
        <f>IF(I1837=0,0,SUMIFS(операции!$AF:$AF,операции!$X:$X,"&gt;="&amp;I$8,операции!$X:$X,"&lt;="&amp;I$9,операции!$AB:$AB,"",операции!$O:$O,$F1792)/I1837)</f>
        <v>42281.526230085401</v>
      </c>
      <c r="J1838" s="317"/>
      <c r="K1838" s="316">
        <f>IF(K1837=0,0,SUMIFS(операции!$AF:$AF,операции!$X:$X,"&gt;="&amp;I$8,операции!$X:$X,"&lt;="&amp;I$9,операции!$AB:$AB,"",операции!$L:$L,K$9,операции!$O:$O,$F1792)/K1837)</f>
        <v>42224.200303996928</v>
      </c>
      <c r="L1838" s="318">
        <f>IF(L1837=0,0,SUMIFS(операции!$AF:$AF,операции!$X:$X,"&gt;="&amp;I$8,операции!$X:$X,"&lt;="&amp;I$9,операции!$AB:$AB,"",операции!$L:$L,L$9,операции!$O:$O,$F1792)/L1837)</f>
        <v>42335.539214453805</v>
      </c>
      <c r="M1838" s="274"/>
      <c r="N1838" s="193">
        <f>IF(N1837=0,0,SUMIFS(операции!$AF:$AF,операции!$X:$X,"&gt;="&amp;N$8,операции!$X:$X,"&lt;="&amp;N$9,операции!$AB:$AB,"",операции!$O:$O,$F1792)/N1837)</f>
        <v>42218.261179300833</v>
      </c>
      <c r="O1838" s="196"/>
      <c r="P1838" s="193">
        <f>IF(P1837=0,0,SUMIFS(операции!$AF:$AF,операции!$X:$X,"&gt;="&amp;N$8,операции!$X:$X,"&lt;="&amp;N$9,операции!$AB:$AB,"",операции!$L:$L,P$9,операции!$O:$O,$F1792)/P1837)</f>
        <v>42213.120895548804</v>
      </c>
      <c r="Q1838" s="237">
        <f>IF(Q1837=0,0,SUMIFS(операции!$AF:$AF,операции!$X:$X,"&gt;="&amp;N$8,операции!$X:$X,"&lt;="&amp;N$9,операции!$AB:$AB,"",операции!$L:$L,Q$9,операции!$O:$O,$F1792)/Q1837)</f>
        <v>42295</v>
      </c>
      <c r="R1838" s="238"/>
      <c r="S1838" s="193">
        <f>IF(S1837=0,0,SUMIFS(операции!$AF:$AF,операции!$X:$X,"&gt;="&amp;S$8,операции!$X:$X,"&lt;="&amp;S$9,операции!$AB:$AB,"",операции!$O:$O,$F1792)/S1837)</f>
        <v>42245.347772606379</v>
      </c>
      <c r="T1838" s="196"/>
      <c r="U1838" s="193">
        <f>IF(U1837=0,0,SUMIFS(операции!$AF:$AF,операции!$X:$X,"&gt;="&amp;S$8,операции!$X:$X,"&lt;="&amp;S$9,операции!$AB:$AB,"",операции!$L:$L,U$9,операции!$O:$O,$F1792)/U1837)</f>
        <v>42245.347772606379</v>
      </c>
      <c r="V1838" s="237">
        <f>IF(V1837=0,0,SUMIFS(операции!$AF:$AF,операции!$X:$X,"&gt;="&amp;S$8,операции!$X:$X,"&lt;="&amp;S$9,операции!$AB:$AB,"",операции!$L:$L,V$9,операции!$O:$O,$F1792)/V1837)</f>
        <v>0</v>
      </c>
      <c r="W1838" s="238"/>
      <c r="X1838" s="193">
        <f>IF(X1837=0,0,SUMIFS(операции!$AF:$AF,операции!$X:$X,"&gt;="&amp;X$8,операции!$X:$X,"&lt;="&amp;X$9,операции!$AB:$AB,"",операции!$O:$O,$F1792)/X1837)</f>
        <v>42322.224313003964</v>
      </c>
      <c r="Y1838" s="196"/>
      <c r="Z1838" s="193">
        <f>IF(Z1837=0,0,SUMIFS(операции!$AF:$AF,операции!$X:$X,"&gt;="&amp;X$8,операции!$X:$X,"&lt;="&amp;X$9,операции!$AB:$AB,"",операции!$L:$L,Z$9,операции!$O:$O,$F1792)/Z1837)</f>
        <v>42207.074220567702</v>
      </c>
      <c r="AA1838" s="237">
        <f>IF(AA1837=0,0,SUMIFS(операции!$AF:$AF,операции!$X:$X,"&gt;="&amp;X$8,операции!$X:$X,"&lt;="&amp;X$9,операции!$AB:$AB,"",операции!$L:$L,AA$9,операции!$O:$O,$F1792)/AA1837)</f>
        <v>42336.862993934817</v>
      </c>
      <c r="AB1838" s="265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37"/>
    </row>
    <row r="1839" spans="1:42" s="192" customFormat="1" ht="11.25">
      <c r="A1839" s="37"/>
      <c r="B1839" s="37"/>
      <c r="C1839" s="37"/>
      <c r="D1839" s="191"/>
      <c r="E1839" s="191" t="s">
        <v>307</v>
      </c>
      <c r="F1839" s="191" t="str">
        <f t="shared" si="3192"/>
        <v>СуперСпорт</v>
      </c>
      <c r="G1839" s="191" t="s">
        <v>262</v>
      </c>
      <c r="H1839" s="315"/>
      <c r="I1839" s="316">
        <f>I$9</f>
        <v>42369</v>
      </c>
      <c r="J1839" s="317"/>
      <c r="K1839" s="316">
        <f>I$9</f>
        <v>42369</v>
      </c>
      <c r="L1839" s="318">
        <f>I$9</f>
        <v>42369</v>
      </c>
      <c r="M1839" s="274"/>
      <c r="N1839" s="193">
        <f>N$9</f>
        <v>42308</v>
      </c>
      <c r="O1839" s="196"/>
      <c r="P1839" s="193">
        <f>N$9</f>
        <v>42308</v>
      </c>
      <c r="Q1839" s="237">
        <f>N$9</f>
        <v>42308</v>
      </c>
      <c r="R1839" s="238"/>
      <c r="S1839" s="193">
        <f>S$9</f>
        <v>42338</v>
      </c>
      <c r="T1839" s="196"/>
      <c r="U1839" s="193">
        <f>S$9</f>
        <v>42338</v>
      </c>
      <c r="V1839" s="237">
        <f>S$9</f>
        <v>42338</v>
      </c>
      <c r="W1839" s="238"/>
      <c r="X1839" s="193">
        <f>X$9</f>
        <v>42369</v>
      </c>
      <c r="Y1839" s="196"/>
      <c r="Z1839" s="193">
        <f>X$9</f>
        <v>42369</v>
      </c>
      <c r="AA1839" s="237">
        <f>X$9</f>
        <v>42369</v>
      </c>
      <c r="AB1839" s="265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37"/>
    </row>
    <row r="1840" spans="1:42" s="5" customFormat="1">
      <c r="A1840" s="1"/>
      <c r="B1840" s="1"/>
      <c r="C1840" s="1"/>
      <c r="D1840" s="168"/>
      <c r="E1840" s="168" t="s">
        <v>380</v>
      </c>
      <c r="F1840" s="168" t="str">
        <f t="shared" si="3192"/>
        <v>СуперСпорт</v>
      </c>
      <c r="G1840" s="168" t="s">
        <v>261</v>
      </c>
      <c r="H1840" s="326"/>
      <c r="I1840" s="327">
        <f>I1835-I1837</f>
        <v>4629.3899999999849</v>
      </c>
      <c r="J1840" s="313">
        <f>I1840-K1840-L1840</f>
        <v>-1.4551915228366852E-11</v>
      </c>
      <c r="K1840" s="327">
        <f t="shared" ref="K1840:L1840" si="3297">K1835-K1837</f>
        <v>2750.5500000000029</v>
      </c>
      <c r="L1840" s="328">
        <f t="shared" si="3297"/>
        <v>1878.8399999999965</v>
      </c>
      <c r="M1840" s="277"/>
      <c r="N1840" s="169">
        <f>N1835-N1837</f>
        <v>2076.4300000000003</v>
      </c>
      <c r="O1840" s="170">
        <f>N1840-P1840-Q1840</f>
        <v>-1.0231815394945443E-12</v>
      </c>
      <c r="P1840" s="169">
        <f t="shared" ref="P1840:Q1840" si="3298">P1835-P1837</f>
        <v>1607.3100000000013</v>
      </c>
      <c r="Q1840" s="243">
        <f t="shared" si="3298"/>
        <v>469.12</v>
      </c>
      <c r="R1840" s="244"/>
      <c r="S1840" s="169">
        <f>S1835-S1837</f>
        <v>1028.7999999999993</v>
      </c>
      <c r="T1840" s="170">
        <f>S1840-U1840-V1840</f>
        <v>0</v>
      </c>
      <c r="U1840" s="169">
        <f t="shared" ref="U1840:V1840" si="3299">U1835-U1837</f>
        <v>1028.7999999999993</v>
      </c>
      <c r="V1840" s="243">
        <f t="shared" si="3299"/>
        <v>0</v>
      </c>
      <c r="W1840" s="244"/>
      <c r="X1840" s="169">
        <f>X1835-X1837</f>
        <v>1524.1599999999962</v>
      </c>
      <c r="Y1840" s="170">
        <f>X1840-Z1840-AA1840</f>
        <v>2.2737367544323206E-12</v>
      </c>
      <c r="Z1840" s="169">
        <f t="shared" ref="Z1840:AA1840" si="3300">Z1835-Z1837</f>
        <v>114.44000000000005</v>
      </c>
      <c r="AA1840" s="243">
        <f t="shared" si="3300"/>
        <v>1409.7199999999939</v>
      </c>
      <c r="AB1840" s="266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</row>
    <row r="1841" spans="1:42" s="211" customFormat="1">
      <c r="A1841" s="210"/>
      <c r="B1841" s="210"/>
      <c r="C1841" s="210"/>
      <c r="D1841" s="218"/>
      <c r="E1841" s="218" t="s">
        <v>381</v>
      </c>
      <c r="F1841" s="218" t="str">
        <f t="shared" si="3192"/>
        <v>СуперСпорт</v>
      </c>
      <c r="G1841" s="218" t="s">
        <v>218</v>
      </c>
      <c r="H1841" s="343"/>
      <c r="I1841" s="344">
        <f>IF(I1835=0,0,(I1840/I1835))</f>
        <v>8.6609979233316217E-2</v>
      </c>
      <c r="J1841" s="345"/>
      <c r="K1841" s="344">
        <f t="shared" ref="K1841" si="3301">IF(K1835=0,0,(K1840/K1835))</f>
        <v>0.10404955551352385</v>
      </c>
      <c r="L1841" s="346">
        <f t="shared" ref="L1841" si="3302">IF(L1835=0,0,(L1840/L1835))</f>
        <v>6.954545454545441E-2</v>
      </c>
      <c r="M1841" s="280"/>
      <c r="N1841" s="219">
        <f>IF(N1835=0,0,(N1840/N1835))</f>
        <v>0.14088953725064463</v>
      </c>
      <c r="O1841" s="220"/>
      <c r="P1841" s="219">
        <f t="shared" ref="P1841" si="3303">IF(P1835=0,0,(P1840/P1835))</f>
        <v>0.11928974320914364</v>
      </c>
      <c r="Q1841" s="252">
        <f t="shared" ref="Q1841" si="3304">IF(Q1835=0,0,(Q1840/Q1835))</f>
        <v>0.37113924050632913</v>
      </c>
      <c r="R1841" s="253"/>
      <c r="S1841" s="219">
        <f>IF(S1835=0,0,(S1840/S1835))</f>
        <v>0.10549630844954874</v>
      </c>
      <c r="T1841" s="220"/>
      <c r="U1841" s="219">
        <f t="shared" ref="U1841" si="3305">IF(U1835=0,0,(U1840/U1835))</f>
        <v>0.10549630844954874</v>
      </c>
      <c r="V1841" s="252">
        <f t="shared" ref="V1841" si="3306">IF(V1835=0,0,(V1840/V1835))</f>
        <v>0</v>
      </c>
      <c r="W1841" s="253"/>
      <c r="X1841" s="219">
        <f>IF(X1835=0,0,(X1840/X1835))</f>
        <v>5.262801698836353E-2</v>
      </c>
      <c r="Y1841" s="220"/>
      <c r="Z1841" s="219">
        <f t="shared" ref="Z1841" si="3307">IF(Z1835=0,0,(Z1840/Z1835))</f>
        <v>3.5662200062324727E-2</v>
      </c>
      <c r="AA1841" s="252">
        <f t="shared" ref="AA1841" si="3308">IF(AA1835=0,0,(AA1840/AA1835))</f>
        <v>5.4742155949052261E-2</v>
      </c>
      <c r="AB1841" s="267"/>
      <c r="AC1841" s="210"/>
      <c r="AD1841" s="210"/>
      <c r="AE1841" s="210"/>
      <c r="AF1841" s="210"/>
      <c r="AG1841" s="210"/>
      <c r="AH1841" s="210"/>
      <c r="AI1841" s="210"/>
      <c r="AJ1841" s="210"/>
      <c r="AK1841" s="210"/>
      <c r="AL1841" s="210"/>
      <c r="AM1841" s="210"/>
      <c r="AN1841" s="210"/>
      <c r="AO1841" s="210"/>
      <c r="AP1841" s="210"/>
    </row>
    <row r="1842" spans="1:42" s="5" customFormat="1">
      <c r="A1842" s="1"/>
      <c r="B1842" s="1"/>
      <c r="C1842" s="1"/>
      <c r="D1842" s="227"/>
      <c r="E1842" s="227" t="s">
        <v>306</v>
      </c>
      <c r="F1842" s="227" t="str">
        <f t="shared" si="3192"/>
        <v>СуперСпорт</v>
      </c>
      <c r="G1842" s="227" t="s">
        <v>219</v>
      </c>
      <c r="H1842" s="347"/>
      <c r="I1842" s="348">
        <f>I1836-I1838</f>
        <v>46.878364777185197</v>
      </c>
      <c r="J1842" s="321"/>
      <c r="K1842" s="348">
        <f t="shared" ref="K1842:L1842" si="3309">K1836-K1838</f>
        <v>91.758008845892618</v>
      </c>
      <c r="L1842" s="349">
        <f t="shared" si="3309"/>
        <v>5.0439954958565067</v>
      </c>
      <c r="M1842" s="281"/>
      <c r="N1842" s="228">
        <f>N1836-N1838</f>
        <v>86.319632206832466</v>
      </c>
      <c r="O1842" s="173"/>
      <c r="P1842" s="228">
        <f t="shared" ref="P1842:Q1842" si="3310">P1836-P1838</f>
        <v>91.983453568012919</v>
      </c>
      <c r="Q1842" s="254">
        <f t="shared" si="3310"/>
        <v>4</v>
      </c>
      <c r="R1842" s="255"/>
      <c r="S1842" s="228">
        <f>S1836-S1838</f>
        <v>77.625258566709817</v>
      </c>
      <c r="T1842" s="173"/>
      <c r="U1842" s="228">
        <f t="shared" ref="U1842:V1842" si="3311">U1836-U1838</f>
        <v>77.625258566709817</v>
      </c>
      <c r="V1842" s="254">
        <f t="shared" si="3311"/>
        <v>0</v>
      </c>
      <c r="W1842" s="255"/>
      <c r="X1842" s="228">
        <f>X1836-X1838</f>
        <v>20.132960570845171</v>
      </c>
      <c r="Y1842" s="173"/>
      <c r="Z1842" s="228">
        <f t="shared" ref="Z1842:AA1842" si="3312">Z1836-Z1838</f>
        <v>133.14048806427309</v>
      </c>
      <c r="AA1842" s="254">
        <f t="shared" si="3312"/>
        <v>5.7612682584076538</v>
      </c>
      <c r="AB1842" s="266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</row>
    <row r="1843" spans="1:42" s="5" customFormat="1">
      <c r="A1843" s="1"/>
      <c r="B1843" s="1"/>
      <c r="C1843" s="1"/>
      <c r="D1843" s="227"/>
      <c r="E1843" s="227" t="s">
        <v>382</v>
      </c>
      <c r="F1843" s="227" t="str">
        <f t="shared" si="3192"/>
        <v>СуперСпорт</v>
      </c>
      <c r="G1843" s="227" t="s">
        <v>219</v>
      </c>
      <c r="H1843" s="347"/>
      <c r="I1843" s="348">
        <f>I1839-I1838</f>
        <v>87.473769914598961</v>
      </c>
      <c r="J1843" s="321"/>
      <c r="K1843" s="348">
        <f t="shared" ref="K1843:L1843" si="3313">K1839-K1838</f>
        <v>144.79969600307231</v>
      </c>
      <c r="L1843" s="349">
        <f t="shared" si="3313"/>
        <v>33.460785546194529</v>
      </c>
      <c r="M1843" s="281"/>
      <c r="N1843" s="228">
        <f>N1839-N1838</f>
        <v>89.738820699167263</v>
      </c>
      <c r="O1843" s="173"/>
      <c r="P1843" s="228">
        <f t="shared" ref="P1843:Q1843" si="3314">P1839-P1838</f>
        <v>94.879104451196326</v>
      </c>
      <c r="Q1843" s="254">
        <f t="shared" si="3314"/>
        <v>13</v>
      </c>
      <c r="R1843" s="255"/>
      <c r="S1843" s="228">
        <f>S1839-S1838</f>
        <v>92.652227393620706</v>
      </c>
      <c r="T1843" s="173"/>
      <c r="U1843" s="228">
        <f t="shared" ref="U1843:V1843" si="3315">U1839-U1838</f>
        <v>92.652227393620706</v>
      </c>
      <c r="V1843" s="254">
        <f t="shared" si="3315"/>
        <v>42338</v>
      </c>
      <c r="W1843" s="255"/>
      <c r="X1843" s="228">
        <f>X1839-X1838</f>
        <v>46.775686996035802</v>
      </c>
      <c r="Y1843" s="173"/>
      <c r="Z1843" s="228">
        <f t="shared" ref="Z1843:AA1843" si="3316">Z1839-Z1838</f>
        <v>161.92577943229844</v>
      </c>
      <c r="AA1843" s="254">
        <f t="shared" si="3316"/>
        <v>32.137006065182504</v>
      </c>
      <c r="AB1843" s="266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</row>
    <row r="1844" spans="1:42" s="5" customFormat="1">
      <c r="A1844" s="1"/>
      <c r="B1844" s="1"/>
      <c r="C1844" s="1"/>
      <c r="D1844" s="225"/>
      <c r="E1844" s="225" t="s">
        <v>383</v>
      </c>
      <c r="F1844" s="225" t="str">
        <f t="shared" si="3192"/>
        <v>СуперСпорт</v>
      </c>
      <c r="G1844" s="225" t="s">
        <v>219</v>
      </c>
      <c r="H1844" s="350"/>
      <c r="I1844" s="351">
        <f>I1842-I1843</f>
        <v>-40.595405137413763</v>
      </c>
      <c r="J1844" s="352"/>
      <c r="K1844" s="351">
        <f t="shared" ref="K1844" si="3317">K1842-K1843</f>
        <v>-53.041687157179695</v>
      </c>
      <c r="L1844" s="353">
        <f t="shared" ref="L1844" si="3318">L1842-L1843</f>
        <v>-28.416790050338022</v>
      </c>
      <c r="M1844" s="282"/>
      <c r="N1844" s="226">
        <f>N1842-N1843</f>
        <v>-3.419188492334797</v>
      </c>
      <c r="O1844" s="181"/>
      <c r="P1844" s="226">
        <f t="shared" ref="P1844" si="3319">P1842-P1843</f>
        <v>-2.8956508831834071</v>
      </c>
      <c r="Q1844" s="256">
        <f t="shared" ref="Q1844" si="3320">Q1842-Q1843</f>
        <v>-9</v>
      </c>
      <c r="R1844" s="257"/>
      <c r="S1844" s="226">
        <f>S1842-S1843</f>
        <v>-15.026968826910888</v>
      </c>
      <c r="T1844" s="181"/>
      <c r="U1844" s="226">
        <f t="shared" ref="U1844" si="3321">U1842-U1843</f>
        <v>-15.026968826910888</v>
      </c>
      <c r="V1844" s="256">
        <f t="shared" ref="V1844" si="3322">V1842-V1843</f>
        <v>-42338</v>
      </c>
      <c r="W1844" s="257"/>
      <c r="X1844" s="226">
        <f>X1842-X1843</f>
        <v>-26.642726425190631</v>
      </c>
      <c r="Y1844" s="181"/>
      <c r="Z1844" s="226">
        <f t="shared" ref="Z1844" si="3323">Z1842-Z1843</f>
        <v>-28.785291368025355</v>
      </c>
      <c r="AA1844" s="256">
        <f t="shared" ref="AA1844" si="3324">AA1842-AA1843</f>
        <v>-26.37573780677485</v>
      </c>
      <c r="AB1844" s="266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</row>
    <row r="1845" spans="1:42" s="5" customFormat="1">
      <c r="A1845" s="1"/>
      <c r="B1845" s="1"/>
      <c r="C1845" s="1"/>
      <c r="D1845" s="168" t="s">
        <v>312</v>
      </c>
      <c r="E1845" s="168"/>
      <c r="F1845" s="168" t="str">
        <f t="shared" si="3192"/>
        <v>СуперСпорт</v>
      </c>
      <c r="G1845" s="168" t="s">
        <v>261</v>
      </c>
      <c r="H1845" s="326"/>
      <c r="I1845" s="327">
        <f>SUMIFS(операции!$AC:$AC,операции!$AB:$AB,"&gt;="&amp;I$8,операции!$AB:$AB,"&lt;="&amp;I$9,операции!$O:$O,$F1792)</f>
        <v>93703.139999999985</v>
      </c>
      <c r="J1845" s="313">
        <f>I1845-K1845-L1845</f>
        <v>0</v>
      </c>
      <c r="K1845" s="327">
        <f>SUMIFS(операции!$AC:$AC,операции!$AB:$AB,"&gt;="&amp;I$8,операции!$AB:$AB,"&lt;="&amp;I$9,операции!$L:$L,K$9,операции!$O:$O,$F1792)</f>
        <v>30529.119999999999</v>
      </c>
      <c r="L1845" s="328">
        <f>SUMIFS(операции!$AC:$AC,операции!$AB:$AB,"&gt;="&amp;I$8,операции!$AB:$AB,"&lt;="&amp;I$9,операции!$L:$L,L$9,операции!$O:$O,$F1792)</f>
        <v>63174.02</v>
      </c>
      <c r="M1845" s="277"/>
      <c r="N1845" s="169">
        <f>SUMIFS(операции!$AC:$AC,операции!$AB:$AB,"&gt;="&amp;N$8,операции!$AB:$AB,"&lt;="&amp;N$9,операции!$O:$O,$F1792)</f>
        <v>24793.52</v>
      </c>
      <c r="O1845" s="170">
        <f>N1845-P1845-Q1845</f>
        <v>0</v>
      </c>
      <c r="P1845" s="169">
        <f>SUMIFS(операции!$AC:$AC,операции!$AB:$AB,"&gt;="&amp;N$8,операции!$AB:$AB,"&lt;="&amp;N$9,операции!$L:$L,P$9,операции!$O:$O,$F1792)</f>
        <v>23286.63</v>
      </c>
      <c r="Q1845" s="243">
        <f>SUMIFS(операции!$AC:$AC,операции!$AB:$AB,"&gt;="&amp;N$8,операции!$AB:$AB,"&lt;="&amp;N$9,операции!$L:$L,Q$9,операции!$O:$O,$F1792)</f>
        <v>1506.89</v>
      </c>
      <c r="R1845" s="244"/>
      <c r="S1845" s="169">
        <f>SUMIFS(операции!$AC:$AC,операции!$AB:$AB,"&gt;="&amp;S$8,операции!$AB:$AB,"&lt;="&amp;S$9,операции!$O:$O,$F1792)</f>
        <v>18131.96</v>
      </c>
      <c r="T1845" s="170">
        <f>S1845-U1845-V1845</f>
        <v>0</v>
      </c>
      <c r="U1845" s="169">
        <f>SUMIFS(операции!$AC:$AC,операции!$AB:$AB,"&gt;="&amp;S$8,операции!$AB:$AB,"&lt;="&amp;S$9,операции!$L:$L,U$9,операции!$O:$O,$F1792)</f>
        <v>7242.4900000000007</v>
      </c>
      <c r="V1845" s="243">
        <f>SUMIFS(операции!$AC:$AC,операции!$AB:$AB,"&gt;="&amp;S$8,операции!$AB:$AB,"&lt;="&amp;S$9,операции!$L:$L,V$9,операции!$O:$O,$F1792)</f>
        <v>10889.470000000001</v>
      </c>
      <c r="W1845" s="244"/>
      <c r="X1845" s="169">
        <f>SUMIFS(операции!$AC:$AC,операции!$AB:$AB,"&gt;="&amp;X$8,операции!$AB:$AB,"&lt;="&amp;X$9,операции!$O:$O,$F1792)</f>
        <v>50777.660000000011</v>
      </c>
      <c r="Y1845" s="170">
        <f>X1845-Z1845-AA1845</f>
        <v>0</v>
      </c>
      <c r="Z1845" s="169">
        <f>SUMIFS(операции!$AC:$AC,операции!$AB:$AB,"&gt;="&amp;X$8,операции!$AB:$AB,"&lt;="&amp;X$9,операции!$L:$L,Z$9,операции!$O:$O,$F1792)</f>
        <v>0</v>
      </c>
      <c r="AA1845" s="243">
        <f>SUMIFS(операции!$AC:$AC,операции!$AB:$AB,"&gt;="&amp;X$8,операции!$AB:$AB,"&lt;="&amp;X$9,операции!$L:$L,AA$9,операции!$O:$O,$F1792)</f>
        <v>50777.660000000011</v>
      </c>
      <c r="AB1845" s="266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</row>
    <row r="1846" spans="1:42" s="192" customFormat="1" ht="11.25">
      <c r="A1846" s="37"/>
      <c r="B1846" s="37"/>
      <c r="C1846" s="37"/>
      <c r="D1846" s="207" t="s">
        <v>255</v>
      </c>
      <c r="E1846" s="207"/>
      <c r="F1846" s="207" t="str">
        <f t="shared" si="3192"/>
        <v>СуперСпорт</v>
      </c>
      <c r="G1846" s="207" t="s">
        <v>262</v>
      </c>
      <c r="H1846" s="331"/>
      <c r="I1846" s="337">
        <f>IF(I1845=0,0,SUMIFS(операции!$AH:$AH,операции!$AB:$AB,"&gt;="&amp;I$8,операции!$AB:$AB,"&lt;="&amp;I$9,операции!$O:$O,$F1792)/I1845)</f>
        <v>42329.93750060031</v>
      </c>
      <c r="J1846" s="333"/>
      <c r="K1846" s="337">
        <f>IF(K1845=0,0,SUMIFS(операции!$AH:$AH,операции!$AB:$AB,"&gt;="&amp;I$8,операции!$AB:$AB,"&lt;="&amp;I$9,операции!$L:$L,K$9,операции!$O:$O,$F1792)/K1845)</f>
        <v>42292.736389060672</v>
      </c>
      <c r="L1846" s="338">
        <f>IF(L1845=0,0,SUMIFS(операции!$AH:$AH,операции!$AB:$AB,"&gt;="&amp;I$8,операции!$AB:$AB,"&lt;="&amp;I$9,операции!$L:$L,L$9,операции!$O:$O,$F1792)/L1845)</f>
        <v>42347.915099593163</v>
      </c>
      <c r="M1846" s="278"/>
      <c r="N1846" s="217">
        <f>IF(N1845=0,0,SUMIFS(операции!$AH:$AH,операции!$AB:$AB,"&gt;="&amp;N$8,операции!$AB:$AB,"&lt;="&amp;N$9,операции!$O:$O,$F1792)/N1845)</f>
        <v>42286.909254514889</v>
      </c>
      <c r="O1846" s="208"/>
      <c r="P1846" s="217">
        <f>IF(P1845=0,0,SUMIFS(операции!$AH:$AH,операции!$AB:$AB,"&gt;="&amp;N$8,операции!$AB:$AB,"&lt;="&amp;N$9,операции!$L:$L,P$9,операции!$O:$O,$F1792)/P1845)</f>
        <v>42286.06214553157</v>
      </c>
      <c r="Q1846" s="249">
        <f>IF(Q1845=0,0,SUMIFS(операции!$AH:$AH,операции!$AB:$AB,"&gt;="&amp;N$8,операции!$AB:$AB,"&lt;="&amp;N$9,операции!$L:$L,Q$9,операции!$O:$O,$F1792)/Q1845)</f>
        <v>42300</v>
      </c>
      <c r="R1846" s="247"/>
      <c r="S1846" s="217">
        <f>IF(S1845=0,0,SUMIFS(операции!$AH:$AH,операции!$AB:$AB,"&gt;="&amp;S$8,операции!$AB:$AB,"&lt;="&amp;S$9,операции!$O:$O,$F1792)/S1845)</f>
        <v>42320.21885775173</v>
      </c>
      <c r="T1846" s="208"/>
      <c r="U1846" s="217">
        <f>IF(U1845=0,0,SUMIFS(операции!$AH:$AH,операции!$AB:$AB,"&gt;="&amp;S$8,операции!$AB:$AB,"&lt;="&amp;S$9,операции!$L:$L,U$9,операции!$O:$O,$F1792)/U1845)</f>
        <v>42314.19594780248</v>
      </c>
      <c r="V1846" s="249">
        <f>IF(V1845=0,0,SUMIFS(операции!$AH:$AH,операции!$AB:$AB,"&gt;="&amp;S$8,операции!$AB:$AB,"&lt;="&amp;S$9,операции!$L:$L,V$9,операции!$O:$O,$F1792)/V1845)</f>
        <v>42324.224641786976</v>
      </c>
      <c r="W1846" s="247"/>
      <c r="X1846" s="217">
        <f>IF(X1845=0,0,SUMIFS(операции!$AH:$AH,операции!$AB:$AB,"&gt;="&amp;X$8,операции!$AB:$AB,"&lt;="&amp;X$9,операции!$O:$O,$F1792)/X1845)</f>
        <v>42354.417551931292</v>
      </c>
      <c r="Y1846" s="208"/>
      <c r="Z1846" s="217">
        <f>IF(Z1845=0,0,SUMIFS(операции!$AH:$AH,операции!$AB:$AB,"&gt;="&amp;X$8,операции!$AB:$AB,"&lt;="&amp;X$9,операции!$L:$L,Z$9,операции!$O:$O,$F1792)/Z1845)</f>
        <v>0</v>
      </c>
      <c r="AA1846" s="249">
        <f>IF(AA1845=0,0,SUMIFS(операции!$AH:$AH,операции!$AB:$AB,"&gt;="&amp;X$8,операции!$AB:$AB,"&lt;="&amp;X$9,операции!$L:$L,AA$9,операции!$O:$O,$F1792)/AA1845)</f>
        <v>42354.417551931292</v>
      </c>
      <c r="AB1846" s="265"/>
      <c r="AC1846" s="37"/>
      <c r="AD1846" s="37"/>
      <c r="AE1846" s="37"/>
      <c r="AF1846" s="37"/>
      <c r="AG1846" s="37"/>
      <c r="AH1846" s="37"/>
      <c r="AI1846" s="37"/>
      <c r="AJ1846" s="37"/>
      <c r="AK1846" s="37"/>
      <c r="AL1846" s="37"/>
      <c r="AM1846" s="37"/>
      <c r="AN1846" s="37"/>
      <c r="AO1846" s="37"/>
      <c r="AP1846" s="37"/>
    </row>
    <row r="1847" spans="1:42" s="111" customFormat="1" ht="11.25">
      <c r="A1847" s="108"/>
      <c r="B1847" s="108"/>
      <c r="C1847" s="209" t="s">
        <v>279</v>
      </c>
      <c r="D1847" s="109"/>
      <c r="E1847" s="109"/>
      <c r="F1847" s="109" t="str">
        <f t="shared" si="3192"/>
        <v>СуперСпорт</v>
      </c>
      <c r="G1847" s="109"/>
      <c r="H1847" s="307"/>
      <c r="I1847" s="308">
        <f>I1848-K1848-L1848+K1847+L1847</f>
        <v>2.7284841053187847E-12</v>
      </c>
      <c r="J1847" s="309">
        <f>I1792+I1810-I1817-I1848</f>
        <v>1.964508555829525E-10</v>
      </c>
      <c r="K1847" s="308">
        <f>K1792+K1810-K1817-K1848</f>
        <v>0</v>
      </c>
      <c r="L1847" s="336">
        <f>L1792+L1810-L1817-L1848</f>
        <v>0</v>
      </c>
      <c r="M1847" s="272"/>
      <c r="N1847" s="110">
        <f>N1848-P1848-Q1848</f>
        <v>-5.9117155615240335E-12</v>
      </c>
      <c r="O1847" s="215">
        <f>N1792+N1810-N1817-N1848</f>
        <v>0</v>
      </c>
      <c r="P1847" s="110">
        <f>P1792+P1810-P1817-P1848</f>
        <v>0</v>
      </c>
      <c r="Q1847" s="248">
        <f>Q1792+Q1810-Q1817-Q1848</f>
        <v>0</v>
      </c>
      <c r="R1847" s="234"/>
      <c r="S1847" s="110">
        <f>S1848-U1848-V1848</f>
        <v>0</v>
      </c>
      <c r="T1847" s="215">
        <f>S1792+S1810-S1817-S1848</f>
        <v>0</v>
      </c>
      <c r="U1847" s="110">
        <f>U1792+U1810-U1817-U1848</f>
        <v>0</v>
      </c>
      <c r="V1847" s="248">
        <f>V1792+V1810-V1817-V1848</f>
        <v>0</v>
      </c>
      <c r="W1847" s="234"/>
      <c r="X1847" s="110">
        <f>X1848-Z1848-AA1848</f>
        <v>0</v>
      </c>
      <c r="Y1847" s="215">
        <f>X1792+X1810-X1817-X1848</f>
        <v>0</v>
      </c>
      <c r="Z1847" s="110">
        <f>Z1792+Z1810-Z1817-Z1848</f>
        <v>0</v>
      </c>
      <c r="AA1847" s="248">
        <f>AA1792+AA1810-AA1817-AA1848</f>
        <v>0</v>
      </c>
      <c r="AB1847" s="263"/>
      <c r="AC1847" s="108"/>
      <c r="AD1847" s="108"/>
      <c r="AE1847" s="108"/>
      <c r="AF1847" s="108"/>
      <c r="AG1847" s="108"/>
      <c r="AH1847" s="108"/>
      <c r="AI1847" s="108"/>
      <c r="AJ1847" s="108"/>
      <c r="AK1847" s="108"/>
      <c r="AL1847" s="108"/>
      <c r="AM1847" s="108"/>
      <c r="AN1847" s="108"/>
      <c r="AO1847" s="108"/>
      <c r="AP1847" s="108"/>
    </row>
    <row r="1848" spans="1:42" s="93" customFormat="1" ht="15">
      <c r="A1848" s="92"/>
      <c r="B1848" s="92"/>
      <c r="C1848" s="214"/>
      <c r="D1848" s="151" t="s">
        <v>238</v>
      </c>
      <c r="E1848" s="151"/>
      <c r="F1848" s="151" t="str">
        <f t="shared" si="3192"/>
        <v>СуперСпорт</v>
      </c>
      <c r="G1848" s="151" t="s">
        <v>261</v>
      </c>
      <c r="H1848" s="311"/>
      <c r="I1848" s="312">
        <f>SUMIFS(операции!$V:$V,операции!$T:$T,"&lt;="&amp;I$9,операции!$X:$X,"",операции!$O:$O,$F1792)+SUMIFS(операции!$V:$V,операции!$T:$T,"&lt;="&amp;I$9,операции!$X:$X,"&gt;"&amp;I$9,операции!$O:$O,$F1792)</f>
        <v>60714.090000000004</v>
      </c>
      <c r="J1848" s="313">
        <f>I1848-I1853-I1859</f>
        <v>0</v>
      </c>
      <c r="K1848" s="312">
        <f>SUMIFS(операции!$V:$V,операции!$T:$T,"&lt;="&amp;I$9,операции!$X:$X,"",операции!$L:$L,K$9,операции!$O:$O,$F1792)+SUMIFS(операции!$V:$V,операции!$T:$T,"&lt;="&amp;I$9,операции!$X:$X,"&gt;"&amp;I$9,операции!$L:$L,K$9,операции!$O:$O,$F1792)</f>
        <v>56091.4</v>
      </c>
      <c r="L1848" s="314">
        <f>SUMIFS(операции!$V:$V,операции!$T:$T,"&lt;="&amp;I$9,операции!$X:$X,"",операции!$L:$L,L$9,операции!$O:$O,$F1792)+SUMIFS(операции!$V:$V,операции!$T:$T,"&lt;="&amp;I$9,операции!$X:$X,"&gt;"&amp;I$9,операции!$L:$L,L$9,операции!$O:$O,$F1792)</f>
        <v>4622.6899999999996</v>
      </c>
      <c r="M1848" s="273"/>
      <c r="N1848" s="152">
        <f>SUMIFS(операции!$V:$V,операции!$T:$T,"&lt;="&amp;N$9,операции!$X:$X,"",операции!$O:$O,$F1792)+SUMIFS(операции!$V:$V,операции!$T:$T,"&lt;="&amp;N$9,операции!$X:$X,"&gt;"&amp;N$9,операции!$O:$O,$F1792)</f>
        <v>125655.20999999999</v>
      </c>
      <c r="O1848" s="170">
        <f>N1848-N1853-N1859</f>
        <v>0</v>
      </c>
      <c r="P1848" s="152">
        <f>SUMIFS(операции!$V:$V,операции!$T:$T,"&lt;="&amp;N$9,операции!$X:$X,"",операции!$L:$L,P$9,операции!$O:$O,$F1792)+SUMIFS(операции!$V:$V,операции!$T:$T,"&lt;="&amp;N$9,операции!$X:$X,"&gt;"&amp;N$9,операции!$L:$L,P$9,операции!$O:$O,$F1792)</f>
        <v>122679.81</v>
      </c>
      <c r="Q1848" s="235">
        <f>SUMIFS(операции!$V:$V,операции!$T:$T,"&lt;="&amp;N$9,операции!$X:$X,"",операции!$L:$L,Q$9,операции!$O:$O,$F1792)+SUMIFS(операции!$V:$V,операции!$T:$T,"&lt;="&amp;N$9,операции!$X:$X,"&gt;"&amp;N$9,операции!$L:$L,Q$9,операции!$O:$O,$F1792)</f>
        <v>2975.4</v>
      </c>
      <c r="R1848" s="236"/>
      <c r="S1848" s="152">
        <f>SUMIFS(операции!$V:$V,операции!$T:$T,"&lt;="&amp;S$9,операции!$X:$X,"",операции!$O:$O,$F1792)+SUMIFS(операции!$V:$V,операции!$T:$T,"&lt;="&amp;S$9,операции!$X:$X,"&gt;"&amp;S$9,операции!$O:$O,$F1792)</f>
        <v>126155.5</v>
      </c>
      <c r="T1848" s="170">
        <f>S1848-S1853-S1859</f>
        <v>0</v>
      </c>
      <c r="U1848" s="152">
        <f>SUMIFS(операции!$V:$V,операции!$T:$T,"&lt;="&amp;S$9,операции!$X:$X,"",операции!$L:$L,U$9,операции!$O:$O,$F1792)+SUMIFS(операции!$V:$V,операции!$T:$T,"&lt;="&amp;S$9,операции!$X:$X,"&gt;"&amp;S$9,операции!$L:$L,U$9,операции!$O:$O,$F1792)</f>
        <v>66500.66</v>
      </c>
      <c r="V1848" s="235">
        <f>SUMIFS(операции!$V:$V,операции!$T:$T,"&lt;="&amp;S$9,операции!$X:$X,"",операции!$L:$L,V$9,операции!$O:$O,$F1792)+SUMIFS(операции!$V:$V,операции!$T:$T,"&lt;="&amp;S$9,операции!$X:$X,"&gt;"&amp;S$9,операции!$L:$L,V$9,операции!$O:$O,$F1792)</f>
        <v>59654.840000000011</v>
      </c>
      <c r="W1848" s="236"/>
      <c r="X1848" s="152">
        <f>SUMIFS(операции!$V:$V,операции!$T:$T,"&lt;="&amp;X$9,операции!$X:$X,"",операции!$O:$O,$F1792)+SUMIFS(операции!$V:$V,операции!$T:$T,"&lt;="&amp;X$9,операции!$X:$X,"&gt;"&amp;X$9,операции!$O:$O,$F1792)</f>
        <v>60714.090000000004</v>
      </c>
      <c r="Y1848" s="170">
        <f>X1848-X1853-X1859</f>
        <v>0</v>
      </c>
      <c r="Z1848" s="152">
        <f>SUMIFS(операции!$V:$V,операции!$T:$T,"&lt;="&amp;X$9,операции!$X:$X,"",операции!$L:$L,Z$9,операции!$O:$O,$F1792)+SUMIFS(операции!$V:$V,операции!$T:$T,"&lt;="&amp;X$9,операции!$X:$X,"&gt;"&amp;X$9,операции!$L:$L,Z$9,операции!$O:$O,$F1792)</f>
        <v>56091.4</v>
      </c>
      <c r="AA1848" s="235">
        <f>SUMIFS(операции!$V:$V,операции!$T:$T,"&lt;="&amp;X$9,операции!$X:$X,"",операции!$L:$L,AA$9,операции!$O:$O,$F1792)+SUMIFS(операции!$V:$V,операции!$T:$T,"&lt;="&amp;X$9,операции!$X:$X,"&gt;"&amp;X$9,операции!$L:$L,AA$9,операции!$O:$O,$F1792)</f>
        <v>4622.6899999999996</v>
      </c>
      <c r="AB1848" s="264"/>
      <c r="AC1848" s="92"/>
      <c r="AD1848" s="92"/>
      <c r="AE1848" s="92"/>
      <c r="AF1848" s="92"/>
      <c r="AG1848" s="92"/>
      <c r="AH1848" s="92"/>
      <c r="AI1848" s="92"/>
      <c r="AJ1848" s="92"/>
      <c r="AK1848" s="92"/>
      <c r="AL1848" s="92"/>
      <c r="AM1848" s="92"/>
      <c r="AN1848" s="92"/>
      <c r="AO1848" s="92"/>
      <c r="AP1848" s="92"/>
    </row>
    <row r="1849" spans="1:42" s="192" customFormat="1" ht="11.25">
      <c r="A1849" s="37"/>
      <c r="B1849" s="37"/>
      <c r="C1849" s="37"/>
      <c r="D1849" s="191" t="s">
        <v>255</v>
      </c>
      <c r="E1849" s="191"/>
      <c r="F1849" s="191" t="str">
        <f t="shared" si="3192"/>
        <v>СуперСпорт</v>
      </c>
      <c r="G1849" s="191" t="s">
        <v>262</v>
      </c>
      <c r="H1849" s="315"/>
      <c r="I1849" s="316">
        <f>IF(I1848=0,0,(SUMIFS(операции!$AF:$AF,операции!$T:$T,"&lt;="&amp;I$9,операции!$X:$X,"",операции!$O:$O,$F1792)+SUMIFS(операции!$AF:$AF,операции!$T:$T,"&lt;="&amp;I$9,операции!$X:$X,"&gt;"&amp;I$9,операции!$O:$O,$F1792))/I1848)</f>
        <v>42220.030342874285</v>
      </c>
      <c r="J1849" s="317"/>
      <c r="K1849" s="316">
        <f>IF(K1848=0,0,(SUMIFS(операции!$AF:$AF,операции!$T:$T,"&lt;="&amp;I$9,операции!$X:$X,"",операции!$L:$L,K$9,операции!$O:$O,$F1792)+SUMIFS(операции!$AF:$AF,операции!$T:$T,"&lt;="&amp;I$9,операции!$X:$X,"&gt;"&amp;I$9,операции!$L:$L,K$9,операции!$O:$O,$F1792))/K1848)</f>
        <v>42208.567897039473</v>
      </c>
      <c r="L1849" s="318">
        <f>IF(L1848=0,0,(SUMIFS(операции!$AF:$AF,операции!$T:$T,"&lt;="&amp;I$9,операции!$X:$X,"",операции!$L:$L,L$9,операции!$O:$O,$F1792)+SUMIFS(операции!$AF:$AF,операции!$T:$T,"&lt;="&amp;I$9,операции!$X:$X,"&gt;"&amp;I$9,операции!$L:$L,L$9,операции!$O:$O,$F1792))/L1848)</f>
        <v>42359.114866019569</v>
      </c>
      <c r="M1849" s="274"/>
      <c r="N1849" s="193">
        <f>IF(N1848=0,0,(SUMIFS(операции!$AF:$AF,операции!$T:$T,"&lt;="&amp;N$9,операции!$X:$X,"",операции!$O:$O,$F1792)+SUMIFS(операции!$AF:$AF,операции!$T:$T,"&lt;="&amp;N$9,операции!$X:$X,"&gt;"&amp;N$9,операции!$O:$O,$F1792))/N1848)</f>
        <v>42219.610375646189</v>
      </c>
      <c r="O1849" s="196"/>
      <c r="P1849" s="193">
        <f>IF(P1848=0,0,(SUMIFS(операции!$AF:$AF,операции!$T:$T,"&lt;="&amp;N$9,операции!$X:$X,"",операции!$L:$L,P$9,операции!$O:$O,$F1792)+SUMIFS(операции!$AF:$AF,операции!$T:$T,"&lt;="&amp;N$9,операции!$X:$X,"&gt;"&amp;N$9,операции!$L:$L,P$9,операции!$O:$O,$F1792))/P1848)</f>
        <v>42217.486040041964</v>
      </c>
      <c r="Q1849" s="237">
        <f>IF(Q1848=0,0,(SUMIFS(операции!$AF:$AF,операции!$T:$T,"&lt;="&amp;N$9,операции!$X:$X,"",операции!$L:$L,Q$9,операции!$O:$O,$F1792)+SUMIFS(операции!$AF:$AF,операции!$T:$T,"&lt;="&amp;N$9,операции!$X:$X,"&gt;"&amp;N$9,операции!$L:$L,Q$9,операции!$O:$O,$F1792))/Q1848)</f>
        <v>42307.199637023594</v>
      </c>
      <c r="R1849" s="238"/>
      <c r="S1849" s="193">
        <f>IF(S1848=0,0,(SUMIFS(операции!$AF:$AF,операции!$T:$T,"&lt;="&amp;S$9,операции!$X:$X,"",операции!$O:$O,$F1792)+SUMIFS(операции!$AF:$AF,операции!$T:$T,"&lt;="&amp;S$9,операции!$X:$X,"&gt;"&amp;S$9,операции!$O:$O,$F1792))/S1848)</f>
        <v>42271.276357986775</v>
      </c>
      <c r="T1849" s="196"/>
      <c r="U1849" s="193">
        <f>IF(U1848=0,0,(SUMIFS(операции!$AF:$AF,операции!$T:$T,"&lt;="&amp;S$9,операции!$X:$X,"",операции!$L:$L,U$9,операции!$O:$O,$F1792)+SUMIFS(операции!$AF:$AF,операции!$T:$T,"&lt;="&amp;S$9,операции!$X:$X,"&gt;"&amp;S$9,операции!$L:$L,U$9,операции!$O:$O,$F1792))/U1848)</f>
        <v>42213.303583753906</v>
      </c>
      <c r="V1849" s="237">
        <f>IF(V1848=0,0,(SUMIFS(операции!$AF:$AF,операции!$T:$T,"&lt;="&amp;S$9,операции!$X:$X,"",операции!$L:$L,V$9,операции!$O:$O,$F1792)+SUMIFS(операции!$AF:$AF,операции!$T:$T,"&lt;="&amp;S$9,операции!$X:$X,"&gt;"&amp;S$9,операции!$L:$L,V$9,операции!$O:$O,$F1792))/V1848)</f>
        <v>42335.901923129801</v>
      </c>
      <c r="W1849" s="238"/>
      <c r="X1849" s="193">
        <f>IF(X1848=0,0,(SUMIFS(операции!$AF:$AF,операции!$T:$T,"&lt;="&amp;X$9,операции!$X:$X,"",операции!$O:$O,$F1792)+SUMIFS(операции!$AF:$AF,операции!$T:$T,"&lt;="&amp;X$9,операции!$X:$X,"&gt;"&amp;X$9,операции!$O:$O,$F1792))/X1848)</f>
        <v>42220.030342874285</v>
      </c>
      <c r="Y1849" s="196"/>
      <c r="Z1849" s="193">
        <f>IF(Z1848=0,0,(SUMIFS(операции!$AF:$AF,операции!$T:$T,"&lt;="&amp;X$9,операции!$X:$X,"",операции!$L:$L,Z$9,операции!$O:$O,$F1792)+SUMIFS(операции!$AF:$AF,операции!$T:$T,"&lt;="&amp;X$9,операции!$X:$X,"&gt;"&amp;X$9,операции!$L:$L,Z$9,операции!$O:$O,$F1792))/Z1848)</f>
        <v>42208.567897039473</v>
      </c>
      <c r="AA1849" s="237">
        <f>IF(AA1848=0,0,(SUMIFS(операции!$AF:$AF,операции!$T:$T,"&lt;="&amp;X$9,операции!$X:$X,"",операции!$L:$L,AA$9,операции!$O:$O,$F1792)+SUMIFS(операции!$AF:$AF,операции!$T:$T,"&lt;="&amp;X$9,операции!$X:$X,"&gt;"&amp;X$9,операции!$L:$L,AA$9,операции!$O:$O,$F1792))/AA1848)</f>
        <v>42359.114866019569</v>
      </c>
      <c r="AB1849" s="265"/>
      <c r="AC1849" s="37"/>
      <c r="AD1849" s="37"/>
      <c r="AE1849" s="37"/>
      <c r="AF1849" s="37"/>
      <c r="AG1849" s="37"/>
      <c r="AH1849" s="37"/>
      <c r="AI1849" s="37"/>
      <c r="AJ1849" s="37"/>
      <c r="AK1849" s="37"/>
      <c r="AL1849" s="37"/>
      <c r="AM1849" s="37"/>
      <c r="AN1849" s="37"/>
      <c r="AO1849" s="37"/>
      <c r="AP1849" s="37"/>
    </row>
    <row r="1850" spans="1:42" s="50" customFormat="1" ht="11.25">
      <c r="A1850" s="48"/>
      <c r="B1850" s="48"/>
      <c r="C1850" s="48"/>
      <c r="D1850" s="154" t="s">
        <v>239</v>
      </c>
      <c r="E1850" s="154"/>
      <c r="F1850" s="154" t="str">
        <f t="shared" si="3192"/>
        <v>СуперСпорт</v>
      </c>
      <c r="G1850" s="154" t="s">
        <v>219</v>
      </c>
      <c r="H1850" s="319"/>
      <c r="I1850" s="320">
        <f>IF(I1848=0,0,I$9-I1849)</f>
        <v>148.96965712571546</v>
      </c>
      <c r="J1850" s="321">
        <f>I1850-SUMIFS(ПОбТЗ!$I:$I,ПОбТЗ!$E:$E,$D1850,ПОбТЗ!$F:$F,$F1850)</f>
        <v>0</v>
      </c>
      <c r="K1850" s="320">
        <f>IF(K1848=0,0,I$9-K1849)</f>
        <v>160.43210296052712</v>
      </c>
      <c r="L1850" s="322">
        <f>IF(L1848=0,0,I$9-L1849)</f>
        <v>9.8851339804314193</v>
      </c>
      <c r="M1850" s="275"/>
      <c r="N1850" s="155">
        <f>IF(N1848=0,0,N$9-N1849)</f>
        <v>88.389624353811087</v>
      </c>
      <c r="O1850" s="173">
        <f>N1850-SUMIFS(ПОбТЗ_3!$J:$J,ПОбТЗ_3!$D:$D,$D1850,ПОбТЗ_3!$E:$E,$F1850)</f>
        <v>0</v>
      </c>
      <c r="P1850" s="155">
        <f>IF(P1848=0,0,N$9-P1849)</f>
        <v>90.513959958036139</v>
      </c>
      <c r="Q1850" s="239">
        <f>IF(Q1848=0,0,N$9-Q1849)</f>
        <v>0.80036297640617704</v>
      </c>
      <c r="R1850" s="240"/>
      <c r="S1850" s="155">
        <f>IF(S1848=0,0,S$9-S1849)</f>
        <v>66.72364201322489</v>
      </c>
      <c r="T1850" s="173">
        <f>S1850-SUMIFS(ПОбТЗ_3!$K:$K,ПОбТЗ_3!$D:$D,$D1850,ПОбТЗ_3!$E:$E,$F1850)</f>
        <v>0</v>
      </c>
      <c r="U1850" s="155">
        <f>IF(U1848=0,0,S$9-U1849)</f>
        <v>124.69641624609358</v>
      </c>
      <c r="V1850" s="239">
        <f>IF(V1848=0,0,S$9-V1849)</f>
        <v>2.0980768701992929</v>
      </c>
      <c r="W1850" s="240"/>
      <c r="X1850" s="155">
        <f>IF(X1848=0,0,X$9-X1849)</f>
        <v>148.96965712571546</v>
      </c>
      <c r="Y1850" s="173">
        <f>X1850-SUMIFS(ПОбТЗ_3!$L:$L,ПОбТЗ_3!$D:$D,$D1850,ПОбТЗ_3!$E:$E,$F1850)</f>
        <v>0</v>
      </c>
      <c r="Z1850" s="155">
        <f>IF(Z1848=0,0,X$9-Z1849)</f>
        <v>160.43210296052712</v>
      </c>
      <c r="AA1850" s="239">
        <f>IF(AA1848=0,0,X$9-AA1849)</f>
        <v>9.8851339804314193</v>
      </c>
      <c r="AB1850" s="230"/>
      <c r="AC1850" s="48"/>
      <c r="AD1850" s="48"/>
      <c r="AE1850" s="48"/>
      <c r="AF1850" s="48"/>
      <c r="AG1850" s="48"/>
      <c r="AH1850" s="48"/>
      <c r="AI1850" s="48"/>
      <c r="AJ1850" s="48"/>
      <c r="AK1850" s="48"/>
      <c r="AL1850" s="48"/>
      <c r="AM1850" s="48"/>
      <c r="AN1850" s="48"/>
      <c r="AO1850" s="48"/>
      <c r="AP1850" s="48"/>
    </row>
    <row r="1851" spans="1:42" s="93" customFormat="1" ht="15">
      <c r="A1851" s="92"/>
      <c r="B1851" s="92"/>
      <c r="C1851" s="92"/>
      <c r="D1851" s="198" t="s">
        <v>280</v>
      </c>
      <c r="E1851" s="198"/>
      <c r="F1851" s="198" t="str">
        <f t="shared" si="3192"/>
        <v>СуперСпорт</v>
      </c>
      <c r="G1851" s="198" t="s">
        <v>219</v>
      </c>
      <c r="H1851" s="323"/>
      <c r="I1851" s="324">
        <f>IF(I1848=0,0,(I1853*I1857+I1859*I1863)/I1848)</f>
        <v>40.91393365197893</v>
      </c>
      <c r="J1851" s="321"/>
      <c r="K1851" s="324">
        <f>IF(K1848=0,0,(K1853*K1857+K1859*K1863)/K1848)</f>
        <v>43.63355558962752</v>
      </c>
      <c r="L1851" s="325">
        <f>IF(L1848=0,0,(L1853*L1857+L1859*L1863)/L1848)</f>
        <v>7.9142295935912736</v>
      </c>
      <c r="M1851" s="276"/>
      <c r="N1851" s="199">
        <f>IF(N1848=0,0,(N1853*N1857+N1859*N1863)/N1848)</f>
        <v>34.253402783703123</v>
      </c>
      <c r="O1851" s="173"/>
      <c r="P1851" s="199">
        <f>IF(P1848=0,0,(P1853*P1857+P1859*P1863)/P1848)</f>
        <v>35.064752056599509</v>
      </c>
      <c r="Q1851" s="241">
        <f>IF(Q1848=0,0,(Q1853*Q1857+Q1859*Q1863)/Q1848)</f>
        <v>0.80036297640617704</v>
      </c>
      <c r="R1851" s="242"/>
      <c r="S1851" s="199">
        <f>IF(S1848=0,0,(S1853*S1857+S1859*S1863)/S1848)</f>
        <v>22.855974808876159</v>
      </c>
      <c r="T1851" s="173"/>
      <c r="U1851" s="199">
        <f>IF(U1848=0,0,(U1853*U1857+U1859*U1863)/U1848)</f>
        <v>41.476979175850147</v>
      </c>
      <c r="V1851" s="241">
        <f>IF(V1848=0,0,(V1853*V1857+V1859*V1863)/V1848)</f>
        <v>2.0980768702211208</v>
      </c>
      <c r="W1851" s="242"/>
      <c r="X1851" s="199">
        <f>IF(X1848=0,0,(X1853*X1857+X1859*X1863)/X1848)</f>
        <v>40.91393365197893</v>
      </c>
      <c r="Y1851" s="173"/>
      <c r="Z1851" s="199">
        <f>IF(Z1848=0,0,(Z1853*Z1857+Z1859*Z1863)/Z1848)</f>
        <v>43.63355558962752</v>
      </c>
      <c r="AA1851" s="241">
        <f>IF(AA1848=0,0,(AA1853*AA1857+AA1859*AA1863)/AA1848)</f>
        <v>7.9142295935912736</v>
      </c>
      <c r="AB1851" s="264"/>
      <c r="AC1851" s="92"/>
      <c r="AD1851" s="92"/>
      <c r="AE1851" s="92"/>
      <c r="AF1851" s="92"/>
      <c r="AG1851" s="92"/>
      <c r="AH1851" s="92"/>
      <c r="AI1851" s="92"/>
      <c r="AJ1851" s="92"/>
      <c r="AK1851" s="92"/>
      <c r="AL1851" s="92"/>
      <c r="AM1851" s="92"/>
      <c r="AN1851" s="92"/>
      <c r="AO1851" s="92"/>
      <c r="AP1851" s="92"/>
    </row>
    <row r="1852" spans="1:42" s="50" customFormat="1" ht="11.25">
      <c r="A1852" s="48"/>
      <c r="B1852" s="48"/>
      <c r="C1852" s="48"/>
      <c r="D1852" s="154" t="s">
        <v>281</v>
      </c>
      <c r="E1852" s="154"/>
      <c r="F1852" s="154" t="str">
        <f t="shared" si="3192"/>
        <v>СуперСпорт</v>
      </c>
      <c r="G1852" s="154" t="s">
        <v>219</v>
      </c>
      <c r="H1852" s="319"/>
      <c r="I1852" s="320">
        <f>I1850-I1851</f>
        <v>108.05572347373652</v>
      </c>
      <c r="J1852" s="321"/>
      <c r="K1852" s="320">
        <f>K1850-K1851</f>
        <v>116.7985473708996</v>
      </c>
      <c r="L1852" s="322">
        <f>L1850-L1851</f>
        <v>1.9709043868401457</v>
      </c>
      <c r="M1852" s="275"/>
      <c r="N1852" s="155">
        <f>N1850-N1851</f>
        <v>54.136221570107963</v>
      </c>
      <c r="O1852" s="173"/>
      <c r="P1852" s="155">
        <f>P1850-P1851</f>
        <v>55.44920790143663</v>
      </c>
      <c r="Q1852" s="239">
        <f>Q1850-Q1851</f>
        <v>0</v>
      </c>
      <c r="R1852" s="240"/>
      <c r="S1852" s="155">
        <f>S1850-S1851</f>
        <v>43.867667204348734</v>
      </c>
      <c r="T1852" s="173"/>
      <c r="U1852" s="155">
        <f>U1850-U1851</f>
        <v>83.21943707024343</v>
      </c>
      <c r="V1852" s="239">
        <f>V1850-V1851</f>
        <v>-2.1827872842550278E-11</v>
      </c>
      <c r="W1852" s="240"/>
      <c r="X1852" s="155">
        <f>X1850-X1851</f>
        <v>108.05572347373652</v>
      </c>
      <c r="Y1852" s="173"/>
      <c r="Z1852" s="155">
        <f>Z1850-Z1851</f>
        <v>116.7985473708996</v>
      </c>
      <c r="AA1852" s="239">
        <f>AA1850-AA1851</f>
        <v>1.9709043868401457</v>
      </c>
      <c r="AB1852" s="230"/>
      <c r="AC1852" s="48"/>
      <c r="AD1852" s="48"/>
      <c r="AE1852" s="48"/>
      <c r="AF1852" s="48"/>
      <c r="AG1852" s="48"/>
      <c r="AH1852" s="48"/>
      <c r="AI1852" s="48"/>
      <c r="AJ1852" s="48"/>
      <c r="AK1852" s="48"/>
      <c r="AL1852" s="48"/>
      <c r="AM1852" s="48"/>
      <c r="AN1852" s="48"/>
      <c r="AO1852" s="48"/>
      <c r="AP1852" s="48"/>
    </row>
    <row r="1853" spans="1:42" s="5" customFormat="1">
      <c r="A1853" s="1"/>
      <c r="B1853" s="1"/>
      <c r="C1853" s="1"/>
      <c r="D1853" s="168"/>
      <c r="E1853" s="168" t="s">
        <v>282</v>
      </c>
      <c r="F1853" s="168" t="str">
        <f t="shared" si="3192"/>
        <v>СуперСпорт</v>
      </c>
      <c r="G1853" s="168" t="s">
        <v>261</v>
      </c>
      <c r="H1853" s="326"/>
      <c r="I1853" s="327">
        <f>SUMIFS(операции!$V:$V,операции!$T:$T,"&lt;="&amp;I$9,операции!$X:$X,"",операции!$AB:$AB,"&lt;&gt;"&amp;"",операции!$AB:$AB,"&lt;="&amp;I$9,операции!$O:$O,$F1792)+SUMIFS(операции!$V:$V,операции!$T:$T,"&lt;="&amp;I$9,операции!$X:$X,"&gt;"&amp;I$9,операции!$AB:$AB,"&lt;&gt;"&amp;"",операции!$AB:$AB,"&lt;="&amp;I$9,операции!$O:$O,$F1792)</f>
        <v>51725.61</v>
      </c>
      <c r="J1853" s="313">
        <f>I1853-K1853-L1853</f>
        <v>3.1832314562052488E-12</v>
      </c>
      <c r="K1853" s="327">
        <f>SUMIFS(операции!$V:$V,операции!$T:$T,"&lt;="&amp;I$9,операции!$X:$X,"",операции!$AB:$AB,"&lt;&gt;"&amp;"",операции!$AB:$AB,"&lt;="&amp;I$9,операции!$L:$L,K$9,операции!$O:$O,$F1792)+SUMIFS(операции!$V:$V,операции!$T:$T,"&lt;="&amp;I$9,операции!$X:$X,"&gt;"&amp;I$9,операции!$AB:$AB,"&lt;&gt;"&amp;"",операции!$AB:$AB,"&lt;="&amp;I$9,операции!$L:$L,K$9,операции!$O:$O,$F1792)</f>
        <v>50207.13</v>
      </c>
      <c r="L1853" s="328">
        <f>SUMIFS(операции!$V:$V,операции!$T:$T,"&lt;="&amp;I$9,операции!$X:$X,"",операции!$AB:$AB,"&lt;&gt;"&amp;"",операции!$AB:$AB,"&lt;="&amp;I$9,операции!$L:$L,L$9,операции!$O:$O,$F1792)+SUMIFS(операции!$V:$V,операции!$T:$T,"&lt;="&amp;I$9,операции!$X:$X,"&gt;"&amp;I$9,операции!$AB:$AB,"&lt;&gt;"&amp;"",операции!$AB:$AB,"&lt;="&amp;I$9,операции!$L:$L,L$9,операции!$O:$O,$F1792)</f>
        <v>1518.48</v>
      </c>
      <c r="M1853" s="277"/>
      <c r="N1853" s="169">
        <f>SUMIFS(операции!$V:$V,операции!$T:$T,"&lt;="&amp;N$9,операции!$X:$X,"",операции!$AB:$AB,"&lt;&gt;"&amp;"",операции!$AB:$AB,"&lt;="&amp;N$9,операции!$O:$O,$F1792)+SUMIFS(операции!$V:$V,операции!$T:$T,"&lt;="&amp;N$9,операции!$X:$X,"&gt;"&amp;N$9,операции!$AB:$AB,"&lt;&gt;"&amp;"",операции!$AB:$AB,"&lt;="&amp;N$9,операции!$O:$O,$F1792)</f>
        <v>97735.290000000008</v>
      </c>
      <c r="O1853" s="170">
        <f>N1853-P1853-Q1853</f>
        <v>0</v>
      </c>
      <c r="P1853" s="169">
        <f>SUMIFS(операции!$V:$V,операции!$T:$T,"&lt;="&amp;N$9,операции!$X:$X,"",операции!$AB:$AB,"&lt;&gt;"&amp;"",операции!$AB:$AB,"&lt;="&amp;N$9,операции!$L:$L,P$9,операции!$O:$O,$F1792)+SUMIFS(операции!$V:$V,операции!$T:$T,"&lt;="&amp;N$9,операции!$X:$X,"&gt;"&amp;N$9,операции!$AB:$AB,"&lt;&gt;"&amp;"",операции!$AB:$AB,"&lt;="&amp;N$9,операции!$L:$L,P$9,операции!$O:$O,$F1792)</f>
        <v>97735.290000000008</v>
      </c>
      <c r="Q1853" s="243">
        <f>SUMIFS(операции!$V:$V,операции!$T:$T,"&lt;="&amp;N$9,операции!$X:$X,"",операции!$AB:$AB,"&lt;&gt;"&amp;"",операции!$AB:$AB,"&lt;="&amp;N$9,операции!$L:$L,Q$9,операции!$O:$O,$F1792)+SUMIFS(операции!$V:$V,операции!$T:$T,"&lt;="&amp;N$9,операции!$X:$X,"&gt;"&amp;N$9,операции!$AB:$AB,"&lt;&gt;"&amp;"",операции!$AB:$AB,"&lt;="&amp;N$9,операции!$L:$L,Q$9,операции!$O:$O,$F1792)</f>
        <v>0</v>
      </c>
      <c r="R1853" s="244"/>
      <c r="S1853" s="169">
        <f>SUMIFS(операции!$V:$V,операции!$T:$T,"&lt;="&amp;S$9,операции!$X:$X,"",операции!$AB:$AB,"&lt;&gt;"&amp;"",операции!$AB:$AB,"&lt;="&amp;S$9,операции!$O:$O,$F1792)+SUMIFS(операции!$V:$V,операции!$T:$T,"&lt;="&amp;S$9,операции!$X:$X,"&gt;"&amp;S$9,операции!$AB:$AB,"&lt;&gt;"&amp;"",операции!$AB:$AB,"&lt;="&amp;S$9,операции!$O:$O,$F1792)</f>
        <v>57521.829999999994</v>
      </c>
      <c r="T1853" s="170">
        <f>S1853-U1853-V1853</f>
        <v>0</v>
      </c>
      <c r="U1853" s="169">
        <f>SUMIFS(операции!$V:$V,операции!$T:$T,"&lt;="&amp;S$9,операции!$X:$X,"",операции!$AB:$AB,"&lt;&gt;"&amp;"",операции!$AB:$AB,"&lt;="&amp;S$9,операции!$L:$L,U$9,операции!$O:$O,$F1792)+SUMIFS(операции!$V:$V,операции!$T:$T,"&lt;="&amp;S$9,операции!$X:$X,"&gt;"&amp;S$9,операции!$AB:$AB,"&lt;&gt;"&amp;"",операции!$AB:$AB,"&lt;="&amp;S$9,операции!$L:$L,U$9,операции!$O:$O,$F1792)</f>
        <v>57521.829999999994</v>
      </c>
      <c r="V1853" s="243">
        <f>SUMIFS(операции!$V:$V,операции!$T:$T,"&lt;="&amp;S$9,операции!$X:$X,"",операции!$AB:$AB,"&lt;&gt;"&amp;"",операции!$AB:$AB,"&lt;="&amp;S$9,операции!$L:$L,V$9,операции!$O:$O,$F1792)+SUMIFS(операции!$V:$V,операции!$T:$T,"&lt;="&amp;S$9,операции!$X:$X,"&gt;"&amp;S$9,операции!$AB:$AB,"&lt;&gt;"&amp;"",операции!$AB:$AB,"&lt;="&amp;S$9,операции!$L:$L,V$9,операции!$O:$O,$F1792)</f>
        <v>0</v>
      </c>
      <c r="W1853" s="244"/>
      <c r="X1853" s="169">
        <f>SUMIFS(операции!$V:$V,операции!$T:$T,"&lt;="&amp;X$9,операции!$X:$X,"",операции!$AB:$AB,"&lt;&gt;"&amp;"",операции!$AB:$AB,"&lt;="&amp;X$9,операции!$O:$O,$F1792)+SUMIFS(операции!$V:$V,операции!$T:$T,"&lt;="&amp;X$9,операции!$X:$X,"&gt;"&amp;X$9,операции!$AB:$AB,"&lt;&gt;"&amp;"",операции!$AB:$AB,"&lt;="&amp;X$9,операции!$O:$O,$F1792)</f>
        <v>51725.61</v>
      </c>
      <c r="Y1853" s="170">
        <f>X1853-Z1853-AA1853</f>
        <v>3.1832314562052488E-12</v>
      </c>
      <c r="Z1853" s="169">
        <f>SUMIFS(операции!$V:$V,операции!$T:$T,"&lt;="&amp;X$9,операции!$X:$X,"",операции!$AB:$AB,"&lt;&gt;"&amp;"",операции!$AB:$AB,"&lt;="&amp;X$9,операции!$L:$L,Z$9,операции!$O:$O,$F1792)+SUMIFS(операции!$V:$V,операции!$T:$T,"&lt;="&amp;X$9,операции!$X:$X,"&gt;"&amp;X$9,операции!$AB:$AB,"&lt;&gt;"&amp;"",операции!$AB:$AB,"&lt;="&amp;X$9,операции!$L:$L,Z$9,операции!$O:$O,$F1792)</f>
        <v>50207.13</v>
      </c>
      <c r="AA1853" s="243">
        <f>SUMIFS(операции!$V:$V,операции!$T:$T,"&lt;="&amp;X$9,операции!$X:$X,"",операции!$AB:$AB,"&lt;&gt;"&amp;"",операции!$AB:$AB,"&lt;="&amp;X$9,операции!$L:$L,AA$9,операции!$O:$O,$F1792)+SUMIFS(операции!$V:$V,операции!$T:$T,"&lt;="&amp;X$9,операции!$X:$X,"&gt;"&amp;X$9,операции!$AB:$AB,"&lt;&gt;"&amp;"",операции!$AB:$AB,"&lt;="&amp;X$9,операции!$L:$L,AA$9,операции!$O:$O,$F1792)</f>
        <v>1518.48</v>
      </c>
      <c r="AB1853" s="266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</row>
    <row r="1854" spans="1:42" s="192" customFormat="1" ht="11.25">
      <c r="A1854" s="37"/>
      <c r="B1854" s="37"/>
      <c r="C1854" s="37"/>
      <c r="D1854" s="191"/>
      <c r="E1854" s="191" t="s">
        <v>255</v>
      </c>
      <c r="F1854" s="191" t="str">
        <f t="shared" si="3192"/>
        <v>СуперСпорт</v>
      </c>
      <c r="G1854" s="191" t="s">
        <v>262</v>
      </c>
      <c r="H1854" s="315"/>
      <c r="I1854" s="316">
        <f>IF(I1853=0,0,(SUMIFS(операции!$AF:$AF,операции!$T:$T,"&lt;="&amp;I$9,операции!$X:$X,"",операции!$AB:$AB,"&lt;&gt;"&amp;"",операции!$AB:$AB,"&lt;="&amp;I$9,операции!$O:$O,$F1792)+SUMIFS(операции!$AF:$AF,операции!$T:$T,"&lt;="&amp;I$9,операции!$X:$X,"&gt;"&amp;I$9,операции!$AB:$AB,"&lt;&gt;"&amp;"",операции!$AB:$AB,"&lt;="&amp;I$9,операции!$O:$O,$F1792))/I1853)</f>
        <v>42212.728634036408</v>
      </c>
      <c r="J1854" s="317"/>
      <c r="K1854" s="316">
        <f>IF(K1853=0,0,(SUMIFS(операции!$AF:$AF,операции!$T:$T,"&lt;="&amp;I$9,операции!$X:$X,"",операции!$AB:$AB,"&lt;&gt;"&amp;"",операции!$AB:$AB,"&lt;="&amp;I$9,операции!$L:$L,K$9,операции!$O:$O,$F1792)+SUMIFS(операции!$AF:$AF,операции!$T:$T,"&lt;="&amp;I$9,операции!$X:$X,"&gt;"&amp;I$9,операции!$AB:$AB,"&lt;&gt;"&amp;"",операции!$AB:$AB,"&lt;="&amp;I$9,операции!$L:$L,K$9,операции!$O:$O,$F1792))/K1853)</f>
        <v>42208.335001821455</v>
      </c>
      <c r="L1854" s="318">
        <f>IF(L1853=0,0,(SUMIFS(операции!$AF:$AF,операции!$T:$T,"&lt;="&amp;I$9,операции!$X:$X,"",операции!$AB:$AB,"&lt;&gt;"&amp;"",операции!$AB:$AB,"&lt;="&amp;I$9,операции!$L:$L,L$9,операции!$O:$O,$F1792)+SUMIFS(операции!$AF:$AF,операции!$T:$T,"&lt;="&amp;I$9,операции!$X:$X,"&gt;"&amp;I$9,операции!$AB:$AB,"&lt;&gt;"&amp;"",операции!$AB:$AB,"&lt;="&amp;I$9,операции!$L:$L,L$9,операции!$O:$O,$F1792))/L1853)</f>
        <v>42358</v>
      </c>
      <c r="M1854" s="274"/>
      <c r="N1854" s="193">
        <f>IF(N1853=0,0,(SUMIFS(операции!$AF:$AF,операции!$T:$T,"&lt;="&amp;N$9,операции!$X:$X,"",операции!$AB:$AB,"&lt;&gt;"&amp;"",операции!$AB:$AB,"&lt;="&amp;N$9,операции!$O:$O,$F1792)+SUMIFS(операции!$AF:$AF,операции!$T:$T,"&lt;="&amp;N$9,операции!$X:$X,"&gt;"&amp;N$9,операции!$AB:$AB,"&lt;&gt;"&amp;"",операции!$AB:$AB,"&lt;="&amp;N$9,операции!$O:$O,$F1792))/N1853)</f>
        <v>42211.793376271766</v>
      </c>
      <c r="O1854" s="196"/>
      <c r="P1854" s="193">
        <f>IF(P1853=0,0,(SUMIFS(операции!$AF:$AF,операции!$T:$T,"&lt;="&amp;N$9,операции!$X:$X,"",операции!$AB:$AB,"&lt;&gt;"&amp;"",операции!$AB:$AB,"&lt;="&amp;N$9,операции!$L:$L,P$9,операции!$O:$O,$F1792)+SUMIFS(операции!$AF:$AF,операции!$T:$T,"&lt;="&amp;N$9,операции!$X:$X,"&gt;"&amp;N$9,операции!$AB:$AB,"&lt;&gt;"&amp;"",операции!$AB:$AB,"&lt;="&amp;N$9,операции!$L:$L,P$9,операции!$O:$O,$F1792))/P1853)</f>
        <v>42211.793376271766</v>
      </c>
      <c r="Q1854" s="237">
        <f>IF(Q1853=0,0,(SUMIFS(операции!$AF:$AF,операции!$T:$T,"&lt;="&amp;N$9,операции!$X:$X,"",операции!$AB:$AB,"&lt;&gt;"&amp;"",операции!$AB:$AB,"&lt;="&amp;N$9,операции!$L:$L,Q$9,операции!$O:$O,$F1792)+SUMIFS(операции!$AF:$AF,операции!$T:$T,"&lt;="&amp;N$9,операции!$X:$X,"&gt;"&amp;N$9,операции!$AB:$AB,"&lt;&gt;"&amp;"",операции!$AB:$AB,"&lt;="&amp;N$9,операции!$L:$L,Q$9,операции!$O:$O,$F1792))/Q1853)</f>
        <v>0</v>
      </c>
      <c r="R1854" s="238"/>
      <c r="S1854" s="193">
        <f>IF(S1853=0,0,(SUMIFS(операции!$AF:$AF,операции!$T:$T,"&lt;="&amp;S$9,операции!$X:$X,"",операции!$AB:$AB,"&lt;&gt;"&amp;"",операции!$AB:$AB,"&lt;="&amp;S$9,операции!$O:$O,$F1792)+SUMIFS(операции!$AF:$AF,операции!$T:$T,"&lt;="&amp;S$9,операции!$X:$X,"&gt;"&amp;S$9,операции!$AB:$AB,"&lt;&gt;"&amp;"",операции!$AB:$AB,"&lt;="&amp;S$9,операции!$O:$O,$F1792))/S1853)</f>
        <v>42213.919874941392</v>
      </c>
      <c r="T1854" s="196"/>
      <c r="U1854" s="193">
        <f>IF(U1853=0,0,(SUMIFS(операции!$AF:$AF,операции!$T:$T,"&lt;="&amp;S$9,операции!$X:$X,"",операции!$AB:$AB,"&lt;&gt;"&amp;"",операции!$AB:$AB,"&lt;="&amp;S$9,операции!$L:$L,U$9,операции!$O:$O,$F1792)+SUMIFS(операции!$AF:$AF,операции!$T:$T,"&lt;="&amp;S$9,операции!$X:$X,"&gt;"&amp;S$9,операции!$AB:$AB,"&lt;&gt;"&amp;"",операции!$AB:$AB,"&lt;="&amp;S$9,операции!$L:$L,U$9,операции!$O:$O,$F1792))/U1853)</f>
        <v>42213.919874941392</v>
      </c>
      <c r="V1854" s="237">
        <f>IF(V1853=0,0,(SUMIFS(операции!$AF:$AF,операции!$T:$T,"&lt;="&amp;S$9,операции!$X:$X,"",операции!$AB:$AB,"&lt;&gt;"&amp;"",операции!$AB:$AB,"&lt;="&amp;S$9,операции!$L:$L,V$9,операции!$O:$O,$F1792)+SUMIFS(операции!$AF:$AF,операции!$T:$T,"&lt;="&amp;S$9,операции!$X:$X,"&gt;"&amp;S$9,операции!$AB:$AB,"&lt;&gt;"&amp;"",операции!$AB:$AB,"&lt;="&amp;S$9,операции!$L:$L,V$9,операции!$O:$O,$F1792))/V1853)</f>
        <v>0</v>
      </c>
      <c r="W1854" s="238"/>
      <c r="X1854" s="193">
        <f>IF(X1853=0,0,(SUMIFS(операции!$AF:$AF,операции!$T:$T,"&lt;="&amp;X$9,операции!$X:$X,"",операции!$AB:$AB,"&lt;&gt;"&amp;"",операции!$AB:$AB,"&lt;="&amp;X$9,операции!$O:$O,$F1792)+SUMIFS(операции!$AF:$AF,операции!$T:$T,"&lt;="&amp;X$9,операции!$X:$X,"&gt;"&amp;X$9,операции!$AB:$AB,"&lt;&gt;"&amp;"",операции!$AB:$AB,"&lt;="&amp;X$9,операции!$O:$O,$F1792))/X1853)</f>
        <v>42212.728634036408</v>
      </c>
      <c r="Y1854" s="196"/>
      <c r="Z1854" s="193">
        <f>IF(Z1853=0,0,(SUMIFS(операции!$AF:$AF,операции!$T:$T,"&lt;="&amp;X$9,операции!$X:$X,"",операции!$AB:$AB,"&lt;&gt;"&amp;"",операции!$AB:$AB,"&lt;="&amp;X$9,операции!$L:$L,Z$9,операции!$O:$O,$F1792)+SUMIFS(операции!$AF:$AF,операции!$T:$T,"&lt;="&amp;X$9,операции!$X:$X,"&gt;"&amp;X$9,операции!$AB:$AB,"&lt;&gt;"&amp;"",операции!$AB:$AB,"&lt;="&amp;X$9,операции!$L:$L,Z$9,операции!$O:$O,$F1792))/Z1853)</f>
        <v>42208.335001821455</v>
      </c>
      <c r="AA1854" s="237">
        <f>IF(AA1853=0,0,(SUMIFS(операции!$AF:$AF,операции!$T:$T,"&lt;="&amp;X$9,операции!$X:$X,"",операции!$AB:$AB,"&lt;&gt;"&amp;"",операции!$AB:$AB,"&lt;="&amp;X$9,операции!$L:$L,AA$9,операции!$O:$O,$F1792)+SUMIFS(операции!$AF:$AF,операции!$T:$T,"&lt;="&amp;X$9,операции!$X:$X,"&gt;"&amp;X$9,операции!$AB:$AB,"&lt;&gt;"&amp;"",операции!$AB:$AB,"&lt;="&amp;X$9,операции!$L:$L,AA$9,операции!$O:$O,$F1792))/AA1853)</f>
        <v>42358</v>
      </c>
      <c r="AB1854" s="265"/>
      <c r="AC1854" s="37"/>
      <c r="AD1854" s="37"/>
      <c r="AE1854" s="37"/>
      <c r="AF1854" s="37"/>
      <c r="AG1854" s="37"/>
      <c r="AH1854" s="37"/>
      <c r="AI1854" s="37"/>
      <c r="AJ1854" s="37"/>
      <c r="AK1854" s="37"/>
      <c r="AL1854" s="37"/>
      <c r="AM1854" s="37"/>
      <c r="AN1854" s="37"/>
      <c r="AO1854" s="37"/>
      <c r="AP1854" s="37"/>
    </row>
    <row r="1855" spans="1:42" s="192" customFormat="1" ht="11.25">
      <c r="A1855" s="37"/>
      <c r="B1855" s="37"/>
      <c r="C1855" s="37"/>
      <c r="D1855" s="191"/>
      <c r="E1855" s="191" t="s">
        <v>283</v>
      </c>
      <c r="F1855" s="191" t="str">
        <f t="shared" si="3192"/>
        <v>СуперСпорт</v>
      </c>
      <c r="G1855" s="191" t="s">
        <v>219</v>
      </c>
      <c r="H1855" s="315"/>
      <c r="I1855" s="329">
        <f>IF(I1853=0,0,I$9-I1854)</f>
        <v>156.27136596359196</v>
      </c>
      <c r="J1855" s="317"/>
      <c r="K1855" s="329">
        <f>IF(K1853=0,0,I$9-K1854)</f>
        <v>160.66499817854492</v>
      </c>
      <c r="L1855" s="330">
        <f>IF(L1853=0,0,I$9-L1854)</f>
        <v>11</v>
      </c>
      <c r="M1855" s="274"/>
      <c r="N1855" s="156">
        <f>IF(N1853=0,0,N$9-N1854)</f>
        <v>96.206623728234263</v>
      </c>
      <c r="O1855" s="196"/>
      <c r="P1855" s="156">
        <f>IF(P1853=0,0,N$9-P1854)</f>
        <v>96.206623728234263</v>
      </c>
      <c r="Q1855" s="245">
        <f>IF(Q1853=0,0,N$9-Q1854)</f>
        <v>0</v>
      </c>
      <c r="R1855" s="238"/>
      <c r="S1855" s="156">
        <f>IF(S1853=0,0,S$9-S1854)</f>
        <v>124.08012505860825</v>
      </c>
      <c r="T1855" s="196"/>
      <c r="U1855" s="156">
        <f>IF(U1853=0,0,S$9-U1854)</f>
        <v>124.08012505860825</v>
      </c>
      <c r="V1855" s="245">
        <f>IF(V1853=0,0,S$9-V1854)</f>
        <v>0</v>
      </c>
      <c r="W1855" s="238"/>
      <c r="X1855" s="156">
        <f>IF(X1853=0,0,X$9-X1854)</f>
        <v>156.27136596359196</v>
      </c>
      <c r="Y1855" s="196"/>
      <c r="Z1855" s="156">
        <f>IF(Z1853=0,0,X$9-Z1854)</f>
        <v>160.66499817854492</v>
      </c>
      <c r="AA1855" s="245">
        <f>IF(AA1853=0,0,X$9-AA1854)</f>
        <v>11</v>
      </c>
      <c r="AB1855" s="265"/>
      <c r="AC1855" s="37"/>
      <c r="AD1855" s="37"/>
      <c r="AE1855" s="37"/>
      <c r="AF1855" s="37"/>
      <c r="AG1855" s="37"/>
      <c r="AH1855" s="37"/>
      <c r="AI1855" s="37"/>
      <c r="AJ1855" s="37"/>
      <c r="AK1855" s="37"/>
      <c r="AL1855" s="37"/>
      <c r="AM1855" s="37"/>
      <c r="AN1855" s="37"/>
      <c r="AO1855" s="37"/>
      <c r="AP1855" s="37"/>
    </row>
    <row r="1856" spans="1:42" s="192" customFormat="1" ht="11.25">
      <c r="A1856" s="37"/>
      <c r="B1856" s="37"/>
      <c r="C1856" s="37"/>
      <c r="D1856" s="191"/>
      <c r="E1856" s="191" t="s">
        <v>259</v>
      </c>
      <c r="F1856" s="191" t="str">
        <f t="shared" si="3192"/>
        <v>СуперСпорт</v>
      </c>
      <c r="G1856" s="191" t="s">
        <v>262</v>
      </c>
      <c r="H1856" s="315"/>
      <c r="I1856" s="316">
        <f>IF(I1853=0,0,(SUMIFS(операции!$AH:$AH,операции!$T:$T,"&lt;="&amp;I$9,операции!$X:$X,"",операции!$AB:$AB,"&lt;&gt;"&amp;"",операции!$AB:$AB,"&lt;="&amp;I$9,операции!$O:$O,$F1792)+SUMIFS(операции!$AH:$AH,операции!$T:$T,"&lt;="&amp;I$9,операции!$X:$X,"&gt;"&amp;I$9,операции!$AB:$AB,"&lt;&gt;"&amp;"",операции!$AB:$AB,"&lt;="&amp;I$9,операции!$O:$O,$F1792))/I1853)</f>
        <v>42242.167181208693</v>
      </c>
      <c r="J1856" s="317"/>
      <c r="K1856" s="316">
        <f>IF(K1853=0,0,(SUMIFS(операции!$AH:$AH,операции!$T:$T,"&lt;="&amp;I$9,операции!$X:$X,"",операции!$AB:$AB,"&lt;&gt;"&amp;"",операции!$AB:$AB,"&lt;="&amp;I$9,операции!$L:$L,K$9,операции!$O:$O,$F1792)+SUMIFS(операции!$AH:$AH,операции!$T:$T,"&lt;="&amp;I$9,операции!$X:$X,"&gt;"&amp;I$9,операции!$AB:$AB,"&lt;&gt;"&amp;"",операции!$AB:$AB,"&lt;="&amp;I$9,операции!$L:$L,K$9,операции!$O:$O,$F1792))/K1853)</f>
        <v>42238.512675988452</v>
      </c>
      <c r="L1856" s="318">
        <f>IF(L1853=0,0,(SUMIFS(операции!$AH:$AH,операции!$T:$T,"&lt;="&amp;I$9,операции!$X:$X,"",операции!$AB:$AB,"&lt;&gt;"&amp;"",операции!$AB:$AB,"&lt;="&amp;I$9,операции!$L:$L,L$9,операции!$O:$O,$F1792)+SUMIFS(операции!$AH:$AH,операции!$T:$T,"&lt;="&amp;I$9,операции!$X:$X,"&gt;"&amp;I$9,операции!$AB:$AB,"&lt;&gt;"&amp;"",операции!$AB:$AB,"&lt;="&amp;I$9,операции!$L:$L,L$9,операции!$O:$O,$F1792))/L1853)</f>
        <v>42363</v>
      </c>
      <c r="M1856" s="274"/>
      <c r="N1856" s="193">
        <f>IF(N1853=0,0,(SUMIFS(операции!$AH:$AH,операции!$T:$T,"&lt;="&amp;N$9,операции!$X:$X,"",операции!$AB:$AB,"&lt;&gt;"&amp;"",операции!$AB:$AB,"&lt;="&amp;N$9,операции!$O:$O,$F1792)+SUMIFS(операции!$AH:$AH,операции!$T:$T,"&lt;="&amp;N$9,операции!$X:$X,"&gt;"&amp;N$9,операции!$AB:$AB,"&lt;&gt;"&amp;"",операции!$AB:$AB,"&lt;="&amp;N$9,операции!$O:$O,$F1792))/N1853)</f>
        <v>42238.398750645756</v>
      </c>
      <c r="O1856" s="196"/>
      <c r="P1856" s="193">
        <f>IF(P1853=0,0,(SUMIFS(операции!$AH:$AH,операции!$T:$T,"&lt;="&amp;N$9,операции!$X:$X,"",операции!$AB:$AB,"&lt;&gt;"&amp;"",операции!$AB:$AB,"&lt;="&amp;N$9,операции!$L:$L,P$9,операции!$O:$O,$F1792)+SUMIFS(операции!$AH:$AH,операции!$T:$T,"&lt;="&amp;N$9,операции!$X:$X,"&gt;"&amp;N$9,операции!$AB:$AB,"&lt;&gt;"&amp;"",операции!$AB:$AB,"&lt;="&amp;N$9,операции!$L:$L,P$9,операции!$O:$O,$F1792))/P1853)</f>
        <v>42238.398750645756</v>
      </c>
      <c r="Q1856" s="237">
        <f>IF(Q1853=0,0,(SUMIFS(операции!$AH:$AH,операции!$T:$T,"&lt;="&amp;N$9,операции!$X:$X,"",операции!$AB:$AB,"&lt;&gt;"&amp;"",операции!$AB:$AB,"&lt;="&amp;N$9,операции!$L:$L,Q$9,операции!$O:$O,$F1792)+SUMIFS(операции!$AH:$AH,операции!$T:$T,"&lt;="&amp;N$9,операции!$X:$X,"&gt;"&amp;N$9,операции!$AB:$AB,"&lt;&gt;"&amp;"",операции!$AB:$AB,"&lt;="&amp;N$9,операции!$L:$L,Q$9,операции!$O:$O,$F1792))/Q1853)</f>
        <v>0</v>
      </c>
      <c r="R1856" s="238"/>
      <c r="S1856" s="193">
        <f>IF(S1853=0,0,(SUMIFS(операции!$AH:$AH,операции!$T:$T,"&lt;="&amp;S$9,операции!$X:$X,"",операции!$AB:$AB,"&lt;&gt;"&amp;"",операции!$AB:$AB,"&lt;="&amp;S$9,операции!$O:$O,$F1792)+SUMIFS(операции!$AH:$AH,операции!$T:$T,"&lt;="&amp;S$9,операции!$X:$X,"&gt;"&amp;S$9,операции!$AB:$AB,"&lt;&gt;"&amp;"",операции!$AB:$AB,"&lt;="&amp;S$9,операции!$O:$O,$F1792))/S1853)</f>
        <v>42241.790482847995</v>
      </c>
      <c r="T1856" s="196"/>
      <c r="U1856" s="193">
        <f>IF(U1853=0,0,(SUMIFS(операции!$AH:$AH,операции!$T:$T,"&lt;="&amp;S$9,операции!$X:$X,"",операции!$AB:$AB,"&lt;&gt;"&amp;"",операции!$AB:$AB,"&lt;="&amp;S$9,операции!$L:$L,U$9,операции!$O:$O,$F1792)+SUMIFS(операции!$AH:$AH,операции!$T:$T,"&lt;="&amp;S$9,операции!$X:$X,"&gt;"&amp;S$9,операции!$AB:$AB,"&lt;&gt;"&amp;"",операции!$AB:$AB,"&lt;="&amp;S$9,операции!$L:$L,U$9,операции!$O:$O,$F1792))/U1853)</f>
        <v>42241.790482847995</v>
      </c>
      <c r="V1856" s="237">
        <f>IF(V1853=0,0,(SUMIFS(операции!$AH:$AH,операции!$T:$T,"&lt;="&amp;S$9,операции!$X:$X,"",операции!$AB:$AB,"&lt;&gt;"&amp;"",операции!$AB:$AB,"&lt;="&amp;S$9,операции!$L:$L,V$9,операции!$O:$O,$F1792)+SUMIFS(операции!$AH:$AH,операции!$T:$T,"&lt;="&amp;S$9,операции!$X:$X,"&gt;"&amp;S$9,операции!$AB:$AB,"&lt;&gt;"&amp;"",операции!$AB:$AB,"&lt;="&amp;S$9,операции!$L:$L,V$9,операции!$O:$O,$F1792))/V1853)</f>
        <v>0</v>
      </c>
      <c r="W1856" s="238"/>
      <c r="X1856" s="193">
        <f>IF(X1853=0,0,(SUMIFS(операции!$AH:$AH,операции!$T:$T,"&lt;="&amp;X$9,операции!$X:$X,"",операции!$AB:$AB,"&lt;&gt;"&amp;"",операции!$AB:$AB,"&lt;="&amp;X$9,операции!$O:$O,$F1792)+SUMIFS(операции!$AH:$AH,операции!$T:$T,"&lt;="&amp;X$9,операции!$X:$X,"&gt;"&amp;X$9,операции!$AB:$AB,"&lt;&gt;"&amp;"",операции!$AB:$AB,"&lt;="&amp;X$9,операции!$O:$O,$F1792))/X1853)</f>
        <v>42242.167181208693</v>
      </c>
      <c r="Y1856" s="196"/>
      <c r="Z1856" s="193">
        <f>IF(Z1853=0,0,(SUMIFS(операции!$AH:$AH,операции!$T:$T,"&lt;="&amp;X$9,операции!$X:$X,"",операции!$AB:$AB,"&lt;&gt;"&amp;"",операции!$AB:$AB,"&lt;="&amp;X$9,операции!$L:$L,Z$9,операции!$O:$O,$F1792)+SUMIFS(операции!$AH:$AH,операции!$T:$T,"&lt;="&amp;X$9,операции!$X:$X,"&gt;"&amp;X$9,операции!$AB:$AB,"&lt;&gt;"&amp;"",операции!$AB:$AB,"&lt;="&amp;X$9,операции!$L:$L,Z$9,операции!$O:$O,$F1792))/Z1853)</f>
        <v>42238.512675988452</v>
      </c>
      <c r="AA1856" s="237">
        <f>IF(AA1853=0,0,(SUMIFS(операции!$AH:$AH,операции!$T:$T,"&lt;="&amp;X$9,операции!$X:$X,"",операции!$AB:$AB,"&lt;&gt;"&amp;"",операции!$AB:$AB,"&lt;="&amp;X$9,операции!$L:$L,AA$9,операции!$O:$O,$F1792)+SUMIFS(операции!$AH:$AH,операции!$T:$T,"&lt;="&amp;X$9,операции!$X:$X,"&gt;"&amp;X$9,операции!$AB:$AB,"&lt;&gt;"&amp;"",операции!$AB:$AB,"&lt;="&amp;X$9,операции!$L:$L,AA$9,операции!$O:$O,$F1792))/AA1853)</f>
        <v>42363</v>
      </c>
      <c r="AB1856" s="265"/>
      <c r="AC1856" s="37"/>
      <c r="AD1856" s="37"/>
      <c r="AE1856" s="37"/>
      <c r="AF1856" s="37"/>
      <c r="AG1856" s="37"/>
      <c r="AH1856" s="37"/>
      <c r="AI1856" s="37"/>
      <c r="AJ1856" s="37"/>
      <c r="AK1856" s="37"/>
      <c r="AL1856" s="37"/>
      <c r="AM1856" s="37"/>
      <c r="AN1856" s="37"/>
      <c r="AO1856" s="37"/>
      <c r="AP1856" s="37"/>
    </row>
    <row r="1857" spans="1:42" s="192" customFormat="1" ht="11.25">
      <c r="A1857" s="37"/>
      <c r="B1857" s="37"/>
      <c r="C1857" s="37"/>
      <c r="D1857" s="191"/>
      <c r="E1857" s="191" t="s">
        <v>284</v>
      </c>
      <c r="F1857" s="191" t="str">
        <f t="shared" si="3192"/>
        <v>СуперСпорт</v>
      </c>
      <c r="G1857" s="191" t="s">
        <v>219</v>
      </c>
      <c r="H1857" s="315"/>
      <c r="I1857" s="329">
        <f>I1856-I1854</f>
        <v>29.438547172285325</v>
      </c>
      <c r="J1857" s="317"/>
      <c r="K1857" s="329">
        <f>K1856-K1854</f>
        <v>30.177674166996439</v>
      </c>
      <c r="L1857" s="330">
        <f>L1856-L1854</f>
        <v>5</v>
      </c>
      <c r="M1857" s="274"/>
      <c r="N1857" s="156">
        <f>N1856-N1854</f>
        <v>26.605374373990344</v>
      </c>
      <c r="O1857" s="196"/>
      <c r="P1857" s="156">
        <f>P1856-P1854</f>
        <v>26.605374373990344</v>
      </c>
      <c r="Q1857" s="245">
        <f>Q1856-Q1854</f>
        <v>0</v>
      </c>
      <c r="R1857" s="238"/>
      <c r="S1857" s="156">
        <f>S1856-S1854</f>
        <v>27.870607906603254</v>
      </c>
      <c r="T1857" s="196"/>
      <c r="U1857" s="156">
        <f>U1856-U1854</f>
        <v>27.870607906603254</v>
      </c>
      <c r="V1857" s="245">
        <f>V1856-V1854</f>
        <v>0</v>
      </c>
      <c r="W1857" s="238"/>
      <c r="X1857" s="156">
        <f>X1856-X1854</f>
        <v>29.438547172285325</v>
      </c>
      <c r="Y1857" s="196"/>
      <c r="Z1857" s="156">
        <f>Z1856-Z1854</f>
        <v>30.177674166996439</v>
      </c>
      <c r="AA1857" s="245">
        <f>AA1856-AA1854</f>
        <v>5</v>
      </c>
      <c r="AB1857" s="265"/>
      <c r="AC1857" s="37"/>
      <c r="AD1857" s="37"/>
      <c r="AE1857" s="37"/>
      <c r="AF1857" s="37"/>
      <c r="AG1857" s="37"/>
      <c r="AH1857" s="37"/>
      <c r="AI1857" s="37"/>
      <c r="AJ1857" s="37"/>
      <c r="AK1857" s="37"/>
      <c r="AL1857" s="37"/>
      <c r="AM1857" s="37"/>
      <c r="AN1857" s="37"/>
      <c r="AO1857" s="37"/>
      <c r="AP1857" s="37"/>
    </row>
    <row r="1858" spans="1:42" s="192" customFormat="1" ht="11.25">
      <c r="A1858" s="37"/>
      <c r="B1858" s="37"/>
      <c r="C1858" s="37"/>
      <c r="D1858" s="191"/>
      <c r="E1858" s="191" t="s">
        <v>285</v>
      </c>
      <c r="F1858" s="191" t="str">
        <f t="shared" si="3192"/>
        <v>СуперСпорт</v>
      </c>
      <c r="G1858" s="191" t="s">
        <v>219</v>
      </c>
      <c r="H1858" s="315"/>
      <c r="I1858" s="329">
        <f>I1855-I1857</f>
        <v>126.83281879130664</v>
      </c>
      <c r="J1858" s="317"/>
      <c r="K1858" s="329">
        <f>K1855-K1857</f>
        <v>130.48732401154848</v>
      </c>
      <c r="L1858" s="330">
        <f>L1855-L1857</f>
        <v>6</v>
      </c>
      <c r="M1858" s="274"/>
      <c r="N1858" s="156">
        <f>N1855-N1857</f>
        <v>69.601249354243919</v>
      </c>
      <c r="O1858" s="196"/>
      <c r="P1858" s="156">
        <f>P1855-P1857</f>
        <v>69.601249354243919</v>
      </c>
      <c r="Q1858" s="245">
        <f>Q1855-Q1857</f>
        <v>0</v>
      </c>
      <c r="R1858" s="238"/>
      <c r="S1858" s="156">
        <f>S1855-S1857</f>
        <v>96.209517152004992</v>
      </c>
      <c r="T1858" s="196"/>
      <c r="U1858" s="156">
        <f>U1855-U1857</f>
        <v>96.209517152004992</v>
      </c>
      <c r="V1858" s="245">
        <f>V1855-V1857</f>
        <v>0</v>
      </c>
      <c r="W1858" s="238"/>
      <c r="X1858" s="156">
        <f>X1855-X1857</f>
        <v>126.83281879130664</v>
      </c>
      <c r="Y1858" s="196"/>
      <c r="Z1858" s="156">
        <f>Z1855-Z1857</f>
        <v>130.48732401154848</v>
      </c>
      <c r="AA1858" s="245">
        <f>AA1855-AA1857</f>
        <v>6</v>
      </c>
      <c r="AB1858" s="265"/>
      <c r="AC1858" s="37"/>
      <c r="AD1858" s="37"/>
      <c r="AE1858" s="37"/>
      <c r="AF1858" s="37"/>
      <c r="AG1858" s="37"/>
      <c r="AH1858" s="37"/>
      <c r="AI1858" s="37"/>
      <c r="AJ1858" s="37"/>
      <c r="AK1858" s="37"/>
      <c r="AL1858" s="37"/>
      <c r="AM1858" s="37"/>
      <c r="AN1858" s="37"/>
      <c r="AO1858" s="37"/>
      <c r="AP1858" s="37"/>
    </row>
    <row r="1859" spans="1:42" s="5" customFormat="1">
      <c r="A1859" s="1"/>
      <c r="B1859" s="1"/>
      <c r="C1859" s="1"/>
      <c r="D1859" s="168"/>
      <c r="E1859" s="168" t="s">
        <v>286</v>
      </c>
      <c r="F1859" s="168" t="str">
        <f t="shared" si="3192"/>
        <v>СуперСпорт</v>
      </c>
      <c r="G1859" s="168" t="s">
        <v>261</v>
      </c>
      <c r="H1859" s="326"/>
      <c r="I1859" s="327">
        <f>SUMIFS(операции!$V:$V,операции!$T:$T,"&lt;="&amp;I$9,операции!$X:$X,"",операции!$AB:$AB,"",операции!$O:$O,$F1792)+SUMIFS(операции!$V:$V,операции!$T:$T,"&lt;="&amp;I$9,операции!$X:$X,"&gt;"&amp;I$9,операции!$AB:$AB,"",операции!$O:$O,$F1792)+SUMIFS(операции!$V:$V,операции!$T:$T,"&lt;="&amp;I$9,операции!$X:$X,"",операции!$AB:$AB,"&gt;"&amp;I$9,операции!$O:$O,$F1792)+SUMIFS(операции!$V:$V,операции!$T:$T,"&lt;="&amp;I$9,операции!$X:$X,"&gt;"&amp;I$9,операции!$AB:$AB,"&gt;"&amp;I$9,операции!$O:$O,$F1792)</f>
        <v>8988.4800000000014</v>
      </c>
      <c r="J1859" s="313">
        <f>I1859-K1859-L1859</f>
        <v>0</v>
      </c>
      <c r="K1859" s="327">
        <f>SUMIFS(операции!$V:$V,операции!$T:$T,"&lt;="&amp;I$9,операции!$X:$X,"",операции!$AB:$AB,"",операции!$L:$L,K$9,операции!$O:$O,$F1792)+SUMIFS(операции!$V:$V,операции!$T:$T,"&lt;="&amp;I$9,операции!$X:$X,"&gt;"&amp;I$9,операции!$AB:$AB,"",операции!$L:$L,K$9,операции!$O:$O,$F1792)+SUMIFS(операции!$V:$V,операции!$T:$T,"&lt;="&amp;I$9,операции!$X:$X,"",операции!$AB:$AB,"&gt;"&amp;I$9,операции!$L:$L,K$9,операции!$O:$O,$F1792)+SUMIFS(операции!$V:$V,операции!$T:$T,"&lt;="&amp;I$9,операции!$X:$X,"&gt;"&amp;I$9,операции!$AB:$AB,"&gt;"&amp;I$9,операции!$L:$L,K$9,операции!$O:$O,$F1792)</f>
        <v>5884.27</v>
      </c>
      <c r="L1859" s="328">
        <f>SUMIFS(операции!$V:$V,операции!$T:$T,"&lt;="&amp;I$9,операции!$X:$X,"",операции!$AB:$AB,"",операции!$L:$L,L$9,операции!$O:$O,$F1792)+SUMIFS(операции!$V:$V,операции!$T:$T,"&lt;="&amp;I$9,операции!$X:$X,"&gt;"&amp;I$9,операции!$AB:$AB,"",операции!$L:$L,L$9,операции!$O:$O,$F1792)+SUMIFS(операции!$V:$V,операции!$T:$T,"&lt;="&amp;I$9,операции!$X:$X,"",операции!$AB:$AB,"&gt;"&amp;I$9,операции!$L:$L,L$9,операции!$O:$O,$F1792)+SUMIFS(операции!$V:$V,операции!$T:$T,"&lt;="&amp;I$9,операции!$X:$X,"&gt;"&amp;I$9,операции!$AB:$AB,"&gt;"&amp;I$9,операции!$L:$L,L$9,операции!$O:$O,$F1792)</f>
        <v>3104.21</v>
      </c>
      <c r="M1859" s="277"/>
      <c r="N1859" s="169">
        <f>SUMIFS(операции!$V:$V,операции!$T:$T,"&lt;="&amp;N$9,операции!$X:$X,"",операции!$AB:$AB,"",операции!$O:$O,$F1792)+SUMIFS(операции!$V:$V,операции!$T:$T,"&lt;="&amp;N$9,операции!$X:$X,"&gt;"&amp;N$9,операции!$AB:$AB,"",операции!$O:$O,$F1792)+SUMIFS(операции!$V:$V,операции!$T:$T,"&lt;="&amp;N$9,операции!$X:$X,"",операции!$AB:$AB,"&gt;"&amp;N$9,операции!$O:$O,$F1792)+SUMIFS(операции!$V:$V,операции!$T:$T,"&lt;="&amp;N$9,операции!$X:$X,"&gt;"&amp;N$9,операции!$AB:$AB,"&gt;"&amp;N$9,операции!$O:$O,$F1792)</f>
        <v>27919.920000000006</v>
      </c>
      <c r="O1859" s="170">
        <f>N1859-P1859-Q1859</f>
        <v>0</v>
      </c>
      <c r="P1859" s="169">
        <f>SUMIFS(операции!$V:$V,операции!$T:$T,"&lt;="&amp;N$9,операции!$X:$X,"",операции!$AB:$AB,"",операции!$L:$L,P$9,операции!$O:$O,$F1792)+SUMIFS(операции!$V:$V,операции!$T:$T,"&lt;="&amp;N$9,операции!$X:$X,"&gt;"&amp;N$9,операции!$AB:$AB,"",операции!$L:$L,P$9,операции!$O:$O,$F1792)+SUMIFS(операции!$V:$V,операции!$T:$T,"&lt;="&amp;N$9,операции!$X:$X,"",операции!$AB:$AB,"&gt;"&amp;N$9,операции!$L:$L,P$9,операции!$O:$O,$F1792)+SUMIFS(операции!$V:$V,операции!$T:$T,"&lt;="&amp;N$9,операции!$X:$X,"&gt;"&amp;N$9,операции!$AB:$AB,"&gt;"&amp;N$9,операции!$L:$L,P$9,операции!$O:$O,$F1792)</f>
        <v>24944.520000000004</v>
      </c>
      <c r="Q1859" s="243">
        <f>SUMIFS(операции!$V:$V,операции!$T:$T,"&lt;="&amp;N$9,операции!$X:$X,"",операции!$AB:$AB,"",операции!$L:$L,Q$9,операции!$O:$O,$F1792)+SUMIFS(операции!$V:$V,операции!$T:$T,"&lt;="&amp;N$9,операции!$X:$X,"&gt;"&amp;N$9,операции!$AB:$AB,"",операции!$L:$L,Q$9,операции!$O:$O,$F1792)+SUMIFS(операции!$V:$V,операции!$T:$T,"&lt;="&amp;N$9,операции!$X:$X,"",операции!$AB:$AB,"&gt;"&amp;N$9,операции!$L:$L,Q$9,операции!$O:$O,$F1792)+SUMIFS(операции!$V:$V,операции!$T:$T,"&lt;="&amp;N$9,операции!$X:$X,"&gt;"&amp;N$9,операции!$AB:$AB,"&gt;"&amp;N$9,операции!$L:$L,Q$9,операции!$O:$O,$F1792)</f>
        <v>2975.4</v>
      </c>
      <c r="R1859" s="244"/>
      <c r="S1859" s="169">
        <f>SUMIFS(операции!$V:$V,операции!$T:$T,"&lt;="&amp;S$9,операции!$X:$X,"",операции!$AB:$AB,"",операции!$O:$O,$F1792)+SUMIFS(операции!$V:$V,операции!$T:$T,"&lt;="&amp;S$9,операции!$X:$X,"&gt;"&amp;S$9,операции!$AB:$AB,"",операции!$O:$O,$F1792)+SUMIFS(операции!$V:$V,операции!$T:$T,"&lt;="&amp;S$9,операции!$X:$X,"",операции!$AB:$AB,"&gt;"&amp;S$9,операции!$O:$O,$F1792)+SUMIFS(операции!$V:$V,операции!$T:$T,"&lt;="&amp;S$9,операции!$X:$X,"&gt;"&amp;S$9,операции!$AB:$AB,"&gt;"&amp;S$9,операции!$O:$O,$F1792)</f>
        <v>68633.670000000013</v>
      </c>
      <c r="T1859" s="170">
        <f>S1859-U1859-V1859</f>
        <v>0</v>
      </c>
      <c r="U1859" s="169">
        <f>SUMIFS(операции!$V:$V,операции!$T:$T,"&lt;="&amp;S$9,операции!$X:$X,"",операции!$AB:$AB,"",операции!$L:$L,U$9,операции!$O:$O,$F1792)+SUMIFS(операции!$V:$V,операции!$T:$T,"&lt;="&amp;S$9,операции!$X:$X,"&gt;"&amp;S$9,операции!$AB:$AB,"",операции!$L:$L,U$9,операции!$O:$O,$F1792)+SUMIFS(операции!$V:$V,операции!$T:$T,"&lt;="&amp;S$9,операции!$X:$X,"",операции!$AB:$AB,"&gt;"&amp;S$9,операции!$L:$L,U$9,операции!$O:$O,$F1792)+SUMIFS(операции!$V:$V,операции!$T:$T,"&lt;="&amp;S$9,операции!$X:$X,"&gt;"&amp;S$9,операции!$AB:$AB,"&gt;"&amp;S$9,операции!$L:$L,U$9,операции!$O:$O,$F1792)</f>
        <v>8978.83</v>
      </c>
      <c r="V1859" s="243">
        <f>SUMIFS(операции!$V:$V,операции!$T:$T,"&lt;="&amp;S$9,операции!$X:$X,"",операции!$AB:$AB,"",операции!$L:$L,V$9,операции!$O:$O,$F1792)+SUMIFS(операции!$V:$V,операции!$T:$T,"&lt;="&amp;S$9,операции!$X:$X,"&gt;"&amp;S$9,операции!$AB:$AB,"",операции!$L:$L,V$9,операции!$O:$O,$F1792)+SUMIFS(операции!$V:$V,операции!$T:$T,"&lt;="&amp;S$9,операции!$X:$X,"",операции!$AB:$AB,"&gt;"&amp;S$9,операции!$L:$L,V$9,операции!$O:$O,$F1792)+SUMIFS(операции!$V:$V,операции!$T:$T,"&lt;="&amp;S$9,операции!$X:$X,"&gt;"&amp;S$9,операции!$AB:$AB,"&gt;"&amp;S$9,операции!$L:$L,V$9,операции!$O:$O,$F1792)</f>
        <v>59654.840000000018</v>
      </c>
      <c r="W1859" s="244"/>
      <c r="X1859" s="169">
        <f>SUMIFS(операции!$V:$V,операции!$T:$T,"&lt;="&amp;X$9,операции!$X:$X,"",операции!$AB:$AB,"",операции!$O:$O,$F1792)+SUMIFS(операции!$V:$V,операции!$T:$T,"&lt;="&amp;X$9,операции!$X:$X,"&gt;"&amp;X$9,операции!$AB:$AB,"",операции!$O:$O,$F1792)+SUMIFS(операции!$V:$V,операции!$T:$T,"&lt;="&amp;X$9,операции!$X:$X,"",операции!$AB:$AB,"&gt;"&amp;X$9,операции!$O:$O,$F1792)+SUMIFS(операции!$V:$V,операции!$T:$T,"&lt;="&amp;X$9,операции!$X:$X,"&gt;"&amp;X$9,операции!$AB:$AB,"&gt;"&amp;X$9,операции!$O:$O,$F1792)</f>
        <v>8988.4800000000014</v>
      </c>
      <c r="Y1859" s="170">
        <f>X1859-Z1859-AA1859</f>
        <v>0</v>
      </c>
      <c r="Z1859" s="169">
        <f>SUMIFS(операции!$V:$V,операции!$T:$T,"&lt;="&amp;X$9,операции!$X:$X,"",операции!$AB:$AB,"",операции!$L:$L,Z$9,операции!$O:$O,$F1792)+SUMIFS(операции!$V:$V,операции!$T:$T,"&lt;="&amp;X$9,операции!$X:$X,"&gt;"&amp;X$9,операции!$AB:$AB,"",операции!$L:$L,Z$9,операции!$O:$O,$F1792)+SUMIFS(операции!$V:$V,операции!$T:$T,"&lt;="&amp;X$9,операции!$X:$X,"",операции!$AB:$AB,"&gt;"&amp;X$9,операции!$L:$L,Z$9,операции!$O:$O,$F1792)+SUMIFS(операции!$V:$V,операции!$T:$T,"&lt;="&amp;X$9,операции!$X:$X,"&gt;"&amp;X$9,операции!$AB:$AB,"&gt;"&amp;X$9,операции!$L:$L,Z$9,операции!$O:$O,$F1792)</f>
        <v>5884.27</v>
      </c>
      <c r="AA1859" s="243">
        <f>SUMIFS(операции!$V:$V,операции!$T:$T,"&lt;="&amp;X$9,операции!$X:$X,"",операции!$AB:$AB,"",операции!$L:$L,AA$9,операции!$O:$O,$F1792)+SUMIFS(операции!$V:$V,операции!$T:$T,"&lt;="&amp;X$9,операции!$X:$X,"&gt;"&amp;X$9,операции!$AB:$AB,"",операции!$L:$L,AA$9,операции!$O:$O,$F1792)+SUMIFS(операции!$V:$V,операции!$T:$T,"&lt;="&amp;X$9,операции!$X:$X,"",операции!$AB:$AB,"&gt;"&amp;X$9,операции!$L:$L,AA$9,операции!$O:$O,$F1792)+SUMIFS(операции!$V:$V,операции!$T:$T,"&lt;="&amp;X$9,операции!$X:$X,"&gt;"&amp;X$9,операции!$AB:$AB,"&gt;"&amp;X$9,операции!$L:$L,AA$9,операции!$O:$O,$F1792)</f>
        <v>3104.21</v>
      </c>
      <c r="AB1859" s="266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</row>
    <row r="1860" spans="1:42" s="192" customFormat="1" ht="11.25">
      <c r="A1860" s="37"/>
      <c r="B1860" s="37"/>
      <c r="C1860" s="37"/>
      <c r="D1860" s="191"/>
      <c r="E1860" s="191" t="s">
        <v>255</v>
      </c>
      <c r="F1860" s="191" t="str">
        <f t="shared" si="3192"/>
        <v>СуперСпорт</v>
      </c>
      <c r="G1860" s="191" t="s">
        <v>262</v>
      </c>
      <c r="H1860" s="315"/>
      <c r="I1860" s="316">
        <f>IF(I1859=0,0,(SUMIFS(операции!$AF:$AF,операции!$T:$T,"&lt;="&amp;I$9,операции!$X:$X,"",операции!$AB:$AB,"",операции!$O:$O,$F1792)+SUMIFS(операции!$AF:$AF,операции!$T:$T,"&lt;="&amp;I$9,операции!$X:$X,"&gt;"&amp;I$9,операции!$AB:$AB,"",операции!$O:$O,$F1792)+SUMIFS(операции!$AF:$AF,операции!$T:$T,"&lt;="&amp;I$9,операции!$X:$X,"",операции!$AB:$AB,"&gt;"&amp;I$9,операции!$O:$O,$F1792)+SUMIFS(операции!$AF:$AF,операции!$T:$T,"&lt;="&amp;I$9,операции!$X:$X,"&gt;"&amp;I$9,операции!$AB:$AB,"&gt;"&amp;I$9,операции!$O:$O,$F1792))/I1859)</f>
        <v>42262.049165153614</v>
      </c>
      <c r="J1860" s="317"/>
      <c r="K1860" s="316">
        <f>IF(K1859=0,0,(SUMIFS(операции!$AF:$AF,операции!$T:$T,"&lt;="&amp;I$9,операции!$X:$X,"",операции!$AB:$AB,"",операции!$L:$L,K$9,операции!$O:$O,$F1792)+SUMIFS(операции!$AF:$AF,операции!$T:$T,"&lt;="&amp;I$9,операции!$X:$X,"&gt;"&amp;I$9,операции!$AB:$AB,"",операции!$L:$L,K$9,операции!$O:$O,$F1792)+SUMIFS(операции!$AF:$AF,операции!$T:$T,"&lt;="&amp;I$9,операции!$X:$X,"",операции!$AB:$AB,"&gt;"&amp;I$9,операции!$L:$L,K$9,операции!$O:$O,$F1792)+SUMIFS(операции!$AF:$AF,операции!$T:$T,"&lt;="&amp;I$9,операции!$X:$X,"&gt;"&amp;I$9,операции!$AB:$AB,"&gt;"&amp;I$9,операции!$L:$L,K$9,операции!$O:$O,$F1792))/K1859)</f>
        <v>42210.555059506107</v>
      </c>
      <c r="L1860" s="318">
        <f>IF(L1859=0,0,(SUMIFS(операции!$AF:$AF,операции!$T:$T,"&lt;="&amp;I$9,операции!$X:$X,"",операции!$AB:$AB,"",операции!$L:$L,L$9,операции!$O:$O,$F1792)+SUMIFS(операции!$AF:$AF,операции!$T:$T,"&lt;="&amp;I$9,операции!$X:$X,"&gt;"&amp;I$9,операции!$AB:$AB,"",операции!$L:$L,L$9,операции!$O:$O,$F1792)+SUMIFS(операции!$AF:$AF,операции!$T:$T,"&lt;="&amp;I$9,операции!$X:$X,"",операции!$AB:$AB,"&gt;"&amp;I$9,операции!$L:$L,L$9,операции!$O:$O,$F1792)+SUMIFS(операции!$AF:$AF,операции!$T:$T,"&lt;="&amp;I$9,операции!$X:$X,"&gt;"&amp;I$9,операции!$AB:$AB,"&gt;"&amp;I$9,операции!$L:$L,L$9,операции!$O:$O,$F1792))/L1859)</f>
        <v>42359.660222729777</v>
      </c>
      <c r="M1860" s="274"/>
      <c r="N1860" s="193">
        <f>IF(N1859=0,0,(SUMIFS(операции!$AF:$AF,операции!$T:$T,"&lt;="&amp;N$9,операции!$X:$X,"",операции!$AB:$AB,"",операции!$O:$O,$F1792)+SUMIFS(операции!$AF:$AF,операции!$T:$T,"&lt;="&amp;N$9,операции!$X:$X,"&gt;"&amp;N$9,операции!$AB:$AB,"",операции!$O:$O,$F1792)+SUMIFS(операции!$AF:$AF,операции!$T:$T,"&lt;="&amp;N$9,операции!$X:$X,"",операции!$AB:$AB,"&gt;"&amp;N$9,операции!$O:$O,$F1792)+SUMIFS(операции!$AF:$AF,операции!$T:$T,"&lt;="&amp;N$9,операции!$X:$X,"&gt;"&amp;N$9,операции!$AB:$AB,"&gt;"&amp;N$9,операции!$O:$O,$F1792))/N1859)</f>
        <v>42246.974232734181</v>
      </c>
      <c r="O1860" s="196"/>
      <c r="P1860" s="193">
        <f>IF(P1859=0,0,(SUMIFS(операции!$AF:$AF,операции!$T:$T,"&lt;="&amp;N$9,операции!$X:$X,"",операции!$AB:$AB,"",операции!$L:$L,P$9,операции!$O:$O,$F1792)+SUMIFS(операции!$AF:$AF,операции!$T:$T,"&lt;="&amp;N$9,операции!$X:$X,"&gt;"&amp;N$9,операции!$AB:$AB,"",операции!$L:$L,P$9,операции!$O:$O,$F1792)+SUMIFS(операции!$AF:$AF,операции!$T:$T,"&lt;="&amp;N$9,операции!$X:$X,"",операции!$AB:$AB,"&gt;"&amp;N$9,операции!$L:$L,P$9,операции!$O:$O,$F1792)+SUMIFS(операции!$AF:$AF,операции!$T:$T,"&lt;="&amp;N$9,операции!$X:$X,"&gt;"&amp;N$9,операции!$AB:$AB,"&gt;"&amp;N$9,операции!$L:$L,P$9,операции!$O:$O,$F1792))/P1859)</f>
        <v>42239.790503886215</v>
      </c>
      <c r="Q1860" s="237">
        <f>IF(Q1859=0,0,(SUMIFS(операции!$AF:$AF,операции!$T:$T,"&lt;="&amp;N$9,операции!$X:$X,"",операции!$AB:$AB,"",операции!$L:$L,Q$9,операции!$O:$O,$F1792)+SUMIFS(операции!$AF:$AF,операции!$T:$T,"&lt;="&amp;N$9,операции!$X:$X,"&gt;"&amp;N$9,операции!$AB:$AB,"",операции!$L:$L,Q$9,операции!$O:$O,$F1792)+SUMIFS(операции!$AF:$AF,операции!$T:$T,"&lt;="&amp;N$9,операции!$X:$X,"",операции!$AB:$AB,"&gt;"&amp;N$9,операции!$L:$L,Q$9,операции!$O:$O,$F1792)+SUMIFS(операции!$AF:$AF,операции!$T:$T,"&lt;="&amp;N$9,операции!$X:$X,"&gt;"&amp;N$9,операции!$AB:$AB,"&gt;"&amp;N$9,операции!$L:$L,Q$9,операции!$O:$O,$F1792))/Q1859)</f>
        <v>42307.199637023594</v>
      </c>
      <c r="R1860" s="238"/>
      <c r="S1860" s="193">
        <f>IF(S1859=0,0,(SUMIFS(операции!$AF:$AF,операции!$T:$T,"&lt;="&amp;S$9,операции!$X:$X,"",операции!$AB:$AB,"",операции!$O:$O,$F1792)+SUMIFS(операции!$AF:$AF,операции!$T:$T,"&lt;="&amp;S$9,операции!$X:$X,"&gt;"&amp;S$9,операции!$AB:$AB,"",операции!$O:$O,$F1792)+SUMIFS(операции!$AF:$AF,операции!$T:$T,"&lt;="&amp;S$9,операции!$X:$X,"",операции!$AB:$AB,"&gt;"&amp;S$9,операции!$O:$O,$F1792)+SUMIFS(операции!$AF:$AF,операции!$T:$T,"&lt;="&amp;S$9,операции!$X:$X,"&gt;"&amp;S$9,операции!$AB:$AB,"&gt;"&amp;S$9,операции!$O:$O,$F1792))/S1859)</f>
        <v>42319.346785622845</v>
      </c>
      <c r="T1860" s="196"/>
      <c r="U1860" s="193">
        <f>IF(U1859=0,0,(SUMIFS(операции!$AF:$AF,операции!$T:$T,"&lt;="&amp;S$9,операции!$X:$X,"",операции!$AB:$AB,"",операции!$L:$L,U$9,операции!$O:$O,$F1792)+SUMIFS(операции!$AF:$AF,операции!$T:$T,"&lt;="&amp;S$9,операции!$X:$X,"&gt;"&amp;S$9,операции!$AB:$AB,"",операции!$L:$L,U$9,операции!$O:$O,$F1792)+SUMIFS(операции!$AF:$AF,операции!$T:$T,"&lt;="&amp;S$9,операции!$X:$X,"",операции!$AB:$AB,"&gt;"&amp;S$9,операции!$L:$L,U$9,операции!$O:$O,$F1792)+SUMIFS(операции!$AF:$AF,операции!$T:$T,"&lt;="&amp;S$9,операции!$X:$X,"&gt;"&amp;S$9,операции!$AB:$AB,"&gt;"&amp;S$9,операции!$L:$L,U$9,операции!$O:$O,$F1792))/U1859)</f>
        <v>42209.355385946721</v>
      </c>
      <c r="V1860" s="237">
        <f>IF(V1859=0,0,(SUMIFS(операции!$AF:$AF,операции!$T:$T,"&lt;="&amp;S$9,операции!$X:$X,"",операции!$AB:$AB,"",операции!$L:$L,V$9,операции!$O:$O,$F1792)+SUMIFS(операции!$AF:$AF,операции!$T:$T,"&lt;="&amp;S$9,операции!$X:$X,"&gt;"&amp;S$9,операции!$AB:$AB,"",операции!$L:$L,V$9,операции!$O:$O,$F1792)+SUMIFS(операции!$AF:$AF,операции!$T:$T,"&lt;="&amp;S$9,операции!$X:$X,"",операции!$AB:$AB,"&gt;"&amp;S$9,операции!$L:$L,V$9,операции!$O:$O,$F1792)+SUMIFS(операции!$AF:$AF,операции!$T:$T,"&lt;="&amp;S$9,операции!$X:$X,"&gt;"&amp;S$9,операции!$AB:$AB,"&gt;"&amp;S$9,операции!$L:$L,V$9,операции!$O:$O,$F1792))/V1859)</f>
        <v>42335.901923129779</v>
      </c>
      <c r="W1860" s="238"/>
      <c r="X1860" s="193">
        <f>IF(X1859=0,0,(SUMIFS(операции!$AF:$AF,операции!$T:$T,"&lt;="&amp;X$9,операции!$X:$X,"",операции!$AB:$AB,"",операции!$O:$O,$F1792)+SUMIFS(операции!$AF:$AF,операции!$T:$T,"&lt;="&amp;X$9,операции!$X:$X,"&gt;"&amp;X$9,операции!$AB:$AB,"",операции!$O:$O,$F1792)+SUMIFS(операции!$AF:$AF,операции!$T:$T,"&lt;="&amp;X$9,операции!$X:$X,"",операции!$AB:$AB,"&gt;"&amp;X$9,операции!$O:$O,$F1792)+SUMIFS(операции!$AF:$AF,операции!$T:$T,"&lt;="&amp;X$9,операции!$X:$X,"&gt;"&amp;X$9,операции!$AB:$AB,"&gt;"&amp;X$9,операции!$O:$O,$F1792))/X1859)</f>
        <v>42262.049165153614</v>
      </c>
      <c r="Y1860" s="196"/>
      <c r="Z1860" s="193">
        <f>IF(Z1859=0,0,(SUMIFS(операции!$AF:$AF,операции!$T:$T,"&lt;="&amp;X$9,операции!$X:$X,"",операции!$AB:$AB,"",операции!$L:$L,Z$9,операции!$O:$O,$F1792)+SUMIFS(операции!$AF:$AF,операции!$T:$T,"&lt;="&amp;X$9,операции!$X:$X,"&gt;"&amp;X$9,операции!$AB:$AB,"",операции!$L:$L,Z$9,операции!$O:$O,$F1792)+SUMIFS(операции!$AF:$AF,операции!$T:$T,"&lt;="&amp;X$9,операции!$X:$X,"",операции!$AB:$AB,"&gt;"&amp;X$9,операции!$L:$L,Z$9,операции!$O:$O,$F1792)+SUMIFS(операции!$AF:$AF,операции!$T:$T,"&lt;="&amp;X$9,операции!$X:$X,"&gt;"&amp;X$9,операции!$AB:$AB,"&gt;"&amp;X$9,операции!$L:$L,Z$9,операции!$O:$O,$F1792))/Z1859)</f>
        <v>42210.555059506107</v>
      </c>
      <c r="AA1860" s="237">
        <f>IF(AA1859=0,0,(SUMIFS(операции!$AF:$AF,операции!$T:$T,"&lt;="&amp;X$9,операции!$X:$X,"",операции!$AB:$AB,"",операции!$L:$L,AA$9,операции!$O:$O,$F1792)+SUMIFS(операции!$AF:$AF,операции!$T:$T,"&lt;="&amp;X$9,операции!$X:$X,"&gt;"&amp;X$9,операции!$AB:$AB,"",операции!$L:$L,AA$9,операции!$O:$O,$F1792)+SUMIFS(операции!$AF:$AF,операции!$T:$T,"&lt;="&amp;X$9,операции!$X:$X,"",операции!$AB:$AB,"&gt;"&amp;X$9,операции!$L:$L,AA$9,операции!$O:$O,$F1792)+SUMIFS(операции!$AF:$AF,операции!$T:$T,"&lt;="&amp;X$9,операции!$X:$X,"&gt;"&amp;X$9,операции!$AB:$AB,"&gt;"&amp;X$9,операции!$L:$L,AA$9,операции!$O:$O,$F1792))/AA1859)</f>
        <v>42359.660222729777</v>
      </c>
      <c r="AB1860" s="265"/>
      <c r="AC1860" s="37"/>
      <c r="AD1860" s="37"/>
      <c r="AE1860" s="37"/>
      <c r="AF1860" s="37"/>
      <c r="AG1860" s="37"/>
      <c r="AH1860" s="37"/>
      <c r="AI1860" s="37"/>
      <c r="AJ1860" s="37"/>
      <c r="AK1860" s="37"/>
      <c r="AL1860" s="37"/>
      <c r="AM1860" s="37"/>
      <c r="AN1860" s="37"/>
      <c r="AO1860" s="37"/>
      <c r="AP1860" s="37"/>
    </row>
    <row r="1861" spans="1:42" s="192" customFormat="1" ht="11.25">
      <c r="A1861" s="37"/>
      <c r="B1861" s="37"/>
      <c r="C1861" s="37"/>
      <c r="D1861" s="191"/>
      <c r="E1861" s="191" t="s">
        <v>287</v>
      </c>
      <c r="F1861" s="191" t="str">
        <f t="shared" ref="F1861:F1864" si="3325">F1860</f>
        <v>СуперСпорт</v>
      </c>
      <c r="G1861" s="191" t="s">
        <v>219</v>
      </c>
      <c r="H1861" s="315"/>
      <c r="I1861" s="329">
        <f>IF(I1859=0,0,I$9-I1860)</f>
        <v>106.95083484638599</v>
      </c>
      <c r="J1861" s="317"/>
      <c r="K1861" s="329">
        <f>IF(K1859=0,0,I$9-K1860)</f>
        <v>158.44494049389323</v>
      </c>
      <c r="L1861" s="330">
        <f>IF(L1859=0,0,I$9-L1860)</f>
        <v>9.3397772702228394</v>
      </c>
      <c r="M1861" s="274"/>
      <c r="N1861" s="156">
        <f>IF(N1859=0,0,N$9-N1860)</f>
        <v>61.025767265819013</v>
      </c>
      <c r="O1861" s="196"/>
      <c r="P1861" s="156">
        <f>IF(P1859=0,0,N$9-P1860)</f>
        <v>68.209496113784553</v>
      </c>
      <c r="Q1861" s="245">
        <f>IF(Q1859=0,0,N$9-Q1860)</f>
        <v>0.80036297640617704</v>
      </c>
      <c r="R1861" s="238"/>
      <c r="S1861" s="156">
        <f>IF(S1859=0,0,S$9-S1860)</f>
        <v>18.653214377154654</v>
      </c>
      <c r="T1861" s="196"/>
      <c r="U1861" s="156">
        <f>IF(U1859=0,0,S$9-U1860)</f>
        <v>128.64461405327893</v>
      </c>
      <c r="V1861" s="245">
        <f>IF(V1859=0,0,S$9-V1860)</f>
        <v>2.0980768702211208</v>
      </c>
      <c r="W1861" s="238"/>
      <c r="X1861" s="156">
        <f>IF(X1859=0,0,X$9-X1860)</f>
        <v>106.95083484638599</v>
      </c>
      <c r="Y1861" s="196"/>
      <c r="Z1861" s="156">
        <f>IF(Z1859=0,0,X$9-Z1860)</f>
        <v>158.44494049389323</v>
      </c>
      <c r="AA1861" s="245">
        <f>IF(AA1859=0,0,X$9-AA1860)</f>
        <v>9.3397772702228394</v>
      </c>
      <c r="AB1861" s="265"/>
      <c r="AC1861" s="37"/>
      <c r="AD1861" s="37"/>
      <c r="AE1861" s="37"/>
      <c r="AF1861" s="37"/>
      <c r="AG1861" s="37"/>
      <c r="AH1861" s="37"/>
      <c r="AI1861" s="37"/>
      <c r="AJ1861" s="37"/>
      <c r="AK1861" s="37"/>
      <c r="AL1861" s="37"/>
      <c r="AM1861" s="37"/>
      <c r="AN1861" s="37"/>
      <c r="AO1861" s="37"/>
      <c r="AP1861" s="37"/>
    </row>
    <row r="1862" spans="1:42" s="192" customFormat="1" ht="11.25">
      <c r="A1862" s="37"/>
      <c r="B1862" s="37"/>
      <c r="C1862" s="37"/>
      <c r="D1862" s="191"/>
      <c r="E1862" s="191" t="s">
        <v>311</v>
      </c>
      <c r="F1862" s="191" t="str">
        <f t="shared" si="3325"/>
        <v>СуперСпорт</v>
      </c>
      <c r="G1862" s="191" t="s">
        <v>262</v>
      </c>
      <c r="H1862" s="315"/>
      <c r="I1862" s="316">
        <f>I$9</f>
        <v>42369</v>
      </c>
      <c r="J1862" s="317"/>
      <c r="K1862" s="316">
        <f>I$9</f>
        <v>42369</v>
      </c>
      <c r="L1862" s="318">
        <f>I$9</f>
        <v>42369</v>
      </c>
      <c r="M1862" s="274"/>
      <c r="N1862" s="193">
        <f>N$9</f>
        <v>42308</v>
      </c>
      <c r="O1862" s="196"/>
      <c r="P1862" s="193">
        <f>N$9</f>
        <v>42308</v>
      </c>
      <c r="Q1862" s="237">
        <f>N$9</f>
        <v>42308</v>
      </c>
      <c r="R1862" s="238"/>
      <c r="S1862" s="193">
        <f>S$9</f>
        <v>42338</v>
      </c>
      <c r="T1862" s="196"/>
      <c r="U1862" s="193">
        <f>S$9</f>
        <v>42338</v>
      </c>
      <c r="V1862" s="237">
        <f>S$9</f>
        <v>42338</v>
      </c>
      <c r="W1862" s="238"/>
      <c r="X1862" s="193">
        <f>X$9</f>
        <v>42369</v>
      </c>
      <c r="Y1862" s="196"/>
      <c r="Z1862" s="193">
        <f>X$9</f>
        <v>42369</v>
      </c>
      <c r="AA1862" s="237">
        <f>X$9</f>
        <v>42369</v>
      </c>
      <c r="AB1862" s="265"/>
      <c r="AC1862" s="37"/>
      <c r="AD1862" s="37"/>
      <c r="AE1862" s="37"/>
      <c r="AF1862" s="37"/>
      <c r="AG1862" s="37"/>
      <c r="AH1862" s="37"/>
      <c r="AI1862" s="37"/>
      <c r="AJ1862" s="37"/>
      <c r="AK1862" s="37"/>
      <c r="AL1862" s="37"/>
      <c r="AM1862" s="37"/>
      <c r="AN1862" s="37"/>
      <c r="AO1862" s="37"/>
      <c r="AP1862" s="37"/>
    </row>
    <row r="1863" spans="1:42" s="192" customFormat="1" ht="11.25">
      <c r="A1863" s="37"/>
      <c r="B1863" s="37"/>
      <c r="C1863" s="37"/>
      <c r="D1863" s="191"/>
      <c r="E1863" s="191" t="s">
        <v>288</v>
      </c>
      <c r="F1863" s="191" t="str">
        <f t="shared" si="3325"/>
        <v>СуперСпорт</v>
      </c>
      <c r="G1863" s="191" t="s">
        <v>219</v>
      </c>
      <c r="H1863" s="315"/>
      <c r="I1863" s="329">
        <f>IF(I1859=0,0,I1862-I1860)</f>
        <v>106.95083484638599</v>
      </c>
      <c r="J1863" s="317"/>
      <c r="K1863" s="329">
        <f>IF(K1859=0,0,K1862-K1860)</f>
        <v>158.44494049389323</v>
      </c>
      <c r="L1863" s="330">
        <f>IF(L1859=0,0,L1862-L1860)</f>
        <v>9.3397772702228394</v>
      </c>
      <c r="M1863" s="274"/>
      <c r="N1863" s="156">
        <f>IF(N1859=0,0,N1862-N1860)</f>
        <v>61.025767265819013</v>
      </c>
      <c r="O1863" s="196"/>
      <c r="P1863" s="156">
        <f>IF(P1859=0,0,P1862-P1860)</f>
        <v>68.209496113784553</v>
      </c>
      <c r="Q1863" s="245">
        <f>IF(Q1859=0,0,Q1862-Q1860)</f>
        <v>0.80036297640617704</v>
      </c>
      <c r="R1863" s="238"/>
      <c r="S1863" s="156">
        <f>IF(S1859=0,0,S1862-S1860)</f>
        <v>18.653214377154654</v>
      </c>
      <c r="T1863" s="196"/>
      <c r="U1863" s="156">
        <f>IF(U1859=0,0,U1862-U1860)</f>
        <v>128.64461405327893</v>
      </c>
      <c r="V1863" s="245">
        <f>IF(V1859=0,0,V1862-V1860)</f>
        <v>2.0980768702211208</v>
      </c>
      <c r="W1863" s="238"/>
      <c r="X1863" s="156">
        <f>IF(X1859=0,0,X1862-X1860)</f>
        <v>106.95083484638599</v>
      </c>
      <c r="Y1863" s="196"/>
      <c r="Z1863" s="156">
        <f>IF(Z1859=0,0,Z1862-Z1860)</f>
        <v>158.44494049389323</v>
      </c>
      <c r="AA1863" s="245">
        <f>IF(AA1859=0,0,AA1862-AA1860)</f>
        <v>9.3397772702228394</v>
      </c>
      <c r="AB1863" s="265"/>
      <c r="AC1863" s="37"/>
      <c r="AD1863" s="37"/>
      <c r="AE1863" s="37"/>
      <c r="AF1863" s="37"/>
      <c r="AG1863" s="37"/>
      <c r="AH1863" s="37"/>
      <c r="AI1863" s="37"/>
      <c r="AJ1863" s="37"/>
      <c r="AK1863" s="37"/>
      <c r="AL1863" s="37"/>
      <c r="AM1863" s="37"/>
      <c r="AN1863" s="37"/>
      <c r="AO1863" s="37"/>
      <c r="AP1863" s="37"/>
    </row>
    <row r="1864" spans="1:42" s="192" customFormat="1" ht="12" thickBot="1">
      <c r="A1864" s="37"/>
      <c r="B1864" s="37"/>
      <c r="C1864" s="37"/>
      <c r="D1864" s="297"/>
      <c r="E1864" s="297" t="s">
        <v>289</v>
      </c>
      <c r="F1864" s="297" t="str">
        <f t="shared" si="3325"/>
        <v>СуперСпорт</v>
      </c>
      <c r="G1864" s="297" t="s">
        <v>219</v>
      </c>
      <c r="H1864" s="377"/>
      <c r="I1864" s="378">
        <f>I1861-I1863</f>
        <v>0</v>
      </c>
      <c r="J1864" s="379"/>
      <c r="K1864" s="378">
        <f>K1861-K1863</f>
        <v>0</v>
      </c>
      <c r="L1864" s="380">
        <f>L1861-L1863</f>
        <v>0</v>
      </c>
      <c r="M1864" s="300"/>
      <c r="N1864" s="298">
        <f>N1861-N1863</f>
        <v>0</v>
      </c>
      <c r="O1864" s="299"/>
      <c r="P1864" s="298">
        <f>P1861-P1863</f>
        <v>0</v>
      </c>
      <c r="Q1864" s="301">
        <f>Q1861-Q1863</f>
        <v>0</v>
      </c>
      <c r="R1864" s="302"/>
      <c r="S1864" s="298">
        <f>S1861-S1863</f>
        <v>0</v>
      </c>
      <c r="T1864" s="299"/>
      <c r="U1864" s="298">
        <f>U1861-U1863</f>
        <v>0</v>
      </c>
      <c r="V1864" s="301">
        <f>V1861-V1863</f>
        <v>0</v>
      </c>
      <c r="W1864" s="302"/>
      <c r="X1864" s="298">
        <f>X1861-X1863</f>
        <v>0</v>
      </c>
      <c r="Y1864" s="299"/>
      <c r="Z1864" s="298">
        <f>Z1861-Z1863</f>
        <v>0</v>
      </c>
      <c r="AA1864" s="301">
        <f>AA1861-AA1863</f>
        <v>0</v>
      </c>
      <c r="AB1864" s="265"/>
      <c r="AC1864" s="37"/>
      <c r="AD1864" s="37"/>
      <c r="AE1864" s="37"/>
      <c r="AF1864" s="37"/>
      <c r="AG1864" s="37"/>
      <c r="AH1864" s="37"/>
      <c r="AI1864" s="37"/>
      <c r="AJ1864" s="37"/>
      <c r="AK1864" s="37"/>
      <c r="AL1864" s="37"/>
      <c r="AM1864" s="37"/>
      <c r="AN1864" s="37"/>
      <c r="AO1864" s="37"/>
      <c r="AP1864" s="37"/>
    </row>
    <row r="1865" spans="1:42" s="111" customFormat="1" ht="11.25">
      <c r="A1865" s="108"/>
      <c r="B1865" s="108"/>
      <c r="C1865" s="108" t="s">
        <v>271</v>
      </c>
      <c r="D1865" s="291"/>
      <c r="E1865" s="291"/>
      <c r="F1865" s="291" t="str">
        <f>F1866</f>
        <v>ФорКидс</v>
      </c>
      <c r="G1865" s="291"/>
      <c r="H1865" s="373"/>
      <c r="I1865" s="374">
        <f>I1866-K1866-L1866</f>
        <v>0</v>
      </c>
      <c r="J1865" s="375">
        <f>N1865+N1883+N1921+SUM(O:O)+S1865+S1883+S1921+SUM(T:T)+X1865+X1883+X1921+SUM(Y:Y)</f>
        <v>3.6740885889230412E-9</v>
      </c>
      <c r="K1865" s="373"/>
      <c r="L1865" s="376"/>
      <c r="M1865" s="293"/>
      <c r="N1865" s="292">
        <f>N1866-P1866-Q1866</f>
        <v>0</v>
      </c>
      <c r="O1865" s="294"/>
      <c r="P1865" s="291"/>
      <c r="Q1865" s="295"/>
      <c r="R1865" s="296"/>
      <c r="S1865" s="292">
        <f>S1866-U1866-V1866</f>
        <v>-1.8189894035458565E-11</v>
      </c>
      <c r="T1865" s="294"/>
      <c r="U1865" s="291"/>
      <c r="V1865" s="295"/>
      <c r="W1865" s="296"/>
      <c r="X1865" s="292">
        <f>X1866-Z1866-AA1866</f>
        <v>0</v>
      </c>
      <c r="Y1865" s="294"/>
      <c r="Z1865" s="291"/>
      <c r="AA1865" s="295"/>
      <c r="AB1865" s="263"/>
      <c r="AC1865" s="108"/>
      <c r="AD1865" s="108"/>
      <c r="AE1865" s="108"/>
      <c r="AF1865" s="108"/>
      <c r="AG1865" s="108"/>
      <c r="AH1865" s="108"/>
      <c r="AI1865" s="108"/>
      <c r="AJ1865" s="108"/>
      <c r="AK1865" s="108"/>
      <c r="AL1865" s="108"/>
      <c r="AM1865" s="108"/>
      <c r="AN1865" s="108"/>
      <c r="AO1865" s="108"/>
      <c r="AP1865" s="108"/>
    </row>
    <row r="1866" spans="1:42" s="93" customFormat="1" ht="15">
      <c r="A1866" s="92"/>
      <c r="B1866" s="92"/>
      <c r="C1866" s="92"/>
      <c r="D1866" s="151" t="s">
        <v>256</v>
      </c>
      <c r="E1866" s="151"/>
      <c r="F1866" s="286" t="str">
        <f>микс!$H$42</f>
        <v>ФорКидс</v>
      </c>
      <c r="G1866" s="151" t="s">
        <v>261</v>
      </c>
      <c r="H1866" s="311"/>
      <c r="I1866" s="312">
        <f>SUMIFS(операции!$V:$V,операции!$T:$T,"&lt;"&amp;I$8,операции!$X:$X,"",операции!$O:$O,$F1866)+SUMIFS(операции!$V:$V,операции!$T:$T,"&lt;"&amp;I$8,операции!$X:$X,"&gt;="&amp;I$8,операции!$O:$O,$F1866)</f>
        <v>234750.76</v>
      </c>
      <c r="J1866" s="313">
        <f>I1866-I1871-I1877</f>
        <v>0</v>
      </c>
      <c r="K1866" s="312">
        <f>SUMIFS(операции!$V:$V,операции!$T:$T,"&lt;"&amp;I$8,операции!$X:$X,"",операции!$L:$L,K$9,операции!$O:$O,$F1866)+SUMIFS(операции!$V:$V,операции!$T:$T,"&lt;"&amp;I$8,операции!$X:$X,"&gt;="&amp;I$8,операции!$L:$L,K$9,операции!$O:$O,$F1866)</f>
        <v>234750.76</v>
      </c>
      <c r="L1866" s="314">
        <f>SUMIFS(операции!$V:$V,операции!$T:$T,"&lt;"&amp;I$8,операции!$X:$X,"",операции!$L:$L,L$9,операции!$O:$O,$F1866)+SUMIFS(операции!$V:$V,операции!$T:$T,"&lt;"&amp;I$8,операции!$X:$X,"&gt;="&amp;I$8,операции!$L:$L,L$9,операции!$O:$O,$F1866)</f>
        <v>0</v>
      </c>
      <c r="M1866" s="273"/>
      <c r="N1866" s="152">
        <f>SUMIFS(операции!$V:$V,операции!$T:$T,"&lt;"&amp;N$8,операции!$X:$X,"",операции!$O:$O,$F1866)+SUMIFS(операции!$V:$V,операции!$T:$T,"&lt;"&amp;N$8,операции!$X:$X,"&gt;="&amp;N$8,операции!$O:$O,$F1866)</f>
        <v>234750.76</v>
      </c>
      <c r="O1866" s="170">
        <f>N1866-N1871-N1877</f>
        <v>0</v>
      </c>
      <c r="P1866" s="152">
        <f>SUMIFS(операции!$V:$V,операции!$T:$T,"&lt;"&amp;N$8,операции!$X:$X,"",операции!$L:$L,P$9,операции!$O:$O,$F1866)+SUMIFS(операции!$V:$V,операции!$T:$T,"&lt;"&amp;N$8,операции!$X:$X,"&gt;="&amp;N$8,операции!$L:$L,P$9,операции!$O:$O,$F1866)</f>
        <v>234750.76</v>
      </c>
      <c r="Q1866" s="235">
        <f>SUMIFS(операции!$V:$V,операции!$T:$T,"&lt;"&amp;N$8,операции!$X:$X,"",операции!$L:$L,Q$9,операции!$O:$O,$F1866)+SUMIFS(операции!$V:$V,операции!$T:$T,"&lt;"&amp;N$8,операции!$X:$X,"&gt;="&amp;N$8,операции!$L:$L,Q$9,операции!$O:$O,$F1866)</f>
        <v>0</v>
      </c>
      <c r="R1866" s="236"/>
      <c r="S1866" s="152">
        <f>SUMIFS(операции!$V:$V,операции!$T:$T,"&lt;"&amp;S$8,операции!$X:$X,"",операции!$O:$O,$F1866)+SUMIFS(операции!$V:$V,операции!$T:$T,"&lt;"&amp;S$8,операции!$X:$X,"&gt;="&amp;S$8,операции!$O:$O,$F1866)</f>
        <v>234311.66999999998</v>
      </c>
      <c r="T1866" s="170">
        <f>S1866-S1871-S1877</f>
        <v>0</v>
      </c>
      <c r="U1866" s="152">
        <f>SUMIFS(операции!$V:$V,операции!$T:$T,"&lt;"&amp;S$8,операции!$X:$X,"",операции!$L:$L,U$9,операции!$O:$O,$F1866)+SUMIFS(операции!$V:$V,операции!$T:$T,"&lt;"&amp;S$8,операции!$X:$X,"&gt;="&amp;S$8,операции!$L:$L,U$9,операции!$O:$O,$F1866)</f>
        <v>219768.97</v>
      </c>
      <c r="V1866" s="235">
        <f>SUMIFS(операции!$V:$V,операции!$T:$T,"&lt;"&amp;S$8,операции!$X:$X,"",операции!$L:$L,V$9,операции!$O:$O,$F1866)+SUMIFS(операции!$V:$V,операции!$T:$T,"&lt;"&amp;S$8,операции!$X:$X,"&gt;="&amp;S$8,операции!$L:$L,V$9,операции!$O:$O,$F1866)</f>
        <v>14542.7</v>
      </c>
      <c r="W1866" s="236"/>
      <c r="X1866" s="152">
        <f>SUMIFS(операции!$V:$V,операции!$T:$T,"&lt;"&amp;X$8,операции!$X:$X,"",операции!$O:$O,$F1866)+SUMIFS(операции!$V:$V,операции!$T:$T,"&lt;"&amp;X$8,операции!$X:$X,"&gt;="&amp;X$8,операции!$O:$O,$F1866)</f>
        <v>304061.85000000003</v>
      </c>
      <c r="Y1866" s="170">
        <f>X1866-X1871-X1877</f>
        <v>0</v>
      </c>
      <c r="Z1866" s="152">
        <f>SUMIFS(операции!$V:$V,операции!$T:$T,"&lt;"&amp;X$8,операции!$X:$X,"",операции!$L:$L,Z$9,операции!$O:$O,$F1866)+SUMIFS(операции!$V:$V,операции!$T:$T,"&lt;"&amp;X$8,операции!$X:$X,"&gt;="&amp;X$8,операции!$L:$L,Z$9,операции!$O:$O,$F1866)</f>
        <v>129618.96000000002</v>
      </c>
      <c r="AA1866" s="235">
        <f>SUMIFS(операции!$V:$V,операции!$T:$T,"&lt;"&amp;X$8,операции!$X:$X,"",операции!$L:$L,AA$9,операции!$O:$O,$F1866)+SUMIFS(операции!$V:$V,операции!$T:$T,"&lt;"&amp;X$8,операции!$X:$X,"&gt;="&amp;X$8,операции!$L:$L,AA$9,операции!$O:$O,$F1866)</f>
        <v>174442.89</v>
      </c>
      <c r="AB1866" s="264"/>
      <c r="AC1866" s="92"/>
      <c r="AD1866" s="92"/>
      <c r="AE1866" s="92"/>
      <c r="AF1866" s="92"/>
      <c r="AG1866" s="92"/>
      <c r="AH1866" s="92"/>
      <c r="AI1866" s="92"/>
      <c r="AJ1866" s="92"/>
      <c r="AK1866" s="92"/>
      <c r="AL1866" s="92"/>
      <c r="AM1866" s="92"/>
      <c r="AN1866" s="92"/>
      <c r="AO1866" s="92"/>
      <c r="AP1866" s="92"/>
    </row>
    <row r="1867" spans="1:42" s="192" customFormat="1" ht="11.25">
      <c r="A1867" s="37"/>
      <c r="B1867" s="37"/>
      <c r="C1867" s="37"/>
      <c r="D1867" s="191" t="s">
        <v>255</v>
      </c>
      <c r="E1867" s="191"/>
      <c r="F1867" s="191" t="str">
        <f>F1866</f>
        <v>ФорКидс</v>
      </c>
      <c r="G1867" s="191" t="s">
        <v>262</v>
      </c>
      <c r="H1867" s="315"/>
      <c r="I1867" s="316">
        <f>IF(I1866=0,0,(SUMIFS(операции!$AF:$AF,операции!$T:$T,"&lt;"&amp;I$8,операции!$X:$X,"",операции!$O:$O,$F1866)+SUMIFS(операции!$AF:$AF,операции!$T:$T,"&lt;"&amp;I$8,операции!$X:$X,"&gt;="&amp;I$8,операции!$O:$O,$F1866))/I1866)</f>
        <v>42193.287478558115</v>
      </c>
      <c r="J1867" s="317"/>
      <c r="K1867" s="316">
        <f>IF(K1866=0,0,(SUMIFS(операции!$AF:$AF,операции!$T:$T,"&lt;"&amp;I$8,операции!$X:$X,"",операции!$L:$L,K$9,операции!$O:$O,$F1866)+SUMIFS(операции!$AF:$AF,операции!$T:$T,"&lt;"&amp;I$8,операции!$X:$X,"&gt;="&amp;I$8,операции!$L:$L,K$9,операции!$O:$O,$F1866))/K1866)</f>
        <v>42193.287478558115</v>
      </c>
      <c r="L1867" s="318">
        <f>IF(L1866=0,0,(SUMIFS(операции!$AF:$AF,операции!$T:$T,"&lt;"&amp;I$8,операции!$X:$X,"",операции!$L:$L,L$9,операции!$O:$O,$F1866)+SUMIFS(операции!$AF:$AF,операции!$T:$T,"&lt;"&amp;I$8,операции!$X:$X,"&gt;="&amp;I$8,операции!$L:$L,L$9,операции!$O:$O,$F1866))/L1866)</f>
        <v>0</v>
      </c>
      <c r="M1867" s="274"/>
      <c r="N1867" s="193">
        <f>IF(N1866=0,0,(SUMIFS(операции!$AF:$AF,операции!$T:$T,"&lt;"&amp;N$8,операции!$X:$X,"",операции!$O:$O,$F1866)+SUMIFS(операции!$AF:$AF,операции!$T:$T,"&lt;"&amp;N$8,операции!$X:$X,"&gt;="&amp;N$8,операции!$O:$O,$F1866))/N1866)</f>
        <v>42193.287478558115</v>
      </c>
      <c r="O1867" s="196"/>
      <c r="P1867" s="193">
        <f>IF(P1866=0,0,(SUMIFS(операции!$AF:$AF,операции!$T:$T,"&lt;"&amp;N$8,операции!$X:$X,"",операции!$L:$L,P$9,операции!$O:$O,$F1866)+SUMIFS(операции!$AF:$AF,операции!$T:$T,"&lt;"&amp;N$8,операции!$X:$X,"&gt;="&amp;N$8,операции!$L:$L,P$9,операции!$O:$O,$F1866))/P1866)</f>
        <v>42193.287478558115</v>
      </c>
      <c r="Q1867" s="237">
        <f>IF(Q1866=0,0,(SUMIFS(операции!$AF:$AF,операции!$T:$T,"&lt;"&amp;N$8,операции!$X:$X,"",операции!$L:$L,Q$9,операции!$O:$O,$F1866)+SUMIFS(операции!$AF:$AF,операции!$T:$T,"&lt;"&amp;N$8,операции!$X:$X,"&gt;="&amp;N$8,операции!$L:$L,Q$9,операции!$O:$O,$F1866))/Q1866)</f>
        <v>0</v>
      </c>
      <c r="R1867" s="238"/>
      <c r="S1867" s="193">
        <f>IF(S1866=0,0,(SUMIFS(операции!$AF:$AF,операции!$T:$T,"&lt;"&amp;S$8,операции!$X:$X,"",операции!$O:$O,$F1866)+SUMIFS(операции!$AF:$AF,операции!$T:$T,"&lt;"&amp;S$8,операции!$X:$X,"&gt;="&amp;S$8,операции!$O:$O,$F1866))/S1866)</f>
        <v>42212.046777140902</v>
      </c>
      <c r="T1867" s="196"/>
      <c r="U1867" s="193">
        <f>IF(U1866=0,0,(SUMIFS(операции!$AF:$AF,операции!$T:$T,"&lt;"&amp;S$8,операции!$X:$X,"",операции!$L:$L,U$9,операции!$O:$O,$F1866)+SUMIFS(операции!$AF:$AF,операции!$T:$T,"&lt;"&amp;S$8,операции!$X:$X,"&gt;="&amp;S$8,операции!$L:$L,U$9,операции!$O:$O,$F1866))/U1866)</f>
        <v>42205.814827134156</v>
      </c>
      <c r="V1867" s="237">
        <f>IF(V1866=0,0,(SUMIFS(операции!$AF:$AF,операции!$T:$T,"&lt;"&amp;S$8,операции!$X:$X,"",операции!$L:$L,V$9,операции!$O:$O,$F1866)+SUMIFS(операции!$AF:$AF,операции!$T:$T,"&lt;"&amp;S$8,операции!$X:$X,"&gt;="&amp;S$8,операции!$L:$L,V$9,операции!$O:$O,$F1866))/V1866)</f>
        <v>42306.223871770715</v>
      </c>
      <c r="W1867" s="238"/>
      <c r="X1867" s="193">
        <f>IF(X1866=0,0,(SUMIFS(операции!$AF:$AF,операции!$T:$T,"&lt;"&amp;X$8,операции!$X:$X,"",операции!$O:$O,$F1866)+SUMIFS(операции!$AF:$AF,операции!$T:$T,"&lt;"&amp;X$8,операции!$X:$X,"&gt;="&amp;X$8,операции!$O:$O,$F1866))/X1866)</f>
        <v>42276.011804802205</v>
      </c>
      <c r="Y1867" s="196"/>
      <c r="Z1867" s="193">
        <f>IF(Z1866=0,0,(SUMIFS(операции!$AF:$AF,операции!$T:$T,"&lt;"&amp;X$8,операции!$X:$X,"",операции!$L:$L,Z$9,операции!$O:$O,$F1866)+SUMIFS(операции!$AF:$AF,операции!$T:$T,"&lt;"&amp;X$8,операции!$X:$X,"&gt;="&amp;X$8,операции!$L:$L,Z$9,операции!$O:$O,$F1866))/Z1866)</f>
        <v>42196.066868766728</v>
      </c>
      <c r="AA1867" s="237">
        <f>IF(AA1866=0,0,(SUMIFS(операции!$AF:$AF,операции!$T:$T,"&lt;"&amp;X$8,операции!$X:$X,"",операции!$L:$L,AA$9,операции!$O:$O,$F1866)+SUMIFS(операции!$AF:$AF,операции!$T:$T,"&lt;"&amp;X$8,операции!$X:$X,"&gt;="&amp;X$8,операции!$L:$L,AA$9,операции!$O:$O,$F1866))/AA1866)</f>
        <v>42335.414509413364</v>
      </c>
      <c r="AB1867" s="265"/>
      <c r="AC1867" s="37"/>
      <c r="AD1867" s="37"/>
      <c r="AE1867" s="37"/>
      <c r="AF1867" s="37"/>
      <c r="AG1867" s="37"/>
      <c r="AH1867" s="37"/>
      <c r="AI1867" s="37"/>
      <c r="AJ1867" s="37"/>
      <c r="AK1867" s="37"/>
      <c r="AL1867" s="37"/>
      <c r="AM1867" s="37"/>
      <c r="AN1867" s="37"/>
      <c r="AO1867" s="37"/>
      <c r="AP1867" s="37"/>
    </row>
    <row r="1868" spans="1:42" s="50" customFormat="1" ht="11.25">
      <c r="A1868" s="48"/>
      <c r="B1868" s="48"/>
      <c r="C1868" s="48"/>
      <c r="D1868" s="154" t="s">
        <v>257</v>
      </c>
      <c r="E1868" s="154"/>
      <c r="F1868" s="154" t="str">
        <f t="shared" ref="F1868:F1934" si="3326">F1867</f>
        <v>ФорКидс</v>
      </c>
      <c r="G1868" s="154" t="s">
        <v>219</v>
      </c>
      <c r="H1868" s="319"/>
      <c r="I1868" s="320">
        <f>IF(I1866=0,0,I$8-I1867)</f>
        <v>84.712521441884746</v>
      </c>
      <c r="J1868" s="321">
        <f>I1868-IF(I1866=0,0,(I1871*I1873+I1877*I1879)/I1866)</f>
        <v>-4.8174797484534793E-12</v>
      </c>
      <c r="K1868" s="320">
        <f>IF(K1866=0,0,I$8-K1867)</f>
        <v>84.712521441884746</v>
      </c>
      <c r="L1868" s="322">
        <f>IF(L1866=0,0,I$8-L1867)</f>
        <v>0</v>
      </c>
      <c r="M1868" s="275"/>
      <c r="N1868" s="155">
        <f>IF(N1866=0,0,N$8-N1867)</f>
        <v>84.712521441884746</v>
      </c>
      <c r="O1868" s="173">
        <f>N1868-IF(N1866=0,0,(N1871*N1873+N1877*N1879)/N1866)</f>
        <v>-4.8174797484534793E-12</v>
      </c>
      <c r="P1868" s="155">
        <f>IF(P1866=0,0,N$8-P1867)</f>
        <v>84.712521441884746</v>
      </c>
      <c r="Q1868" s="239">
        <f>IF(Q1866=0,0,N$8-Q1867)</f>
        <v>0</v>
      </c>
      <c r="R1868" s="240"/>
      <c r="S1868" s="155">
        <f>IF(S1866=0,0,S$8-S1867)</f>
        <v>96.953222859097878</v>
      </c>
      <c r="T1868" s="173">
        <f>S1868-IF(S1866=0,0,(S1871*S1873+S1877*S1879)/S1866)</f>
        <v>-9.8197006082045846E-12</v>
      </c>
      <c r="U1868" s="155">
        <f>IF(U1866=0,0,S$8-U1867)</f>
        <v>103.18517286584392</v>
      </c>
      <c r="V1868" s="239">
        <f>IF(V1866=0,0,S$8-V1867)</f>
        <v>2.7761282292849501</v>
      </c>
      <c r="W1868" s="240"/>
      <c r="X1868" s="155">
        <f>IF(X1866=0,0,X$8-X1867)</f>
        <v>62.988195197794994</v>
      </c>
      <c r="Y1868" s="173">
        <f>X1868-IF(X1866=0,0,(X1871*X1873+X1877*X1879)/X1866)</f>
        <v>8.7609919319220353E-12</v>
      </c>
      <c r="Z1868" s="155">
        <f>IF(Z1866=0,0,X$8-Z1867)</f>
        <v>142.93313123327243</v>
      </c>
      <c r="AA1868" s="239">
        <f>IF(AA1866=0,0,X$8-AA1867)</f>
        <v>3.5854905866362969</v>
      </c>
      <c r="AB1868" s="230"/>
      <c r="AC1868" s="48"/>
      <c r="AD1868" s="48"/>
      <c r="AE1868" s="48"/>
      <c r="AF1868" s="48"/>
      <c r="AG1868" s="48"/>
      <c r="AH1868" s="48"/>
      <c r="AI1868" s="48"/>
      <c r="AJ1868" s="48"/>
      <c r="AK1868" s="48"/>
      <c r="AL1868" s="48"/>
      <c r="AM1868" s="48"/>
      <c r="AN1868" s="48"/>
      <c r="AO1868" s="48"/>
      <c r="AP1868" s="48"/>
    </row>
    <row r="1869" spans="1:42" s="93" customFormat="1" ht="15">
      <c r="A1869" s="92"/>
      <c r="B1869" s="92"/>
      <c r="C1869" s="92"/>
      <c r="D1869" s="198" t="s">
        <v>267</v>
      </c>
      <c r="E1869" s="198"/>
      <c r="F1869" s="198" t="str">
        <f t="shared" si="3326"/>
        <v>ФорКидс</v>
      </c>
      <c r="G1869" s="198" t="s">
        <v>219</v>
      </c>
      <c r="H1869" s="323"/>
      <c r="I1869" s="324">
        <f>IF(I1866=0,0,(I1871*I1875+I1877*I1881)/I1866)</f>
        <v>32.039156294956662</v>
      </c>
      <c r="J1869" s="321"/>
      <c r="K1869" s="324">
        <f t="shared" ref="K1869" si="3327">IF(K1866=0,0,(K1871*K1875+K1877*K1881)/K1866)</f>
        <v>32.039156294956662</v>
      </c>
      <c r="L1869" s="325">
        <f>IF(L1866=0,0,(L1871*L1875+L1877*L1881)/L1866)</f>
        <v>0</v>
      </c>
      <c r="M1869" s="276"/>
      <c r="N1869" s="199">
        <f>IF(N1866=0,0,(N1871*N1875+N1877*N1881)/N1866)</f>
        <v>32.039156294956662</v>
      </c>
      <c r="O1869" s="173"/>
      <c r="P1869" s="199">
        <f t="shared" ref="P1869" si="3328">IF(P1866=0,0,(P1871*P1875+P1877*P1881)/P1866)</f>
        <v>32.039156294956662</v>
      </c>
      <c r="Q1869" s="241">
        <f>IF(Q1866=0,0,(Q1871*Q1875+Q1877*Q1881)/Q1866)</f>
        <v>0</v>
      </c>
      <c r="R1869" s="242"/>
      <c r="S1869" s="199">
        <f>IF(S1866=0,0,(S1871*S1875+S1877*S1881)/S1866)</f>
        <v>37.612657448945313</v>
      </c>
      <c r="T1869" s="173"/>
      <c r="U1869" s="199">
        <f t="shared" ref="U1869" si="3329">IF(U1866=0,0,(U1871*U1875+U1877*U1881)/U1866)</f>
        <v>39.91788367575387</v>
      </c>
      <c r="V1869" s="241">
        <f>IF(V1866=0,0,(V1871*V1875+V1877*V1881)/V1866)</f>
        <v>2.7761282292849501</v>
      </c>
      <c r="W1869" s="242"/>
      <c r="X1869" s="199">
        <f>IF(X1866=0,0,(X1871*X1875+X1877*X1881)/X1866)</f>
        <v>21.267924963296657</v>
      </c>
      <c r="Y1869" s="173"/>
      <c r="Z1869" s="199">
        <f t="shared" ref="Z1869" si="3330">IF(Z1866=0,0,(Z1871*Z1875+Z1877*Z1881)/Z1866)</f>
        <v>45.065176190283026</v>
      </c>
      <c r="AA1869" s="241">
        <f>IF(AA1866=0,0,(AA1871*AA1875+AA1877*AA1881)/AA1866)</f>
        <v>3.5854905866362969</v>
      </c>
      <c r="AB1869" s="264"/>
      <c r="AC1869" s="92"/>
      <c r="AD1869" s="92"/>
      <c r="AE1869" s="92"/>
      <c r="AF1869" s="92"/>
      <c r="AG1869" s="92"/>
      <c r="AH1869" s="92"/>
      <c r="AI1869" s="92"/>
      <c r="AJ1869" s="92"/>
      <c r="AK1869" s="92"/>
      <c r="AL1869" s="92"/>
      <c r="AM1869" s="92"/>
      <c r="AN1869" s="92"/>
      <c r="AO1869" s="92"/>
      <c r="AP1869" s="92"/>
    </row>
    <row r="1870" spans="1:42" s="50" customFormat="1" ht="11.25">
      <c r="A1870" s="48"/>
      <c r="B1870" s="48"/>
      <c r="C1870" s="48"/>
      <c r="D1870" s="154" t="s">
        <v>270</v>
      </c>
      <c r="E1870" s="154"/>
      <c r="F1870" s="154" t="str">
        <f t="shared" si="3326"/>
        <v>ФорКидс</v>
      </c>
      <c r="G1870" s="154" t="s">
        <v>219</v>
      </c>
      <c r="H1870" s="319"/>
      <c r="I1870" s="320">
        <f>I1868-I1869</f>
        <v>52.673365146928084</v>
      </c>
      <c r="J1870" s="321"/>
      <c r="K1870" s="320">
        <f t="shared" ref="K1870" si="3331">K1868-K1869</f>
        <v>52.673365146928084</v>
      </c>
      <c r="L1870" s="322">
        <f t="shared" ref="L1870" si="3332">L1868-L1869</f>
        <v>0</v>
      </c>
      <c r="M1870" s="275"/>
      <c r="N1870" s="155">
        <f>N1868-N1869</f>
        <v>52.673365146928084</v>
      </c>
      <c r="O1870" s="173"/>
      <c r="P1870" s="155">
        <f t="shared" ref="P1870" si="3333">P1868-P1869</f>
        <v>52.673365146928084</v>
      </c>
      <c r="Q1870" s="239">
        <f t="shared" ref="Q1870" si="3334">Q1868-Q1869</f>
        <v>0</v>
      </c>
      <c r="R1870" s="240"/>
      <c r="S1870" s="155">
        <f>S1868-S1869</f>
        <v>59.340565410152564</v>
      </c>
      <c r="T1870" s="173"/>
      <c r="U1870" s="155">
        <f t="shared" ref="U1870" si="3335">U1868-U1869</f>
        <v>63.267289190090054</v>
      </c>
      <c r="V1870" s="239">
        <f t="shared" ref="V1870" si="3336">V1868-V1869</f>
        <v>0</v>
      </c>
      <c r="W1870" s="240"/>
      <c r="X1870" s="155">
        <f>X1868-X1869</f>
        <v>41.720270234498336</v>
      </c>
      <c r="Y1870" s="173"/>
      <c r="Z1870" s="155">
        <f t="shared" ref="Z1870" si="3337">Z1868-Z1869</f>
        <v>97.867955042989408</v>
      </c>
      <c r="AA1870" s="239">
        <f t="shared" ref="AA1870" si="3338">AA1868-AA1869</f>
        <v>0</v>
      </c>
      <c r="AB1870" s="230"/>
      <c r="AC1870" s="48"/>
      <c r="AD1870" s="48"/>
      <c r="AE1870" s="48"/>
      <c r="AF1870" s="48"/>
      <c r="AG1870" s="48"/>
      <c r="AH1870" s="48"/>
      <c r="AI1870" s="48"/>
      <c r="AJ1870" s="48"/>
      <c r="AK1870" s="48"/>
      <c r="AL1870" s="48"/>
      <c r="AM1870" s="48"/>
      <c r="AN1870" s="48"/>
      <c r="AO1870" s="48"/>
      <c r="AP1870" s="48"/>
    </row>
    <row r="1871" spans="1:42" s="5" customFormat="1">
      <c r="A1871" s="1"/>
      <c r="B1871" s="1"/>
      <c r="C1871" s="1"/>
      <c r="D1871" s="168"/>
      <c r="E1871" s="168" t="s">
        <v>258</v>
      </c>
      <c r="F1871" s="168" t="str">
        <f t="shared" si="3326"/>
        <v>ФорКидс</v>
      </c>
      <c r="G1871" s="168" t="s">
        <v>261</v>
      </c>
      <c r="H1871" s="326"/>
      <c r="I1871" s="327">
        <f>SUMIFS(операции!$V:$V,операции!$T:$T,"&lt;"&amp;I$8,операции!$X:$X,"",операции!$AB:$AB,"&lt;&gt;"&amp;"",операции!$AB:$AB,"&lt;"&amp;I$8,операции!$O:$O,$F1866)+SUMIFS(операции!$V:$V,операции!$T:$T,"&lt;"&amp;I$8,операции!$X:$X,"&gt;="&amp;I$8,операции!$AB:$AB,"&lt;&gt;"&amp;"",операции!$AB:$AB,"&lt;"&amp;I$8,операции!$O:$O,$F1866)</f>
        <v>156163.29999999999</v>
      </c>
      <c r="J1871" s="313">
        <f>I1871-K1871-L1871</f>
        <v>0</v>
      </c>
      <c r="K1871" s="327">
        <f>SUMIFS(операции!$V:$V,операции!$T:$T,"&lt;"&amp;I$8,операции!$X:$X,"",операции!$AB:$AB,"&lt;&gt;"&amp;"",операции!$AB:$AB,"&lt;"&amp;I$8,операции!$L:$L,K$9,операции!$O:$O,$F1866)+SUMIFS(операции!$V:$V,операции!$T:$T,"&lt;"&amp;I$8,операции!$X:$X,"&gt;="&amp;I$8,операции!$AB:$AB,"&lt;&gt;"&amp;"",операции!$AB:$AB,"&lt;"&amp;I$8,операции!$L:$L,K$9,операции!$O:$O,$F1866)</f>
        <v>156163.29999999999</v>
      </c>
      <c r="L1871" s="328">
        <f>SUMIFS(операции!$V:$V,операции!$T:$T,"&lt;"&amp;I$8,операции!$X:$X,"",операции!$AB:$AB,"&lt;&gt;"&amp;"",операции!$AB:$AB,"&lt;"&amp;I$8,операции!$L:$L,L$9,операции!$O:$O,$F1866)+SUMIFS(операции!$V:$V,операции!$T:$T,"&lt;"&amp;I$8,операции!$X:$X,"&gt;="&amp;I$8,операции!$AB:$AB,"&lt;&gt;"&amp;"",операции!$AB:$AB,"&lt;"&amp;I$8,операции!$L:$L,L$9,операции!$O:$O,$F1866)</f>
        <v>0</v>
      </c>
      <c r="M1871" s="277"/>
      <c r="N1871" s="169">
        <f>SUMIFS(операции!$V:$V,операции!$T:$T,"&lt;"&amp;N$8,операции!$X:$X,"",операции!$AB:$AB,"&lt;&gt;"&amp;"",операции!$AB:$AB,"&lt;"&amp;N$8,операции!$O:$O,$F1866)+SUMIFS(операции!$V:$V,операции!$T:$T,"&lt;"&amp;N$8,операции!$X:$X,"&gt;="&amp;N$8,операции!$AB:$AB,"&lt;&gt;"&amp;"",операции!$AB:$AB,"&lt;"&amp;N$8,операции!$O:$O,$F1866)</f>
        <v>156163.29999999999</v>
      </c>
      <c r="O1871" s="170">
        <f>N1871-P1871-Q1871</f>
        <v>0</v>
      </c>
      <c r="P1871" s="169">
        <f>SUMIFS(операции!$V:$V,операции!$T:$T,"&lt;"&amp;N$8,операции!$X:$X,"",операции!$AB:$AB,"&lt;&gt;"&amp;"",операции!$AB:$AB,"&lt;"&amp;N$8,операции!$L:$L,P$9,операции!$O:$O,$F1866)+SUMIFS(операции!$V:$V,операции!$T:$T,"&lt;"&amp;N$8,операции!$X:$X,"&gt;="&amp;N$8,операции!$AB:$AB,"&lt;&gt;"&amp;"",операции!$AB:$AB,"&lt;"&amp;N$8,операции!$L:$L,P$9,операции!$O:$O,$F1866)</f>
        <v>156163.29999999999</v>
      </c>
      <c r="Q1871" s="243">
        <f>SUMIFS(операции!$V:$V,операции!$T:$T,"&lt;"&amp;N$8,операции!$X:$X,"",операции!$AB:$AB,"&lt;&gt;"&amp;"",операции!$AB:$AB,"&lt;"&amp;N$8,операции!$L:$L,Q$9,операции!$O:$O,$F1866)+SUMIFS(операции!$V:$V,операции!$T:$T,"&lt;"&amp;N$8,операции!$X:$X,"&gt;="&amp;N$8,операции!$AB:$AB,"&lt;&gt;"&amp;"",операции!$AB:$AB,"&lt;"&amp;N$8,операции!$L:$L,Q$9,операции!$O:$O,$F1866)</f>
        <v>0</v>
      </c>
      <c r="R1871" s="244"/>
      <c r="S1871" s="169">
        <f>SUMIFS(операции!$V:$V,операции!$T:$T,"&lt;"&amp;S$8,операции!$X:$X,"",операции!$AB:$AB,"&lt;&gt;"&amp;"",операции!$AB:$AB,"&lt;"&amp;S$8,операции!$O:$O,$F1866)+SUMIFS(операции!$V:$V,операции!$T:$T,"&lt;"&amp;S$8,операции!$X:$X,"&gt;="&amp;S$8,операции!$AB:$AB,"&lt;&gt;"&amp;"",операции!$AB:$AB,"&lt;"&amp;S$8,операции!$O:$O,$F1866)</f>
        <v>155660.65999999997</v>
      </c>
      <c r="T1871" s="170">
        <f>S1871-U1871-V1871</f>
        <v>0</v>
      </c>
      <c r="U1871" s="169">
        <f>SUMIFS(операции!$V:$V,операции!$T:$T,"&lt;"&amp;S$8,операции!$X:$X,"",операции!$AB:$AB,"&lt;&gt;"&amp;"",операции!$AB:$AB,"&lt;"&amp;S$8,операции!$L:$L,U$9,операции!$O:$O,$F1866)+SUMIFS(операции!$V:$V,операции!$T:$T,"&lt;"&amp;S$8,операции!$X:$X,"&gt;="&amp;S$8,операции!$AB:$AB,"&lt;&gt;"&amp;"",операции!$AB:$AB,"&lt;"&amp;S$8,операции!$L:$L,U$9,операции!$O:$O,$F1866)</f>
        <v>155660.65999999997</v>
      </c>
      <c r="V1871" s="243">
        <f>SUMIFS(операции!$V:$V,операции!$T:$T,"&lt;"&amp;S$8,операции!$X:$X,"",операции!$AB:$AB,"&lt;&gt;"&amp;"",операции!$AB:$AB,"&lt;"&amp;S$8,операции!$L:$L,V$9,операции!$O:$O,$F1866)+SUMIFS(операции!$V:$V,операции!$T:$T,"&lt;"&amp;S$8,операции!$X:$X,"&gt;="&amp;S$8,операции!$AB:$AB,"&lt;&gt;"&amp;"",операции!$AB:$AB,"&lt;"&amp;S$8,операции!$L:$L,V$9,операции!$O:$O,$F1866)</f>
        <v>0</v>
      </c>
      <c r="W1871" s="244"/>
      <c r="X1871" s="169">
        <f>SUMIFS(операции!$V:$V,операции!$T:$T,"&lt;"&amp;X$8,операции!$X:$X,"",операции!$AB:$AB,"&lt;&gt;"&amp;"",операции!$AB:$AB,"&lt;"&amp;X$8,операции!$O:$O,$F1866)+SUMIFS(операции!$V:$V,операции!$T:$T,"&lt;"&amp;X$8,операции!$X:$X,"&gt;="&amp;X$8,операции!$AB:$AB,"&lt;&gt;"&amp;"",операции!$AB:$AB,"&lt;"&amp;X$8,операции!$O:$O,$F1866)</f>
        <v>103174.73999999999</v>
      </c>
      <c r="Y1871" s="170">
        <f>X1871-Z1871-AA1871</f>
        <v>0</v>
      </c>
      <c r="Z1871" s="169">
        <f>SUMIFS(операции!$V:$V,операции!$T:$T,"&lt;"&amp;X$8,операции!$X:$X,"",операции!$AB:$AB,"&lt;&gt;"&amp;"",операции!$AB:$AB,"&lt;"&amp;X$8,операции!$L:$L,Z$9,операции!$O:$O,$F1866)+SUMIFS(операции!$V:$V,операции!$T:$T,"&lt;"&amp;X$8,операции!$X:$X,"&gt;="&amp;X$8,операции!$AB:$AB,"&lt;&gt;"&amp;"",операции!$AB:$AB,"&lt;"&amp;X$8,операции!$L:$L,Z$9,операции!$O:$O,$F1866)</f>
        <v>103174.73999999999</v>
      </c>
      <c r="AA1871" s="243">
        <f>SUMIFS(операции!$V:$V,операции!$T:$T,"&lt;"&amp;X$8,операции!$X:$X,"",операции!$AB:$AB,"&lt;&gt;"&amp;"",операции!$AB:$AB,"&lt;"&amp;X$8,операции!$L:$L,AA$9,операции!$O:$O,$F1866)+SUMIFS(операции!$V:$V,операции!$T:$T,"&lt;"&amp;X$8,операции!$X:$X,"&gt;="&amp;X$8,операции!$AB:$AB,"&lt;&gt;"&amp;"",операции!$AB:$AB,"&lt;"&amp;X$8,операции!$L:$L,AA$9,операции!$O:$O,$F1866)</f>
        <v>0</v>
      </c>
      <c r="AB1871" s="266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</row>
    <row r="1872" spans="1:42" s="192" customFormat="1" ht="11.25">
      <c r="A1872" s="37"/>
      <c r="B1872" s="37"/>
      <c r="C1872" s="37"/>
      <c r="D1872" s="191"/>
      <c r="E1872" s="191" t="s">
        <v>255</v>
      </c>
      <c r="F1872" s="191" t="str">
        <f t="shared" si="3326"/>
        <v>ФорКидс</v>
      </c>
      <c r="G1872" s="191" t="s">
        <v>262</v>
      </c>
      <c r="H1872" s="315"/>
      <c r="I1872" s="316">
        <f>IF(I1871=0,0,(SUMIFS(операции!$AF:$AF,операции!$T:$T,"&lt;"&amp;I$8,операции!$X:$X,"",операции!$AB:$AB,"&lt;&gt;"&amp;"",операции!$AB:$AB,"&lt;"&amp;I$8,операции!$O:$O,$F1866)+SUMIFS(операции!$AF:$AF,операции!$T:$T,"&lt;"&amp;I$8,операции!$X:$X,"&gt;="&amp;I$8,операции!$AB:$AB,"&lt;&gt;"&amp;"",операции!$AB:$AB,"&lt;"&amp;I$8,операции!$O:$O,$F1866))/I1871)</f>
        <v>42172.617882626713</v>
      </c>
      <c r="J1872" s="317"/>
      <c r="K1872" s="316">
        <f>IF(K1871=0,0,(SUMIFS(операции!$AF:$AF,операции!$T:$T,"&lt;"&amp;I$8,операции!$X:$X,"",операции!$AB:$AB,"&lt;&gt;"&amp;"",операции!$AB:$AB,"&lt;"&amp;I$8,операции!$L:$L,K$9,операции!$O:$O,$F1866)+SUMIFS(операции!$AF:$AF,операции!$T:$T,"&lt;"&amp;I$8,операции!$X:$X,"&gt;="&amp;I$8,операции!$AB:$AB,"&lt;&gt;"&amp;"",операции!$AB:$AB,"&lt;"&amp;I$8,операции!$L:$L,K$9,операции!$O:$O,$F1866))/K1871)</f>
        <v>42172.617882626713</v>
      </c>
      <c r="L1872" s="318">
        <f>IF(L1871=0,0,(SUMIFS(операции!$AF:$AF,операции!$T:$T,"&lt;"&amp;I$8,операции!$X:$X,"",операции!$AB:$AB,"&lt;&gt;"&amp;"",операции!$AB:$AB,"&lt;"&amp;I$8,операции!$L:$L,L$9,операции!$O:$O,$F1866)+SUMIFS(операции!$AF:$AF,операции!$T:$T,"&lt;"&amp;I$8,операции!$X:$X,"&gt;="&amp;I$8,операции!$AB:$AB,"&lt;&gt;"&amp;"",операции!$AB:$AB,"&lt;"&amp;I$8,операции!$L:$L,L$9,операции!$O:$O,$F1866))/L1871)</f>
        <v>0</v>
      </c>
      <c r="M1872" s="274"/>
      <c r="N1872" s="193">
        <f>IF(N1871=0,0,(SUMIFS(операции!$AF:$AF,операции!$T:$T,"&lt;"&amp;N$8,операции!$X:$X,"",операции!$AB:$AB,"&lt;&gt;"&amp;"",операции!$AB:$AB,"&lt;"&amp;N$8,операции!$O:$O,$F1866)+SUMIFS(операции!$AF:$AF,операции!$T:$T,"&lt;"&amp;N$8,операции!$X:$X,"&gt;="&amp;N$8,операции!$AB:$AB,"&lt;&gt;"&amp;"",операции!$AB:$AB,"&lt;"&amp;N$8,операции!$O:$O,$F1866))/N1871)</f>
        <v>42172.617882626713</v>
      </c>
      <c r="O1872" s="196"/>
      <c r="P1872" s="193">
        <f>IF(P1871=0,0,(SUMIFS(операции!$AF:$AF,операции!$T:$T,"&lt;"&amp;N$8,операции!$X:$X,"",операции!$AB:$AB,"&lt;&gt;"&amp;"",операции!$AB:$AB,"&lt;"&amp;N$8,операции!$L:$L,P$9,операции!$O:$O,$F1866)+SUMIFS(операции!$AF:$AF,операции!$T:$T,"&lt;"&amp;N$8,операции!$X:$X,"&gt;="&amp;N$8,операции!$AB:$AB,"&lt;&gt;"&amp;"",операции!$AB:$AB,"&lt;"&amp;N$8,операции!$L:$L,P$9,операции!$O:$O,$F1866))/P1871)</f>
        <v>42172.617882626713</v>
      </c>
      <c r="Q1872" s="237">
        <f>IF(Q1871=0,0,(SUMIFS(операции!$AF:$AF,операции!$T:$T,"&lt;"&amp;N$8,операции!$X:$X,"",операции!$AB:$AB,"&lt;&gt;"&amp;"",операции!$AB:$AB,"&lt;"&amp;N$8,операции!$L:$L,Q$9,операции!$O:$O,$F1866)+SUMIFS(операции!$AF:$AF,операции!$T:$T,"&lt;"&amp;N$8,операции!$X:$X,"&gt;="&amp;N$8,операции!$AB:$AB,"&lt;&gt;"&amp;"",операции!$AB:$AB,"&lt;"&amp;N$8,операции!$L:$L,Q$9,операции!$O:$O,$F1866))/Q1871)</f>
        <v>0</v>
      </c>
      <c r="R1872" s="238"/>
      <c r="S1872" s="193">
        <f>IF(S1871=0,0,(SUMIFS(операции!$AF:$AF,операции!$T:$T,"&lt;"&amp;S$8,операции!$X:$X,"",операции!$AB:$AB,"&lt;&gt;"&amp;"",операции!$AB:$AB,"&lt;"&amp;S$8,операции!$O:$O,$F1866)+SUMIFS(операции!$AF:$AF,операции!$T:$T,"&lt;"&amp;S$8,операции!$X:$X,"&gt;="&amp;S$8,операции!$AB:$AB,"&lt;&gt;"&amp;"",операции!$AB:$AB,"&lt;"&amp;S$8,операции!$O:$O,$F1866))/S1871)</f>
        <v>42192.570197055575</v>
      </c>
      <c r="T1872" s="196"/>
      <c r="U1872" s="193">
        <f>IF(U1871=0,0,(SUMIFS(операции!$AF:$AF,операции!$T:$T,"&lt;"&amp;S$8,операции!$X:$X,"",операции!$AB:$AB,"&lt;&gt;"&amp;"",операции!$AB:$AB,"&lt;"&amp;S$8,операции!$L:$L,U$9,операции!$O:$O,$F1866)+SUMIFS(операции!$AF:$AF,операции!$T:$T,"&lt;"&amp;S$8,операции!$X:$X,"&gt;="&amp;S$8,операции!$AB:$AB,"&lt;&gt;"&amp;"",операции!$AB:$AB,"&lt;"&amp;S$8,операции!$L:$L,U$9,операции!$O:$O,$F1866))/U1871)</f>
        <v>42192.570197055575</v>
      </c>
      <c r="V1872" s="237">
        <f>IF(V1871=0,0,(SUMIFS(операции!$AF:$AF,операции!$T:$T,"&lt;"&amp;S$8,операции!$X:$X,"",операции!$AB:$AB,"&lt;&gt;"&amp;"",операции!$AB:$AB,"&lt;"&amp;S$8,операции!$L:$L,V$9,операции!$O:$O,$F1866)+SUMIFS(операции!$AF:$AF,операции!$T:$T,"&lt;"&amp;S$8,операции!$X:$X,"&gt;="&amp;S$8,операции!$AB:$AB,"&lt;&gt;"&amp;"",операции!$AB:$AB,"&lt;"&amp;S$8,операции!$L:$L,V$9,операции!$O:$O,$F1866))/V1871)</f>
        <v>0</v>
      </c>
      <c r="W1872" s="238"/>
      <c r="X1872" s="193">
        <f>IF(X1871=0,0,(SUMIFS(операции!$AF:$AF,операции!$T:$T,"&lt;"&amp;X$8,операции!$X:$X,"",операции!$AB:$AB,"&lt;&gt;"&amp;"",операции!$AB:$AB,"&lt;"&amp;X$8,операции!$O:$O,$F1866)+SUMIFS(операции!$AF:$AF,операции!$T:$T,"&lt;"&amp;X$8,операции!$X:$X,"&gt;="&amp;X$8,операции!$AB:$AB,"&lt;&gt;"&amp;"",операции!$AB:$AB,"&lt;"&amp;X$8,операции!$O:$O,$F1866))/X1871)</f>
        <v>42186.857378753753</v>
      </c>
      <c r="Y1872" s="196"/>
      <c r="Z1872" s="193">
        <f>IF(Z1871=0,0,(SUMIFS(операции!$AF:$AF,операции!$T:$T,"&lt;"&amp;X$8,операции!$X:$X,"",операции!$AB:$AB,"&lt;&gt;"&amp;"",операции!$AB:$AB,"&lt;"&amp;X$8,операции!$L:$L,Z$9,операции!$O:$O,$F1866)+SUMIFS(операции!$AF:$AF,операции!$T:$T,"&lt;"&amp;X$8,операции!$X:$X,"&gt;="&amp;X$8,операции!$AB:$AB,"&lt;&gt;"&amp;"",операции!$AB:$AB,"&lt;"&amp;X$8,операции!$L:$L,Z$9,операции!$O:$O,$F1866))/Z1871)</f>
        <v>42186.857378753753</v>
      </c>
      <c r="AA1872" s="237">
        <f>IF(AA1871=0,0,(SUMIFS(операции!$AF:$AF,операции!$T:$T,"&lt;"&amp;X$8,операции!$X:$X,"",операции!$AB:$AB,"&lt;&gt;"&amp;"",операции!$AB:$AB,"&lt;"&amp;X$8,операции!$L:$L,AA$9,операции!$O:$O,$F1866)+SUMIFS(операции!$AF:$AF,операции!$T:$T,"&lt;"&amp;X$8,операции!$X:$X,"&gt;="&amp;X$8,операции!$AB:$AB,"&lt;&gt;"&amp;"",операции!$AB:$AB,"&lt;"&amp;X$8,операции!$L:$L,AA$9,операции!$O:$O,$F1866))/AA1871)</f>
        <v>0</v>
      </c>
      <c r="AB1872" s="265"/>
      <c r="AC1872" s="37"/>
      <c r="AD1872" s="37"/>
      <c r="AE1872" s="37"/>
      <c r="AF1872" s="37"/>
      <c r="AG1872" s="37"/>
      <c r="AH1872" s="37"/>
      <c r="AI1872" s="37"/>
      <c r="AJ1872" s="37"/>
      <c r="AK1872" s="37"/>
      <c r="AL1872" s="37"/>
      <c r="AM1872" s="37"/>
      <c r="AN1872" s="37"/>
      <c r="AO1872" s="37"/>
      <c r="AP1872" s="37"/>
    </row>
    <row r="1873" spans="1:42" s="192" customFormat="1" ht="11.25">
      <c r="A1873" s="37"/>
      <c r="B1873" s="37"/>
      <c r="C1873" s="37"/>
      <c r="D1873" s="191"/>
      <c r="E1873" s="191" t="s">
        <v>260</v>
      </c>
      <c r="F1873" s="191" t="str">
        <f t="shared" si="3326"/>
        <v>ФорКидс</v>
      </c>
      <c r="G1873" s="191" t="s">
        <v>219</v>
      </c>
      <c r="H1873" s="315"/>
      <c r="I1873" s="329">
        <f>IF(I1871=0,0,I$8-I1872)</f>
        <v>105.38211737328675</v>
      </c>
      <c r="J1873" s="317"/>
      <c r="K1873" s="329">
        <f>IF(K1871=0,0,I$8-K1872)</f>
        <v>105.38211737328675</v>
      </c>
      <c r="L1873" s="330">
        <f>IF(L1871=0,0,I$8-L1872)</f>
        <v>0</v>
      </c>
      <c r="M1873" s="274"/>
      <c r="N1873" s="156">
        <f>IF(N1871=0,0,N$8-N1872)</f>
        <v>105.38211737328675</v>
      </c>
      <c r="O1873" s="196"/>
      <c r="P1873" s="156">
        <f>IF(P1871=0,0,N$8-P1872)</f>
        <v>105.38211737328675</v>
      </c>
      <c r="Q1873" s="245">
        <f>IF(Q1871=0,0,N$8-Q1872)</f>
        <v>0</v>
      </c>
      <c r="R1873" s="238"/>
      <c r="S1873" s="156">
        <f>IF(S1871=0,0,S$8-S1872)</f>
        <v>116.42980294442532</v>
      </c>
      <c r="T1873" s="196"/>
      <c r="U1873" s="156">
        <f>IF(U1871=0,0,S$8-U1872)</f>
        <v>116.42980294442532</v>
      </c>
      <c r="V1873" s="245">
        <f>IF(V1871=0,0,S$8-V1872)</f>
        <v>0</v>
      </c>
      <c r="W1873" s="238"/>
      <c r="X1873" s="156">
        <f>IF(X1871=0,0,X$8-X1872)</f>
        <v>152.14262124624656</v>
      </c>
      <c r="Y1873" s="196"/>
      <c r="Z1873" s="156">
        <f>IF(Z1871=0,0,X$8-Z1872)</f>
        <v>152.14262124624656</v>
      </c>
      <c r="AA1873" s="245">
        <f>IF(AA1871=0,0,X$8-AA1872)</f>
        <v>0</v>
      </c>
      <c r="AB1873" s="265"/>
      <c r="AC1873" s="37"/>
      <c r="AD1873" s="37"/>
      <c r="AE1873" s="37"/>
      <c r="AF1873" s="37"/>
      <c r="AG1873" s="37"/>
      <c r="AH1873" s="37"/>
      <c r="AI1873" s="37"/>
      <c r="AJ1873" s="37"/>
      <c r="AK1873" s="37"/>
      <c r="AL1873" s="37"/>
      <c r="AM1873" s="37"/>
      <c r="AN1873" s="37"/>
      <c r="AO1873" s="37"/>
      <c r="AP1873" s="37"/>
    </row>
    <row r="1874" spans="1:42" s="192" customFormat="1" ht="11.25">
      <c r="A1874" s="37"/>
      <c r="B1874" s="37"/>
      <c r="C1874" s="37"/>
      <c r="D1874" s="191"/>
      <c r="E1874" s="191" t="s">
        <v>259</v>
      </c>
      <c r="F1874" s="191" t="str">
        <f t="shared" si="3326"/>
        <v>ФорКидс</v>
      </c>
      <c r="G1874" s="191" t="s">
        <v>262</v>
      </c>
      <c r="H1874" s="315"/>
      <c r="I1874" s="316">
        <f>IF(I1871=0,0,(SUMIFS(операции!$AH:$AH,операции!$T:$T,"&lt;"&amp;I$8,операции!$X:$X,"",операции!$AB:$AB,"&lt;&gt;"&amp;"",операции!$AB:$AB,"&lt;"&amp;I$8,операции!$O:$O,$F1866)+SUMIFS(операции!$AH:$AH,операции!$T:$T,"&lt;"&amp;I$8,операции!$X:$X,"&gt;="&amp;I$8,операции!$AB:$AB,"&lt;&gt;"&amp;"",операции!$AB:$AB,"&lt;"&amp;I$8,операции!$O:$O,$F1866))/I1871)</f>
        <v>42198.819344237731</v>
      </c>
      <c r="J1874" s="317"/>
      <c r="K1874" s="316">
        <f>IF(K1871=0,0,(SUMIFS(операции!$AH:$AH,операции!$T:$T,"&lt;"&amp;I$8,операции!$X:$X,"",операции!$AB:$AB,"&lt;&gt;"&amp;"",операции!$AB:$AB,"&lt;"&amp;I$8,операции!$L:$L,K$9,операции!$O:$O,$F1866)+SUMIFS(операции!$AH:$AH,операции!$T:$T,"&lt;"&amp;I$8,операции!$X:$X,"&gt;="&amp;I$8,операции!$AB:$AB,"&lt;&gt;"&amp;"",операции!$AB:$AB,"&lt;"&amp;I$8,операции!$L:$L,K$9,операции!$O:$O,$F1866))/K1871)</f>
        <v>42198.819344237731</v>
      </c>
      <c r="L1874" s="318">
        <f>IF(L1871=0,0,(SUMIFS(операции!$AH:$AH,операции!$T:$T,"&lt;"&amp;I$8,операции!$X:$X,"",операции!$AB:$AB,"&lt;&gt;"&amp;"",операции!$AB:$AB,"&lt;"&amp;I$8,операции!$L:$L,L$9,операции!$O:$O,$F1866)+SUMIFS(операции!$AH:$AH,операции!$T:$T,"&lt;"&amp;I$8,операции!$X:$X,"&gt;="&amp;I$8,операции!$AB:$AB,"&lt;&gt;"&amp;"",операции!$AB:$AB,"&lt;"&amp;I$8,операции!$L:$L,L$9,операции!$O:$O,$F1866))/L1871)</f>
        <v>0</v>
      </c>
      <c r="M1874" s="274"/>
      <c r="N1874" s="193">
        <f>IF(N1871=0,0,(SUMIFS(операции!$AH:$AH,операции!$T:$T,"&lt;"&amp;N$8,операции!$X:$X,"",операции!$AB:$AB,"&lt;&gt;"&amp;"",операции!$AB:$AB,"&lt;"&amp;N$8,операции!$O:$O,$F1866)+SUMIFS(операции!$AH:$AH,операции!$T:$T,"&lt;"&amp;N$8,операции!$X:$X,"&gt;="&amp;N$8,операции!$AB:$AB,"&lt;&gt;"&amp;"",операции!$AB:$AB,"&lt;"&amp;N$8,операции!$O:$O,$F1866))/N1871)</f>
        <v>42198.819344237731</v>
      </c>
      <c r="O1874" s="196"/>
      <c r="P1874" s="193">
        <f>IF(P1871=0,0,(SUMIFS(операции!$AH:$AH,операции!$T:$T,"&lt;"&amp;N$8,операции!$X:$X,"",операции!$AB:$AB,"&lt;&gt;"&amp;"",операции!$AB:$AB,"&lt;"&amp;N$8,операции!$L:$L,P$9,операции!$O:$O,$F1866)+SUMIFS(операции!$AH:$AH,операции!$T:$T,"&lt;"&amp;N$8,операции!$X:$X,"&gt;="&amp;N$8,операции!$AB:$AB,"&lt;&gt;"&amp;"",операции!$AB:$AB,"&lt;"&amp;N$8,операции!$L:$L,P$9,операции!$O:$O,$F1866))/P1871)</f>
        <v>42198.819344237731</v>
      </c>
      <c r="Q1874" s="237">
        <f>IF(Q1871=0,0,(SUMIFS(операции!$AH:$AH,операции!$T:$T,"&lt;"&amp;N$8,операции!$X:$X,"",операции!$AB:$AB,"&lt;&gt;"&amp;"",операции!$AB:$AB,"&lt;"&amp;N$8,операции!$L:$L,Q$9,операции!$O:$O,$F1866)+SUMIFS(операции!$AH:$AH,операции!$T:$T,"&lt;"&amp;N$8,операции!$X:$X,"&gt;="&amp;N$8,операции!$AB:$AB,"&lt;&gt;"&amp;"",операции!$AB:$AB,"&lt;"&amp;N$8,операции!$L:$L,Q$9,операции!$O:$O,$F1866))/Q1871)</f>
        <v>0</v>
      </c>
      <c r="R1874" s="238"/>
      <c r="S1874" s="193">
        <f>IF(S1871=0,0,(SUMIFS(операции!$AH:$AH,операции!$T:$T,"&lt;"&amp;S$8,операции!$X:$X,"",операции!$AB:$AB,"&lt;&gt;"&amp;"",операции!$AB:$AB,"&lt;"&amp;S$8,операции!$O:$O,$F1866)+SUMIFS(операции!$AH:$AH,операции!$T:$T,"&lt;"&amp;S$8,операции!$X:$X,"&gt;="&amp;S$8,операции!$AB:$AB,"&lt;&gt;"&amp;"",операции!$AB:$AB,"&lt;"&amp;S$8,операции!$O:$O,$F1866))/S1871)</f>
        <v>42219.676294318684</v>
      </c>
      <c r="T1874" s="196"/>
      <c r="U1874" s="193">
        <f>IF(U1871=0,0,(SUMIFS(операции!$AH:$AH,операции!$T:$T,"&lt;"&amp;S$8,операции!$X:$X,"",операции!$AB:$AB,"&lt;&gt;"&amp;"",операции!$AB:$AB,"&lt;"&amp;S$8,операции!$L:$L,U$9,операции!$O:$O,$F1866)+SUMIFS(операции!$AH:$AH,операции!$T:$T,"&lt;"&amp;S$8,операции!$X:$X,"&gt;="&amp;S$8,операции!$AB:$AB,"&lt;&gt;"&amp;"",операции!$AB:$AB,"&lt;"&amp;S$8,операции!$L:$L,U$9,операции!$O:$O,$F1866))/U1871)</f>
        <v>42219.676294318684</v>
      </c>
      <c r="V1874" s="237">
        <f>IF(V1871=0,0,(SUMIFS(операции!$AH:$AH,операции!$T:$T,"&lt;"&amp;S$8,операции!$X:$X,"",операции!$AB:$AB,"&lt;&gt;"&amp;"",операции!$AB:$AB,"&lt;"&amp;S$8,операции!$L:$L,V$9,операции!$O:$O,$F1866)+SUMIFS(операции!$AH:$AH,операции!$T:$T,"&lt;"&amp;S$8,операции!$X:$X,"&gt;="&amp;S$8,операции!$AB:$AB,"&lt;&gt;"&amp;"",операции!$AB:$AB,"&lt;"&amp;S$8,операции!$L:$L,V$9,операции!$O:$O,$F1866))/V1871)</f>
        <v>0</v>
      </c>
      <c r="W1874" s="238"/>
      <c r="X1874" s="193">
        <f>IF(X1871=0,0,(SUMIFS(операции!$AH:$AH,операции!$T:$T,"&lt;"&amp;X$8,операции!$X:$X,"",операции!$AB:$AB,"&lt;&gt;"&amp;"",операции!$AB:$AB,"&lt;"&amp;X$8,операции!$O:$O,$F1866)+SUMIFS(операции!$AH:$AH,операции!$T:$T,"&lt;"&amp;X$8,операции!$X:$X,"&gt;="&amp;X$8,операции!$AB:$AB,"&lt;&gt;"&amp;"",операции!$AB:$AB,"&lt;"&amp;X$8,операции!$O:$O,$F1866))/X1871)</f>
        <v>42216.047981414842</v>
      </c>
      <c r="Y1874" s="196"/>
      <c r="Z1874" s="193">
        <f>IF(Z1871=0,0,(SUMIFS(операции!$AH:$AH,операции!$T:$T,"&lt;"&amp;X$8,операции!$X:$X,"",операции!$AB:$AB,"&lt;&gt;"&amp;"",операции!$AB:$AB,"&lt;"&amp;X$8,операции!$L:$L,Z$9,операции!$O:$O,$F1866)+SUMIFS(операции!$AH:$AH,операции!$T:$T,"&lt;"&amp;X$8,операции!$X:$X,"&gt;="&amp;X$8,операции!$AB:$AB,"&lt;&gt;"&amp;"",операции!$AB:$AB,"&lt;"&amp;X$8,операции!$L:$L,Z$9,операции!$O:$O,$F1866))/Z1871)</f>
        <v>42216.047981414842</v>
      </c>
      <c r="AA1874" s="237">
        <f>IF(AA1871=0,0,(SUMIFS(операции!$AH:$AH,операции!$T:$T,"&lt;"&amp;X$8,операции!$X:$X,"",операции!$AB:$AB,"&lt;&gt;"&amp;"",операции!$AB:$AB,"&lt;"&amp;X$8,операции!$L:$L,AA$9,операции!$O:$O,$F1866)+SUMIFS(операции!$AH:$AH,операции!$T:$T,"&lt;"&amp;X$8,операции!$X:$X,"&gt;="&amp;X$8,операции!$AB:$AB,"&lt;&gt;"&amp;"",операции!$AB:$AB,"&lt;"&amp;X$8,операции!$L:$L,AA$9,операции!$O:$O,$F1866))/AA1871)</f>
        <v>0</v>
      </c>
      <c r="AB1874" s="265"/>
      <c r="AC1874" s="37"/>
      <c r="AD1874" s="37"/>
      <c r="AE1874" s="37"/>
      <c r="AF1874" s="37"/>
      <c r="AG1874" s="37"/>
      <c r="AH1874" s="37"/>
      <c r="AI1874" s="37"/>
      <c r="AJ1874" s="37"/>
      <c r="AK1874" s="37"/>
      <c r="AL1874" s="37"/>
      <c r="AM1874" s="37"/>
      <c r="AN1874" s="37"/>
      <c r="AO1874" s="37"/>
      <c r="AP1874" s="37"/>
    </row>
    <row r="1875" spans="1:42" s="192" customFormat="1" ht="11.25">
      <c r="A1875" s="37"/>
      <c r="B1875" s="37"/>
      <c r="C1875" s="37"/>
      <c r="D1875" s="191"/>
      <c r="E1875" s="191" t="s">
        <v>265</v>
      </c>
      <c r="F1875" s="191" t="str">
        <f t="shared" si="3326"/>
        <v>ФорКидс</v>
      </c>
      <c r="G1875" s="191" t="s">
        <v>219</v>
      </c>
      <c r="H1875" s="315"/>
      <c r="I1875" s="329">
        <f>I1874-I1872</f>
        <v>26.201461611017294</v>
      </c>
      <c r="J1875" s="317"/>
      <c r="K1875" s="329">
        <f t="shared" ref="K1875" si="3339">K1874-K1872</f>
        <v>26.201461611017294</v>
      </c>
      <c r="L1875" s="330">
        <f>L1874-L1872</f>
        <v>0</v>
      </c>
      <c r="M1875" s="274"/>
      <c r="N1875" s="156">
        <f>N1874-N1872</f>
        <v>26.201461611017294</v>
      </c>
      <c r="O1875" s="196"/>
      <c r="P1875" s="156">
        <f t="shared" ref="P1875" si="3340">P1874-P1872</f>
        <v>26.201461611017294</v>
      </c>
      <c r="Q1875" s="245">
        <f>Q1874-Q1872</f>
        <v>0</v>
      </c>
      <c r="R1875" s="238"/>
      <c r="S1875" s="156">
        <f>S1874-S1872</f>
        <v>27.106097263109405</v>
      </c>
      <c r="T1875" s="196"/>
      <c r="U1875" s="156">
        <f t="shared" ref="U1875" si="3341">U1874-U1872</f>
        <v>27.106097263109405</v>
      </c>
      <c r="V1875" s="245">
        <f>V1874-V1872</f>
        <v>0</v>
      </c>
      <c r="W1875" s="238"/>
      <c r="X1875" s="156">
        <f>X1874-X1872</f>
        <v>29.190602661088633</v>
      </c>
      <c r="Y1875" s="196"/>
      <c r="Z1875" s="156">
        <f t="shared" ref="Z1875" si="3342">Z1874-Z1872</f>
        <v>29.190602661088633</v>
      </c>
      <c r="AA1875" s="245">
        <f>AA1874-AA1872</f>
        <v>0</v>
      </c>
      <c r="AB1875" s="265"/>
      <c r="AC1875" s="37"/>
      <c r="AD1875" s="37"/>
      <c r="AE1875" s="37"/>
      <c r="AF1875" s="37"/>
      <c r="AG1875" s="37"/>
      <c r="AH1875" s="37"/>
      <c r="AI1875" s="37"/>
      <c r="AJ1875" s="37"/>
      <c r="AK1875" s="37"/>
      <c r="AL1875" s="37"/>
      <c r="AM1875" s="37"/>
      <c r="AN1875" s="37"/>
      <c r="AO1875" s="37"/>
      <c r="AP1875" s="37"/>
    </row>
    <row r="1876" spans="1:42" s="192" customFormat="1" ht="11.25">
      <c r="A1876" s="37"/>
      <c r="B1876" s="37"/>
      <c r="C1876" s="37"/>
      <c r="D1876" s="191"/>
      <c r="E1876" s="191" t="s">
        <v>268</v>
      </c>
      <c r="F1876" s="191" t="str">
        <f t="shared" si="3326"/>
        <v>ФорКидс</v>
      </c>
      <c r="G1876" s="191" t="s">
        <v>219</v>
      </c>
      <c r="H1876" s="315"/>
      <c r="I1876" s="329">
        <f>I1873-I1875</f>
        <v>79.180655762269453</v>
      </c>
      <c r="J1876" s="317"/>
      <c r="K1876" s="329">
        <f t="shared" ref="K1876" si="3343">K1873-K1875</f>
        <v>79.180655762269453</v>
      </c>
      <c r="L1876" s="330">
        <f t="shared" ref="L1876" si="3344">L1873-L1875</f>
        <v>0</v>
      </c>
      <c r="M1876" s="274"/>
      <c r="N1876" s="156">
        <f>N1873-N1875</f>
        <v>79.180655762269453</v>
      </c>
      <c r="O1876" s="196"/>
      <c r="P1876" s="156">
        <f t="shared" ref="P1876" si="3345">P1873-P1875</f>
        <v>79.180655762269453</v>
      </c>
      <c r="Q1876" s="245">
        <f t="shared" ref="Q1876" si="3346">Q1873-Q1875</f>
        <v>0</v>
      </c>
      <c r="R1876" s="238"/>
      <c r="S1876" s="156">
        <f>S1873-S1875</f>
        <v>89.323705681315914</v>
      </c>
      <c r="T1876" s="196"/>
      <c r="U1876" s="156">
        <f t="shared" ref="U1876" si="3347">U1873-U1875</f>
        <v>89.323705681315914</v>
      </c>
      <c r="V1876" s="245">
        <f t="shared" ref="V1876" si="3348">V1873-V1875</f>
        <v>0</v>
      </c>
      <c r="W1876" s="238"/>
      <c r="X1876" s="156">
        <f>X1873-X1875</f>
        <v>122.95201858515793</v>
      </c>
      <c r="Y1876" s="196"/>
      <c r="Z1876" s="156">
        <f t="shared" ref="Z1876" si="3349">Z1873-Z1875</f>
        <v>122.95201858515793</v>
      </c>
      <c r="AA1876" s="245">
        <f t="shared" ref="AA1876" si="3350">AA1873-AA1875</f>
        <v>0</v>
      </c>
      <c r="AB1876" s="265"/>
      <c r="AC1876" s="37"/>
      <c r="AD1876" s="37"/>
      <c r="AE1876" s="37"/>
      <c r="AF1876" s="37"/>
      <c r="AG1876" s="37"/>
      <c r="AH1876" s="37"/>
      <c r="AI1876" s="37"/>
      <c r="AJ1876" s="37"/>
      <c r="AK1876" s="37"/>
      <c r="AL1876" s="37"/>
      <c r="AM1876" s="37"/>
      <c r="AN1876" s="37"/>
      <c r="AO1876" s="37"/>
      <c r="AP1876" s="37"/>
    </row>
    <row r="1877" spans="1:42" s="5" customFormat="1">
      <c r="A1877" s="1"/>
      <c r="B1877" s="1"/>
      <c r="C1877" s="1"/>
      <c r="D1877" s="168"/>
      <c r="E1877" s="168" t="s">
        <v>276</v>
      </c>
      <c r="F1877" s="168" t="str">
        <f t="shared" si="3326"/>
        <v>ФорКидс</v>
      </c>
      <c r="G1877" s="168" t="s">
        <v>261</v>
      </c>
      <c r="H1877" s="326"/>
      <c r="I1877" s="327">
        <f>SUMIFS(операции!$V:$V,операции!$T:$T,"&lt;"&amp;I$8,операции!$X:$X,"",операции!$AB:$AB,"",операции!$O:$O,$F1866)+SUMIFS(операции!$V:$V,операции!$T:$T,"&lt;"&amp;I$8,операции!$X:$X,"&gt;="&amp;I$8,операции!$AB:$AB,"",операции!$O:$O,$F1866)+SUMIFS(операции!$V:$V,операции!$T:$T,"&lt;"&amp;I$8,операции!$X:$X,"",операции!$AB:$AB,"&gt;="&amp;I$8,операции!$O:$O,$F1866)+SUMIFS(операции!$V:$V,операции!$T:$T,"&lt;"&amp;I$8,операции!$X:$X,"&gt;="&amp;I$8,операции!$AB:$AB,"&gt;="&amp;I$8,операции!$O:$O,$F1866)</f>
        <v>78587.460000000006</v>
      </c>
      <c r="J1877" s="313">
        <f>I1877-K1877-L1877</f>
        <v>0</v>
      </c>
      <c r="K1877" s="327">
        <f>SUMIFS(операции!$V:$V,операции!$T:$T,"&lt;"&amp;I$8,операции!$X:$X,"",операции!$AB:$AB,"",операции!$L:$L,K$9,операции!$O:$O,$F1866)+SUMIFS(операции!$V:$V,операции!$T:$T,"&lt;"&amp;I$8,операции!$X:$X,"&gt;="&amp;I$8,операции!$AB:$AB,"",операции!$L:$L,K$9,операции!$O:$O,$F1866)+SUMIFS(операции!$V:$V,операции!$T:$T,"&lt;"&amp;I$8,операции!$X:$X,"",операции!$AB:$AB,"&gt;="&amp;I$8,операции!$L:$L,K$9,операции!$O:$O,$F1866)+SUMIFS(операции!$V:$V,операции!$T:$T,"&lt;"&amp;I$8,операции!$X:$X,"&gt;="&amp;I$8,операции!$AB:$AB,"&gt;="&amp;I$8,операции!$L:$L,K$9,операции!$O:$O,$F1866)</f>
        <v>78587.460000000006</v>
      </c>
      <c r="L1877" s="328">
        <f>SUMIFS(операции!$V:$V,операции!$T:$T,"&lt;"&amp;I$8,операции!$X:$X,"",операции!$AB:$AB,"",операции!$L:$L,L$9,операции!$O:$O,$F1866)+SUMIFS(операции!$V:$V,операции!$T:$T,"&lt;"&amp;I$8,операции!$X:$X,"&gt;="&amp;I$8,операции!$AB:$AB,"",операции!$L:$L,L$9,операции!$O:$O,$F1866)+SUMIFS(операции!$V:$V,операции!$T:$T,"&lt;"&amp;I$8,операции!$X:$X,"",операции!$AB:$AB,"&gt;="&amp;I$8,операции!$L:$L,L$9,операции!$O:$O,$F1866)+SUMIFS(операции!$V:$V,операции!$T:$T,"&lt;"&amp;I$8,операции!$X:$X,"&gt;="&amp;I$8,операции!$AB:$AB,"&gt;="&amp;I$8,операции!$L:$L,L$9,операции!$O:$O,$F1866)</f>
        <v>0</v>
      </c>
      <c r="M1877" s="277"/>
      <c r="N1877" s="169">
        <f>SUMIFS(операции!$V:$V,операции!$T:$T,"&lt;"&amp;N$8,операции!$X:$X,"",операции!$AB:$AB,"",операции!$O:$O,$F1866)+SUMIFS(операции!$V:$V,операции!$T:$T,"&lt;"&amp;N$8,операции!$X:$X,"&gt;="&amp;N$8,операции!$AB:$AB,"",операции!$O:$O,$F1866)+SUMIFS(операции!$V:$V,операции!$T:$T,"&lt;"&amp;N$8,операции!$X:$X,"",операции!$AB:$AB,"&gt;="&amp;N$8,операции!$O:$O,$F1866)+SUMIFS(операции!$V:$V,операции!$T:$T,"&lt;"&amp;N$8,операции!$X:$X,"&gt;="&amp;N$8,операции!$AB:$AB,"&gt;="&amp;N$8,операции!$O:$O,$F1866)</f>
        <v>78587.460000000006</v>
      </c>
      <c r="O1877" s="170">
        <f>N1877-P1877-Q1877</f>
        <v>0</v>
      </c>
      <c r="P1877" s="169">
        <f>SUMIFS(операции!$V:$V,операции!$T:$T,"&lt;"&amp;N$8,операции!$X:$X,"",операции!$AB:$AB,"",операции!$L:$L,P$9,операции!$O:$O,$F1866)+SUMIFS(операции!$V:$V,операции!$T:$T,"&lt;"&amp;N$8,операции!$X:$X,"&gt;="&amp;N$8,операции!$AB:$AB,"",операции!$L:$L,P$9,операции!$O:$O,$F1866)+SUMIFS(операции!$V:$V,операции!$T:$T,"&lt;"&amp;N$8,операции!$X:$X,"",операции!$AB:$AB,"&gt;="&amp;N$8,операции!$L:$L,P$9,операции!$O:$O,$F1866)+SUMIFS(операции!$V:$V,операции!$T:$T,"&lt;"&amp;N$8,операции!$X:$X,"&gt;="&amp;N$8,операции!$AB:$AB,"&gt;="&amp;N$8,операции!$L:$L,P$9,операции!$O:$O,$F1866)</f>
        <v>78587.460000000006</v>
      </c>
      <c r="Q1877" s="243">
        <f>SUMIFS(операции!$V:$V,операции!$T:$T,"&lt;"&amp;N$8,операции!$X:$X,"",операции!$AB:$AB,"",операции!$L:$L,Q$9,операции!$O:$O,$F1866)+SUMIFS(операции!$V:$V,операции!$T:$T,"&lt;"&amp;N$8,операции!$X:$X,"&gt;="&amp;N$8,операции!$AB:$AB,"",операции!$L:$L,Q$9,операции!$O:$O,$F1866)+SUMIFS(операции!$V:$V,операции!$T:$T,"&lt;"&amp;N$8,операции!$X:$X,"",операции!$AB:$AB,"&gt;="&amp;N$8,операции!$L:$L,Q$9,операции!$O:$O,$F1866)+SUMIFS(операции!$V:$V,операции!$T:$T,"&lt;"&amp;N$8,операции!$X:$X,"&gt;="&amp;N$8,операции!$AB:$AB,"&gt;="&amp;N$8,операции!$L:$L,Q$9,операции!$O:$O,$F1866)</f>
        <v>0</v>
      </c>
      <c r="R1877" s="244"/>
      <c r="S1877" s="169">
        <f>SUMIFS(операции!$V:$V,операции!$T:$T,"&lt;"&amp;S$8,операции!$X:$X,"",операции!$AB:$AB,"",операции!$O:$O,$F1866)+SUMIFS(операции!$V:$V,операции!$T:$T,"&lt;"&amp;S$8,операции!$X:$X,"&gt;="&amp;S$8,операции!$AB:$AB,"",операции!$O:$O,$F1866)+SUMIFS(операции!$V:$V,операции!$T:$T,"&lt;"&amp;S$8,операции!$X:$X,"",операции!$AB:$AB,"&gt;="&amp;S$8,операции!$O:$O,$F1866)+SUMIFS(операции!$V:$V,операции!$T:$T,"&lt;"&amp;S$8,операции!$X:$X,"&gt;="&amp;S$8,операции!$AB:$AB,"&gt;="&amp;S$8,операции!$O:$O,$F1866)</f>
        <v>78651.010000000009</v>
      </c>
      <c r="T1877" s="170">
        <f>S1877-U1877-V1877</f>
        <v>0</v>
      </c>
      <c r="U1877" s="169">
        <f>SUMIFS(операции!$V:$V,операции!$T:$T,"&lt;"&amp;S$8,операции!$X:$X,"",операции!$AB:$AB,"",операции!$L:$L,U$9,операции!$O:$O,$F1866)+SUMIFS(операции!$V:$V,операции!$T:$T,"&lt;"&amp;S$8,операции!$X:$X,"&gt;="&amp;S$8,операции!$AB:$AB,"",операции!$L:$L,U$9,операции!$O:$O,$F1866)+SUMIFS(операции!$V:$V,операции!$T:$T,"&lt;"&amp;S$8,операции!$X:$X,"",операции!$AB:$AB,"&gt;="&amp;S$8,операции!$L:$L,U$9,операции!$O:$O,$F1866)+SUMIFS(операции!$V:$V,операции!$T:$T,"&lt;"&amp;S$8,операции!$X:$X,"&gt;="&amp;S$8,операции!$AB:$AB,"&gt;="&amp;S$8,операции!$L:$L,U$9,операции!$O:$O,$F1866)</f>
        <v>64108.310000000005</v>
      </c>
      <c r="V1877" s="243">
        <f>SUMIFS(операции!$V:$V,операции!$T:$T,"&lt;"&amp;S$8,операции!$X:$X,"",операции!$AB:$AB,"",операции!$L:$L,V$9,операции!$O:$O,$F1866)+SUMIFS(операции!$V:$V,операции!$T:$T,"&lt;"&amp;S$8,операции!$X:$X,"&gt;="&amp;S$8,операции!$AB:$AB,"",операции!$L:$L,V$9,операции!$O:$O,$F1866)+SUMIFS(операции!$V:$V,операции!$T:$T,"&lt;"&amp;S$8,операции!$X:$X,"",операции!$AB:$AB,"&gt;="&amp;S$8,операции!$L:$L,V$9,операции!$O:$O,$F1866)+SUMIFS(операции!$V:$V,операции!$T:$T,"&lt;"&amp;S$8,операции!$X:$X,"&gt;="&amp;S$8,операции!$AB:$AB,"&gt;="&amp;S$8,операции!$L:$L,V$9,операции!$O:$O,$F1866)</f>
        <v>14542.7</v>
      </c>
      <c r="W1877" s="244"/>
      <c r="X1877" s="169">
        <f>SUMIFS(операции!$V:$V,операции!$T:$T,"&lt;"&amp;X$8,операции!$X:$X,"",операции!$AB:$AB,"",операции!$O:$O,$F1866)+SUMIFS(операции!$V:$V,операции!$T:$T,"&lt;"&amp;X$8,операции!$X:$X,"&gt;="&amp;X$8,операции!$AB:$AB,"",операции!$O:$O,$F1866)+SUMIFS(операции!$V:$V,операции!$T:$T,"&lt;"&amp;X$8,операции!$X:$X,"",операции!$AB:$AB,"&gt;="&amp;X$8,операции!$O:$O,$F1866)+SUMIFS(операции!$V:$V,операции!$T:$T,"&lt;"&amp;X$8,операции!$X:$X,"&gt;="&amp;X$8,операции!$AB:$AB,"&gt;="&amp;X$8,операции!$O:$O,$F1866)</f>
        <v>200887.11000000002</v>
      </c>
      <c r="Y1877" s="170">
        <f>X1877-Z1877-AA1877</f>
        <v>0</v>
      </c>
      <c r="Z1877" s="169">
        <f>SUMIFS(операции!$V:$V,операции!$T:$T,"&lt;"&amp;X$8,операции!$X:$X,"",операции!$AB:$AB,"",операции!$L:$L,Z$9,операции!$O:$O,$F1866)+SUMIFS(операции!$V:$V,операции!$T:$T,"&lt;"&amp;X$8,операции!$X:$X,"&gt;="&amp;X$8,операции!$AB:$AB,"",операции!$L:$L,Z$9,операции!$O:$O,$F1866)+SUMIFS(операции!$V:$V,операции!$T:$T,"&lt;"&amp;X$8,операции!$X:$X,"",операции!$AB:$AB,"&gt;="&amp;X$8,операции!$L:$L,Z$9,операции!$O:$O,$F1866)+SUMIFS(операции!$V:$V,операции!$T:$T,"&lt;"&amp;X$8,операции!$X:$X,"&gt;="&amp;X$8,операции!$AB:$AB,"&gt;="&amp;X$8,операции!$L:$L,Z$9,операции!$O:$O,$F1866)</f>
        <v>26444.22</v>
      </c>
      <c r="AA1877" s="243">
        <f>SUMIFS(операции!$V:$V,операции!$T:$T,"&lt;"&amp;X$8,операции!$X:$X,"",операции!$AB:$AB,"",операции!$L:$L,AA$9,операции!$O:$O,$F1866)+SUMIFS(операции!$V:$V,операции!$T:$T,"&lt;"&amp;X$8,операции!$X:$X,"&gt;="&amp;X$8,операции!$AB:$AB,"",операции!$L:$L,AA$9,операции!$O:$O,$F1866)+SUMIFS(операции!$V:$V,операции!$T:$T,"&lt;"&amp;X$8,операции!$X:$X,"",операции!$AB:$AB,"&gt;="&amp;X$8,операции!$L:$L,AA$9,операции!$O:$O,$F1866)+SUMIFS(операции!$V:$V,операции!$T:$T,"&lt;"&amp;X$8,операции!$X:$X,"&gt;="&amp;X$8,операции!$AB:$AB,"&gt;="&amp;X$8,операции!$L:$L,AA$9,операции!$O:$O,$F1866)</f>
        <v>174442.89</v>
      </c>
      <c r="AB1877" s="266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</row>
    <row r="1878" spans="1:42" s="192" customFormat="1" ht="11.25">
      <c r="A1878" s="37"/>
      <c r="B1878" s="37"/>
      <c r="C1878" s="37"/>
      <c r="D1878" s="191"/>
      <c r="E1878" s="191" t="s">
        <v>255</v>
      </c>
      <c r="F1878" s="191" t="str">
        <f t="shared" si="3326"/>
        <v>ФорКидс</v>
      </c>
      <c r="G1878" s="191" t="s">
        <v>262</v>
      </c>
      <c r="H1878" s="315"/>
      <c r="I1878" s="316">
        <f>IF(I1877=0,0,(SUMIFS(операции!$AF:$AF,операции!$T:$T,"&lt;"&amp;I$8,операции!$X:$X,"",операции!$AB:$AB,"",операции!$O:$O,$F1866)+SUMIFS(операции!$AF:$AF,операции!$T:$T,"&lt;"&amp;I$8,операции!$X:$X,"&gt;="&amp;I$8,операции!$AB:$AB,"",операции!$O:$O,$F1866)+SUMIFS(операции!$AF:$AF,операции!$T:$T,"&lt;"&amp;I$8,операции!$X:$X,"",операции!$AB:$AB,"&gt;="&amp;I$8,операции!$O:$O,$F1866)+SUMIFS(операции!$AF:$AF,операции!$T:$T,"&lt;"&amp;I$8,операции!$X:$X,"&gt;="&amp;I$8,операции!$AB:$AB,"&gt;="&amp;I$8,операции!$O:$O,$F1866))/I1877)</f>
        <v>42234.360600278975</v>
      </c>
      <c r="J1878" s="317"/>
      <c r="K1878" s="316">
        <f>IF(K1877=0,0,(SUMIFS(операции!$AF:$AF,операции!$T:$T,"&lt;"&amp;I$8,операции!$X:$X,"",операции!$AB:$AB,"",операции!$L:$L,K$9,операции!$O:$O,$F1866)+SUMIFS(операции!$AF:$AF,операции!$T:$T,"&lt;"&amp;I$8,операции!$X:$X,"&gt;="&amp;I$8,операции!$AB:$AB,"",операции!$L:$L,K$9,операции!$O:$O,$F1866)+SUMIFS(операции!$AF:$AF,операции!$T:$T,"&lt;"&amp;I$8,операции!$X:$X,"",операции!$AB:$AB,"&gt;="&amp;I$8,операции!$L:$L,K$9,операции!$O:$O,$F1866)+SUMIFS(операции!$AF:$AF,операции!$T:$T,"&lt;"&amp;I$8,операции!$X:$X,"&gt;="&amp;I$8,операции!$AB:$AB,"&gt;="&amp;I$8,операции!$L:$L,K$9,операции!$O:$O,$F1866))/K1877)</f>
        <v>42234.360600278975</v>
      </c>
      <c r="L1878" s="318">
        <f>IF(L1877=0,0,(SUMIFS(операции!$AF:$AF,операции!$T:$T,"&lt;"&amp;I$8,операции!$X:$X,"",операции!$AB:$AB,"",операции!$L:$L,L$9,операции!$O:$O,$F1866)+SUMIFS(операции!$AF:$AF,операции!$T:$T,"&lt;"&amp;I$8,операции!$X:$X,"&gt;="&amp;I$8,операции!$AB:$AB,"",операции!$L:$L,L$9,операции!$O:$O,$F1866)+SUMIFS(операции!$AF:$AF,операции!$T:$T,"&lt;"&amp;I$8,операции!$X:$X,"",операции!$AB:$AB,"&gt;="&amp;I$8,операции!$L:$L,L$9,операции!$O:$O,$F1866)+SUMIFS(операции!$AF:$AF,операции!$T:$T,"&lt;"&amp;I$8,операции!$X:$X,"&gt;="&amp;I$8,операции!$AB:$AB,"&gt;="&amp;I$8,операции!$L:$L,L$9,операции!$O:$O,$F1866))/L1877)</f>
        <v>0</v>
      </c>
      <c r="M1878" s="274"/>
      <c r="N1878" s="193">
        <f>IF(N1877=0,0,(SUMIFS(операции!$AF:$AF,операции!$T:$T,"&lt;"&amp;N$8,операции!$X:$X,"",операции!$AB:$AB,"",операции!$O:$O,$F1866)+SUMIFS(операции!$AF:$AF,операции!$T:$T,"&lt;"&amp;N$8,операции!$X:$X,"&gt;="&amp;N$8,операции!$AB:$AB,"",операции!$O:$O,$F1866)+SUMIFS(операции!$AF:$AF,операции!$T:$T,"&lt;"&amp;N$8,операции!$X:$X,"",операции!$AB:$AB,"&gt;="&amp;N$8,операции!$O:$O,$F1866)+SUMIFS(операции!$AF:$AF,операции!$T:$T,"&lt;"&amp;N$8,операции!$X:$X,"&gt;="&amp;N$8,операции!$AB:$AB,"&gt;="&amp;N$8,операции!$O:$O,$F1866))/N1877)</f>
        <v>42234.360600278975</v>
      </c>
      <c r="O1878" s="196"/>
      <c r="P1878" s="193">
        <f>IF(P1877=0,0,(SUMIFS(операции!$AF:$AF,операции!$T:$T,"&lt;"&amp;N$8,операции!$X:$X,"",операции!$AB:$AB,"",операции!$L:$L,P$9,операции!$O:$O,$F1866)+SUMIFS(операции!$AF:$AF,операции!$T:$T,"&lt;"&amp;N$8,операции!$X:$X,"&gt;="&amp;N$8,операции!$AB:$AB,"",операции!$L:$L,P$9,операции!$O:$O,$F1866)+SUMIFS(операции!$AF:$AF,операции!$T:$T,"&lt;"&amp;N$8,операции!$X:$X,"",операции!$AB:$AB,"&gt;="&amp;N$8,операции!$L:$L,P$9,операции!$O:$O,$F1866)+SUMIFS(операции!$AF:$AF,операции!$T:$T,"&lt;"&amp;N$8,операции!$X:$X,"&gt;="&amp;N$8,операции!$AB:$AB,"&gt;="&amp;N$8,операции!$L:$L,P$9,операции!$O:$O,$F1866))/P1877)</f>
        <v>42234.360600278975</v>
      </c>
      <c r="Q1878" s="237">
        <f>IF(Q1877=0,0,(SUMIFS(операции!$AF:$AF,операции!$T:$T,"&lt;"&amp;N$8,операции!$X:$X,"",операции!$AB:$AB,"",операции!$L:$L,Q$9,операции!$O:$O,$F1866)+SUMIFS(операции!$AF:$AF,операции!$T:$T,"&lt;"&amp;N$8,операции!$X:$X,"&gt;="&amp;N$8,операции!$AB:$AB,"",операции!$L:$L,Q$9,операции!$O:$O,$F1866)+SUMIFS(операции!$AF:$AF,операции!$T:$T,"&lt;"&amp;N$8,операции!$X:$X,"",операции!$AB:$AB,"&gt;="&amp;N$8,операции!$L:$L,Q$9,операции!$O:$O,$F1866)+SUMIFS(операции!$AF:$AF,операции!$T:$T,"&lt;"&amp;N$8,операции!$X:$X,"&gt;="&amp;N$8,операции!$AB:$AB,"&gt;="&amp;N$8,операции!$L:$L,Q$9,операции!$O:$O,$F1866))/Q1877)</f>
        <v>0</v>
      </c>
      <c r="R1878" s="238"/>
      <c r="S1878" s="193">
        <f>IF(S1877=0,0,(SUMIFS(операции!$AF:$AF,операции!$T:$T,"&lt;"&amp;S$8,операции!$X:$X,"",операции!$AB:$AB,"",операции!$O:$O,$F1866)+SUMIFS(операции!$AF:$AF,операции!$T:$T,"&lt;"&amp;S$8,операции!$X:$X,"&gt;="&amp;S$8,операции!$AB:$AB,"",операции!$O:$O,$F1866)+SUMIFS(операции!$AF:$AF,операции!$T:$T,"&lt;"&amp;S$8,операции!$X:$X,"",операции!$AB:$AB,"&gt;="&amp;S$8,операции!$O:$O,$F1866)+SUMIFS(операции!$AF:$AF,операции!$T:$T,"&lt;"&amp;S$8,операции!$X:$X,"&gt;="&amp;S$8,операции!$AB:$AB,"&gt;="&amp;S$8,операции!$O:$O,$F1866))/S1877)</f>
        <v>42250.593482524884</v>
      </c>
      <c r="T1878" s="196"/>
      <c r="U1878" s="193">
        <f>IF(U1877=0,0,(SUMIFS(операции!$AF:$AF,операции!$T:$T,"&lt;"&amp;S$8,операции!$X:$X,"",операции!$AB:$AB,"",операции!$L:$L,U$9,операции!$O:$O,$F1866)+SUMIFS(операции!$AF:$AF,операции!$T:$T,"&lt;"&amp;S$8,операции!$X:$X,"&gt;="&amp;S$8,операции!$AB:$AB,"",операции!$L:$L,U$9,операции!$O:$O,$F1866)+SUMIFS(операции!$AF:$AF,операции!$T:$T,"&lt;"&amp;S$8,операции!$X:$X,"",операции!$AB:$AB,"&gt;="&amp;S$8,операции!$L:$L,U$9,операции!$O:$O,$F1866)+SUMIFS(операции!$AF:$AF,операции!$T:$T,"&lt;"&amp;S$8,операции!$X:$X,"&gt;="&amp;S$8,операции!$AB:$AB,"&gt;="&amp;S$8,операции!$L:$L,U$9,операции!$O:$O,$F1866))/U1877)</f>
        <v>42237.973963125834</v>
      </c>
      <c r="V1878" s="237">
        <f>IF(V1877=0,0,(SUMIFS(операции!$AF:$AF,операции!$T:$T,"&lt;"&amp;S$8,операции!$X:$X,"",операции!$AB:$AB,"",операции!$L:$L,V$9,операции!$O:$O,$F1866)+SUMIFS(операции!$AF:$AF,операции!$T:$T,"&lt;"&amp;S$8,операции!$X:$X,"&gt;="&amp;S$8,операции!$AB:$AB,"",операции!$L:$L,V$9,операции!$O:$O,$F1866)+SUMIFS(операции!$AF:$AF,операции!$T:$T,"&lt;"&amp;S$8,операции!$X:$X,"",операции!$AB:$AB,"&gt;="&amp;S$8,операции!$L:$L,V$9,операции!$O:$O,$F1866)+SUMIFS(операции!$AF:$AF,операции!$T:$T,"&lt;"&amp;S$8,операции!$X:$X,"&gt;="&amp;S$8,операции!$AB:$AB,"&gt;="&amp;S$8,операции!$L:$L,V$9,операции!$O:$O,$F1866))/V1877)</f>
        <v>42306.223871770715</v>
      </c>
      <c r="W1878" s="238"/>
      <c r="X1878" s="193">
        <f>IF(X1877=0,0,(SUMIFS(операции!$AF:$AF,операции!$T:$T,"&lt;"&amp;X$8,операции!$X:$X,"",операции!$AB:$AB,"",операции!$O:$O,$F1866)+SUMIFS(операции!$AF:$AF,операции!$T:$T,"&lt;"&amp;X$8,операции!$X:$X,"&gt;="&amp;X$8,операции!$AB:$AB,"",операции!$O:$O,$F1866)+SUMIFS(операции!$AF:$AF,операции!$T:$T,"&lt;"&amp;X$8,операции!$X:$X,"",операции!$AB:$AB,"&gt;="&amp;X$8,операции!$O:$O,$F1866)+SUMIFS(операции!$AF:$AF,операции!$T:$T,"&lt;"&amp;X$8,операции!$X:$X,"&gt;="&amp;X$8,операции!$AB:$AB,"&gt;="&amp;X$8,операции!$O:$O,$F1866))/X1877)</f>
        <v>42321.801127608436</v>
      </c>
      <c r="Y1878" s="196"/>
      <c r="Z1878" s="193">
        <f>IF(Z1877=0,0,(SUMIFS(операции!$AF:$AF,операции!$T:$T,"&lt;"&amp;X$8,операции!$X:$X,"",операции!$AB:$AB,"",операции!$L:$L,Z$9,операции!$O:$O,$F1866)+SUMIFS(операции!$AF:$AF,операции!$T:$T,"&lt;"&amp;X$8,операции!$X:$X,"&gt;="&amp;X$8,операции!$AB:$AB,"",операции!$L:$L,Z$9,операции!$O:$O,$F1866)+SUMIFS(операции!$AF:$AF,операции!$T:$T,"&lt;"&amp;X$8,операции!$X:$X,"",операции!$AB:$AB,"&gt;="&amp;X$8,операции!$L:$L,Z$9,операции!$O:$O,$F1866)+SUMIFS(операции!$AF:$AF,операции!$T:$T,"&lt;"&amp;X$8,операции!$X:$X,"&gt;="&amp;X$8,операции!$AB:$AB,"&gt;="&amp;X$8,операции!$L:$L,Z$9,операции!$O:$O,$F1866))/Z1877)</f>
        <v>42231.998604988155</v>
      </c>
      <c r="AA1878" s="237">
        <f>IF(AA1877=0,0,(SUMIFS(операции!$AF:$AF,операции!$T:$T,"&lt;"&amp;X$8,операции!$X:$X,"",операции!$AB:$AB,"",операции!$L:$L,AA$9,операции!$O:$O,$F1866)+SUMIFS(операции!$AF:$AF,операции!$T:$T,"&lt;"&amp;X$8,операции!$X:$X,"&gt;="&amp;X$8,операции!$AB:$AB,"",операции!$L:$L,AA$9,операции!$O:$O,$F1866)+SUMIFS(операции!$AF:$AF,операции!$T:$T,"&lt;"&amp;X$8,операции!$X:$X,"",операции!$AB:$AB,"&gt;="&amp;X$8,операции!$L:$L,AA$9,операции!$O:$O,$F1866)+SUMIFS(операции!$AF:$AF,операции!$T:$T,"&lt;"&amp;X$8,операции!$X:$X,"&gt;="&amp;X$8,операции!$AB:$AB,"&gt;="&amp;X$8,операции!$L:$L,AA$9,операции!$O:$O,$F1866))/AA1877)</f>
        <v>42335.414509413364</v>
      </c>
      <c r="AB1878" s="265"/>
      <c r="AC1878" s="37"/>
      <c r="AD1878" s="37"/>
      <c r="AE1878" s="37"/>
      <c r="AF1878" s="37"/>
      <c r="AG1878" s="37"/>
      <c r="AH1878" s="37"/>
      <c r="AI1878" s="37"/>
      <c r="AJ1878" s="37"/>
      <c r="AK1878" s="37"/>
      <c r="AL1878" s="37"/>
      <c r="AM1878" s="37"/>
      <c r="AN1878" s="37"/>
      <c r="AO1878" s="37"/>
      <c r="AP1878" s="37"/>
    </row>
    <row r="1879" spans="1:42" s="192" customFormat="1" ht="11.25">
      <c r="A1879" s="37"/>
      <c r="B1879" s="37"/>
      <c r="C1879" s="37"/>
      <c r="D1879" s="191"/>
      <c r="E1879" s="191" t="s">
        <v>263</v>
      </c>
      <c r="F1879" s="191" t="str">
        <f t="shared" si="3326"/>
        <v>ФорКидс</v>
      </c>
      <c r="G1879" s="191" t="s">
        <v>219</v>
      </c>
      <c r="H1879" s="315"/>
      <c r="I1879" s="329">
        <f>IF(I1877=0,0,I$8-I1878)</f>
        <v>43.639399721025256</v>
      </c>
      <c r="J1879" s="317"/>
      <c r="K1879" s="329">
        <f>IF(K1877=0,0,I$8-K1878)</f>
        <v>43.639399721025256</v>
      </c>
      <c r="L1879" s="330">
        <f>IF(L1877=0,0,I$8-L1878)</f>
        <v>0</v>
      </c>
      <c r="M1879" s="274"/>
      <c r="N1879" s="156">
        <f>IF(N1877=0,0,N$8-N1878)</f>
        <v>43.639399721025256</v>
      </c>
      <c r="O1879" s="196"/>
      <c r="P1879" s="156">
        <f>IF(P1877=0,0,N$8-P1878)</f>
        <v>43.639399721025256</v>
      </c>
      <c r="Q1879" s="245">
        <f>IF(Q1877=0,0,N$8-Q1878)</f>
        <v>0</v>
      </c>
      <c r="R1879" s="238"/>
      <c r="S1879" s="156">
        <f>IF(S1877=0,0,S$8-S1878)</f>
        <v>58.406517475115834</v>
      </c>
      <c r="T1879" s="196"/>
      <c r="U1879" s="156">
        <f>IF(U1877=0,0,S$8-U1878)</f>
        <v>71.026036874165584</v>
      </c>
      <c r="V1879" s="245">
        <f>IF(V1877=0,0,S$8-V1878)</f>
        <v>2.7761282292849501</v>
      </c>
      <c r="W1879" s="238"/>
      <c r="X1879" s="156">
        <f>IF(X1877=0,0,X$8-X1878)</f>
        <v>17.198872391563782</v>
      </c>
      <c r="Y1879" s="196"/>
      <c r="Z1879" s="156">
        <f>IF(Z1877=0,0,X$8-Z1878)</f>
        <v>107.00139501184458</v>
      </c>
      <c r="AA1879" s="245">
        <f>IF(AA1877=0,0,X$8-AA1878)</f>
        <v>3.5854905866362969</v>
      </c>
      <c r="AB1879" s="265"/>
      <c r="AC1879" s="37"/>
      <c r="AD1879" s="37"/>
      <c r="AE1879" s="37"/>
      <c r="AF1879" s="37"/>
      <c r="AG1879" s="37"/>
      <c r="AH1879" s="37"/>
      <c r="AI1879" s="37"/>
      <c r="AJ1879" s="37"/>
      <c r="AK1879" s="37"/>
      <c r="AL1879" s="37"/>
      <c r="AM1879" s="37"/>
      <c r="AN1879" s="37"/>
      <c r="AO1879" s="37"/>
      <c r="AP1879" s="37"/>
    </row>
    <row r="1880" spans="1:42" s="192" customFormat="1" ht="11.25">
      <c r="A1880" s="37"/>
      <c r="B1880" s="37"/>
      <c r="C1880" s="37"/>
      <c r="D1880" s="191"/>
      <c r="E1880" s="191" t="s">
        <v>311</v>
      </c>
      <c r="F1880" s="191" t="str">
        <f t="shared" si="3326"/>
        <v>ФорКидс</v>
      </c>
      <c r="G1880" s="191" t="s">
        <v>262</v>
      </c>
      <c r="H1880" s="315"/>
      <c r="I1880" s="316">
        <f>I$8</f>
        <v>42278</v>
      </c>
      <c r="J1880" s="317"/>
      <c r="K1880" s="316">
        <f>I$8</f>
        <v>42278</v>
      </c>
      <c r="L1880" s="318">
        <f>I$8</f>
        <v>42278</v>
      </c>
      <c r="M1880" s="274"/>
      <c r="N1880" s="193">
        <f>N$8</f>
        <v>42278</v>
      </c>
      <c r="O1880" s="196"/>
      <c r="P1880" s="193">
        <f>N$8</f>
        <v>42278</v>
      </c>
      <c r="Q1880" s="237">
        <f>N$8</f>
        <v>42278</v>
      </c>
      <c r="R1880" s="238"/>
      <c r="S1880" s="193">
        <f>S$8</f>
        <v>42309</v>
      </c>
      <c r="T1880" s="196"/>
      <c r="U1880" s="193">
        <f>S$8</f>
        <v>42309</v>
      </c>
      <c r="V1880" s="237">
        <f>S$8</f>
        <v>42309</v>
      </c>
      <c r="W1880" s="238"/>
      <c r="X1880" s="193">
        <f>X$8</f>
        <v>42339</v>
      </c>
      <c r="Y1880" s="196"/>
      <c r="Z1880" s="193">
        <f>X$8</f>
        <v>42339</v>
      </c>
      <c r="AA1880" s="237">
        <f>X$8</f>
        <v>42339</v>
      </c>
      <c r="AB1880" s="265"/>
      <c r="AC1880" s="37"/>
      <c r="AD1880" s="37"/>
      <c r="AE1880" s="37"/>
      <c r="AF1880" s="37"/>
      <c r="AG1880" s="37"/>
      <c r="AH1880" s="37"/>
      <c r="AI1880" s="37"/>
      <c r="AJ1880" s="37"/>
      <c r="AK1880" s="37"/>
      <c r="AL1880" s="37"/>
      <c r="AM1880" s="37"/>
      <c r="AN1880" s="37"/>
      <c r="AO1880" s="37"/>
      <c r="AP1880" s="37"/>
    </row>
    <row r="1881" spans="1:42" s="192" customFormat="1" ht="11.25">
      <c r="A1881" s="37"/>
      <c r="B1881" s="37"/>
      <c r="C1881" s="37"/>
      <c r="D1881" s="191"/>
      <c r="E1881" s="191" t="s">
        <v>264</v>
      </c>
      <c r="F1881" s="191" t="str">
        <f t="shared" si="3326"/>
        <v>ФорКидс</v>
      </c>
      <c r="G1881" s="191" t="s">
        <v>219</v>
      </c>
      <c r="H1881" s="315"/>
      <c r="I1881" s="329">
        <f>IF(I1877=0,0,I1880-I1878)</f>
        <v>43.639399721025256</v>
      </c>
      <c r="J1881" s="317"/>
      <c r="K1881" s="329">
        <f>IF(K1877=0,0,K1880-K1878)</f>
        <v>43.639399721025256</v>
      </c>
      <c r="L1881" s="330">
        <f>IF(L1877=0,0,L1880-L1878)</f>
        <v>0</v>
      </c>
      <c r="M1881" s="274"/>
      <c r="N1881" s="156">
        <f>IF(N1877=0,0,N1880-N1878)</f>
        <v>43.639399721025256</v>
      </c>
      <c r="O1881" s="196"/>
      <c r="P1881" s="156">
        <f>IF(P1877=0,0,P1880-P1878)</f>
        <v>43.639399721025256</v>
      </c>
      <c r="Q1881" s="245">
        <f>IF(Q1877=0,0,Q1880-Q1878)</f>
        <v>0</v>
      </c>
      <c r="R1881" s="238"/>
      <c r="S1881" s="156">
        <f>IF(S1877=0,0,S1880-S1878)</f>
        <v>58.406517475115834</v>
      </c>
      <c r="T1881" s="196"/>
      <c r="U1881" s="156">
        <f>IF(U1877=0,0,U1880-U1878)</f>
        <v>71.026036874165584</v>
      </c>
      <c r="V1881" s="245">
        <f>IF(V1877=0,0,V1880-V1878)</f>
        <v>2.7761282292849501</v>
      </c>
      <c r="W1881" s="238"/>
      <c r="X1881" s="156">
        <f>IF(X1877=0,0,X1880-X1878)</f>
        <v>17.198872391563782</v>
      </c>
      <c r="Y1881" s="196"/>
      <c r="Z1881" s="156">
        <f>IF(Z1877=0,0,Z1880-Z1878)</f>
        <v>107.00139501184458</v>
      </c>
      <c r="AA1881" s="245">
        <f>IF(AA1877=0,0,AA1880-AA1878)</f>
        <v>3.5854905866362969</v>
      </c>
      <c r="AB1881" s="265"/>
      <c r="AC1881" s="37"/>
      <c r="AD1881" s="37"/>
      <c r="AE1881" s="37"/>
      <c r="AF1881" s="37"/>
      <c r="AG1881" s="37"/>
      <c r="AH1881" s="37"/>
      <c r="AI1881" s="37"/>
      <c r="AJ1881" s="37"/>
      <c r="AK1881" s="37"/>
      <c r="AL1881" s="37"/>
      <c r="AM1881" s="37"/>
      <c r="AN1881" s="37"/>
      <c r="AO1881" s="37"/>
      <c r="AP1881" s="37"/>
    </row>
    <row r="1882" spans="1:42" s="192" customFormat="1" ht="11.25">
      <c r="A1882" s="37"/>
      <c r="B1882" s="37"/>
      <c r="C1882" s="37"/>
      <c r="D1882" s="207"/>
      <c r="E1882" s="207" t="s">
        <v>269</v>
      </c>
      <c r="F1882" s="207" t="str">
        <f t="shared" si="3326"/>
        <v>ФорКидс</v>
      </c>
      <c r="G1882" s="207" t="s">
        <v>219</v>
      </c>
      <c r="H1882" s="331"/>
      <c r="I1882" s="332">
        <f>I1879-I1881</f>
        <v>0</v>
      </c>
      <c r="J1882" s="333"/>
      <c r="K1882" s="332">
        <f t="shared" ref="K1882" si="3351">K1879-K1881</f>
        <v>0</v>
      </c>
      <c r="L1882" s="334">
        <f>L1879-L1881</f>
        <v>0</v>
      </c>
      <c r="M1882" s="278"/>
      <c r="N1882" s="162">
        <f>N1879-N1881</f>
        <v>0</v>
      </c>
      <c r="O1882" s="208"/>
      <c r="P1882" s="162">
        <f t="shared" ref="P1882" si="3352">P1879-P1881</f>
        <v>0</v>
      </c>
      <c r="Q1882" s="246">
        <f>Q1879-Q1881</f>
        <v>0</v>
      </c>
      <c r="R1882" s="247"/>
      <c r="S1882" s="162">
        <f>S1879-S1881</f>
        <v>0</v>
      </c>
      <c r="T1882" s="208"/>
      <c r="U1882" s="162">
        <f t="shared" ref="U1882" si="3353">U1879-U1881</f>
        <v>0</v>
      </c>
      <c r="V1882" s="246">
        <f>V1879-V1881</f>
        <v>0</v>
      </c>
      <c r="W1882" s="247"/>
      <c r="X1882" s="162">
        <f>X1879-X1881</f>
        <v>0</v>
      </c>
      <c r="Y1882" s="208"/>
      <c r="Z1882" s="162">
        <f t="shared" ref="Z1882" si="3354">Z1879-Z1881</f>
        <v>0</v>
      </c>
      <c r="AA1882" s="246">
        <f>AA1879-AA1881</f>
        <v>0</v>
      </c>
      <c r="AB1882" s="265"/>
      <c r="AC1882" s="37"/>
      <c r="AD1882" s="37"/>
      <c r="AE1882" s="37"/>
      <c r="AF1882" s="37"/>
      <c r="AG1882" s="37"/>
      <c r="AH1882" s="37"/>
      <c r="AI1882" s="37"/>
      <c r="AJ1882" s="37"/>
      <c r="AK1882" s="37"/>
      <c r="AL1882" s="37"/>
      <c r="AM1882" s="37"/>
      <c r="AN1882" s="37"/>
      <c r="AO1882" s="37"/>
      <c r="AP1882" s="37"/>
    </row>
    <row r="1883" spans="1:42" s="111" customFormat="1" ht="11.25">
      <c r="A1883" s="108"/>
      <c r="B1883" s="108"/>
      <c r="C1883" s="108" t="s">
        <v>272</v>
      </c>
      <c r="D1883" s="109"/>
      <c r="E1883" s="109"/>
      <c r="F1883" s="109" t="str">
        <f t="shared" si="3326"/>
        <v>ФорКидс</v>
      </c>
      <c r="G1883" s="109"/>
      <c r="H1883" s="307"/>
      <c r="I1883" s="308">
        <f>I1884-K1884-L1884</f>
        <v>-4.6566128730773926E-10</v>
      </c>
      <c r="J1883" s="335"/>
      <c r="K1883" s="308"/>
      <c r="L1883" s="336"/>
      <c r="M1883" s="272"/>
      <c r="N1883" s="110">
        <f>N1884-P1884-Q1884</f>
        <v>0</v>
      </c>
      <c r="O1883" s="105"/>
      <c r="P1883" s="110"/>
      <c r="Q1883" s="248"/>
      <c r="R1883" s="234"/>
      <c r="S1883" s="110">
        <f>S1884-U1884-V1884</f>
        <v>0</v>
      </c>
      <c r="T1883" s="105"/>
      <c r="U1883" s="110"/>
      <c r="V1883" s="248"/>
      <c r="W1883" s="234"/>
      <c r="X1883" s="110">
        <f>X1884-Z1884-AA1884</f>
        <v>0</v>
      </c>
      <c r="Y1883" s="105"/>
      <c r="Z1883" s="110"/>
      <c r="AA1883" s="248"/>
      <c r="AB1883" s="263"/>
      <c r="AC1883" s="108"/>
      <c r="AD1883" s="108"/>
      <c r="AE1883" s="108"/>
      <c r="AF1883" s="108"/>
      <c r="AG1883" s="108"/>
      <c r="AH1883" s="108"/>
      <c r="AI1883" s="108"/>
      <c r="AJ1883" s="108"/>
      <c r="AK1883" s="108"/>
      <c r="AL1883" s="108"/>
      <c r="AM1883" s="108"/>
      <c r="AN1883" s="108"/>
      <c r="AO1883" s="108"/>
      <c r="AP1883" s="108"/>
    </row>
    <row r="1884" spans="1:42" s="5" customFormat="1">
      <c r="A1884" s="1"/>
      <c r="B1884" s="1"/>
      <c r="C1884" s="1"/>
      <c r="D1884" s="168" t="s">
        <v>273</v>
      </c>
      <c r="E1884" s="168"/>
      <c r="F1884" s="168" t="str">
        <f t="shared" si="3326"/>
        <v>ФорКидс</v>
      </c>
      <c r="G1884" s="168" t="s">
        <v>261</v>
      </c>
      <c r="H1884" s="326"/>
      <c r="I1884" s="327">
        <f>SUMIFS(операции!$V:$V,операции!$T:$T,"&gt;="&amp;I$8,операции!$T:$T,"&lt;="&amp;I$9,операции!$O:$O,$F1866)</f>
        <v>472116.2799999995</v>
      </c>
      <c r="J1884" s="313"/>
      <c r="K1884" s="327">
        <f>SUMIFS(операции!$V:$V,операции!$T:$T,"&gt;="&amp;I$8,операции!$T:$T,"&lt;="&amp;I$9,операции!$L:$L,K$9,операции!$O:$O,$F1866)</f>
        <v>31245.130000000008</v>
      </c>
      <c r="L1884" s="328">
        <f>SUMIFS(операции!$V:$V,операции!$T:$T,"&gt;="&amp;I$8,операции!$T:$T,"&lt;="&amp;I$9,операции!$L:$L,L$9,операции!$O:$O,$F1866)</f>
        <v>440871.14999999997</v>
      </c>
      <c r="M1884" s="277"/>
      <c r="N1884" s="169">
        <f>SUMIFS(операции!$V:$V,операции!$T:$T,"&gt;="&amp;N$8,операции!$T:$T,"&lt;="&amp;N$9,операции!$O:$O,$F1866)</f>
        <v>67653.730000000025</v>
      </c>
      <c r="O1884" s="170"/>
      <c r="P1884" s="169">
        <f>SUMIFS(операции!$V:$V,операции!$T:$T,"&gt;="&amp;N$8,операции!$T:$T,"&lt;="&amp;N$9,операции!$L:$L,P$9,операции!$O:$O,$F1866)</f>
        <v>26295.530000000002</v>
      </c>
      <c r="Q1884" s="243">
        <f>SUMIFS(операции!$V:$V,операции!$T:$T,"&gt;="&amp;N$8,операции!$T:$T,"&lt;="&amp;N$9,операции!$L:$L,Q$9,операции!$O:$O,$F1866)</f>
        <v>41358.199999999997</v>
      </c>
      <c r="R1884" s="244"/>
      <c r="S1884" s="169">
        <f>SUMIFS(операции!$V:$V,операции!$T:$T,"&gt;="&amp;S$8,операции!$T:$T,"&lt;="&amp;S$9,операции!$O:$O,$F1866)</f>
        <v>393676.02999999991</v>
      </c>
      <c r="T1884" s="170"/>
      <c r="U1884" s="169">
        <f>SUMIFS(операции!$V:$V,операции!$T:$T,"&gt;="&amp;S$8,операции!$T:$T,"&lt;="&amp;S$9,операции!$L:$L,U$9,операции!$O:$O,$F1866)</f>
        <v>4949.6000000000004</v>
      </c>
      <c r="V1884" s="243">
        <f>SUMIFS(операции!$V:$V,операции!$T:$T,"&gt;="&amp;S$8,операции!$T:$T,"&lt;="&amp;S$9,операции!$L:$L,V$9,операции!$O:$O,$F1866)</f>
        <v>388726.42999999993</v>
      </c>
      <c r="W1884" s="244"/>
      <c r="X1884" s="169">
        <f>SUMIFS(операции!$V:$V,операции!$T:$T,"&gt;="&amp;X$8,операции!$T:$T,"&lt;="&amp;X$9,операции!$O:$O,$F1866)</f>
        <v>10786.52</v>
      </c>
      <c r="Y1884" s="170"/>
      <c r="Z1884" s="169">
        <f>SUMIFS(операции!$V:$V,операции!$T:$T,"&gt;="&amp;X$8,операции!$T:$T,"&lt;="&amp;X$9,операции!$L:$L,Z$9,операции!$O:$O,$F1866)</f>
        <v>0</v>
      </c>
      <c r="AA1884" s="243">
        <f>SUMIFS(операции!$V:$V,операции!$T:$T,"&gt;="&amp;X$8,операции!$T:$T,"&lt;="&amp;X$9,операции!$L:$L,AA$9,операции!$O:$O,$F1866)</f>
        <v>10786.52</v>
      </c>
      <c r="AB1884" s="266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</row>
    <row r="1885" spans="1:42" s="192" customFormat="1" ht="11.25">
      <c r="A1885" s="37"/>
      <c r="B1885" s="37"/>
      <c r="C1885" s="37"/>
      <c r="D1885" s="207" t="s">
        <v>255</v>
      </c>
      <c r="E1885" s="207"/>
      <c r="F1885" s="207" t="str">
        <f t="shared" si="3326"/>
        <v>ФорКидс</v>
      </c>
      <c r="G1885" s="207" t="s">
        <v>262</v>
      </c>
      <c r="H1885" s="331"/>
      <c r="I1885" s="337">
        <f>IF(I1884=0,0,SUMIFS(операции!$AF:$AF,операции!$T:$T,"&gt;="&amp;I$8,операции!$T:$T,"&lt;="&amp;I$9,операции!$O:$O,$F1866)/I1884)</f>
        <v>42325.290410150701</v>
      </c>
      <c r="J1885" s="333"/>
      <c r="K1885" s="337">
        <f>IF(K1884=0,0,SUMIFS(операции!$AF:$AF,операции!$T:$T,"&gt;="&amp;I$8,операции!$T:$T,"&lt;="&amp;I$9,операции!$L:$L,K$9,операции!$O:$O,$F1866)/K1884)</f>
        <v>42291.973560359649</v>
      </c>
      <c r="L1885" s="338">
        <f>IF(L1884=0,0,SUMIFS(операции!$AF:$AF,операции!$T:$T,"&gt;="&amp;I$8,операции!$T:$T,"&lt;="&amp;I$9,операции!$L:$L,L$9,операции!$O:$O,$F1866)/L1884)</f>
        <v>42327.651620002813</v>
      </c>
      <c r="M1885" s="278"/>
      <c r="N1885" s="217">
        <f>IF(N1884=0,0,SUMIFS(операции!$AF:$AF,операции!$T:$T,"&gt;="&amp;N$8,операции!$T:$T,"&lt;="&amp;N$9,операции!$O:$O,$F1866)/N1884)</f>
        <v>42296.049105792081</v>
      </c>
      <c r="O1885" s="208"/>
      <c r="P1885" s="217">
        <f>IF(P1884=0,0,SUMIFS(операции!$AF:$AF,операции!$T:$T,"&gt;="&amp;N$8,операции!$T:$T,"&lt;="&amp;N$9,операции!$L:$L,P$9,операции!$O:$O,$F1866)/P1884)</f>
        <v>42287.733415146984</v>
      </c>
      <c r="Q1885" s="249">
        <f>IF(Q1884=0,0,SUMIFS(операции!$AF:$AF,операции!$T:$T,"&gt;="&amp;N$8,операции!$T:$T,"&lt;="&amp;N$9,операции!$L:$L,Q$9,операции!$O:$O,$F1866)/Q1884)</f>
        <v>42301.336219177821</v>
      </c>
      <c r="R1885" s="247"/>
      <c r="S1885" s="217">
        <f>IF(S1884=0,0,SUMIFS(операции!$AF:$AF,операции!$T:$T,"&gt;="&amp;S$8,операции!$T:$T,"&lt;="&amp;S$9,операции!$O:$O,$F1866)/S1884)</f>
        <v>42329.355362098133</v>
      </c>
      <c r="T1885" s="208"/>
      <c r="U1885" s="217">
        <f>IF(U1884=0,0,SUMIFS(операции!$AF:$AF,операции!$T:$T,"&gt;="&amp;S$8,операции!$T:$T,"&lt;="&amp;S$9,операции!$L:$L,U$9,операции!$O:$O,$F1866)/U1884)</f>
        <v>42314.5</v>
      </c>
      <c r="V1885" s="249">
        <f>IF(V1884=0,0,SUMIFS(операции!$AF:$AF,операции!$T:$T,"&gt;="&amp;S$8,операции!$T:$T,"&lt;="&amp;S$9,операции!$L:$L,V$9,операции!$O:$O,$F1866)/V1884)</f>
        <v>42329.544513374109</v>
      </c>
      <c r="W1885" s="247"/>
      <c r="X1885" s="217">
        <f>IF(X1884=0,0,SUMIFS(операции!$AF:$AF,операции!$T:$T,"&gt;="&amp;X$8,операции!$T:$T,"&lt;="&amp;X$9,операции!$O:$O,$F1866)/X1884)</f>
        <v>42360.334999610626</v>
      </c>
      <c r="Y1885" s="208"/>
      <c r="Z1885" s="217">
        <f>IF(Z1884=0,0,SUMIFS(операции!$AF:$AF,операции!$T:$T,"&gt;="&amp;X$8,операции!$T:$T,"&lt;="&amp;X$9,операции!$L:$L,Z$9,операции!$O:$O,$F1866)/Z1884)</f>
        <v>0</v>
      </c>
      <c r="AA1885" s="249">
        <f>IF(AA1884=0,0,SUMIFS(операции!$AF:$AF,операции!$T:$T,"&gt;="&amp;X$8,операции!$T:$T,"&lt;="&amp;X$9,операции!$L:$L,AA$9,операции!$O:$O,$F1866)/AA1884)</f>
        <v>42360.334999610626</v>
      </c>
      <c r="AB1885" s="265"/>
      <c r="AC1885" s="37"/>
      <c r="AD1885" s="37"/>
      <c r="AE1885" s="37"/>
      <c r="AF1885" s="37"/>
      <c r="AG1885" s="37"/>
      <c r="AH1885" s="37"/>
      <c r="AI1885" s="37"/>
      <c r="AJ1885" s="37"/>
      <c r="AK1885" s="37"/>
      <c r="AL1885" s="37"/>
      <c r="AM1885" s="37"/>
      <c r="AN1885" s="37"/>
      <c r="AO1885" s="37"/>
      <c r="AP1885" s="37"/>
    </row>
    <row r="1886" spans="1:42" s="93" customFormat="1" ht="15">
      <c r="A1886" s="92"/>
      <c r="B1886" s="92"/>
      <c r="C1886" s="92"/>
      <c r="D1886" s="212" t="s">
        <v>274</v>
      </c>
      <c r="E1886" s="212"/>
      <c r="F1886" s="212" t="str">
        <f t="shared" si="3326"/>
        <v>ФорКидс</v>
      </c>
      <c r="G1886" s="212" t="s">
        <v>261</v>
      </c>
      <c r="H1886" s="339"/>
      <c r="I1886" s="340">
        <f>SUMIFS(операции!$Z:$Z,операции!$X:$X,"&gt;="&amp;I$8,операции!$X:$X,"&lt;="&amp;I$9,операции!$O:$O,$F1866)</f>
        <v>667152</v>
      </c>
      <c r="J1886" s="341">
        <f>I1886-I1899-I1909</f>
        <v>0</v>
      </c>
      <c r="K1886" s="340">
        <f>SUMIFS(операции!$Z:$Z,операции!$X:$X,"&gt;="&amp;I$8,операции!$X:$X,"&lt;="&amp;I$9,операции!$L:$L,K$9,операции!$O:$O,$F1866)</f>
        <v>186307</v>
      </c>
      <c r="L1886" s="342">
        <f>SUMIFS(операции!$Z:$Z,операции!$X:$X,"&gt;="&amp;I$8,операции!$X:$X,"&lt;="&amp;I$9,операции!$L:$L,L$9,операции!$O:$O,$F1866)</f>
        <v>480845</v>
      </c>
      <c r="M1886" s="279"/>
      <c r="N1886" s="213">
        <f>SUMIFS(операции!$Z:$Z,операции!$X:$X,"&gt;="&amp;N$8,операции!$X:$X,"&lt;="&amp;N$9,операции!$O:$O,$F1866)</f>
        <v>77319</v>
      </c>
      <c r="O1886" s="216">
        <f>N1886-N1899-N1909</f>
        <v>0</v>
      </c>
      <c r="P1886" s="213">
        <f>SUMIFS(операции!$Z:$Z,операции!$X:$X,"&gt;="&amp;N$8,операции!$X:$X,"&lt;="&amp;N$9,операции!$L:$L,P$9,операции!$O:$O,$F1866)</f>
        <v>45390</v>
      </c>
      <c r="Q1886" s="250">
        <f>SUMIFS(операции!$Z:$Z,операции!$X:$X,"&gt;="&amp;N$8,операции!$X:$X,"&lt;="&amp;N$9,операции!$L:$L,Q$9,операции!$O:$O,$F1866)</f>
        <v>31929</v>
      </c>
      <c r="R1886" s="251"/>
      <c r="S1886" s="213">
        <f>SUMIFS(операции!$Z:$Z,операции!$X:$X,"&gt;="&amp;S$8,операции!$X:$X,"&lt;="&amp;S$9,операции!$O:$O,$F1866)</f>
        <v>363251</v>
      </c>
      <c r="T1886" s="216">
        <f>S1886-S1899-S1909</f>
        <v>0</v>
      </c>
      <c r="U1886" s="213">
        <f>SUMIFS(операции!$Z:$Z,операции!$X:$X,"&gt;="&amp;S$8,операции!$X:$X,"&lt;="&amp;S$9,операции!$L:$L,U$9,операции!$O:$O,$F1866)</f>
        <v>105346</v>
      </c>
      <c r="V1886" s="250">
        <f>SUMIFS(операции!$Z:$Z,операции!$X:$X,"&gt;="&amp;S$8,операции!$X:$X,"&lt;="&amp;S$9,операции!$L:$L,V$9,операции!$O:$O,$F1866)</f>
        <v>257905</v>
      </c>
      <c r="W1886" s="251"/>
      <c r="X1886" s="213">
        <f>SUMIFS(операции!$Z:$Z,операции!$X:$X,"&gt;="&amp;X$8,операции!$X:$X,"&lt;="&amp;X$9,операции!$O:$O,$F1866)</f>
        <v>226582</v>
      </c>
      <c r="Y1886" s="216">
        <f>X1886-X1899-X1909</f>
        <v>0</v>
      </c>
      <c r="Z1886" s="213">
        <f>SUMIFS(операции!$Z:$Z,операции!$X:$X,"&gt;="&amp;X$8,операции!$X:$X,"&lt;="&amp;X$9,операции!$L:$L,Z$9,операции!$O:$O,$F1866)</f>
        <v>35571</v>
      </c>
      <c r="AA1886" s="250">
        <f>SUMIFS(операции!$Z:$Z,операции!$X:$X,"&gt;="&amp;X$8,операции!$X:$X,"&lt;="&amp;X$9,операции!$L:$L,AA$9,операции!$O:$O,$F1866)</f>
        <v>191011</v>
      </c>
      <c r="AB1886" s="264"/>
      <c r="AC1886" s="92"/>
      <c r="AD1886" s="92"/>
      <c r="AE1886" s="92"/>
      <c r="AF1886" s="92"/>
      <c r="AG1886" s="92"/>
      <c r="AH1886" s="92"/>
      <c r="AI1886" s="92"/>
      <c r="AJ1886" s="92"/>
      <c r="AK1886" s="92"/>
      <c r="AL1886" s="92"/>
      <c r="AM1886" s="92"/>
      <c r="AN1886" s="92"/>
      <c r="AO1886" s="92"/>
      <c r="AP1886" s="92"/>
    </row>
    <row r="1887" spans="1:42" s="407" customFormat="1" ht="11.25">
      <c r="A1887" s="404"/>
      <c r="B1887" s="404"/>
      <c r="C1887" s="404"/>
      <c r="D1887" s="405" t="s">
        <v>332</v>
      </c>
      <c r="E1887" s="405"/>
      <c r="F1887" s="405" t="str">
        <f>F1885</f>
        <v>ФорКидс</v>
      </c>
      <c r="G1887" s="405" t="s">
        <v>218</v>
      </c>
      <c r="H1887" s="408"/>
      <c r="I1887" s="408">
        <f>IF(I$31=0,0,I1886/I$31)</f>
        <v>0.1798361949616365</v>
      </c>
      <c r="J1887" s="409"/>
      <c r="K1887" s="408">
        <f t="shared" ref="K1887" si="3355">IF(K$31=0,0,K1886/K$31)</f>
        <v>0.14310678299128796</v>
      </c>
      <c r="L1887" s="410">
        <f t="shared" ref="L1887" si="3356">IF(L$31=0,0,L1886/L$31)</f>
        <v>0.19969458889938213</v>
      </c>
      <c r="M1887" s="411"/>
      <c r="N1887" s="412">
        <f t="shared" ref="N1887" si="3357">IF(N$31=0,0,N1886/N$31)</f>
        <v>9.9766065421682232E-2</v>
      </c>
      <c r="O1887" s="413"/>
      <c r="P1887" s="412">
        <f t="shared" ref="P1887" si="3358">IF(P$31=0,0,P1886/P$31)</f>
        <v>9.0693659636026505E-2</v>
      </c>
      <c r="Q1887" s="414">
        <f t="shared" ref="Q1887" si="3359">IF(Q$31=0,0,Q1886/Q$31)</f>
        <v>0.11630550000546394</v>
      </c>
      <c r="R1887" s="415"/>
      <c r="S1887" s="412">
        <f t="shared" ref="S1887" si="3360">IF(S$31=0,0,S1886/S$31)</f>
        <v>0.20468362169274157</v>
      </c>
      <c r="T1887" s="413"/>
      <c r="U1887" s="412">
        <f t="shared" ref="U1887" si="3361">IF(U$31=0,0,U1886/U$31)</f>
        <v>0.16728092670959341</v>
      </c>
      <c r="V1887" s="414">
        <f t="shared" ref="V1887" si="3362">IF(V$31=0,0,V1886/V$31)</f>
        <v>0.22525634531067129</v>
      </c>
      <c r="W1887" s="415"/>
      <c r="X1887" s="412">
        <f t="shared" ref="X1887" si="3363">IF(X$31=0,0,X1886/X$31)</f>
        <v>0.19531617701568343</v>
      </c>
      <c r="Y1887" s="413"/>
      <c r="Z1887" s="412">
        <f t="shared" ref="Z1887" si="3364">IF(Z$31=0,0,Z1886/Z$31)</f>
        <v>0.20723827945211865</v>
      </c>
      <c r="AA1887" s="414">
        <f t="shared" ref="AA1887" si="3365">IF(AA$31=0,0,AA1886/AA$31)</f>
        <v>0.19324588870284845</v>
      </c>
      <c r="AB1887" s="406"/>
      <c r="AC1887" s="404"/>
      <c r="AD1887" s="404"/>
      <c r="AE1887" s="404"/>
      <c r="AF1887" s="404"/>
      <c r="AG1887" s="404"/>
      <c r="AH1887" s="404"/>
      <c r="AI1887" s="404"/>
      <c r="AJ1887" s="404"/>
      <c r="AK1887" s="404"/>
      <c r="AL1887" s="404"/>
      <c r="AM1887" s="404"/>
      <c r="AN1887" s="404"/>
      <c r="AO1887" s="404"/>
      <c r="AP1887" s="404"/>
    </row>
    <row r="1888" spans="1:42" s="192" customFormat="1" ht="11.25">
      <c r="A1888" s="37"/>
      <c r="B1888" s="37"/>
      <c r="C1888" s="37"/>
      <c r="D1888" s="191" t="s">
        <v>331</v>
      </c>
      <c r="E1888" s="191"/>
      <c r="F1888" s="191" t="str">
        <f>F1886</f>
        <v>ФорКидс</v>
      </c>
      <c r="G1888" s="191" t="s">
        <v>334</v>
      </c>
      <c r="H1888" s="315"/>
      <c r="I1888" s="329">
        <f>SUMIFS(операции!$R:$R,операции!$X:$X,"&gt;="&amp;I$8,операции!$X:$X,"&lt;="&amp;I$9,операции!$O:$O,$F1866)</f>
        <v>167</v>
      </c>
      <c r="J1888" s="317">
        <f>I1888-K1888-L1888</f>
        <v>0</v>
      </c>
      <c r="K1888" s="329">
        <f>SUMIFS(операции!$R:$R,операции!$X:$X,"&gt;="&amp;I$8,операции!$X:$X,"&lt;="&amp;I$9,операции!$L:$L,K$9,операции!$O:$O,$F1866)</f>
        <v>58</v>
      </c>
      <c r="L1888" s="330">
        <f>SUMIFS(операции!$R:$R,операции!$X:$X,"&gt;="&amp;I$8,операции!$X:$X,"&lt;="&amp;I$9,операции!$L:$L,L$9,операции!$O:$O,$F1866)</f>
        <v>109</v>
      </c>
      <c r="M1888" s="402"/>
      <c r="N1888" s="156">
        <f>SUMIFS(операции!$R:$R,операции!$X:$X,"&gt;="&amp;N$8,операции!$X:$X,"&lt;="&amp;N$9,операции!$O:$O,$F1866)</f>
        <v>19</v>
      </c>
      <c r="O1888" s="196">
        <f t="shared" ref="O1888" si="3366">N1888-P1888-Q1888</f>
        <v>0</v>
      </c>
      <c r="P1888" s="156">
        <f>SUMIFS(операции!$R:$R,операции!$X:$X,"&gt;="&amp;N$8,операции!$X:$X,"&lt;="&amp;N$9,операции!$L:$L,P$9,операции!$O:$O,$F1866)</f>
        <v>10</v>
      </c>
      <c r="Q1888" s="245">
        <f>SUMIFS(операции!$R:$R,операции!$X:$X,"&gt;="&amp;N$8,операции!$X:$X,"&lt;="&amp;N$9,операции!$L:$L,Q$9,операции!$O:$O,$F1866)</f>
        <v>9</v>
      </c>
      <c r="R1888" s="403"/>
      <c r="S1888" s="156">
        <f>SUMIFS(операции!$R:$R,операции!$X:$X,"&gt;="&amp;S$8,операции!$X:$X,"&lt;="&amp;S$9,операции!$O:$O,$F1866)</f>
        <v>92</v>
      </c>
      <c r="T1888" s="196">
        <f t="shared" ref="T1888" si="3367">S1888-U1888-V1888</f>
        <v>0</v>
      </c>
      <c r="U1888" s="156">
        <f>SUMIFS(операции!$R:$R,операции!$X:$X,"&gt;="&amp;S$8,операции!$X:$X,"&lt;="&amp;S$9,операции!$L:$L,U$9,операции!$O:$O,$F1866)</f>
        <v>31</v>
      </c>
      <c r="V1888" s="245">
        <f>SUMIFS(операции!$R:$R,операции!$X:$X,"&gt;="&amp;S$8,операции!$X:$X,"&lt;="&amp;S$9,операции!$L:$L,V$9,операции!$O:$O,$F1866)</f>
        <v>61</v>
      </c>
      <c r="W1888" s="403"/>
      <c r="X1888" s="156">
        <f>SUMIFS(операции!$R:$R,операции!$X:$X,"&gt;="&amp;X$8,операции!$X:$X,"&lt;="&amp;X$9,операции!$O:$O,$F1866)</f>
        <v>56</v>
      </c>
      <c r="Y1888" s="196">
        <f t="shared" ref="Y1888" si="3368">X1888-Z1888-AA1888</f>
        <v>0</v>
      </c>
      <c r="Z1888" s="156">
        <f>SUMIFS(операции!$R:$R,операции!$X:$X,"&gt;="&amp;X$8,операции!$X:$X,"&lt;="&amp;X$9,операции!$L:$L,Z$9,операции!$O:$O,$F1866)</f>
        <v>17</v>
      </c>
      <c r="AA1888" s="245">
        <f>SUMIFS(операции!$R:$R,операции!$X:$X,"&gt;="&amp;X$8,операции!$X:$X,"&lt;="&amp;X$9,операции!$L:$L,AA$9,операции!$O:$O,$F1866)</f>
        <v>39</v>
      </c>
      <c r="AB1888" s="265"/>
      <c r="AC1888" s="37"/>
      <c r="AD1888" s="37"/>
      <c r="AE1888" s="37"/>
      <c r="AF1888" s="37"/>
      <c r="AG1888" s="37"/>
      <c r="AH1888" s="37"/>
      <c r="AI1888" s="37"/>
      <c r="AJ1888" s="37"/>
      <c r="AK1888" s="37"/>
      <c r="AL1888" s="37"/>
      <c r="AM1888" s="37"/>
      <c r="AN1888" s="37"/>
      <c r="AO1888" s="37"/>
      <c r="AP1888" s="37"/>
    </row>
    <row r="1889" spans="1:42" s="192" customFormat="1" ht="11.25">
      <c r="A1889" s="37"/>
      <c r="B1889" s="37"/>
      <c r="C1889" s="37"/>
      <c r="D1889" s="191" t="s">
        <v>333</v>
      </c>
      <c r="E1889" s="191"/>
      <c r="F1889" s="191" t="str">
        <f t="shared" si="3326"/>
        <v>ФорКидс</v>
      </c>
      <c r="G1889" s="191" t="s">
        <v>261</v>
      </c>
      <c r="H1889" s="315"/>
      <c r="I1889" s="329">
        <f>IF(I1888=0,0,I1886/I1888)</f>
        <v>3994.9221556886228</v>
      </c>
      <c r="J1889" s="317"/>
      <c r="K1889" s="329">
        <f t="shared" ref="K1889" si="3369">IF(K1888=0,0,K1886/K1888)</f>
        <v>3212.1896551724139</v>
      </c>
      <c r="L1889" s="330">
        <f t="shared" ref="L1889" si="3370">IF(L1888=0,0,L1886/L1888)</f>
        <v>4411.4220183486241</v>
      </c>
      <c r="M1889" s="402"/>
      <c r="N1889" s="156">
        <f>IF(N1888=0,0,N1886/N1888)</f>
        <v>4069.4210526315787</v>
      </c>
      <c r="O1889" s="196"/>
      <c r="P1889" s="156">
        <f>IF(P1888=0,0,P1886/P1888)</f>
        <v>4539</v>
      </c>
      <c r="Q1889" s="245">
        <f>IF(Q1888=0,0,Q1886/Q1888)</f>
        <v>3547.6666666666665</v>
      </c>
      <c r="R1889" s="403"/>
      <c r="S1889" s="156">
        <f>IF(S1888=0,0,S1886/S1888)</f>
        <v>3948.3804347826085</v>
      </c>
      <c r="T1889" s="196"/>
      <c r="U1889" s="156">
        <f>IF(U1888=0,0,U1886/U1888)</f>
        <v>3398.2580645161293</v>
      </c>
      <c r="V1889" s="245">
        <f>IF(V1888=0,0,V1886/V1888)</f>
        <v>4227.9508196721308</v>
      </c>
      <c r="W1889" s="403"/>
      <c r="X1889" s="156">
        <f>IF(X1888=0,0,X1886/X1888)</f>
        <v>4046.1071428571427</v>
      </c>
      <c r="Y1889" s="196"/>
      <c r="Z1889" s="156">
        <f>IF(Z1888=0,0,Z1886/Z1888)</f>
        <v>2092.4117647058824</v>
      </c>
      <c r="AA1889" s="245">
        <f>IF(AA1888=0,0,AA1886/AA1888)</f>
        <v>4897.7179487179483</v>
      </c>
      <c r="AB1889" s="265"/>
      <c r="AC1889" s="37"/>
      <c r="AD1889" s="37"/>
      <c r="AE1889" s="37"/>
      <c r="AF1889" s="37"/>
      <c r="AG1889" s="37"/>
      <c r="AH1889" s="37"/>
      <c r="AI1889" s="37"/>
      <c r="AJ1889" s="37"/>
      <c r="AK1889" s="37"/>
      <c r="AL1889" s="37"/>
      <c r="AM1889" s="37"/>
      <c r="AN1889" s="37"/>
      <c r="AO1889" s="37"/>
      <c r="AP1889" s="37"/>
    </row>
    <row r="1890" spans="1:42" s="192" customFormat="1" ht="11.25">
      <c r="A1890" s="37"/>
      <c r="B1890" s="37"/>
      <c r="C1890" s="37"/>
      <c r="D1890" s="191" t="s">
        <v>290</v>
      </c>
      <c r="E1890" s="191"/>
      <c r="F1890" s="191" t="str">
        <f>F1886</f>
        <v>ФорКидс</v>
      </c>
      <c r="G1890" s="191" t="s">
        <v>262</v>
      </c>
      <c r="H1890" s="315"/>
      <c r="I1890" s="316">
        <f>IF(I1886=0,0,SUMIFS(операции!$AG:$AG,операции!$X:$X,"&gt;="&amp;I$8,операции!$X:$X,"&lt;="&amp;I$9,операции!$O:$O,$F1866)/I1886)</f>
        <v>42329.900082739769</v>
      </c>
      <c r="J1890" s="317"/>
      <c r="K1890" s="316">
        <f>IF(K1886=0,0,SUMIFS(операции!$AG:$AG,операции!$X:$X,"&gt;="&amp;I$8,операции!$X:$X,"&lt;="&amp;I$9,операции!$L:$L,K$9,операции!$O:$O,$F1866)/K1886)</f>
        <v>42324.103265041034</v>
      </c>
      <c r="L1890" s="318">
        <f>IF(L1886=0,0,SUMIFS(операции!$AG:$AG,операции!$X:$X,"&gt;="&amp;I$8,операции!$X:$X,"&lt;="&amp;I$9,операции!$L:$L,L$9,операции!$O:$O,$F1866)/L1886)</f>
        <v>42332.146103214131</v>
      </c>
      <c r="M1890" s="274"/>
      <c r="N1890" s="193">
        <f>IF(N1886=0,0,SUMIFS(операции!$AG:$AG,операции!$X:$X,"&gt;="&amp;N$8,операции!$X:$X,"&lt;="&amp;N$9,операции!$O:$O,$F1866)/N1886)</f>
        <v>42301.414012079826</v>
      </c>
      <c r="O1890" s="196"/>
      <c r="P1890" s="193">
        <f>IF(P1886=0,0,SUMIFS(операции!$AG:$AG,операции!$X:$X,"&gt;="&amp;N$8,операции!$X:$X,"&lt;="&amp;N$9,операции!$L:$L,P$9,операции!$O:$O,$F1866)/P1886)</f>
        <v>42300.501696408901</v>
      </c>
      <c r="Q1890" s="237">
        <f>IF(Q1886=0,0,SUMIFS(операции!$AG:$AG,операции!$X:$X,"&gt;="&amp;N$8,операции!$X:$X,"&lt;="&amp;N$9,операции!$L:$L,Q$9,операции!$O:$O,$F1866)/Q1886)</f>
        <v>42302.710952425696</v>
      </c>
      <c r="R1890" s="238"/>
      <c r="S1890" s="193">
        <f>IF(S1886=0,0,SUMIFS(операции!$AG:$AG,операции!$X:$X,"&gt;="&amp;S$8,операции!$X:$X,"&lt;="&amp;S$9,операции!$O:$O,$F1866)/S1886)</f>
        <v>42328.316687359431</v>
      </c>
      <c r="T1890" s="196"/>
      <c r="U1890" s="193">
        <f>IF(U1886=0,0,SUMIFS(операции!$AG:$AG,операции!$X:$X,"&gt;="&amp;S$8,операции!$X:$X,"&lt;="&amp;S$9,операции!$L:$L,U$9,операции!$O:$O,$F1866)/U1886)</f>
        <v>42328.652383574125</v>
      </c>
      <c r="V1890" s="237">
        <f>IF(V1886=0,0,SUMIFS(операции!$AG:$AG,операции!$X:$X,"&gt;="&amp;S$8,операции!$X:$X,"&lt;="&amp;S$9,операции!$L:$L,V$9,операции!$O:$O,$F1866)/V1886)</f>
        <v>42328.17956611931</v>
      </c>
      <c r="W1890" s="238"/>
      <c r="X1890" s="193">
        <f>IF(X1886=0,0,SUMIFS(операции!$AG:$AG,операции!$X:$X,"&gt;="&amp;X$8,операции!$X:$X,"&lt;="&amp;X$9,операции!$O:$O,$F1866)/X1886)</f>
        <v>42342.159152095046</v>
      </c>
      <c r="Y1890" s="196"/>
      <c r="Z1890" s="193">
        <f>IF(Z1886=0,0,SUMIFS(операции!$AG:$AG,операции!$X:$X,"&gt;="&amp;X$8,операции!$X:$X,"&lt;="&amp;X$9,операции!$L:$L,Z$9,операции!$O:$O,$F1866)/Z1886)</f>
        <v>42340.747266031314</v>
      </c>
      <c r="AA1890" s="237">
        <f>IF(AA1886=0,0,SUMIFS(операции!$AG:$AG,операции!$X:$X,"&gt;="&amp;X$8,операции!$X:$X,"&lt;="&amp;X$9,операции!$L:$L,AA$9,операции!$O:$O,$F1866)/AA1886)</f>
        <v>42342.422080403747</v>
      </c>
      <c r="AB1890" s="265"/>
      <c r="AC1890" s="37"/>
      <c r="AD1890" s="37"/>
      <c r="AE1890" s="37"/>
      <c r="AF1890" s="37"/>
      <c r="AG1890" s="37"/>
      <c r="AH1890" s="37"/>
      <c r="AI1890" s="37"/>
      <c r="AJ1890" s="37"/>
      <c r="AK1890" s="37"/>
      <c r="AL1890" s="37"/>
      <c r="AM1890" s="37"/>
      <c r="AN1890" s="37"/>
      <c r="AO1890" s="37"/>
      <c r="AP1890" s="37"/>
    </row>
    <row r="1891" spans="1:42" s="93" customFormat="1" ht="15">
      <c r="A1891" s="92"/>
      <c r="B1891" s="92"/>
      <c r="C1891" s="92"/>
      <c r="D1891" s="151" t="s">
        <v>275</v>
      </c>
      <c r="E1891" s="151"/>
      <c r="F1891" s="151" t="str">
        <f t="shared" si="3326"/>
        <v>ФорКидс</v>
      </c>
      <c r="G1891" s="151" t="s">
        <v>261</v>
      </c>
      <c r="H1891" s="311"/>
      <c r="I1891" s="312">
        <f>SUMIFS(операции!$V:$V,операции!$X:$X,"&gt;="&amp;I$8,операции!$X:$X,"&lt;="&amp;I$9,операции!$O:$O,$F1866)</f>
        <v>598206.75999999954</v>
      </c>
      <c r="J1891" s="313">
        <f>I1891-I1901-I1911</f>
        <v>0</v>
      </c>
      <c r="K1891" s="312">
        <f>SUMIFS(операции!$V:$V,операции!$X:$X,"&gt;="&amp;I$8,операции!$X:$X,"&lt;="&amp;I$9,операции!$L:$L,K$9,операции!$O:$O,$F1866)</f>
        <v>168122.13000000006</v>
      </c>
      <c r="L1891" s="314">
        <f>SUMIFS(операции!$V:$V,операции!$X:$X,"&gt;="&amp;I$8,операции!$X:$X,"&lt;="&amp;I$9,операции!$L:$L,L$9,операции!$O:$O,$F1866)</f>
        <v>430084.62999999995</v>
      </c>
      <c r="M1891" s="273"/>
      <c r="N1891" s="152">
        <f>SUMIFS(операции!$V:$V,операции!$X:$X,"&gt;="&amp;N$8,операции!$X:$X,"&lt;="&amp;N$9,операции!$O:$O,$F1866)</f>
        <v>68092.820000000007</v>
      </c>
      <c r="O1891" s="170">
        <f>N1891-N1901-N1911</f>
        <v>7.2759576141834259E-12</v>
      </c>
      <c r="P1891" s="152">
        <f>SUMIFS(операции!$V:$V,операции!$X:$X,"&gt;="&amp;N$8,операции!$X:$X,"&lt;="&amp;N$9,операции!$L:$L,P$9,операции!$O:$O,$F1866)</f>
        <v>41277.319999999992</v>
      </c>
      <c r="Q1891" s="235">
        <f>SUMIFS(операции!$V:$V,операции!$X:$X,"&gt;="&amp;N$8,операции!$X:$X,"&lt;="&amp;N$9,операции!$L:$L,Q$9,операции!$O:$O,$F1866)</f>
        <v>26815.5</v>
      </c>
      <c r="R1891" s="236"/>
      <c r="S1891" s="152">
        <f>SUMIFS(операции!$V:$V,операции!$X:$X,"&gt;="&amp;S$8,операции!$X:$X,"&lt;="&amp;S$9,операции!$O:$O,$F1866)</f>
        <v>323925.84999999998</v>
      </c>
      <c r="T1891" s="170">
        <f>S1891-S1901-S1911</f>
        <v>0</v>
      </c>
      <c r="U1891" s="152">
        <f>SUMIFS(операции!$V:$V,операции!$X:$X,"&gt;="&amp;S$8,операции!$X:$X,"&lt;="&amp;S$9,операции!$L:$L,U$9,операции!$O:$O,$F1866)</f>
        <v>95099.609999999986</v>
      </c>
      <c r="V1891" s="235">
        <f>SUMIFS(операции!$V:$V,операции!$X:$X,"&gt;="&amp;S$8,операции!$X:$X,"&lt;="&amp;S$9,операции!$L:$L,V$9,операции!$O:$O,$F1866)</f>
        <v>228826.23999999999</v>
      </c>
      <c r="W1891" s="236"/>
      <c r="X1891" s="152">
        <f>SUMIFS(операции!$V:$V,операции!$X:$X,"&gt;="&amp;X$8,операции!$X:$X,"&lt;="&amp;X$9,операции!$O:$O,$F1866)</f>
        <v>206188.09000000003</v>
      </c>
      <c r="Y1891" s="170">
        <f>X1891-X1901-X1911</f>
        <v>0</v>
      </c>
      <c r="Z1891" s="152">
        <f>SUMIFS(операции!$V:$V,операции!$X:$X,"&gt;="&amp;X$8,операции!$X:$X,"&lt;="&amp;X$9,операции!$L:$L,Z$9,операции!$O:$O,$F1866)</f>
        <v>31745.200000000004</v>
      </c>
      <c r="AA1891" s="235">
        <f>SUMIFS(операции!$V:$V,операции!$X:$X,"&gt;="&amp;X$8,операции!$X:$X,"&lt;="&amp;X$9,операции!$L:$L,AA$9,операции!$O:$O,$F1866)</f>
        <v>174442.89</v>
      </c>
      <c r="AB1891" s="264"/>
      <c r="AC1891" s="92"/>
      <c r="AD1891" s="92"/>
      <c r="AE1891" s="92"/>
      <c r="AF1891" s="92"/>
      <c r="AG1891" s="92"/>
      <c r="AH1891" s="92"/>
      <c r="AI1891" s="92"/>
      <c r="AJ1891" s="92"/>
      <c r="AK1891" s="92"/>
      <c r="AL1891" s="92"/>
      <c r="AM1891" s="92"/>
      <c r="AN1891" s="92"/>
      <c r="AO1891" s="92"/>
      <c r="AP1891" s="92"/>
    </row>
    <row r="1892" spans="1:42" s="192" customFormat="1" ht="11.25">
      <c r="A1892" s="37"/>
      <c r="B1892" s="37"/>
      <c r="C1892" s="37"/>
      <c r="D1892" s="191" t="s">
        <v>291</v>
      </c>
      <c r="E1892" s="191"/>
      <c r="F1892" s="191" t="str">
        <f t="shared" si="3326"/>
        <v>ФорКидс</v>
      </c>
      <c r="G1892" s="191" t="s">
        <v>262</v>
      </c>
      <c r="H1892" s="315"/>
      <c r="I1892" s="316">
        <f>IF(I1891=0,0,SUMIFS(операции!$AF:$AF,операции!$X:$X,"&gt;="&amp;I$8,операции!$X:$X,"&lt;="&amp;I$9,операции!$O:$O,$F1866)/I1891)</f>
        <v>42293.690491662157</v>
      </c>
      <c r="J1892" s="317"/>
      <c r="K1892" s="316">
        <f>IF(K1891=0,0,SUMIFS(операции!$AF:$AF,операции!$X:$X,"&gt;="&amp;I$8,операции!$X:$X,"&lt;="&amp;I$9,операции!$L:$L,K$9,операции!$O:$O,$F1866)/K1891)</f>
        <v>42208.909152114589</v>
      </c>
      <c r="L1892" s="318">
        <f>IF(L1891=0,0,SUMIFS(операции!$AF:$AF,операции!$X:$X,"&gt;="&amp;I$8,операции!$X:$X,"&lt;="&amp;I$9,операции!$L:$L,L$9,операции!$O:$O,$F1866)/L1891)</f>
        <v>42326.831921033787</v>
      </c>
      <c r="M1892" s="274"/>
      <c r="N1892" s="193">
        <f>IF(N1891=0,0,SUMIFS(операции!$AF:$AF,операции!$X:$X,"&gt;="&amp;N$8,операции!$X:$X,"&lt;="&amp;N$9,операции!$O:$O,$F1866)/N1891)</f>
        <v>42230.834532774519</v>
      </c>
      <c r="O1892" s="196"/>
      <c r="P1892" s="193">
        <f>IF(P1891=0,0,SUMIFS(операции!$AF:$AF,операции!$X:$X,"&gt;="&amp;N$8,операции!$X:$X,"&lt;="&amp;N$9,операции!$L:$L,P$9,операции!$O:$O,$F1866)/P1891)</f>
        <v>42186.755646199905</v>
      </c>
      <c r="Q1892" s="237">
        <f>IF(Q1891=0,0,SUMIFS(операции!$AF:$AF,операции!$X:$X,"&gt;="&amp;N$8,операции!$X:$X,"&lt;="&amp;N$9,операции!$L:$L,Q$9,операции!$O:$O,$F1866)/Q1891)</f>
        <v>42298.685525908521</v>
      </c>
      <c r="R1892" s="238"/>
      <c r="S1892" s="193">
        <f>IF(S1891=0,0,SUMIFS(операции!$AF:$AF,операции!$X:$X,"&gt;="&amp;S$8,операции!$X:$X,"&lt;="&amp;S$9,операции!$O:$O,$F1866)/S1891)</f>
        <v>42294.572618671853</v>
      </c>
      <c r="T1892" s="196"/>
      <c r="U1892" s="193">
        <f>IF(U1891=0,0,SUMIFS(операции!$AF:$AF,операции!$X:$X,"&gt;="&amp;S$8,операции!$X:$X,"&lt;="&amp;S$9,операции!$L:$L,U$9,операции!$O:$O,$F1866)/U1891)</f>
        <v>42224.757789753297</v>
      </c>
      <c r="V1892" s="237">
        <f>IF(V1891=0,0,SUMIFS(операции!$AF:$AF,операции!$X:$X,"&gt;="&amp;S$8,операции!$X:$X,"&lt;="&amp;S$9,операции!$L:$L,V$9,операции!$O:$O,$F1866)/V1891)</f>
        <v>42323.587486033073</v>
      </c>
      <c r="W1892" s="238"/>
      <c r="X1892" s="193">
        <f>IF(X1891=0,0,SUMIFS(операции!$AF:$AF,операции!$X:$X,"&gt;="&amp;X$8,операции!$X:$X,"&lt;="&amp;X$9,операции!$O:$O,$F1866)/X1891)</f>
        <v>42313.062589017609</v>
      </c>
      <c r="Y1892" s="196"/>
      <c r="Z1892" s="193">
        <f>IF(Z1891=0,0,SUMIFS(операции!$AF:$AF,операции!$X:$X,"&gt;="&amp;X$8,операции!$X:$X,"&lt;="&amp;X$9,операции!$L:$L,Z$9,операции!$O:$O,$F1866)/Z1891)</f>
        <v>42190.236662865573</v>
      </c>
      <c r="AA1892" s="237">
        <f>IF(AA1891=0,0,SUMIFS(операции!$AF:$AF,операции!$X:$X,"&gt;="&amp;X$8,операции!$X:$X,"&lt;="&amp;X$9,операции!$L:$L,AA$9,операции!$O:$O,$F1866)/AA1891)</f>
        <v>42335.414509413364</v>
      </c>
      <c r="AB1892" s="265"/>
      <c r="AC1892" s="37"/>
      <c r="AD1892" s="37"/>
      <c r="AE1892" s="37"/>
      <c r="AF1892" s="37"/>
      <c r="AG1892" s="37"/>
      <c r="AH1892" s="37"/>
      <c r="AI1892" s="37"/>
      <c r="AJ1892" s="37"/>
      <c r="AK1892" s="37"/>
      <c r="AL1892" s="37"/>
      <c r="AM1892" s="37"/>
      <c r="AN1892" s="37"/>
      <c r="AO1892" s="37"/>
      <c r="AP1892" s="37"/>
    </row>
    <row r="1893" spans="1:42" s="192" customFormat="1" ht="11.25">
      <c r="A1893" s="37"/>
      <c r="B1893" s="37"/>
      <c r="C1893" s="37"/>
      <c r="D1893" s="191" t="s">
        <v>308</v>
      </c>
      <c r="E1893" s="191"/>
      <c r="F1893" s="191" t="str">
        <f t="shared" si="3326"/>
        <v>ФорКидс</v>
      </c>
      <c r="G1893" s="191" t="s">
        <v>262</v>
      </c>
      <c r="H1893" s="315"/>
      <c r="I1893" s="316">
        <f>IF(I1891=0,0,(I1901*I1903+I1911*I1913)/I1891)</f>
        <v>42329.184558897374</v>
      </c>
      <c r="J1893" s="317"/>
      <c r="K1893" s="316">
        <f t="shared" ref="K1893:L1893" si="3371">IF(K1891=0,0,(K1901*K1903+K1911*K1913)/K1891)</f>
        <v>42263.100027164764</v>
      </c>
      <c r="L1893" s="318">
        <f t="shared" si="3371"/>
        <v>42355.017317056881</v>
      </c>
      <c r="M1893" s="274"/>
      <c r="N1893" s="193">
        <f>IF(N1891=0,0,(N1901*N1903+N1911*N1913)/N1891)</f>
        <v>42258.344446741954</v>
      </c>
      <c r="O1893" s="196"/>
      <c r="P1893" s="193">
        <f t="shared" ref="P1893:Q1893" si="3372">IF(P1891=0,0,(P1901*P1903+P1911*P1913)/P1891)</f>
        <v>42213.833061109595</v>
      </c>
      <c r="Q1893" s="237">
        <f t="shared" si="3372"/>
        <v>42326.86118923757</v>
      </c>
      <c r="R1893" s="238"/>
      <c r="S1893" s="193">
        <f>IF(S1891=0,0,(S1901*S1903+S1911*S1913)/S1891)</f>
        <v>42322.998999184543</v>
      </c>
      <c r="T1893" s="196"/>
      <c r="U1893" s="193">
        <f t="shared" ref="U1893:V1893" si="3373">IF(U1891=0,0,(U1901*U1903+U1911*U1913)/U1891)</f>
        <v>42273.174052343638</v>
      </c>
      <c r="V1893" s="237">
        <f t="shared" si="3373"/>
        <v>42343.706121815405</v>
      </c>
      <c r="W1893" s="238"/>
      <c r="X1893" s="193">
        <f>IF(X1891=0,0,(X1901*X1903+X1911*X1913)/X1891)</f>
        <v>42348.62544553374</v>
      </c>
      <c r="Y1893" s="196"/>
      <c r="Z1893" s="193">
        <f t="shared" ref="Z1893:AA1893" si="3374">IF(Z1891=0,0,(Z1901*Z1903+Z1911*Z1913)/Z1891)</f>
        <v>42276.012366909017</v>
      </c>
      <c r="AA1893" s="237">
        <f t="shared" si="3374"/>
        <v>42361.839608080321</v>
      </c>
      <c r="AB1893" s="265"/>
      <c r="AC1893" s="37"/>
      <c r="AD1893" s="37"/>
      <c r="AE1893" s="37"/>
      <c r="AF1893" s="37"/>
      <c r="AG1893" s="37"/>
      <c r="AH1893" s="37"/>
      <c r="AI1893" s="37"/>
      <c r="AJ1893" s="37"/>
      <c r="AK1893" s="37"/>
      <c r="AL1893" s="37"/>
      <c r="AM1893" s="37"/>
      <c r="AN1893" s="37"/>
      <c r="AO1893" s="37"/>
      <c r="AP1893" s="37"/>
    </row>
    <row r="1894" spans="1:42" s="93" customFormat="1" ht="15">
      <c r="A1894" s="92"/>
      <c r="B1894" s="92"/>
      <c r="C1894" s="92"/>
      <c r="D1894" s="151" t="s">
        <v>278</v>
      </c>
      <c r="E1894" s="151"/>
      <c r="F1894" s="151" t="str">
        <f t="shared" si="3326"/>
        <v>ФорКидс</v>
      </c>
      <c r="G1894" s="151" t="s">
        <v>261</v>
      </c>
      <c r="H1894" s="311"/>
      <c r="I1894" s="312">
        <f>I1886-I1891</f>
        <v>68945.240000000456</v>
      </c>
      <c r="J1894" s="313">
        <f>I1894-K1894-L1894</f>
        <v>4.6566128730773926E-10</v>
      </c>
      <c r="K1894" s="312">
        <f t="shared" ref="K1894:L1894" si="3375">K1886-K1891</f>
        <v>18184.869999999937</v>
      </c>
      <c r="L1894" s="314">
        <f t="shared" si="3375"/>
        <v>50760.370000000054</v>
      </c>
      <c r="M1894" s="273"/>
      <c r="N1894" s="152">
        <f>N1886-N1891</f>
        <v>9226.179999999993</v>
      </c>
      <c r="O1894" s="170">
        <f>N1894-P1894-Q1894</f>
        <v>-1.4551915228366852E-11</v>
      </c>
      <c r="P1894" s="152">
        <f t="shared" ref="P1894:Q1894" si="3376">P1886-P1891</f>
        <v>4112.6800000000076</v>
      </c>
      <c r="Q1894" s="235">
        <f t="shared" si="3376"/>
        <v>5113.5</v>
      </c>
      <c r="R1894" s="236"/>
      <c r="S1894" s="152">
        <f>S1886-S1891</f>
        <v>39325.150000000023</v>
      </c>
      <c r="T1894" s="170">
        <f>S1894-U1894-V1894</f>
        <v>0</v>
      </c>
      <c r="U1894" s="152">
        <f t="shared" ref="U1894:V1894" si="3377">U1886-U1891</f>
        <v>10246.390000000014</v>
      </c>
      <c r="V1894" s="235">
        <f t="shared" si="3377"/>
        <v>29078.760000000009</v>
      </c>
      <c r="W1894" s="236"/>
      <c r="X1894" s="152">
        <f>X1886-X1891</f>
        <v>20393.909999999974</v>
      </c>
      <c r="Y1894" s="170">
        <f>X1894-Z1894-AA1894</f>
        <v>0</v>
      </c>
      <c r="Z1894" s="152">
        <f t="shared" ref="Z1894:AA1894" si="3378">Z1886-Z1891</f>
        <v>3825.7999999999956</v>
      </c>
      <c r="AA1894" s="235">
        <f t="shared" si="3378"/>
        <v>16568.109999999986</v>
      </c>
      <c r="AB1894" s="264"/>
      <c r="AC1894" s="92"/>
      <c r="AD1894" s="92"/>
      <c r="AE1894" s="92"/>
      <c r="AF1894" s="92"/>
      <c r="AG1894" s="92"/>
      <c r="AH1894" s="92"/>
      <c r="AI1894" s="92"/>
      <c r="AJ1894" s="92"/>
      <c r="AK1894" s="92"/>
      <c r="AL1894" s="92"/>
      <c r="AM1894" s="92"/>
      <c r="AN1894" s="92"/>
      <c r="AO1894" s="92"/>
      <c r="AP1894" s="92"/>
    </row>
    <row r="1895" spans="1:42" s="211" customFormat="1">
      <c r="A1895" s="210"/>
      <c r="B1895" s="210"/>
      <c r="C1895" s="210"/>
      <c r="D1895" s="218" t="s">
        <v>277</v>
      </c>
      <c r="E1895" s="218"/>
      <c r="F1895" s="218" t="str">
        <f t="shared" si="3326"/>
        <v>ФорКидс</v>
      </c>
      <c r="G1895" s="218" t="s">
        <v>218</v>
      </c>
      <c r="H1895" s="343"/>
      <c r="I1895" s="344">
        <f>IF(I1886=0,0,(I1894/I1886))</f>
        <v>0.10334262656785928</v>
      </c>
      <c r="J1895" s="345"/>
      <c r="K1895" s="344">
        <f t="shared" ref="K1895" si="3379">IF(K1886=0,0,(K1894/K1886))</f>
        <v>9.7607014229201997E-2</v>
      </c>
      <c r="L1895" s="346">
        <f t="shared" ref="L1895" si="3380">IF(L1886=0,0,(L1894/L1886))</f>
        <v>0.10556493256662761</v>
      </c>
      <c r="M1895" s="280"/>
      <c r="N1895" s="219">
        <f>IF(N1886=0,0,(N1894/N1886))</f>
        <v>0.11932616821221166</v>
      </c>
      <c r="O1895" s="220"/>
      <c r="P1895" s="219">
        <f t="shared" ref="P1895" si="3381">IF(P1886=0,0,(P1894/P1886))</f>
        <v>9.060762282441083E-2</v>
      </c>
      <c r="Q1895" s="252">
        <f t="shared" ref="Q1895" si="3382">IF(Q1886=0,0,(Q1894/Q1886))</f>
        <v>0.16015221272197688</v>
      </c>
      <c r="R1895" s="253"/>
      <c r="S1895" s="219">
        <f>IF(S1886=0,0,(S1894/S1886))</f>
        <v>0.10825888985852763</v>
      </c>
      <c r="T1895" s="220"/>
      <c r="U1895" s="219">
        <f t="shared" ref="U1895" si="3383">IF(U1886=0,0,(U1894/U1886))</f>
        <v>9.7264158107569471E-2</v>
      </c>
      <c r="V1895" s="252">
        <f t="shared" ref="V1895" si="3384">IF(V1886=0,0,(V1894/V1886))</f>
        <v>0.11274988852484445</v>
      </c>
      <c r="W1895" s="253"/>
      <c r="X1895" s="219">
        <f>IF(X1886=0,0,(X1894/X1886))</f>
        <v>9.000675252226556E-2</v>
      </c>
      <c r="Y1895" s="220"/>
      <c r="Z1895" s="219">
        <f t="shared" ref="Z1895" si="3385">IF(Z1886=0,0,(Z1894/Z1886))</f>
        <v>0.107553906271963</v>
      </c>
      <c r="AA1895" s="252">
        <f t="shared" ref="AA1895" si="3386">IF(AA1886=0,0,(AA1894/AA1886))</f>
        <v>8.6739035971750242E-2</v>
      </c>
      <c r="AB1895" s="267"/>
      <c r="AC1895" s="210"/>
      <c r="AD1895" s="210"/>
      <c r="AE1895" s="210"/>
      <c r="AF1895" s="210"/>
      <c r="AG1895" s="210"/>
      <c r="AH1895" s="210"/>
      <c r="AI1895" s="210"/>
      <c r="AJ1895" s="210"/>
      <c r="AK1895" s="210"/>
      <c r="AL1895" s="210"/>
      <c r="AM1895" s="210"/>
      <c r="AN1895" s="210"/>
      <c r="AO1895" s="210"/>
      <c r="AP1895" s="210"/>
    </row>
    <row r="1896" spans="1:42" s="93" customFormat="1" ht="15">
      <c r="A1896" s="92"/>
      <c r="B1896" s="92"/>
      <c r="C1896" s="92"/>
      <c r="D1896" s="198" t="s">
        <v>220</v>
      </c>
      <c r="E1896" s="198"/>
      <c r="F1896" s="198" t="str">
        <f t="shared" si="3326"/>
        <v>ФорКидс</v>
      </c>
      <c r="G1896" s="198" t="s">
        <v>219</v>
      </c>
      <c r="H1896" s="323"/>
      <c r="I1896" s="324">
        <f>I1890-I1892</f>
        <v>36.209591077611549</v>
      </c>
      <c r="J1896" s="321">
        <f>I1896-SUMIFS(ПОбТЗ!$I:$I,ПОбТЗ!$E:$E,$D1896,ПОбТЗ!$F:$F,$F1896)</f>
        <v>0</v>
      </c>
      <c r="K1896" s="324">
        <f t="shared" ref="K1896:L1896" si="3387">K1890-K1892</f>
        <v>115.19411292644509</v>
      </c>
      <c r="L1896" s="325">
        <f t="shared" si="3387"/>
        <v>5.3141821803437779</v>
      </c>
      <c r="M1896" s="276"/>
      <c r="N1896" s="199">
        <f>N1890-N1892</f>
        <v>70.57947930530645</v>
      </c>
      <c r="O1896" s="173">
        <f>N1896-SUMIFS(ПОбТЗ_3!$J:$J,ПОбТЗ_3!$D:$D,$D1896,ПОбТЗ_3!$E:$E,$F1896)</f>
        <v>0</v>
      </c>
      <c r="P1896" s="199">
        <f t="shared" ref="P1896:Q1896" si="3388">P1890-P1892</f>
        <v>113.74605020899617</v>
      </c>
      <c r="Q1896" s="241">
        <f t="shared" si="3388"/>
        <v>4.0254265171752195</v>
      </c>
      <c r="R1896" s="242"/>
      <c r="S1896" s="199">
        <f>S1890-S1892</f>
        <v>33.744068687577965</v>
      </c>
      <c r="T1896" s="173">
        <f>S1896-SUMIFS(ПОбТЗ_3!$K:$K,ПОбТЗ_3!$D:$D,$D1896,ПОбТЗ_3!$E:$E,$F1896)</f>
        <v>0</v>
      </c>
      <c r="U1896" s="199">
        <f t="shared" ref="U1896:V1896" si="3389">U1890-U1892</f>
        <v>103.89459382082714</v>
      </c>
      <c r="V1896" s="241">
        <f t="shared" si="3389"/>
        <v>4.5920800862368196</v>
      </c>
      <c r="W1896" s="242"/>
      <c r="X1896" s="199">
        <f>X1890-X1892</f>
        <v>29.096563077437168</v>
      </c>
      <c r="Y1896" s="173">
        <f>X1896-SUMIFS(ПОбТЗ_3!$L:$L,ПОбТЗ_3!$D:$D,$D1896,ПОбТЗ_3!$E:$E,$F1896)</f>
        <v>0</v>
      </c>
      <c r="Z1896" s="199">
        <f t="shared" ref="Z1896:AA1896" si="3390">Z1890-Z1892</f>
        <v>150.51060316574149</v>
      </c>
      <c r="AA1896" s="241">
        <f t="shared" si="3390"/>
        <v>7.0075709903831012</v>
      </c>
      <c r="AB1896" s="264"/>
      <c r="AC1896" s="92"/>
      <c r="AD1896" s="92"/>
      <c r="AE1896" s="92"/>
      <c r="AF1896" s="92"/>
      <c r="AG1896" s="92"/>
      <c r="AH1896" s="92"/>
      <c r="AI1896" s="92"/>
      <c r="AJ1896" s="92"/>
      <c r="AK1896" s="92"/>
      <c r="AL1896" s="92"/>
      <c r="AM1896" s="92"/>
      <c r="AN1896" s="92"/>
      <c r="AO1896" s="92"/>
      <c r="AP1896" s="92"/>
    </row>
    <row r="1897" spans="1:42" s="5" customFormat="1">
      <c r="A1897" s="1"/>
      <c r="B1897" s="1"/>
      <c r="C1897" s="1"/>
      <c r="D1897" s="227" t="s">
        <v>309</v>
      </c>
      <c r="E1897" s="227"/>
      <c r="F1897" s="227" t="str">
        <f t="shared" si="3326"/>
        <v>ФорКидс</v>
      </c>
      <c r="G1897" s="227" t="s">
        <v>219</v>
      </c>
      <c r="H1897" s="347"/>
      <c r="I1897" s="348">
        <f>I1893-I1892</f>
        <v>35.494067235216789</v>
      </c>
      <c r="J1897" s="321"/>
      <c r="K1897" s="348">
        <f t="shared" ref="K1897:L1897" si="3391">K1893-K1892</f>
        <v>54.190875050175237</v>
      </c>
      <c r="L1897" s="349">
        <f t="shared" si="3391"/>
        <v>28.185396023094654</v>
      </c>
      <c r="M1897" s="281"/>
      <c r="N1897" s="228">
        <f>N1893-N1892</f>
        <v>27.509913967434841</v>
      </c>
      <c r="O1897" s="173"/>
      <c r="P1897" s="228">
        <f t="shared" ref="P1897:Q1897" si="3392">P1893-P1892</f>
        <v>27.07741490969056</v>
      </c>
      <c r="Q1897" s="254">
        <f t="shared" si="3392"/>
        <v>28.175663329049712</v>
      </c>
      <c r="R1897" s="255"/>
      <c r="S1897" s="228">
        <f>S1893-S1892</f>
        <v>28.42638051269023</v>
      </c>
      <c r="T1897" s="173"/>
      <c r="U1897" s="228">
        <f t="shared" ref="U1897:V1897" si="3393">U1893-U1892</f>
        <v>48.416262590340921</v>
      </c>
      <c r="V1897" s="254">
        <f t="shared" si="3393"/>
        <v>20.118635782331694</v>
      </c>
      <c r="W1897" s="255"/>
      <c r="X1897" s="228">
        <f>X1893-X1892</f>
        <v>35.562856516131433</v>
      </c>
      <c r="Y1897" s="173"/>
      <c r="Z1897" s="228">
        <f t="shared" ref="Z1897:AA1897" si="3394">Z1893-Z1892</f>
        <v>85.775704043444421</v>
      </c>
      <c r="AA1897" s="254">
        <f t="shared" si="3394"/>
        <v>26.425098666957638</v>
      </c>
      <c r="AB1897" s="266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</row>
    <row r="1898" spans="1:42" s="5" customFormat="1">
      <c r="A1898" s="1"/>
      <c r="B1898" s="1"/>
      <c r="C1898" s="1"/>
      <c r="D1898" s="225" t="s">
        <v>310</v>
      </c>
      <c r="E1898" s="225"/>
      <c r="F1898" s="225" t="str">
        <f t="shared" si="3326"/>
        <v>ФорКидс</v>
      </c>
      <c r="G1898" s="225" t="s">
        <v>219</v>
      </c>
      <c r="H1898" s="350"/>
      <c r="I1898" s="351">
        <f>I1896-I1897</f>
        <v>0.71552384239475941</v>
      </c>
      <c r="J1898" s="352"/>
      <c r="K1898" s="351">
        <f t="shared" ref="K1898" si="3395">K1896-K1897</f>
        <v>61.00323787626985</v>
      </c>
      <c r="L1898" s="353">
        <f t="shared" ref="L1898" si="3396">L1896-L1897</f>
        <v>-22.871213842750876</v>
      </c>
      <c r="M1898" s="282"/>
      <c r="N1898" s="226">
        <f>N1896-N1897</f>
        <v>43.069565337871609</v>
      </c>
      <c r="O1898" s="181"/>
      <c r="P1898" s="226">
        <f t="shared" ref="P1898" si="3397">P1896-P1897</f>
        <v>86.668635299305606</v>
      </c>
      <c r="Q1898" s="256">
        <f t="shared" ref="Q1898" si="3398">Q1896-Q1897</f>
        <v>-24.150236811874493</v>
      </c>
      <c r="R1898" s="257"/>
      <c r="S1898" s="226">
        <f>S1896-S1897</f>
        <v>5.3176881748877349</v>
      </c>
      <c r="T1898" s="181"/>
      <c r="U1898" s="226">
        <f t="shared" ref="U1898" si="3399">U1896-U1897</f>
        <v>55.478331230486219</v>
      </c>
      <c r="V1898" s="256">
        <f t="shared" ref="V1898" si="3400">V1896-V1897</f>
        <v>-15.526555696094874</v>
      </c>
      <c r="W1898" s="257"/>
      <c r="X1898" s="226">
        <f>X1896-X1897</f>
        <v>-6.4662934386942652</v>
      </c>
      <c r="Y1898" s="181"/>
      <c r="Z1898" s="226">
        <f t="shared" ref="Z1898" si="3401">Z1896-Z1897</f>
        <v>64.734899122297065</v>
      </c>
      <c r="AA1898" s="256">
        <f t="shared" ref="AA1898" si="3402">AA1896-AA1897</f>
        <v>-19.417527676574537</v>
      </c>
      <c r="AB1898" s="266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</row>
    <row r="1899" spans="1:42" s="5" customFormat="1">
      <c r="A1899" s="1"/>
      <c r="B1899" s="1"/>
      <c r="C1899" s="1"/>
      <c r="D1899" s="223"/>
      <c r="E1899" s="223" t="s">
        <v>293</v>
      </c>
      <c r="F1899" s="223" t="str">
        <f t="shared" si="3326"/>
        <v>ФорКидс</v>
      </c>
      <c r="G1899" s="223" t="s">
        <v>261</v>
      </c>
      <c r="H1899" s="354"/>
      <c r="I1899" s="355">
        <f>SUMIFS(операции!$Z:$Z,операции!$X:$X,"&gt;="&amp;I$8,операции!$X:$X,"&lt;="&amp;I$9,операции!$AB:$AB,"&lt;&gt;"&amp;"",операции!$O:$O,$F1866)</f>
        <v>488888</v>
      </c>
      <c r="J1899" s="341">
        <f>I1899-K1899-L1899</f>
        <v>0</v>
      </c>
      <c r="K1899" s="355">
        <f>SUMIFS(операции!$Z:$Z,операции!$X:$X,"&gt;="&amp;I$8,операции!$X:$X,"&lt;="&amp;I$9,операции!$AB:$AB,"&lt;&gt;"&amp;"",операции!$L:$L,K$9,операции!$O:$O,$F1866)</f>
        <v>151597</v>
      </c>
      <c r="L1899" s="356">
        <f>SUMIFS(операции!$Z:$Z,операции!$X:$X,"&gt;="&amp;I$8,операции!$X:$X,"&lt;="&amp;I$9,операции!$AB:$AB,"&lt;&gt;"&amp;"",операции!$L:$L,L$9,операции!$O:$O,$F1866)</f>
        <v>337291</v>
      </c>
      <c r="M1899" s="283"/>
      <c r="N1899" s="224">
        <f>SUMIFS(операции!$Z:$Z,операции!$X:$X,"&gt;="&amp;N$8,операции!$X:$X,"&lt;="&amp;N$9,операции!$AB:$AB,"&lt;&gt;"&amp;"",операции!$O:$O,$F1866)</f>
        <v>73729</v>
      </c>
      <c r="O1899" s="216">
        <f>N1899-P1899-Q1899</f>
        <v>0</v>
      </c>
      <c r="P1899" s="224">
        <f>SUMIFS(операции!$Z:$Z,операции!$X:$X,"&gt;="&amp;N$8,операции!$X:$X,"&lt;="&amp;N$9,операции!$AB:$AB,"&lt;&gt;"&amp;"",операции!$L:$L,P$9,операции!$O:$O,$F1866)</f>
        <v>45390</v>
      </c>
      <c r="Q1899" s="258">
        <f>SUMIFS(операции!$Z:$Z,операции!$X:$X,"&gt;="&amp;N$8,операции!$X:$X,"&lt;="&amp;N$9,операции!$AB:$AB,"&lt;&gt;"&amp;"",операции!$L:$L,Q$9,операции!$O:$O,$F1866)</f>
        <v>28339</v>
      </c>
      <c r="R1899" s="259"/>
      <c r="S1899" s="224">
        <f>SUMIFS(операции!$Z:$Z,операции!$X:$X,"&gt;="&amp;S$8,операции!$X:$X,"&lt;="&amp;S$9,операции!$AB:$AB,"&lt;&gt;"&amp;"",операции!$O:$O,$F1866)</f>
        <v>268670</v>
      </c>
      <c r="T1899" s="216">
        <f>S1899-U1899-V1899</f>
        <v>0</v>
      </c>
      <c r="U1899" s="224">
        <f>SUMIFS(операции!$Z:$Z,операции!$X:$X,"&gt;="&amp;S$8,операции!$X:$X,"&lt;="&amp;S$9,операции!$AB:$AB,"&lt;&gt;"&amp;"",операции!$L:$L,U$9,операции!$O:$O,$F1866)</f>
        <v>81454</v>
      </c>
      <c r="V1899" s="258">
        <f>SUMIFS(операции!$Z:$Z,операции!$X:$X,"&gt;="&amp;S$8,операции!$X:$X,"&lt;="&amp;S$9,операции!$AB:$AB,"&lt;&gt;"&amp;"",операции!$L:$L,V$9,операции!$O:$O,$F1866)</f>
        <v>187216</v>
      </c>
      <c r="W1899" s="259"/>
      <c r="X1899" s="224">
        <f>SUMIFS(операции!$Z:$Z,операции!$X:$X,"&gt;="&amp;X$8,операции!$X:$X,"&lt;="&amp;X$9,операции!$AB:$AB,"&lt;&gt;"&amp;"",операции!$O:$O,$F1866)</f>
        <v>146489</v>
      </c>
      <c r="Y1899" s="216">
        <f>X1899-Z1899-AA1899</f>
        <v>0</v>
      </c>
      <c r="Z1899" s="224">
        <f>SUMIFS(операции!$Z:$Z,операции!$X:$X,"&gt;="&amp;X$8,операции!$X:$X,"&lt;="&amp;X$9,операции!$AB:$AB,"&lt;&gt;"&amp;"",операции!$L:$L,Z$9,операции!$O:$O,$F1866)</f>
        <v>24753</v>
      </c>
      <c r="AA1899" s="258">
        <f>SUMIFS(операции!$Z:$Z,операции!$X:$X,"&gt;="&amp;X$8,операции!$X:$X,"&lt;="&amp;X$9,операции!$AB:$AB,"&lt;&gt;"&amp;"",операции!$L:$L,AA$9,операции!$O:$O,$F1866)</f>
        <v>121736</v>
      </c>
      <c r="AB1899" s="266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</row>
    <row r="1900" spans="1:42" s="192" customFormat="1" ht="11.25">
      <c r="A1900" s="37"/>
      <c r="B1900" s="37"/>
      <c r="C1900" s="37"/>
      <c r="D1900" s="191"/>
      <c r="E1900" s="191" t="s">
        <v>295</v>
      </c>
      <c r="F1900" s="191" t="str">
        <f t="shared" si="3326"/>
        <v>ФорКидс</v>
      </c>
      <c r="G1900" s="191" t="s">
        <v>262</v>
      </c>
      <c r="H1900" s="315"/>
      <c r="I1900" s="316">
        <f>IF(I1899=0,0,SUMIFS(операции!$AG:$AG,операции!$X:$X,"&gt;="&amp;I$8,операции!$X:$X,"&lt;="&amp;I$9,операции!$AB:$AB,"&lt;&gt;"&amp;"",операции!$O:$O,$F1866)/I1899)</f>
        <v>42327.926615093849</v>
      </c>
      <c r="J1900" s="317"/>
      <c r="K1900" s="316">
        <f>IF(K1899=0,0,SUMIFS(операции!$AG:$AG,операции!$X:$X,"&gt;="&amp;I$8,операции!$X:$X,"&lt;="&amp;I$9,операции!$AB:$AB,"&lt;&gt;"&amp;"",операции!$L:$L,K$9,операции!$O:$O,$F1866)/K1899)</f>
        <v>42322.894984729246</v>
      </c>
      <c r="L1900" s="318">
        <f>IF(L1899=0,0,SUMIFS(операции!$AG:$AG,операции!$X:$X,"&gt;="&amp;I$8,операции!$X:$X,"&lt;="&amp;I$9,операции!$AB:$AB,"&lt;&gt;"&amp;"",операции!$L:$L,L$9,операции!$O:$O,$F1866)/L1899)</f>
        <v>42330.188104633686</v>
      </c>
      <c r="M1900" s="274"/>
      <c r="N1900" s="193">
        <f>IF(N1899=0,0,SUMIFS(операции!$AG:$AG,операции!$X:$X,"&gt;="&amp;N$8,операции!$X:$X,"&lt;="&amp;N$9,операции!$AB:$AB,"&lt;&gt;"&amp;"",операции!$O:$O,$F1866)/N1899)</f>
        <v>42301.434171086003</v>
      </c>
      <c r="O1900" s="196"/>
      <c r="P1900" s="193">
        <f>IF(P1899=0,0,SUMIFS(операции!$AG:$AG,операции!$X:$X,"&gt;="&amp;N$8,операции!$X:$X,"&lt;="&amp;N$9,операции!$AB:$AB,"&lt;&gt;"&amp;"",операции!$L:$L,P$9,операции!$O:$O,$F1866)/P1899)</f>
        <v>42300.501696408901</v>
      </c>
      <c r="Q1900" s="237">
        <f>IF(Q1899=0,0,SUMIFS(операции!$AG:$AG,операции!$X:$X,"&gt;="&amp;N$8,операции!$X:$X,"&lt;="&amp;N$9,операции!$AB:$AB,"&lt;&gt;"&amp;"",операции!$L:$L,Q$9,операции!$O:$O,$F1866)/Q1899)</f>
        <v>42302.927696813582</v>
      </c>
      <c r="R1900" s="238"/>
      <c r="S1900" s="193">
        <f>IF(S1899=0,0,SUMIFS(операции!$AG:$AG,операции!$X:$X,"&gt;="&amp;S$8,операции!$X:$X,"&lt;="&amp;S$9,операции!$AB:$AB,"&lt;&gt;"&amp;"",операции!$O:$O,$F1866)/S1899)</f>
        <v>42327.518945174379</v>
      </c>
      <c r="T1900" s="196"/>
      <c r="U1900" s="193">
        <f>IF(U1899=0,0,SUMIFS(операции!$AG:$AG,операции!$X:$X,"&gt;="&amp;S$8,операции!$X:$X,"&lt;="&amp;S$9,операции!$AB:$AB,"&lt;&gt;"&amp;"",операции!$L:$L,U$9,операции!$O:$O,$F1866)/U1899)</f>
        <v>42329.922115549882</v>
      </c>
      <c r="V1900" s="237">
        <f>IF(V1899=0,0,SUMIFS(операции!$AG:$AG,операции!$X:$X,"&gt;="&amp;S$8,операции!$X:$X,"&lt;="&amp;S$9,операции!$AB:$AB,"&lt;&gt;"&amp;"",операции!$L:$L,V$9,операции!$O:$O,$F1866)/V1899)</f>
        <v>42326.473373002307</v>
      </c>
      <c r="W1900" s="238"/>
      <c r="X1900" s="193">
        <f>IF(X1899=0,0,SUMIFS(операции!$AG:$AG,операции!$X:$X,"&gt;="&amp;X$8,операции!$X:$X,"&lt;="&amp;X$9,операции!$AB:$AB,"&lt;&gt;"&amp;"",операции!$O:$O,$F1866)/X1899)</f>
        <v>42342.008150782654</v>
      </c>
      <c r="Y1900" s="196"/>
      <c r="Z1900" s="193">
        <f>IF(Z1899=0,0,SUMIFS(операции!$AG:$AG,операции!$X:$X,"&gt;="&amp;X$8,операции!$X:$X,"&lt;="&amp;X$9,операции!$AB:$AB,"&lt;&gt;"&amp;"",операции!$L:$L,Z$9,операции!$O:$O,$F1866)/Z1899)</f>
        <v>42340.83395952006</v>
      </c>
      <c r="AA1900" s="237">
        <f>IF(AA1899=0,0,SUMIFS(операции!$AG:$AG,операции!$X:$X,"&gt;="&amp;X$8,операции!$X:$X,"&lt;="&amp;X$9,операции!$AB:$AB,"&lt;&gt;"&amp;"",операции!$L:$L,AA$9,операции!$O:$O,$F1866)/AA1899)</f>
        <v>42342.246903134655</v>
      </c>
      <c r="AB1900" s="265"/>
      <c r="AC1900" s="37"/>
      <c r="AD1900" s="37"/>
      <c r="AE1900" s="37"/>
      <c r="AF1900" s="37"/>
      <c r="AG1900" s="37"/>
      <c r="AH1900" s="37"/>
      <c r="AI1900" s="37"/>
      <c r="AJ1900" s="37"/>
      <c r="AK1900" s="37"/>
      <c r="AL1900" s="37"/>
      <c r="AM1900" s="37"/>
      <c r="AN1900" s="37"/>
      <c r="AO1900" s="37"/>
      <c r="AP1900" s="37"/>
    </row>
    <row r="1901" spans="1:42" s="93" customFormat="1" ht="15">
      <c r="A1901" s="92"/>
      <c r="B1901" s="92"/>
      <c r="C1901" s="92"/>
      <c r="D1901" s="151"/>
      <c r="E1901" s="151" t="s">
        <v>292</v>
      </c>
      <c r="F1901" s="151" t="str">
        <f t="shared" si="3326"/>
        <v>ФорКидс</v>
      </c>
      <c r="G1901" s="151" t="s">
        <v>261</v>
      </c>
      <c r="H1901" s="311"/>
      <c r="I1901" s="312">
        <f>SUMIFS(операции!$V:$V,операции!$X:$X,"&gt;="&amp;I$8,операции!$X:$X,"&lt;="&amp;I$9,операции!$AB:$AB,"&lt;&gt;"&amp;"",операции!$O:$O,$F1866)</f>
        <v>437119.00999999972</v>
      </c>
      <c r="J1901" s="313">
        <f>I1901-K1901-L1901</f>
        <v>0</v>
      </c>
      <c r="K1901" s="312">
        <f>SUMIFS(операции!$V:$V,операции!$X:$X,"&gt;="&amp;I$8,операции!$X:$X,"&lt;="&amp;I$9,операции!$AB:$AB,"&lt;&gt;"&amp;"",операции!$L:$L,K$9,операции!$O:$O,$F1866)</f>
        <v>137215.33999999997</v>
      </c>
      <c r="L1901" s="314">
        <f>SUMIFS(операции!$V:$V,операции!$X:$X,"&gt;="&amp;I$8,операции!$X:$X,"&lt;="&amp;I$9,операции!$AB:$AB,"&lt;&gt;"&amp;"",операции!$L:$L,L$9,операции!$O:$O,$F1866)</f>
        <v>299903.67000000004</v>
      </c>
      <c r="M1901" s="273"/>
      <c r="N1901" s="152">
        <f>SUMIFS(операции!$V:$V,операции!$X:$X,"&gt;="&amp;N$8,операции!$X:$X,"&lt;="&amp;N$9,операции!$AB:$AB,"&lt;&gt;"&amp;"",операции!$O:$O,$F1866)</f>
        <v>65014.82</v>
      </c>
      <c r="O1901" s="170">
        <f>N1901-P1901-Q1901</f>
        <v>0</v>
      </c>
      <c r="P1901" s="152">
        <f>SUMIFS(операции!$V:$V,операции!$X:$X,"&gt;="&amp;N$8,операции!$X:$X,"&lt;="&amp;N$9,операции!$AB:$AB,"&lt;&gt;"&amp;"",операции!$L:$L,P$9,операции!$O:$O,$F1866)</f>
        <v>41277.319999999992</v>
      </c>
      <c r="Q1901" s="235">
        <f>SUMIFS(операции!$V:$V,операции!$X:$X,"&gt;="&amp;N$8,операции!$X:$X,"&lt;="&amp;N$9,операции!$AB:$AB,"&lt;&gt;"&amp;"",операции!$L:$L,Q$9,операции!$O:$O,$F1866)</f>
        <v>23737.5</v>
      </c>
      <c r="R1901" s="236"/>
      <c r="S1901" s="152">
        <f>SUMIFS(операции!$V:$V,операции!$X:$X,"&gt;="&amp;S$8,операции!$X:$X,"&lt;="&amp;S$9,операции!$AB:$AB,"&lt;&gt;"&amp;"",операции!$O:$O,$F1866)</f>
        <v>239050.74000000005</v>
      </c>
      <c r="T1901" s="170">
        <f>S1901-U1901-V1901</f>
        <v>0</v>
      </c>
      <c r="U1901" s="152">
        <f>SUMIFS(операции!$V:$V,операции!$X:$X,"&gt;="&amp;S$8,операции!$X:$X,"&lt;="&amp;S$9,операции!$AB:$AB,"&lt;&gt;"&amp;"",операции!$L:$L,U$9,операции!$O:$O,$F1866)</f>
        <v>73626.459999999992</v>
      </c>
      <c r="V1901" s="235">
        <f>SUMIFS(операции!$V:$V,операции!$X:$X,"&gt;="&amp;S$8,операции!$X:$X,"&lt;="&amp;S$9,операции!$AB:$AB,"&lt;&gt;"&amp;"",операции!$L:$L,V$9,операции!$O:$O,$F1866)</f>
        <v>165424.28</v>
      </c>
      <c r="W1901" s="236"/>
      <c r="X1901" s="152">
        <f>SUMIFS(операции!$V:$V,операции!$X:$X,"&gt;="&amp;X$8,операции!$X:$X,"&lt;="&amp;X$9,операции!$AB:$AB,"&lt;&gt;"&amp;"",операции!$O:$O,$F1866)</f>
        <v>133053.44999999998</v>
      </c>
      <c r="Y1901" s="170">
        <f>X1901-Z1901-AA1901</f>
        <v>0</v>
      </c>
      <c r="Z1901" s="152">
        <f>SUMIFS(операции!$V:$V,операции!$X:$X,"&gt;="&amp;X$8,операции!$X:$X,"&lt;="&amp;X$9,операции!$AB:$AB,"&lt;&gt;"&amp;"",операции!$L:$L,Z$9,операции!$O:$O,$F1866)</f>
        <v>22311.560000000005</v>
      </c>
      <c r="AA1901" s="235">
        <f>SUMIFS(операции!$V:$V,операции!$X:$X,"&gt;="&amp;X$8,операции!$X:$X,"&lt;="&amp;X$9,операции!$AB:$AB,"&lt;&gt;"&amp;"",операции!$L:$L,AA$9,операции!$O:$O,$F1866)</f>
        <v>110741.89</v>
      </c>
      <c r="AB1901" s="264"/>
      <c r="AC1901" s="92"/>
      <c r="AD1901" s="92"/>
      <c r="AE1901" s="92"/>
      <c r="AF1901" s="92"/>
      <c r="AG1901" s="92"/>
      <c r="AH1901" s="92"/>
      <c r="AI1901" s="92"/>
      <c r="AJ1901" s="92"/>
      <c r="AK1901" s="92"/>
      <c r="AL1901" s="92"/>
      <c r="AM1901" s="92"/>
      <c r="AN1901" s="92"/>
      <c r="AO1901" s="92"/>
      <c r="AP1901" s="92"/>
    </row>
    <row r="1902" spans="1:42" s="192" customFormat="1" ht="11.25">
      <c r="A1902" s="37"/>
      <c r="B1902" s="37"/>
      <c r="C1902" s="37"/>
      <c r="D1902" s="191"/>
      <c r="E1902" s="191" t="s">
        <v>294</v>
      </c>
      <c r="F1902" s="191" t="str">
        <f t="shared" si="3326"/>
        <v>ФорКидс</v>
      </c>
      <c r="G1902" s="191" t="s">
        <v>262</v>
      </c>
      <c r="H1902" s="315"/>
      <c r="I1902" s="316">
        <f>IF(I1901=0,0,SUMIFS(операции!$AF:$AF,операции!$X:$X,"&gt;="&amp;I$8,операции!$X:$X,"&lt;="&amp;I$9,операции!$AB:$AB,"&lt;&gt;"&amp;"",операции!$O:$O,$F1866)/I1901)</f>
        <v>42288.935392857915</v>
      </c>
      <c r="J1902" s="317"/>
      <c r="K1902" s="316">
        <f>IF(K1901=0,0,SUMIFS(операции!$AF:$AF,операции!$X:$X,"&gt;="&amp;I$8,операции!$X:$X,"&lt;="&amp;I$9,операции!$AB:$AB,"&lt;&gt;"&amp;"",операции!$L:$L,K$9,операции!$O:$O,$F1866)/K1901)</f>
        <v>42210.370137551698</v>
      </c>
      <c r="L1902" s="318">
        <f>IF(L1901=0,0,SUMIFS(операции!$AF:$AF,операции!$X:$X,"&gt;="&amp;I$8,операции!$X:$X,"&lt;="&amp;I$9,операции!$AB:$AB,"&lt;&gt;"&amp;"",операции!$L:$L,L$9,операции!$O:$O,$F1866)/L1901)</f>
        <v>42324.881462537618</v>
      </c>
      <c r="M1902" s="274"/>
      <c r="N1902" s="193">
        <f>IF(N1901=0,0,SUMIFS(операции!$AF:$AF,операции!$X:$X,"&gt;="&amp;N$8,операции!$X:$X,"&lt;="&amp;N$9,операции!$AB:$AB,"&lt;&gt;"&amp;"",операции!$O:$O,$F1866)/N1901)</f>
        <v>42227.607371519291</v>
      </c>
      <c r="O1902" s="196"/>
      <c r="P1902" s="193">
        <f>IF(P1901=0,0,SUMIFS(операции!$AF:$AF,операции!$X:$X,"&gt;="&amp;N$8,операции!$X:$X,"&lt;="&amp;N$9,операции!$AB:$AB,"&lt;&gt;"&amp;"",операции!$L:$L,P$9,операции!$O:$O,$F1866)/P1901)</f>
        <v>42186.755646199905</v>
      </c>
      <c r="Q1902" s="237">
        <f>IF(Q1901=0,0,SUMIFS(операции!$AF:$AF,операции!$X:$X,"&gt;="&amp;N$8,операции!$X:$X,"&lt;="&amp;N$9,операции!$AB:$AB,"&lt;&gt;"&amp;"",операции!$L:$L,Q$9,операции!$O:$O,$F1866)/Q1901)</f>
        <v>42298.644748604529</v>
      </c>
      <c r="R1902" s="238"/>
      <c r="S1902" s="193">
        <f>IF(S1901=0,0,SUMIFS(операции!$AF:$AF,операции!$X:$X,"&gt;="&amp;S$8,операции!$X:$X,"&lt;="&amp;S$9,операции!$AB:$AB,"&lt;&gt;"&amp;"",операции!$O:$O,$F1866)/S1901)</f>
        <v>42292.684924882473</v>
      </c>
      <c r="T1902" s="196"/>
      <c r="U1902" s="193">
        <f>IF(U1901=0,0,SUMIFS(операции!$AF:$AF,операции!$X:$X,"&gt;="&amp;S$8,операции!$X:$X,"&lt;="&amp;S$9,операции!$AB:$AB,"&lt;&gt;"&amp;"",операции!$L:$L,U$9,операции!$O:$O,$F1866)/U1901)</f>
        <v>42227.485431732028</v>
      </c>
      <c r="V1902" s="237">
        <f>IF(V1901=0,0,SUMIFS(операции!$AF:$AF,операции!$X:$X,"&gt;="&amp;S$8,операции!$X:$X,"&lt;="&amp;S$9,операции!$AB:$AB,"&lt;&gt;"&amp;"",операции!$L:$L,V$9,операции!$O:$O,$F1866)/V1901)</f>
        <v>42321.703687270085</v>
      </c>
      <c r="W1902" s="238"/>
      <c r="X1902" s="193">
        <f>IF(X1901=0,0,SUMIFS(операции!$AF:$AF,операции!$X:$X,"&gt;="&amp;X$8,операции!$X:$X,"&lt;="&amp;X$9,операции!$AB:$AB,"&lt;&gt;"&amp;"",операции!$O:$O,$F1866)/X1901)</f>
        <v>42312.165920613115</v>
      </c>
      <c r="Y1902" s="196"/>
      <c r="Z1902" s="193">
        <f>IF(Z1901=0,0,SUMIFS(операции!$AF:$AF,операции!$X:$X,"&gt;="&amp;X$8,операции!$X:$X,"&lt;="&amp;X$9,операции!$AB:$AB,"&lt;&gt;"&amp;"",операции!$L:$L,Z$9,операции!$O:$O,$F1866)/Z1901)</f>
        <v>42197.578759172364</v>
      </c>
      <c r="AA1902" s="237">
        <f>IF(AA1901=0,0,SUMIFS(операции!$AF:$AF,операции!$X:$X,"&gt;="&amp;X$8,операции!$X:$X,"&lt;="&amp;X$9,операции!$AB:$AB,"&lt;&gt;"&amp;"",операции!$L:$L,AA$9,операции!$O:$O,$F1866)/AA1901)</f>
        <v>42335.252201041541</v>
      </c>
      <c r="AB1902" s="265"/>
      <c r="AC1902" s="37"/>
      <c r="AD1902" s="37"/>
      <c r="AE1902" s="37"/>
      <c r="AF1902" s="37"/>
      <c r="AG1902" s="37"/>
      <c r="AH1902" s="37"/>
      <c r="AI1902" s="37"/>
      <c r="AJ1902" s="37"/>
      <c r="AK1902" s="37"/>
      <c r="AL1902" s="37"/>
      <c r="AM1902" s="37"/>
      <c r="AN1902" s="37"/>
      <c r="AO1902" s="37"/>
      <c r="AP1902" s="37"/>
    </row>
    <row r="1903" spans="1:42" s="192" customFormat="1" ht="11.25">
      <c r="A1903" s="37"/>
      <c r="B1903" s="37"/>
      <c r="C1903" s="37"/>
      <c r="D1903" s="191"/>
      <c r="E1903" s="191" t="s">
        <v>299</v>
      </c>
      <c r="F1903" s="191" t="str">
        <f t="shared" si="3326"/>
        <v>ФорКидс</v>
      </c>
      <c r="G1903" s="191" t="s">
        <v>262</v>
      </c>
      <c r="H1903" s="315"/>
      <c r="I1903" s="316">
        <f>IF(I1901=0,0,SUMIFS(операции!$AH:$AH,операции!$X:$X,"&gt;="&amp;I$8,операции!$X:$X,"&lt;="&amp;I$9,операции!$AB:$AB,"&lt;&gt;"&amp;"",операции!$O:$O,$F1866)/I1901)</f>
        <v>42314.511713114509</v>
      </c>
      <c r="J1903" s="317"/>
      <c r="K1903" s="316">
        <f>IF(K1901=0,0,SUMIFS(операции!$AH:$AH,операции!$X:$X,"&gt;="&amp;I$8,операции!$X:$X,"&lt;="&amp;I$9,операции!$AB:$AB,"&lt;&gt;"&amp;"",операции!$L:$L,K$9,операции!$O:$O,$F1866)/K1901)</f>
        <v>42239.246803309317</v>
      </c>
      <c r="L1903" s="318">
        <f>IF(L1901=0,0,SUMIFS(операции!$AH:$AH,операции!$X:$X,"&gt;="&amp;I$8,операции!$X:$X,"&lt;="&amp;I$9,операции!$AB:$AB,"&lt;&gt;"&amp;"",операции!$L:$L,L$9,операции!$O:$O,$F1866)/L1901)</f>
        <v>42348.947771162653</v>
      </c>
      <c r="M1903" s="274"/>
      <c r="N1903" s="193">
        <f>IF(N1901=0,0,SUMIFS(операции!$AH:$AH,операции!$X:$X,"&gt;="&amp;N$8,операции!$X:$X,"&lt;="&amp;N$9,операции!$AB:$AB,"&lt;&gt;"&amp;"",операции!$O:$O,$F1866)/N1901)</f>
        <v>42255.993601305054</v>
      </c>
      <c r="O1903" s="196"/>
      <c r="P1903" s="193">
        <f>IF(P1901=0,0,SUMIFS(операции!$AH:$AH,операции!$X:$X,"&gt;="&amp;N$8,операции!$X:$X,"&lt;="&amp;N$9,операции!$AB:$AB,"&lt;&gt;"&amp;"",операции!$L:$L,P$9,операции!$O:$O,$F1866)/P1901)</f>
        <v>42213.833061109595</v>
      </c>
      <c r="Q1903" s="237">
        <f>IF(Q1901=0,0,SUMIFS(операции!$AH:$AH,операции!$X:$X,"&gt;="&amp;N$8,операции!$X:$X,"&lt;="&amp;N$9,операции!$AB:$AB,"&lt;&gt;"&amp;"",операции!$L:$L,Q$9,операции!$O:$O,$F1866)/Q1901)</f>
        <v>42329.306886571881</v>
      </c>
      <c r="R1903" s="238"/>
      <c r="S1903" s="193">
        <f>IF(S1901=0,0,SUMIFS(операции!$AH:$AH,операции!$X:$X,"&gt;="&amp;S$8,операции!$X:$X,"&lt;="&amp;S$9,операции!$AB:$AB,"&lt;&gt;"&amp;"",операции!$O:$O,$F1866)/S1901)</f>
        <v>42317.672884760774</v>
      </c>
      <c r="T1903" s="196"/>
      <c r="U1903" s="193">
        <f>IF(U1901=0,0,SUMIFS(операции!$AH:$AH,операции!$X:$X,"&gt;="&amp;S$8,операции!$X:$X,"&lt;="&amp;S$9,операции!$AB:$AB,"&lt;&gt;"&amp;"",операции!$L:$L,U$9,операции!$O:$O,$F1866)/U1901)</f>
        <v>42254.267570924909</v>
      </c>
      <c r="V1903" s="237">
        <f>IF(V1901=0,0,SUMIFS(операции!$AH:$AH,операции!$X:$X,"&gt;="&amp;S$8,операции!$X:$X,"&lt;="&amp;S$9,операции!$AB:$AB,"&lt;&gt;"&amp;"",операции!$L:$L,V$9,операции!$O:$O,$F1866)/V1901)</f>
        <v>42345.89310009389</v>
      </c>
      <c r="W1903" s="238"/>
      <c r="X1903" s="193">
        <f>IF(X1901=0,0,SUMIFS(операции!$AH:$AH,операции!$X:$X,"&gt;="&amp;X$8,операции!$X:$X,"&lt;="&amp;X$9,операции!$AB:$AB,"&lt;&gt;"&amp;"",операции!$O:$O,$F1866)/X1901)</f>
        <v>42337.426294320067</v>
      </c>
      <c r="Y1903" s="196"/>
      <c r="Z1903" s="193">
        <f>IF(Z1901=0,0,SUMIFS(операции!$AH:$AH,операции!$X:$X,"&gt;="&amp;X$8,операции!$X:$X,"&lt;="&amp;X$9,операции!$AB:$AB,"&lt;&gt;"&amp;"",операции!$L:$L,Z$9,операции!$O:$O,$F1866)/Z1901)</f>
        <v>42236.695893518874</v>
      </c>
      <c r="AA1903" s="237">
        <f>IF(AA1901=0,0,SUMIFS(операции!$AH:$AH,операции!$X:$X,"&gt;="&amp;X$8,операции!$X:$X,"&lt;="&amp;X$9,операции!$AB:$AB,"&lt;&gt;"&amp;"",операции!$L:$L,AA$9,операции!$O:$O,$F1866)/AA1901)</f>
        <v>42357.720804205164</v>
      </c>
      <c r="AB1903" s="265"/>
      <c r="AC1903" s="37"/>
      <c r="AD1903" s="37"/>
      <c r="AE1903" s="37"/>
      <c r="AF1903" s="37"/>
      <c r="AG1903" s="37"/>
      <c r="AH1903" s="37"/>
      <c r="AI1903" s="37"/>
      <c r="AJ1903" s="37"/>
      <c r="AK1903" s="37"/>
      <c r="AL1903" s="37"/>
      <c r="AM1903" s="37"/>
      <c r="AN1903" s="37"/>
      <c r="AO1903" s="37"/>
      <c r="AP1903" s="37"/>
    </row>
    <row r="1904" spans="1:42" s="5" customFormat="1">
      <c r="A1904" s="1"/>
      <c r="B1904" s="1"/>
      <c r="C1904" s="1"/>
      <c r="D1904" s="168"/>
      <c r="E1904" s="168" t="s">
        <v>296</v>
      </c>
      <c r="F1904" s="168" t="str">
        <f t="shared" si="3326"/>
        <v>ФорКидс</v>
      </c>
      <c r="G1904" s="168" t="s">
        <v>261</v>
      </c>
      <c r="H1904" s="326"/>
      <c r="I1904" s="327">
        <f>I1899-I1901</f>
        <v>51768.990000000282</v>
      </c>
      <c r="J1904" s="313">
        <f>I1904-K1904-L1904</f>
        <v>2.9103830456733704E-10</v>
      </c>
      <c r="K1904" s="327">
        <f t="shared" ref="K1904:L1904" si="3403">K1899-K1901</f>
        <v>14381.660000000033</v>
      </c>
      <c r="L1904" s="328">
        <f t="shared" si="3403"/>
        <v>37387.329999999958</v>
      </c>
      <c r="M1904" s="277"/>
      <c r="N1904" s="169">
        <f>N1899-N1901</f>
        <v>8714.18</v>
      </c>
      <c r="O1904" s="170">
        <f>N1904-P1904-Q1904</f>
        <v>-7.2759576141834259E-12</v>
      </c>
      <c r="P1904" s="169">
        <f t="shared" ref="P1904:Q1904" si="3404">P1899-P1901</f>
        <v>4112.6800000000076</v>
      </c>
      <c r="Q1904" s="243">
        <f t="shared" si="3404"/>
        <v>4601.5</v>
      </c>
      <c r="R1904" s="244"/>
      <c r="S1904" s="169">
        <f>S1899-S1901</f>
        <v>29619.259999999951</v>
      </c>
      <c r="T1904" s="170">
        <f>S1904-U1904-V1904</f>
        <v>-5.8207660913467407E-11</v>
      </c>
      <c r="U1904" s="169">
        <f t="shared" ref="U1904:V1904" si="3405">U1899-U1901</f>
        <v>7827.5400000000081</v>
      </c>
      <c r="V1904" s="243">
        <f t="shared" si="3405"/>
        <v>21791.72</v>
      </c>
      <c r="W1904" s="244"/>
      <c r="X1904" s="169">
        <f>X1899-X1901</f>
        <v>13435.550000000017</v>
      </c>
      <c r="Y1904" s="170">
        <f>X1904-Z1904-AA1904</f>
        <v>2.1827872842550278E-11</v>
      </c>
      <c r="Z1904" s="169">
        <f t="shared" ref="Z1904:AA1904" si="3406">Z1899-Z1901</f>
        <v>2441.4399999999951</v>
      </c>
      <c r="AA1904" s="243">
        <f t="shared" si="3406"/>
        <v>10994.11</v>
      </c>
      <c r="AB1904" s="266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</row>
    <row r="1905" spans="1:42" s="211" customFormat="1">
      <c r="A1905" s="210"/>
      <c r="B1905" s="210"/>
      <c r="C1905" s="210"/>
      <c r="D1905" s="218"/>
      <c r="E1905" s="218" t="s">
        <v>297</v>
      </c>
      <c r="F1905" s="218" t="str">
        <f t="shared" si="3326"/>
        <v>ФорКидс</v>
      </c>
      <c r="G1905" s="218" t="s">
        <v>218</v>
      </c>
      <c r="H1905" s="343"/>
      <c r="I1905" s="344">
        <f>IF(I1899=0,0,(I1904/I1899))</f>
        <v>0.1058913084387432</v>
      </c>
      <c r="J1905" s="345"/>
      <c r="K1905" s="344">
        <f t="shared" ref="K1905" si="3407">IF(K1899=0,0,(K1904/K1899))</f>
        <v>9.486770846388802E-2</v>
      </c>
      <c r="L1905" s="346">
        <f t="shared" ref="L1905" si="3408">IF(L1899=0,0,(L1904/L1899))</f>
        <v>0.11084591643417689</v>
      </c>
      <c r="M1905" s="280"/>
      <c r="N1905" s="219">
        <f>IF(N1899=0,0,(N1904/N1899))</f>
        <v>0.11819202756039009</v>
      </c>
      <c r="O1905" s="220"/>
      <c r="P1905" s="219">
        <f t="shared" ref="P1905" si="3409">IF(P1899=0,0,(P1904/P1899))</f>
        <v>9.060762282441083E-2</v>
      </c>
      <c r="Q1905" s="252">
        <f t="shared" ref="Q1905" si="3410">IF(Q1899=0,0,(Q1904/Q1899))</f>
        <v>0.1623734076714069</v>
      </c>
      <c r="R1905" s="253"/>
      <c r="S1905" s="219">
        <f>IF(S1899=0,0,(S1904/S1899))</f>
        <v>0.11024401682361243</v>
      </c>
      <c r="T1905" s="220"/>
      <c r="U1905" s="219">
        <f t="shared" ref="U1905" si="3411">IF(U1899=0,0,(U1904/U1899))</f>
        <v>9.6097674761215016E-2</v>
      </c>
      <c r="V1905" s="252">
        <f t="shared" ref="V1905" si="3412">IF(V1899=0,0,(V1904/V1899))</f>
        <v>0.11639881206734468</v>
      </c>
      <c r="W1905" s="253"/>
      <c r="X1905" s="219">
        <f>IF(X1899=0,0,(X1904/X1899))</f>
        <v>9.1717125517957104E-2</v>
      </c>
      <c r="Y1905" s="220"/>
      <c r="Z1905" s="219">
        <f t="shared" ref="Z1905" si="3413">IF(Z1899=0,0,(Z1904/Z1899))</f>
        <v>9.8632084999797809E-2</v>
      </c>
      <c r="AA1905" s="252">
        <f t="shared" ref="AA1905" si="3414">IF(AA1899=0,0,(AA1904/AA1899))</f>
        <v>9.0311082999277134E-2</v>
      </c>
      <c r="AB1905" s="267"/>
      <c r="AC1905" s="210"/>
      <c r="AD1905" s="210"/>
      <c r="AE1905" s="210"/>
      <c r="AF1905" s="210"/>
      <c r="AG1905" s="210"/>
      <c r="AH1905" s="210"/>
      <c r="AI1905" s="210"/>
      <c r="AJ1905" s="210"/>
      <c r="AK1905" s="210"/>
      <c r="AL1905" s="210"/>
      <c r="AM1905" s="210"/>
      <c r="AN1905" s="210"/>
      <c r="AO1905" s="210"/>
      <c r="AP1905" s="210"/>
    </row>
    <row r="1906" spans="1:42" s="5" customFormat="1">
      <c r="A1906" s="1"/>
      <c r="B1906" s="1"/>
      <c r="C1906" s="1"/>
      <c r="D1906" s="227"/>
      <c r="E1906" s="227" t="s">
        <v>298</v>
      </c>
      <c r="F1906" s="227" t="str">
        <f t="shared" si="3326"/>
        <v>ФорКидс</v>
      </c>
      <c r="G1906" s="227" t="s">
        <v>219</v>
      </c>
      <c r="H1906" s="347"/>
      <c r="I1906" s="348">
        <f>I1900-I1902</f>
        <v>38.991222235934401</v>
      </c>
      <c r="J1906" s="321"/>
      <c r="K1906" s="348">
        <f t="shared" ref="K1906:L1906" si="3415">K1900-K1902</f>
        <v>112.52484717754851</v>
      </c>
      <c r="L1906" s="349">
        <f t="shared" si="3415"/>
        <v>5.3066420960676624</v>
      </c>
      <c r="M1906" s="281"/>
      <c r="N1906" s="228">
        <f>N1900-N1902</f>
        <v>73.826799566711998</v>
      </c>
      <c r="O1906" s="173"/>
      <c r="P1906" s="228">
        <f t="shared" ref="P1906:Q1906" si="3416">P1900-P1902</f>
        <v>113.74605020899617</v>
      </c>
      <c r="Q1906" s="254">
        <f t="shared" si="3416"/>
        <v>4.2829482090528472</v>
      </c>
      <c r="R1906" s="255"/>
      <c r="S1906" s="228">
        <f>S1900-S1902</f>
        <v>34.834020291906199</v>
      </c>
      <c r="T1906" s="173"/>
      <c r="U1906" s="228">
        <f t="shared" ref="U1906:V1906" si="3417">U1900-U1902</f>
        <v>102.43668381785392</v>
      </c>
      <c r="V1906" s="254">
        <f t="shared" si="3417"/>
        <v>4.7696857322225696</v>
      </c>
      <c r="W1906" s="255"/>
      <c r="X1906" s="228">
        <f>X1900-X1902</f>
        <v>29.842230169539107</v>
      </c>
      <c r="Y1906" s="173"/>
      <c r="Z1906" s="228">
        <f t="shared" ref="Z1906:AA1906" si="3418">Z1900-Z1902</f>
        <v>143.25520034769579</v>
      </c>
      <c r="AA1906" s="254">
        <f t="shared" si="3418"/>
        <v>6.9947020931140287</v>
      </c>
      <c r="AB1906" s="266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</row>
    <row r="1907" spans="1:42" s="5" customFormat="1">
      <c r="A1907" s="1"/>
      <c r="B1907" s="1"/>
      <c r="C1907" s="1"/>
      <c r="D1907" s="227"/>
      <c r="E1907" s="227" t="s">
        <v>300</v>
      </c>
      <c r="F1907" s="227" t="str">
        <f t="shared" si="3326"/>
        <v>ФорКидс</v>
      </c>
      <c r="G1907" s="227" t="s">
        <v>219</v>
      </c>
      <c r="H1907" s="347"/>
      <c r="I1907" s="348">
        <f>I1903-I1902</f>
        <v>25.576320256594045</v>
      </c>
      <c r="J1907" s="321"/>
      <c r="K1907" s="348">
        <f t="shared" ref="K1907:L1907" si="3419">K1903-K1902</f>
        <v>28.876665757619776</v>
      </c>
      <c r="L1907" s="349">
        <f t="shared" si="3419"/>
        <v>24.066308625035163</v>
      </c>
      <c r="M1907" s="281"/>
      <c r="N1907" s="228">
        <f>N1903-N1902</f>
        <v>28.386229785763135</v>
      </c>
      <c r="O1907" s="173"/>
      <c r="P1907" s="228">
        <f t="shared" ref="P1907:Q1907" si="3420">P1903-P1902</f>
        <v>27.07741490969056</v>
      </c>
      <c r="Q1907" s="254">
        <f t="shared" si="3420"/>
        <v>30.662137967352464</v>
      </c>
      <c r="R1907" s="255"/>
      <c r="S1907" s="228">
        <f>S1903-S1902</f>
        <v>24.987959878300899</v>
      </c>
      <c r="T1907" s="173"/>
      <c r="U1907" s="228">
        <f t="shared" ref="U1907:V1907" si="3421">U1903-U1902</f>
        <v>26.782139192881004</v>
      </c>
      <c r="V1907" s="254">
        <f t="shared" si="3421"/>
        <v>24.189412823805469</v>
      </c>
      <c r="W1907" s="255"/>
      <c r="X1907" s="228">
        <f>X1903-X1902</f>
        <v>25.260373706951214</v>
      </c>
      <c r="Y1907" s="173"/>
      <c r="Z1907" s="228">
        <f t="shared" ref="Z1907:AA1907" si="3422">Z1903-Z1902</f>
        <v>39.117134346510284</v>
      </c>
      <c r="AA1907" s="254">
        <f t="shared" si="3422"/>
        <v>22.468603163622902</v>
      </c>
      <c r="AB1907" s="266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</row>
    <row r="1908" spans="1:42" s="93" customFormat="1" ht="15">
      <c r="A1908" s="92"/>
      <c r="B1908" s="92"/>
      <c r="C1908" s="92"/>
      <c r="D1908" s="221"/>
      <c r="E1908" s="221" t="s">
        <v>301</v>
      </c>
      <c r="F1908" s="221" t="str">
        <f t="shared" si="3326"/>
        <v>ФорКидс</v>
      </c>
      <c r="G1908" s="221" t="s">
        <v>219</v>
      </c>
      <c r="H1908" s="357"/>
      <c r="I1908" s="358">
        <f>I1906-I1907</f>
        <v>13.414901979340357</v>
      </c>
      <c r="J1908" s="352"/>
      <c r="K1908" s="358">
        <f t="shared" ref="K1908" si="3423">K1906-K1907</f>
        <v>83.648181419928733</v>
      </c>
      <c r="L1908" s="359">
        <f t="shared" ref="L1908" si="3424">L1906-L1907</f>
        <v>-18.7596665289675</v>
      </c>
      <c r="M1908" s="284"/>
      <c r="N1908" s="222">
        <f>N1906-N1907</f>
        <v>45.440569780948863</v>
      </c>
      <c r="O1908" s="181"/>
      <c r="P1908" s="222">
        <f t="shared" ref="P1908" si="3425">P1906-P1907</f>
        <v>86.668635299305606</v>
      </c>
      <c r="Q1908" s="260">
        <f t="shared" ref="Q1908" si="3426">Q1906-Q1907</f>
        <v>-26.379189758299617</v>
      </c>
      <c r="R1908" s="261"/>
      <c r="S1908" s="222">
        <f>S1906-S1907</f>
        <v>9.8460604136053007</v>
      </c>
      <c r="T1908" s="181"/>
      <c r="U1908" s="222">
        <f t="shared" ref="U1908" si="3427">U1906-U1907</f>
        <v>75.654544624972914</v>
      </c>
      <c r="V1908" s="260">
        <f t="shared" ref="V1908" si="3428">V1906-V1907</f>
        <v>-19.419727091582899</v>
      </c>
      <c r="W1908" s="261"/>
      <c r="X1908" s="222">
        <f>X1906-X1907</f>
        <v>4.5818564625878935</v>
      </c>
      <c r="Y1908" s="181"/>
      <c r="Z1908" s="222">
        <f t="shared" ref="Z1908" si="3429">Z1906-Z1907</f>
        <v>104.13806600118551</v>
      </c>
      <c r="AA1908" s="260">
        <f t="shared" ref="AA1908" si="3430">AA1906-AA1907</f>
        <v>-15.473901070508873</v>
      </c>
      <c r="AB1908" s="264"/>
      <c r="AC1908" s="92"/>
      <c r="AD1908" s="92"/>
      <c r="AE1908" s="92"/>
      <c r="AF1908" s="92"/>
      <c r="AG1908" s="92"/>
      <c r="AH1908" s="92"/>
      <c r="AI1908" s="92"/>
      <c r="AJ1908" s="92"/>
      <c r="AK1908" s="92"/>
      <c r="AL1908" s="92"/>
      <c r="AM1908" s="92"/>
      <c r="AN1908" s="92"/>
      <c r="AO1908" s="92"/>
      <c r="AP1908" s="92"/>
    </row>
    <row r="1909" spans="1:42" s="5" customFormat="1">
      <c r="A1909" s="1"/>
      <c r="B1909" s="1"/>
      <c r="C1909" s="1"/>
      <c r="D1909" s="223"/>
      <c r="E1909" s="223" t="s">
        <v>302</v>
      </c>
      <c r="F1909" s="223" t="str">
        <f t="shared" si="3326"/>
        <v>ФорКидс</v>
      </c>
      <c r="G1909" s="223" t="s">
        <v>261</v>
      </c>
      <c r="H1909" s="354"/>
      <c r="I1909" s="355">
        <f>SUMIFS(операции!$Z:$Z,операции!$X:$X,"&gt;="&amp;I$8,операции!$X:$X,"&lt;="&amp;I$9,операции!$AB:$AB,"",операции!$O:$O,$F1866)</f>
        <v>178264</v>
      </c>
      <c r="J1909" s="341">
        <f>I1909-K1909-L1909</f>
        <v>0</v>
      </c>
      <c r="K1909" s="355">
        <f>SUMIFS(операции!$Z:$Z,операции!$X:$X,"&gt;="&amp;I$8,операции!$X:$X,"&lt;="&amp;I$9,операции!$AB:$AB,"",операции!$L:$L,K$9,операции!$O:$O,$F1866)</f>
        <v>34710</v>
      </c>
      <c r="L1909" s="356">
        <f>SUMIFS(операции!$Z:$Z,операции!$X:$X,"&gt;="&amp;I$8,операции!$X:$X,"&lt;="&amp;I$9,операции!$AB:$AB,"",операции!$L:$L,L$9,операции!$O:$O,$F1866)</f>
        <v>143554</v>
      </c>
      <c r="M1909" s="283"/>
      <c r="N1909" s="224">
        <f>SUMIFS(операции!$Z:$Z,операции!$X:$X,"&gt;="&amp;N$8,операции!$X:$X,"&lt;="&amp;N$9,операции!$AB:$AB,"",операции!$O:$O,$F1866)</f>
        <v>3590</v>
      </c>
      <c r="O1909" s="216">
        <f>N1909-P1909-Q1909</f>
        <v>0</v>
      </c>
      <c r="P1909" s="224">
        <f>SUMIFS(операции!$Z:$Z,операции!$X:$X,"&gt;="&amp;N$8,операции!$X:$X,"&lt;="&amp;N$9,операции!$AB:$AB,"",операции!$L:$L,P$9,операции!$O:$O,$F1866)</f>
        <v>0</v>
      </c>
      <c r="Q1909" s="258">
        <f>SUMIFS(операции!$Z:$Z,операции!$X:$X,"&gt;="&amp;N$8,операции!$X:$X,"&lt;="&amp;N$9,операции!$AB:$AB,"",операции!$L:$L,Q$9,операции!$O:$O,$F1866)</f>
        <v>3590</v>
      </c>
      <c r="R1909" s="259"/>
      <c r="S1909" s="224">
        <f>SUMIFS(операции!$Z:$Z,операции!$X:$X,"&gt;="&amp;S$8,операции!$X:$X,"&lt;="&amp;S$9,операции!$AB:$AB,"",операции!$O:$O,$F1866)</f>
        <v>94581</v>
      </c>
      <c r="T1909" s="216">
        <f>S1909-U1909-V1909</f>
        <v>0</v>
      </c>
      <c r="U1909" s="224">
        <f>SUMIFS(операции!$Z:$Z,операции!$X:$X,"&gt;="&amp;S$8,операции!$X:$X,"&lt;="&amp;S$9,операции!$AB:$AB,"",операции!$L:$L,U$9,операции!$O:$O,$F1866)</f>
        <v>23892</v>
      </c>
      <c r="V1909" s="258">
        <f>SUMIFS(операции!$Z:$Z,операции!$X:$X,"&gt;="&amp;S$8,операции!$X:$X,"&lt;="&amp;S$9,операции!$AB:$AB,"",операции!$L:$L,V$9,операции!$O:$O,$F1866)</f>
        <v>70689</v>
      </c>
      <c r="W1909" s="259"/>
      <c r="X1909" s="224">
        <f>SUMIFS(операции!$Z:$Z,операции!$X:$X,"&gt;="&amp;X$8,операции!$X:$X,"&lt;="&amp;X$9,операции!$AB:$AB,"",операции!$O:$O,$F1866)</f>
        <v>80093</v>
      </c>
      <c r="Y1909" s="216">
        <f>X1909-Z1909-AA1909</f>
        <v>0</v>
      </c>
      <c r="Z1909" s="224">
        <f>SUMIFS(операции!$Z:$Z,операции!$X:$X,"&gt;="&amp;X$8,операции!$X:$X,"&lt;="&amp;X$9,операции!$AB:$AB,"",операции!$L:$L,Z$9,операции!$O:$O,$F1866)</f>
        <v>10818</v>
      </c>
      <c r="AA1909" s="258">
        <f>SUMIFS(операции!$Z:$Z,операции!$X:$X,"&gt;="&amp;X$8,операции!$X:$X,"&lt;="&amp;X$9,операции!$AB:$AB,"",операции!$L:$L,AA$9,операции!$O:$O,$F1866)</f>
        <v>69275</v>
      </c>
      <c r="AB1909" s="266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</row>
    <row r="1910" spans="1:42" s="192" customFormat="1" ht="11.25">
      <c r="A1910" s="37"/>
      <c r="B1910" s="37"/>
      <c r="C1910" s="37"/>
      <c r="D1910" s="191"/>
      <c r="E1910" s="191" t="s">
        <v>303</v>
      </c>
      <c r="F1910" s="191" t="str">
        <f t="shared" si="3326"/>
        <v>ФорКидс</v>
      </c>
      <c r="G1910" s="191" t="s">
        <v>262</v>
      </c>
      <c r="H1910" s="315"/>
      <c r="I1910" s="316">
        <f>IF(I1909=0,0,SUMIFS(операции!$AG:$AG,операции!$X:$X,"&gt;="&amp;I$8,операции!$X:$X,"&lt;="&amp;I$9,операции!$AB:$AB,"",операции!$O:$O,$F1866)/I1909)</f>
        <v>42335.312306466811</v>
      </c>
      <c r="J1910" s="317"/>
      <c r="K1910" s="316">
        <f>IF(K1909=0,0,SUMIFS(операции!$AG:$AG,операции!$X:$X,"&gt;="&amp;I$8,операции!$X:$X,"&lt;="&amp;I$9,операции!$AB:$AB,"",операции!$L:$L,K$9,операции!$O:$O,$F1866)/K1909)</f>
        <v>42329.380466724288</v>
      </c>
      <c r="L1910" s="318">
        <f>IF(L1909=0,0,SUMIFS(операции!$AG:$AG,операции!$X:$X,"&gt;="&amp;I$8,операции!$X:$X,"&lt;="&amp;I$9,операции!$AB:$AB,"",операции!$L:$L,L$9,операции!$O:$O,$F1866)/L1909)</f>
        <v>42336.746569235271</v>
      </c>
      <c r="M1910" s="274"/>
      <c r="N1910" s="193">
        <f>IF(N1909=0,0,SUMIFS(операции!$AG:$AG,операции!$X:$X,"&gt;="&amp;N$8,операции!$X:$X,"&lt;="&amp;N$9,операции!$AB:$AB,"",операции!$O:$O,$F1866)/N1909)</f>
        <v>42301</v>
      </c>
      <c r="O1910" s="196"/>
      <c r="P1910" s="193">
        <f>IF(P1909=0,0,SUMIFS(операции!$AG:$AG,операции!$X:$X,"&gt;="&amp;N$8,операции!$X:$X,"&lt;="&amp;N$9,операции!$AB:$AB,"",операции!$L:$L,P$9,операции!$O:$O,$F1866)/P1909)</f>
        <v>0</v>
      </c>
      <c r="Q1910" s="237">
        <f>IF(Q1909=0,0,SUMIFS(операции!$AG:$AG,операции!$X:$X,"&gt;="&amp;N$8,операции!$X:$X,"&lt;="&amp;N$9,операции!$AB:$AB,"",операции!$L:$L,Q$9,операции!$O:$O,$F1866)/Q1909)</f>
        <v>42301</v>
      </c>
      <c r="R1910" s="238"/>
      <c r="S1910" s="193">
        <f>IF(S1909=0,0,SUMIFS(операции!$AG:$AG,операции!$X:$X,"&gt;="&amp;S$8,операции!$X:$X,"&lt;="&amp;S$9,операции!$AB:$AB,"",операции!$O:$O,$F1866)/S1909)</f>
        <v>42330.582780896795</v>
      </c>
      <c r="T1910" s="196"/>
      <c r="U1910" s="193">
        <f>IF(U1909=0,0,SUMIFS(операции!$AG:$AG,операции!$X:$X,"&gt;="&amp;S$8,операции!$X:$X,"&lt;="&amp;S$9,операции!$AB:$AB,"",операции!$L:$L,U$9,операции!$O:$O,$F1866)/U1909)</f>
        <v>42324.323539260004</v>
      </c>
      <c r="V1910" s="237">
        <f>IF(V1909=0,0,SUMIFS(операции!$AG:$AG,операции!$X:$X,"&gt;="&amp;S$8,операции!$X:$X,"&lt;="&amp;S$9,операции!$AB:$AB,"",операции!$L:$L,V$9,операции!$O:$O,$F1866)/V1909)</f>
        <v>42332.698326472295</v>
      </c>
      <c r="W1910" s="238"/>
      <c r="X1910" s="193">
        <f>IF(X1909=0,0,SUMIFS(операции!$AG:$AG,операции!$X:$X,"&gt;="&amp;X$8,операции!$X:$X,"&lt;="&amp;X$9,операции!$AB:$AB,"",операции!$O:$O,$F1866)/X1909)</f>
        <v>42342.435331427216</v>
      </c>
      <c r="Y1910" s="196"/>
      <c r="Z1910" s="193">
        <f>IF(Z1909=0,0,SUMIFS(операции!$AG:$AG,операции!$X:$X,"&gt;="&amp;X$8,операции!$X:$X,"&lt;="&amp;X$9,операции!$AB:$AB,"",операции!$L:$L,Z$9,операции!$O:$O,$F1866)/Z1909)</f>
        <v>42340.548899981513</v>
      </c>
      <c r="AA1910" s="237">
        <f>IF(AA1909=0,0,SUMIFS(операции!$AG:$AG,операции!$X:$X,"&gt;="&amp;X$8,операции!$X:$X,"&lt;="&amp;X$9,операции!$AB:$AB,"",операции!$L:$L,AA$9,операции!$O:$O,$F1866)/AA1909)</f>
        <v>42342.729916997472</v>
      </c>
      <c r="AB1910" s="265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37"/>
    </row>
    <row r="1911" spans="1:42" s="5" customFormat="1">
      <c r="A1911" s="1"/>
      <c r="B1911" s="1"/>
      <c r="C1911" s="1"/>
      <c r="D1911" s="168"/>
      <c r="E1911" s="168" t="s">
        <v>304</v>
      </c>
      <c r="F1911" s="168" t="str">
        <f t="shared" si="3326"/>
        <v>ФорКидс</v>
      </c>
      <c r="G1911" s="168" t="s">
        <v>261</v>
      </c>
      <c r="H1911" s="326"/>
      <c r="I1911" s="327">
        <f>SUMIFS(операции!$V:$V,операции!$X:$X,"&gt;="&amp;I$8,операции!$X:$X,"&lt;="&amp;I$9,операции!$AB:$AB,"",операции!$O:$O,$F1866)</f>
        <v>161087.75</v>
      </c>
      <c r="J1911" s="313">
        <f>I1911-K1911-L1911</f>
        <v>0</v>
      </c>
      <c r="K1911" s="327">
        <f>SUMIFS(операции!$V:$V,операции!$X:$X,"&gt;="&amp;I$8,операции!$X:$X,"&lt;="&amp;I$9,операции!$AB:$AB,"",операции!$L:$L,K$9,операции!$O:$O,$F1866)</f>
        <v>30906.789999999997</v>
      </c>
      <c r="L1911" s="328">
        <f>SUMIFS(операции!$V:$V,операции!$X:$X,"&gt;="&amp;I$8,операции!$X:$X,"&lt;="&amp;I$9,операции!$AB:$AB,"",операции!$L:$L,L$9,операции!$O:$O,$F1866)</f>
        <v>130180.96</v>
      </c>
      <c r="M1911" s="277"/>
      <c r="N1911" s="169">
        <f>SUMIFS(операции!$V:$V,операции!$X:$X,"&gt;="&amp;N$8,операции!$X:$X,"&lt;="&amp;N$9,операции!$AB:$AB,"",операции!$O:$O,$F1866)</f>
        <v>3078</v>
      </c>
      <c r="O1911" s="170">
        <f>N1911-P1911-Q1911</f>
        <v>0</v>
      </c>
      <c r="P1911" s="169">
        <f>SUMIFS(операции!$V:$V,операции!$X:$X,"&gt;="&amp;N$8,операции!$X:$X,"&lt;="&amp;N$9,операции!$AB:$AB,"",операции!$L:$L,P$9,операции!$O:$O,$F1866)</f>
        <v>0</v>
      </c>
      <c r="Q1911" s="243">
        <f>SUMIFS(операции!$V:$V,операции!$X:$X,"&gt;="&amp;N$8,операции!$X:$X,"&lt;="&amp;N$9,операции!$AB:$AB,"",операции!$L:$L,Q$9,операции!$O:$O,$F1866)</f>
        <v>3078</v>
      </c>
      <c r="R1911" s="244"/>
      <c r="S1911" s="169">
        <f>SUMIFS(операции!$V:$V,операции!$X:$X,"&gt;="&amp;S$8,операции!$X:$X,"&lt;="&amp;S$9,операции!$AB:$AB,"",операции!$O:$O,$F1866)</f>
        <v>84875.11</v>
      </c>
      <c r="T1911" s="170">
        <f>S1911-U1911-V1911</f>
        <v>0</v>
      </c>
      <c r="U1911" s="169">
        <f>SUMIFS(операции!$V:$V,операции!$X:$X,"&gt;="&amp;S$8,операции!$X:$X,"&lt;="&amp;S$9,операции!$AB:$AB,"",операции!$L:$L,U$9,операции!$O:$O,$F1866)</f>
        <v>21473.15</v>
      </c>
      <c r="V1911" s="243">
        <f>SUMIFS(операции!$V:$V,операции!$X:$X,"&gt;="&amp;S$8,операции!$X:$X,"&lt;="&amp;S$9,операции!$AB:$AB,"",операции!$L:$L,V$9,операции!$O:$O,$F1866)</f>
        <v>63401.96</v>
      </c>
      <c r="W1911" s="244"/>
      <c r="X1911" s="169">
        <f>SUMIFS(операции!$V:$V,операции!$X:$X,"&gt;="&amp;X$8,операции!$X:$X,"&lt;="&amp;X$9,операции!$AB:$AB,"",операции!$O:$O,$F1866)</f>
        <v>73134.640000000014</v>
      </c>
      <c r="Y1911" s="170">
        <f>X1911-Z1911-AA1911</f>
        <v>0</v>
      </c>
      <c r="Z1911" s="169">
        <f>SUMIFS(операции!$V:$V,операции!$X:$X,"&gt;="&amp;X$8,операции!$X:$X,"&lt;="&amp;X$9,операции!$AB:$AB,"",операции!$L:$L,Z$9,операции!$O:$O,$F1866)</f>
        <v>9433.6400000000012</v>
      </c>
      <c r="AA1911" s="243">
        <f>SUMIFS(операции!$V:$V,операции!$X:$X,"&gt;="&amp;X$8,операции!$X:$X,"&lt;="&amp;X$9,операции!$AB:$AB,"",операции!$L:$L,AA$9,операции!$O:$O,$F1866)</f>
        <v>63701</v>
      </c>
      <c r="AB1911" s="266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</row>
    <row r="1912" spans="1:42" s="192" customFormat="1" ht="11.25">
      <c r="A1912" s="37"/>
      <c r="B1912" s="37"/>
      <c r="C1912" s="37"/>
      <c r="D1912" s="191"/>
      <c r="E1912" s="191" t="s">
        <v>305</v>
      </c>
      <c r="F1912" s="191" t="str">
        <f t="shared" si="3326"/>
        <v>ФорКидс</v>
      </c>
      <c r="G1912" s="191" t="s">
        <v>262</v>
      </c>
      <c r="H1912" s="315"/>
      <c r="I1912" s="316">
        <f>IF(I1911=0,0,SUMIFS(операции!$AF:$AF,операции!$X:$X,"&gt;="&amp;I$8,операции!$X:$X,"&lt;="&amp;I$9,операции!$AB:$AB,"",операции!$O:$O,$F1866)/I1911)</f>
        <v>42306.593670716728</v>
      </c>
      <c r="J1912" s="317"/>
      <c r="K1912" s="316">
        <f>IF(K1911=0,0,SUMIFS(операции!$AF:$AF,операции!$X:$X,"&gt;="&amp;I$8,операции!$X:$X,"&lt;="&amp;I$9,операции!$AB:$AB,"",операции!$L:$L,K$9,операции!$O:$O,$F1866)/K1911)</f>
        <v>42202.422887656736</v>
      </c>
      <c r="L1912" s="318">
        <f>IF(L1911=0,0,SUMIFS(операции!$AF:$AF,операции!$X:$X,"&gt;="&amp;I$8,операции!$X:$X,"&lt;="&amp;I$9,операции!$AB:$AB,"",операции!$L:$L,L$9,операции!$O:$O,$F1866)/L1911)</f>
        <v>42331.325279057703</v>
      </c>
      <c r="M1912" s="274"/>
      <c r="N1912" s="193">
        <f>IF(N1911=0,0,SUMIFS(операции!$AF:$AF,операции!$X:$X,"&gt;="&amp;N$8,операции!$X:$X,"&lt;="&amp;N$9,операции!$AB:$AB,"",операции!$O:$O,$F1866)/N1911)</f>
        <v>42299</v>
      </c>
      <c r="O1912" s="196"/>
      <c r="P1912" s="193">
        <f>IF(P1911=0,0,SUMIFS(операции!$AF:$AF,операции!$X:$X,"&gt;="&amp;N$8,операции!$X:$X,"&lt;="&amp;N$9,операции!$AB:$AB,"",операции!$L:$L,P$9,операции!$O:$O,$F1866)/P1911)</f>
        <v>0</v>
      </c>
      <c r="Q1912" s="237">
        <f>IF(Q1911=0,0,SUMIFS(операции!$AF:$AF,операции!$X:$X,"&gt;="&amp;N$8,операции!$X:$X,"&lt;="&amp;N$9,операции!$AB:$AB,"",операции!$L:$L,Q$9,операции!$O:$O,$F1866)/Q1911)</f>
        <v>42299</v>
      </c>
      <c r="R1912" s="238"/>
      <c r="S1912" s="193">
        <f>IF(S1911=0,0,SUMIFS(операции!$AF:$AF,операции!$X:$X,"&gt;="&amp;S$8,операции!$X:$X,"&lt;="&amp;S$9,операции!$AB:$AB,"",операции!$O:$O,$F1866)/S1911)</f>
        <v>42299.889308066871</v>
      </c>
      <c r="T1912" s="196"/>
      <c r="U1912" s="193">
        <f>IF(U1911=0,0,SUMIFS(операции!$AF:$AF,операции!$X:$X,"&gt;="&amp;S$8,операции!$X:$X,"&lt;="&amp;S$9,операции!$AB:$AB,"",операции!$L:$L,U$9,операции!$O:$O,$F1866)/U1911)</f>
        <v>42215.405336897471</v>
      </c>
      <c r="V1912" s="237">
        <f>IF(V1911=0,0,SUMIFS(операции!$AF:$AF,операции!$X:$X,"&gt;="&amp;S$8,операции!$X:$X,"&lt;="&amp;S$9,операции!$AB:$AB,"",операции!$L:$L,V$9,операции!$O:$O,$F1866)/V1911)</f>
        <v>42328.502571529338</v>
      </c>
      <c r="W1912" s="238"/>
      <c r="X1912" s="193">
        <f>IF(X1911=0,0,SUMIFS(операции!$AF:$AF,операции!$X:$X,"&gt;="&amp;X$8,операции!$X:$X,"&lt;="&amp;X$9,операции!$AB:$AB,"",операции!$O:$O,$F1866)/X1911)</f>
        <v>42314.693892934993</v>
      </c>
      <c r="Y1912" s="196"/>
      <c r="Z1912" s="193">
        <f>IF(Z1911=0,0,SUMIFS(операции!$AF:$AF,операции!$X:$X,"&gt;="&amp;X$8,операции!$X:$X,"&lt;="&amp;X$9,операции!$AB:$AB,"",операции!$L:$L,Z$9,операции!$O:$O,$F1866)/Z1911)</f>
        <v>42172.871825721559</v>
      </c>
      <c r="AA1912" s="237">
        <f>IF(AA1911=0,0,SUMIFS(операции!$AF:$AF,операции!$X:$X,"&gt;="&amp;X$8,операции!$X:$X,"&lt;="&amp;X$9,операции!$AB:$AB,"",операции!$L:$L,AA$9,операции!$O:$O,$F1866)/AA1911)</f>
        <v>42335.696676661275</v>
      </c>
      <c r="AB1912" s="265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37"/>
    </row>
    <row r="1913" spans="1:42" s="192" customFormat="1" ht="11.25">
      <c r="A1913" s="37"/>
      <c r="B1913" s="37"/>
      <c r="C1913" s="37"/>
      <c r="D1913" s="191"/>
      <c r="E1913" s="191" t="s">
        <v>307</v>
      </c>
      <c r="F1913" s="191" t="str">
        <f t="shared" si="3326"/>
        <v>ФорКидс</v>
      </c>
      <c r="G1913" s="191" t="s">
        <v>262</v>
      </c>
      <c r="H1913" s="315"/>
      <c r="I1913" s="316">
        <f>I$9</f>
        <v>42369</v>
      </c>
      <c r="J1913" s="317"/>
      <c r="K1913" s="316">
        <f>I$9</f>
        <v>42369</v>
      </c>
      <c r="L1913" s="318">
        <f>I$9</f>
        <v>42369</v>
      </c>
      <c r="M1913" s="274"/>
      <c r="N1913" s="193">
        <f>N$9</f>
        <v>42308</v>
      </c>
      <c r="O1913" s="196"/>
      <c r="P1913" s="193">
        <f>N$9</f>
        <v>42308</v>
      </c>
      <c r="Q1913" s="237">
        <f>N$9</f>
        <v>42308</v>
      </c>
      <c r="R1913" s="238"/>
      <c r="S1913" s="193">
        <f>S$9</f>
        <v>42338</v>
      </c>
      <c r="T1913" s="196"/>
      <c r="U1913" s="193">
        <f>S$9</f>
        <v>42338</v>
      </c>
      <c r="V1913" s="237">
        <f>S$9</f>
        <v>42338</v>
      </c>
      <c r="W1913" s="238"/>
      <c r="X1913" s="193">
        <f>X$9</f>
        <v>42369</v>
      </c>
      <c r="Y1913" s="196"/>
      <c r="Z1913" s="193">
        <f>X$9</f>
        <v>42369</v>
      </c>
      <c r="AA1913" s="237">
        <f>X$9</f>
        <v>42369</v>
      </c>
      <c r="AB1913" s="265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37"/>
    </row>
    <row r="1914" spans="1:42" s="5" customFormat="1">
      <c r="A1914" s="1"/>
      <c r="B1914" s="1"/>
      <c r="C1914" s="1"/>
      <c r="D1914" s="168"/>
      <c r="E1914" s="168" t="s">
        <v>380</v>
      </c>
      <c r="F1914" s="168" t="str">
        <f t="shared" si="3326"/>
        <v>ФорКидс</v>
      </c>
      <c r="G1914" s="168" t="s">
        <v>261</v>
      </c>
      <c r="H1914" s="326"/>
      <c r="I1914" s="327">
        <f>I1909-I1911</f>
        <v>17176.25</v>
      </c>
      <c r="J1914" s="313">
        <f>I1914-K1914-L1914</f>
        <v>0</v>
      </c>
      <c r="K1914" s="327">
        <f t="shared" ref="K1914:L1914" si="3431">K1909-K1911</f>
        <v>3803.2100000000028</v>
      </c>
      <c r="L1914" s="328">
        <f t="shared" si="3431"/>
        <v>13373.039999999994</v>
      </c>
      <c r="M1914" s="277"/>
      <c r="N1914" s="169">
        <f>N1909-N1911</f>
        <v>512</v>
      </c>
      <c r="O1914" s="170">
        <f>N1914-P1914-Q1914</f>
        <v>0</v>
      </c>
      <c r="P1914" s="169">
        <f t="shared" ref="P1914:Q1914" si="3432">P1909-P1911</f>
        <v>0</v>
      </c>
      <c r="Q1914" s="243">
        <f t="shared" si="3432"/>
        <v>512</v>
      </c>
      <c r="R1914" s="244"/>
      <c r="S1914" s="169">
        <f>S1909-S1911</f>
        <v>9705.89</v>
      </c>
      <c r="T1914" s="170">
        <f>S1914-U1914-V1914</f>
        <v>0</v>
      </c>
      <c r="U1914" s="169">
        <f t="shared" ref="U1914:V1914" si="3433">U1909-U1911</f>
        <v>2418.8499999999985</v>
      </c>
      <c r="V1914" s="243">
        <f t="shared" si="3433"/>
        <v>7287.0400000000009</v>
      </c>
      <c r="W1914" s="244"/>
      <c r="X1914" s="169">
        <f>X1909-X1911</f>
        <v>6958.359999999986</v>
      </c>
      <c r="Y1914" s="170">
        <f>X1914-Z1914-AA1914</f>
        <v>-1.2732925824820995E-11</v>
      </c>
      <c r="Z1914" s="169">
        <f t="shared" ref="Z1914:AA1914" si="3434">Z1909-Z1911</f>
        <v>1384.3599999999988</v>
      </c>
      <c r="AA1914" s="243">
        <f t="shared" si="3434"/>
        <v>5574</v>
      </c>
      <c r="AB1914" s="266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</row>
    <row r="1915" spans="1:42" s="211" customFormat="1">
      <c r="A1915" s="210"/>
      <c r="B1915" s="210"/>
      <c r="C1915" s="210"/>
      <c r="D1915" s="218"/>
      <c r="E1915" s="218" t="s">
        <v>381</v>
      </c>
      <c r="F1915" s="218" t="str">
        <f t="shared" si="3326"/>
        <v>ФорКидс</v>
      </c>
      <c r="G1915" s="218" t="s">
        <v>218</v>
      </c>
      <c r="H1915" s="343"/>
      <c r="I1915" s="344">
        <f>IF(I1909=0,0,(I1914/I1909))</f>
        <v>9.635288112013643E-2</v>
      </c>
      <c r="J1915" s="345"/>
      <c r="K1915" s="344">
        <f t="shared" ref="K1915" si="3435">IF(K1909=0,0,(K1914/K1909))</f>
        <v>0.10957101699798337</v>
      </c>
      <c r="L1915" s="346">
        <f t="shared" ref="L1915" si="3436">IF(L1909=0,0,(L1914/L1909))</f>
        <v>9.3156860832857277E-2</v>
      </c>
      <c r="M1915" s="280"/>
      <c r="N1915" s="219">
        <f>IF(N1909=0,0,(N1914/N1909))</f>
        <v>0.14261838440111421</v>
      </c>
      <c r="O1915" s="220"/>
      <c r="P1915" s="219">
        <f t="shared" ref="P1915" si="3437">IF(P1909=0,0,(P1914/P1909))</f>
        <v>0</v>
      </c>
      <c r="Q1915" s="252">
        <f t="shared" ref="Q1915" si="3438">IF(Q1909=0,0,(Q1914/Q1909))</f>
        <v>0.14261838440111421</v>
      </c>
      <c r="R1915" s="253"/>
      <c r="S1915" s="219">
        <f>IF(S1909=0,0,(S1914/S1909))</f>
        <v>0.10261987079857476</v>
      </c>
      <c r="T1915" s="220"/>
      <c r="U1915" s="219">
        <f t="shared" ref="U1915" si="3439">IF(U1909=0,0,(U1914/U1909))</f>
        <v>0.10124100117194033</v>
      </c>
      <c r="V1915" s="252">
        <f t="shared" ref="V1915" si="3440">IF(V1909=0,0,(V1914/V1909))</f>
        <v>0.10308591152796051</v>
      </c>
      <c r="W1915" s="253"/>
      <c r="X1915" s="219">
        <f>IF(X1909=0,0,(X1914/X1909))</f>
        <v>8.6878503739402771E-2</v>
      </c>
      <c r="Y1915" s="220"/>
      <c r="Z1915" s="219">
        <f t="shared" ref="Z1915" si="3441">IF(Z1909=0,0,(Z1914/Z1909))</f>
        <v>0.12796820114623764</v>
      </c>
      <c r="AA1915" s="252">
        <f t="shared" ref="AA1915" si="3442">IF(AA1909=0,0,(AA1914/AA1909))</f>
        <v>8.0461927102129197E-2</v>
      </c>
      <c r="AB1915" s="267"/>
      <c r="AC1915" s="210"/>
      <c r="AD1915" s="210"/>
      <c r="AE1915" s="210"/>
      <c r="AF1915" s="210"/>
      <c r="AG1915" s="210"/>
      <c r="AH1915" s="210"/>
      <c r="AI1915" s="210"/>
      <c r="AJ1915" s="210"/>
      <c r="AK1915" s="210"/>
      <c r="AL1915" s="210"/>
      <c r="AM1915" s="210"/>
      <c r="AN1915" s="210"/>
      <c r="AO1915" s="210"/>
      <c r="AP1915" s="210"/>
    </row>
    <row r="1916" spans="1:42" s="5" customFormat="1">
      <c r="A1916" s="1"/>
      <c r="B1916" s="1"/>
      <c r="C1916" s="1"/>
      <c r="D1916" s="227"/>
      <c r="E1916" s="227" t="s">
        <v>306</v>
      </c>
      <c r="F1916" s="227" t="str">
        <f t="shared" si="3326"/>
        <v>ФорКидс</v>
      </c>
      <c r="G1916" s="227" t="s">
        <v>219</v>
      </c>
      <c r="H1916" s="347"/>
      <c r="I1916" s="348">
        <f>I1910-I1912</f>
        <v>28.718635750083195</v>
      </c>
      <c r="J1916" s="321"/>
      <c r="K1916" s="348">
        <f t="shared" ref="K1916:L1916" si="3443">K1910-K1912</f>
        <v>126.95757906755171</v>
      </c>
      <c r="L1916" s="349">
        <f t="shared" si="3443"/>
        <v>5.421290177568153</v>
      </c>
      <c r="M1916" s="281"/>
      <c r="N1916" s="228">
        <f>N1910-N1912</f>
        <v>2</v>
      </c>
      <c r="O1916" s="173"/>
      <c r="P1916" s="228">
        <f t="shared" ref="P1916:Q1916" si="3444">P1910-P1912</f>
        <v>0</v>
      </c>
      <c r="Q1916" s="254">
        <f t="shared" si="3444"/>
        <v>2</v>
      </c>
      <c r="R1916" s="255"/>
      <c r="S1916" s="228">
        <f>S1910-S1912</f>
        <v>30.693472829923849</v>
      </c>
      <c r="T1916" s="173"/>
      <c r="U1916" s="228">
        <f t="shared" ref="U1916:V1916" si="3445">U1910-U1912</f>
        <v>108.91820236253261</v>
      </c>
      <c r="V1916" s="254">
        <f t="shared" si="3445"/>
        <v>4.1957549429571372</v>
      </c>
      <c r="W1916" s="255"/>
      <c r="X1916" s="228">
        <f>X1910-X1912</f>
        <v>27.741438492223097</v>
      </c>
      <c r="Y1916" s="173"/>
      <c r="Z1916" s="228">
        <f t="shared" ref="Z1916:AA1916" si="3446">Z1910-Z1912</f>
        <v>167.67707425995468</v>
      </c>
      <c r="AA1916" s="254">
        <f t="shared" si="3446"/>
        <v>7.0332403361971956</v>
      </c>
      <c r="AB1916" s="266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</row>
    <row r="1917" spans="1:42" s="5" customFormat="1">
      <c r="A1917" s="1"/>
      <c r="B1917" s="1"/>
      <c r="C1917" s="1"/>
      <c r="D1917" s="227"/>
      <c r="E1917" s="227" t="s">
        <v>382</v>
      </c>
      <c r="F1917" s="227" t="str">
        <f t="shared" si="3326"/>
        <v>ФорКидс</v>
      </c>
      <c r="G1917" s="227" t="s">
        <v>219</v>
      </c>
      <c r="H1917" s="347"/>
      <c r="I1917" s="348">
        <f>I1913-I1912</f>
        <v>62.406329283272498</v>
      </c>
      <c r="J1917" s="321"/>
      <c r="K1917" s="348">
        <f t="shared" ref="K1917:L1917" si="3447">K1913-K1912</f>
        <v>166.57711234326416</v>
      </c>
      <c r="L1917" s="349">
        <f t="shared" si="3447"/>
        <v>37.674720942297427</v>
      </c>
      <c r="M1917" s="281"/>
      <c r="N1917" s="228">
        <f>N1913-N1912</f>
        <v>9</v>
      </c>
      <c r="O1917" s="173"/>
      <c r="P1917" s="228">
        <f t="shared" ref="P1917:Q1917" si="3448">P1913-P1912</f>
        <v>42308</v>
      </c>
      <c r="Q1917" s="254">
        <f t="shared" si="3448"/>
        <v>9</v>
      </c>
      <c r="R1917" s="255"/>
      <c r="S1917" s="228">
        <f>S1913-S1912</f>
        <v>38.110691933128692</v>
      </c>
      <c r="T1917" s="173"/>
      <c r="U1917" s="228">
        <f t="shared" ref="U1917:V1917" si="3449">U1913-U1912</f>
        <v>122.59466310252901</v>
      </c>
      <c r="V1917" s="254">
        <f t="shared" si="3449"/>
        <v>9.4974284706622711</v>
      </c>
      <c r="W1917" s="255"/>
      <c r="X1917" s="228">
        <f>X1913-X1912</f>
        <v>54.306107065007382</v>
      </c>
      <c r="Y1917" s="173"/>
      <c r="Z1917" s="228">
        <f t="shared" ref="Z1917:AA1917" si="3450">Z1913-Z1912</f>
        <v>196.12817427844129</v>
      </c>
      <c r="AA1917" s="254">
        <f t="shared" si="3450"/>
        <v>33.303323338725022</v>
      </c>
      <c r="AB1917" s="266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</row>
    <row r="1918" spans="1:42" s="5" customFormat="1">
      <c r="A1918" s="1"/>
      <c r="B1918" s="1"/>
      <c r="C1918" s="1"/>
      <c r="D1918" s="225"/>
      <c r="E1918" s="225" t="s">
        <v>383</v>
      </c>
      <c r="F1918" s="225" t="str">
        <f t="shared" si="3326"/>
        <v>ФорКидс</v>
      </c>
      <c r="G1918" s="225" t="s">
        <v>219</v>
      </c>
      <c r="H1918" s="350"/>
      <c r="I1918" s="351">
        <f>I1916-I1917</f>
        <v>-33.687693533189304</v>
      </c>
      <c r="J1918" s="352"/>
      <c r="K1918" s="351">
        <f t="shared" ref="K1918" si="3451">K1916-K1917</f>
        <v>-39.619533275712456</v>
      </c>
      <c r="L1918" s="353">
        <f t="shared" ref="L1918" si="3452">L1916-L1917</f>
        <v>-32.253430764729274</v>
      </c>
      <c r="M1918" s="282"/>
      <c r="N1918" s="226">
        <f>N1916-N1917</f>
        <v>-7</v>
      </c>
      <c r="O1918" s="181"/>
      <c r="P1918" s="226">
        <f t="shared" ref="P1918" si="3453">P1916-P1917</f>
        <v>-42308</v>
      </c>
      <c r="Q1918" s="256">
        <f t="shared" ref="Q1918" si="3454">Q1916-Q1917</f>
        <v>-7</v>
      </c>
      <c r="R1918" s="257"/>
      <c r="S1918" s="226">
        <f>S1916-S1917</f>
        <v>-7.4172191032048431</v>
      </c>
      <c r="T1918" s="181"/>
      <c r="U1918" s="226">
        <f t="shared" ref="U1918" si="3455">U1916-U1917</f>
        <v>-13.676460739996401</v>
      </c>
      <c r="V1918" s="256">
        <f t="shared" ref="V1918" si="3456">V1916-V1917</f>
        <v>-5.3016735277051339</v>
      </c>
      <c r="W1918" s="257"/>
      <c r="X1918" s="226">
        <f>X1916-X1917</f>
        <v>-26.564668572784285</v>
      </c>
      <c r="Y1918" s="181"/>
      <c r="Z1918" s="226">
        <f t="shared" ref="Z1918" si="3457">Z1916-Z1917</f>
        <v>-28.451100018486613</v>
      </c>
      <c r="AA1918" s="256">
        <f t="shared" ref="AA1918" si="3458">AA1916-AA1917</f>
        <v>-26.270083002527826</v>
      </c>
      <c r="AB1918" s="266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</row>
    <row r="1919" spans="1:42" s="5" customFormat="1">
      <c r="A1919" s="1"/>
      <c r="B1919" s="1"/>
      <c r="C1919" s="1"/>
      <c r="D1919" s="168" t="s">
        <v>312</v>
      </c>
      <c r="E1919" s="168"/>
      <c r="F1919" s="168" t="str">
        <f t="shared" si="3326"/>
        <v>ФорКидс</v>
      </c>
      <c r="G1919" s="168" t="s">
        <v>261</v>
      </c>
      <c r="H1919" s="326"/>
      <c r="I1919" s="327">
        <f>SUMIFS(операции!$AC:$AC,операции!$AB:$AB,"&gt;="&amp;I$8,операции!$AB:$AB,"&lt;="&amp;I$9,операции!$O:$O,$F1866)</f>
        <v>363101.35999999969</v>
      </c>
      <c r="J1919" s="313">
        <f>I1919-K1919-L1919</f>
        <v>0</v>
      </c>
      <c r="K1919" s="327">
        <f>SUMIFS(операции!$AC:$AC,операции!$AB:$AB,"&gt;="&amp;I$8,операции!$AB:$AB,"&lt;="&amp;I$9,операции!$L:$L,K$9,операции!$O:$O,$F1866)</f>
        <v>63197.690000000017</v>
      </c>
      <c r="L1919" s="328">
        <f>SUMIFS(операции!$AC:$AC,операции!$AB:$AB,"&gt;="&amp;I$8,операции!$AB:$AB,"&lt;="&amp;I$9,операции!$L:$L,L$9,операции!$O:$O,$F1866)</f>
        <v>299903.67000000004</v>
      </c>
      <c r="M1919" s="277"/>
      <c r="N1919" s="169">
        <f>SUMIFS(операции!$AC:$AC,операции!$AB:$AB,"&gt;="&amp;N$8,операции!$AB:$AB,"&lt;="&amp;N$9,операции!$O:$O,$F1866)</f>
        <v>49762.18</v>
      </c>
      <c r="O1919" s="170">
        <f>N1919-P1919-Q1919</f>
        <v>0</v>
      </c>
      <c r="P1919" s="169">
        <f>SUMIFS(операции!$AC:$AC,операции!$AB:$AB,"&gt;="&amp;N$8,операции!$AB:$AB,"&lt;="&amp;N$9,операции!$L:$L,P$9,операции!$O:$O,$F1866)</f>
        <v>40774.680000000008</v>
      </c>
      <c r="Q1919" s="243">
        <f>SUMIFS(операции!$AC:$AC,операции!$AB:$AB,"&gt;="&amp;N$8,операции!$AB:$AB,"&lt;="&amp;N$9,операции!$L:$L,Q$9,операции!$O:$O,$F1866)</f>
        <v>8987.5</v>
      </c>
      <c r="R1919" s="244"/>
      <c r="S1919" s="169">
        <f>SUMIFS(операции!$AC:$AC,операции!$AB:$AB,"&gt;="&amp;S$8,операции!$AB:$AB,"&lt;="&amp;S$9,операции!$O:$O,$F1866)</f>
        <v>72206</v>
      </c>
      <c r="T1919" s="170">
        <f>S1919-U1919-V1919</f>
        <v>0</v>
      </c>
      <c r="U1919" s="169">
        <f>SUMIFS(операции!$AC:$AC,операции!$AB:$AB,"&gt;="&amp;S$8,операции!$AB:$AB,"&lt;="&amp;S$9,операции!$L:$L,U$9,операции!$O:$O,$F1866)</f>
        <v>18665.739999999998</v>
      </c>
      <c r="V1919" s="243">
        <f>SUMIFS(операции!$AC:$AC,операции!$AB:$AB,"&gt;="&amp;S$8,операции!$AB:$AB,"&lt;="&amp;S$9,операции!$L:$L,V$9,операции!$O:$O,$F1866)</f>
        <v>53540.259999999995</v>
      </c>
      <c r="W1919" s="244"/>
      <c r="X1919" s="169">
        <f>SUMIFS(операции!$AC:$AC,операции!$AB:$AB,"&gt;="&amp;X$8,операции!$AB:$AB,"&lt;="&amp;X$9,операции!$O:$O,$F1866)</f>
        <v>241133.18000000002</v>
      </c>
      <c r="Y1919" s="170">
        <f>X1919-Z1919-AA1919</f>
        <v>0</v>
      </c>
      <c r="Z1919" s="169">
        <f>SUMIFS(операции!$AC:$AC,операции!$AB:$AB,"&gt;="&amp;X$8,операции!$AB:$AB,"&lt;="&amp;X$9,операции!$L:$L,Z$9,операции!$O:$O,$F1866)</f>
        <v>3757.2700000000004</v>
      </c>
      <c r="AA1919" s="243">
        <f>SUMIFS(операции!$AC:$AC,операции!$AB:$AB,"&gt;="&amp;X$8,операции!$AB:$AB,"&lt;="&amp;X$9,операции!$L:$L,AA$9,операции!$O:$O,$F1866)</f>
        <v>237375.91</v>
      </c>
      <c r="AB1919" s="266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</row>
    <row r="1920" spans="1:42" s="192" customFormat="1" ht="11.25">
      <c r="A1920" s="37"/>
      <c r="B1920" s="37"/>
      <c r="C1920" s="37"/>
      <c r="D1920" s="207" t="s">
        <v>255</v>
      </c>
      <c r="E1920" s="207"/>
      <c r="F1920" s="207" t="str">
        <f t="shared" si="3326"/>
        <v>ФорКидс</v>
      </c>
      <c r="G1920" s="207" t="s">
        <v>262</v>
      </c>
      <c r="H1920" s="331"/>
      <c r="I1920" s="337">
        <f>IF(I1919=0,0,SUMIFS(операции!$AH:$AH,операции!$AB:$AB,"&gt;="&amp;I$8,операции!$AB:$AB,"&lt;="&amp;I$9,операции!$O:$O,$F1866)/I1919)</f>
        <v>42341.20100905162</v>
      </c>
      <c r="J1920" s="333"/>
      <c r="K1920" s="337">
        <f>IF(K1919=0,0,SUMIFS(операции!$AH:$AH,операции!$AB:$AB,"&gt;="&amp;I$8,операции!$AB:$AB,"&lt;="&amp;I$9,операции!$L:$L,K$9,операции!$O:$O,$F1866)/K1919)</f>
        <v>42304.438868097852</v>
      </c>
      <c r="L1920" s="338">
        <f>IF(L1919=0,0,SUMIFS(операции!$AH:$AH,операции!$AB:$AB,"&gt;="&amp;I$8,операции!$AB:$AB,"&lt;="&amp;I$9,операции!$L:$L,L$9,операции!$O:$O,$F1866)/L1919)</f>
        <v>42348.947771162653</v>
      </c>
      <c r="M1920" s="278"/>
      <c r="N1920" s="217">
        <f>IF(N1919=0,0,SUMIFS(операции!$AH:$AH,операции!$AB:$AB,"&gt;="&amp;N$8,операции!$AB:$AB,"&lt;="&amp;N$9,операции!$O:$O,$F1866)/N1919)</f>
        <v>42296.23456508536</v>
      </c>
      <c r="O1920" s="208"/>
      <c r="P1920" s="217">
        <f>IF(P1919=0,0,SUMIFS(операции!$AH:$AH,операции!$AB:$AB,"&gt;="&amp;N$8,операции!$AB:$AB,"&lt;="&amp;N$9,операции!$L:$L,P$9,операции!$O:$O,$F1866)/P1919)</f>
        <v>42293.641243781669</v>
      </c>
      <c r="Q1920" s="249">
        <f>IF(Q1919=0,0,SUMIFS(операции!$AH:$AH,операции!$AB:$AB,"&gt;="&amp;N$8,операции!$AB:$AB,"&lt;="&amp;N$9,операции!$L:$L,Q$9,операции!$O:$O,$F1866)/Q1919)</f>
        <v>42308</v>
      </c>
      <c r="R1920" s="247"/>
      <c r="S1920" s="217">
        <f>IF(S1919=0,0,SUMIFS(операции!$AH:$AH,операции!$AB:$AB,"&gt;="&amp;S$8,операции!$AB:$AB,"&lt;="&amp;S$9,операции!$O:$O,$F1866)/S1919)</f>
        <v>42326.75048957151</v>
      </c>
      <c r="T1920" s="208"/>
      <c r="U1920" s="217">
        <f>IF(U1919=0,0,SUMIFS(операции!$AH:$AH,операции!$AB:$AB,"&gt;="&amp;S$8,операции!$AB:$AB,"&lt;="&amp;S$9,операции!$L:$L,U$9,операции!$O:$O,$F1866)/U1919)</f>
        <v>42316.797324402898</v>
      </c>
      <c r="V1920" s="249">
        <f>IF(V1919=0,0,SUMIFS(операции!$AH:$AH,операции!$AB:$AB,"&gt;="&amp;S$8,операции!$AB:$AB,"&lt;="&amp;S$9,операции!$L:$L,V$9,операции!$O:$O,$F1866)/V1919)</f>
        <v>42330.220461387384</v>
      </c>
      <c r="W1920" s="247"/>
      <c r="X1920" s="217">
        <f>IF(X1919=0,0,SUMIFS(операции!$AH:$AH,операции!$AB:$AB,"&gt;="&amp;X$8,операции!$AB:$AB,"&lt;="&amp;X$9,операции!$O:$O,$F1866)/X1919)</f>
        <v>42354.807773944667</v>
      </c>
      <c r="Y1920" s="208"/>
      <c r="Z1920" s="217">
        <f>IF(Z1919=0,0,SUMIFS(операции!$AH:$AH,операции!$AB:$AB,"&gt;="&amp;X$8,операции!$AB:$AB,"&lt;="&amp;X$9,операции!$L:$L,Z$9,операции!$O:$O,$F1866)/Z1919)</f>
        <v>42360.221376158755</v>
      </c>
      <c r="AA1920" s="249">
        <f>IF(AA1919=0,0,SUMIFS(операции!$AH:$AH,операции!$AB:$AB,"&gt;="&amp;X$8,операции!$AB:$AB,"&lt;="&amp;X$9,операции!$L:$L,AA$9,операции!$O:$O,$F1866)/AA1919)</f>
        <v>42354.722085530921</v>
      </c>
      <c r="AB1920" s="265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37"/>
    </row>
    <row r="1921" spans="1:42" s="111" customFormat="1" ht="11.25">
      <c r="A1921" s="108"/>
      <c r="B1921" s="108"/>
      <c r="C1921" s="209" t="s">
        <v>279</v>
      </c>
      <c r="D1921" s="109"/>
      <c r="E1921" s="109"/>
      <c r="F1921" s="109" t="str">
        <f t="shared" si="3326"/>
        <v>ФорКидс</v>
      </c>
      <c r="G1921" s="109"/>
      <c r="H1921" s="307"/>
      <c r="I1921" s="308">
        <f>I1922-K1922-L1922+K1921+L1921</f>
        <v>2.1827872842550278E-11</v>
      </c>
      <c r="J1921" s="309">
        <f>I1866+I1884-I1891-I1922</f>
        <v>0</v>
      </c>
      <c r="K1921" s="308">
        <f>K1866+K1884-K1891-K1922</f>
        <v>0</v>
      </c>
      <c r="L1921" s="336">
        <f>L1866+L1884-L1891-L1922</f>
        <v>1.8189894035458565E-11</v>
      </c>
      <c r="M1921" s="272"/>
      <c r="N1921" s="110">
        <f>N1922-P1922-Q1922</f>
        <v>-1.8189894035458565E-11</v>
      </c>
      <c r="O1921" s="215">
        <f>N1866+N1884-N1891-N1922</f>
        <v>0</v>
      </c>
      <c r="P1921" s="110">
        <f>P1866+P1884-P1891-P1922</f>
        <v>0</v>
      </c>
      <c r="Q1921" s="248">
        <f>Q1866+Q1884-Q1891-Q1922</f>
        <v>0</v>
      </c>
      <c r="R1921" s="234"/>
      <c r="S1921" s="110">
        <f>S1922-U1922-V1922</f>
        <v>0</v>
      </c>
      <c r="T1921" s="215">
        <f>S1866+S1884-S1891-S1922</f>
        <v>0</v>
      </c>
      <c r="U1921" s="110">
        <f>U1866+U1884-U1891-U1922</f>
        <v>0</v>
      </c>
      <c r="V1921" s="248">
        <f>V1866+V1884-V1891-V1922</f>
        <v>0</v>
      </c>
      <c r="W1921" s="234"/>
      <c r="X1921" s="110">
        <f>X1922-Z1922-AA1922</f>
        <v>0</v>
      </c>
      <c r="Y1921" s="215">
        <f>X1866+X1884-X1891-X1922</f>
        <v>0</v>
      </c>
      <c r="Z1921" s="110">
        <f>Z1866+Z1884-Z1891-Z1922</f>
        <v>0</v>
      </c>
      <c r="AA1921" s="248">
        <f>AA1866+AA1884-AA1891-AA1922</f>
        <v>0</v>
      </c>
      <c r="AB1921" s="263"/>
      <c r="AC1921" s="108"/>
      <c r="AD1921" s="108"/>
      <c r="AE1921" s="108"/>
      <c r="AF1921" s="108"/>
      <c r="AG1921" s="108"/>
      <c r="AH1921" s="108"/>
      <c r="AI1921" s="108"/>
      <c r="AJ1921" s="108"/>
      <c r="AK1921" s="108"/>
      <c r="AL1921" s="108"/>
      <c r="AM1921" s="108"/>
      <c r="AN1921" s="108"/>
      <c r="AO1921" s="108"/>
      <c r="AP1921" s="108"/>
    </row>
    <row r="1922" spans="1:42" s="93" customFormat="1" ht="15">
      <c r="A1922" s="92"/>
      <c r="B1922" s="92"/>
      <c r="C1922" s="214"/>
      <c r="D1922" s="151" t="s">
        <v>238</v>
      </c>
      <c r="E1922" s="151"/>
      <c r="F1922" s="151" t="str">
        <f t="shared" si="3326"/>
        <v>ФорКидс</v>
      </c>
      <c r="G1922" s="151" t="s">
        <v>261</v>
      </c>
      <c r="H1922" s="311"/>
      <c r="I1922" s="312">
        <f>SUMIFS(операции!$V:$V,операции!$T:$T,"&lt;="&amp;I$9,операции!$X:$X,"",операции!$O:$O,$F1866)+SUMIFS(операции!$V:$V,операции!$T:$T,"&lt;="&amp;I$9,операции!$X:$X,"&gt;"&amp;I$9,операции!$O:$O,$F1866)</f>
        <v>108660.28000000001</v>
      </c>
      <c r="J1922" s="313">
        <f>I1922-I1927-I1933</f>
        <v>0</v>
      </c>
      <c r="K1922" s="312">
        <f>SUMIFS(операции!$V:$V,операции!$T:$T,"&lt;="&amp;I$9,операции!$X:$X,"",операции!$L:$L,K$9,операции!$O:$O,$F1866)+SUMIFS(операции!$V:$V,операции!$T:$T,"&lt;="&amp;I$9,операции!$X:$X,"&gt;"&amp;I$9,операции!$L:$L,K$9,операции!$O:$O,$F1866)</f>
        <v>97873.760000000009</v>
      </c>
      <c r="L1922" s="314">
        <f>SUMIFS(операции!$V:$V,операции!$T:$T,"&lt;="&amp;I$9,операции!$X:$X,"",операции!$L:$L,L$9,операции!$O:$O,$F1866)+SUMIFS(операции!$V:$V,операции!$T:$T,"&lt;="&amp;I$9,операции!$X:$X,"&gt;"&amp;I$9,операции!$L:$L,L$9,операции!$O:$O,$F1866)</f>
        <v>10786.52</v>
      </c>
      <c r="M1922" s="273"/>
      <c r="N1922" s="152">
        <f>SUMIFS(операции!$V:$V,операции!$T:$T,"&lt;="&amp;N$9,операции!$X:$X,"",операции!$O:$O,$F1866)+SUMIFS(операции!$V:$V,операции!$T:$T,"&lt;="&amp;N$9,операции!$X:$X,"&gt;"&amp;N$9,операции!$O:$O,$F1866)</f>
        <v>234311.66999999998</v>
      </c>
      <c r="O1922" s="170">
        <f>N1922-N1927-N1933</f>
        <v>0</v>
      </c>
      <c r="P1922" s="152">
        <f>SUMIFS(операции!$V:$V,операции!$T:$T,"&lt;="&amp;N$9,операции!$X:$X,"",операции!$L:$L,P$9,операции!$O:$O,$F1866)+SUMIFS(операции!$V:$V,операции!$T:$T,"&lt;="&amp;N$9,операции!$X:$X,"&gt;"&amp;N$9,операции!$L:$L,P$9,операции!$O:$O,$F1866)</f>
        <v>219768.97</v>
      </c>
      <c r="Q1922" s="235">
        <f>SUMIFS(операции!$V:$V,операции!$T:$T,"&lt;="&amp;N$9,операции!$X:$X,"",операции!$L:$L,Q$9,операции!$O:$O,$F1866)+SUMIFS(операции!$V:$V,операции!$T:$T,"&lt;="&amp;N$9,операции!$X:$X,"&gt;"&amp;N$9,операции!$L:$L,Q$9,операции!$O:$O,$F1866)</f>
        <v>14542.7</v>
      </c>
      <c r="R1922" s="236"/>
      <c r="S1922" s="152">
        <f>SUMIFS(операции!$V:$V,операции!$T:$T,"&lt;="&amp;S$9,операции!$X:$X,"",операции!$O:$O,$F1866)+SUMIFS(операции!$V:$V,операции!$T:$T,"&lt;="&amp;S$9,операции!$X:$X,"&gt;"&amp;S$9,операции!$O:$O,$F1866)</f>
        <v>304061.85000000003</v>
      </c>
      <c r="T1922" s="170">
        <f>S1922-S1927-S1933</f>
        <v>0</v>
      </c>
      <c r="U1922" s="152">
        <f>SUMIFS(операции!$V:$V,операции!$T:$T,"&lt;="&amp;S$9,операции!$X:$X,"",операции!$L:$L,U$9,операции!$O:$O,$F1866)+SUMIFS(операции!$V:$V,операции!$T:$T,"&lt;="&amp;S$9,операции!$X:$X,"&gt;"&amp;S$9,операции!$L:$L,U$9,операции!$O:$O,$F1866)</f>
        <v>129618.96000000002</v>
      </c>
      <c r="V1922" s="235">
        <f>SUMIFS(операции!$V:$V,операции!$T:$T,"&lt;="&amp;S$9,операции!$X:$X,"",операции!$L:$L,V$9,операции!$O:$O,$F1866)+SUMIFS(операции!$V:$V,операции!$T:$T,"&lt;="&amp;S$9,операции!$X:$X,"&gt;"&amp;S$9,операции!$L:$L,V$9,операции!$O:$O,$F1866)</f>
        <v>174442.89</v>
      </c>
      <c r="W1922" s="236"/>
      <c r="X1922" s="152">
        <f>SUMIFS(операции!$V:$V,операции!$T:$T,"&lt;="&amp;X$9,операции!$X:$X,"",операции!$O:$O,$F1866)+SUMIFS(операции!$V:$V,операции!$T:$T,"&lt;="&amp;X$9,операции!$X:$X,"&gt;"&amp;X$9,операции!$O:$O,$F1866)</f>
        <v>108660.28000000001</v>
      </c>
      <c r="Y1922" s="170">
        <f>X1922-X1927-X1933</f>
        <v>0</v>
      </c>
      <c r="Z1922" s="152">
        <f>SUMIFS(операции!$V:$V,операции!$T:$T,"&lt;="&amp;X$9,операции!$X:$X,"",операции!$L:$L,Z$9,операции!$O:$O,$F1866)+SUMIFS(операции!$V:$V,операции!$T:$T,"&lt;="&amp;X$9,операции!$X:$X,"&gt;"&amp;X$9,операции!$L:$L,Z$9,операции!$O:$O,$F1866)</f>
        <v>97873.760000000009</v>
      </c>
      <c r="AA1922" s="235">
        <f>SUMIFS(операции!$V:$V,операции!$T:$T,"&lt;="&amp;X$9,операции!$X:$X,"",операции!$L:$L,AA$9,операции!$O:$O,$F1866)+SUMIFS(операции!$V:$V,операции!$T:$T,"&lt;="&amp;X$9,операции!$X:$X,"&gt;"&amp;X$9,операции!$L:$L,AA$9,операции!$O:$O,$F1866)</f>
        <v>10786.52</v>
      </c>
      <c r="AB1922" s="264"/>
      <c r="AC1922" s="92"/>
      <c r="AD1922" s="92"/>
      <c r="AE1922" s="92"/>
      <c r="AF1922" s="92"/>
      <c r="AG1922" s="92"/>
      <c r="AH1922" s="92"/>
      <c r="AI1922" s="92"/>
      <c r="AJ1922" s="92"/>
      <c r="AK1922" s="92"/>
      <c r="AL1922" s="92"/>
      <c r="AM1922" s="92"/>
      <c r="AN1922" s="92"/>
      <c r="AO1922" s="92"/>
      <c r="AP1922" s="92"/>
    </row>
    <row r="1923" spans="1:42" s="192" customFormat="1" ht="11.25">
      <c r="A1923" s="37"/>
      <c r="B1923" s="37"/>
      <c r="C1923" s="37"/>
      <c r="D1923" s="191" t="s">
        <v>255</v>
      </c>
      <c r="E1923" s="191"/>
      <c r="F1923" s="191" t="str">
        <f t="shared" si="3326"/>
        <v>ФорКидс</v>
      </c>
      <c r="G1923" s="191" t="s">
        <v>262</v>
      </c>
      <c r="H1923" s="315"/>
      <c r="I1923" s="316">
        <f>IF(I1922=0,0,(SUMIFS(операции!$AF:$AF,операции!$T:$T,"&lt;="&amp;I$9,операции!$X:$X,"",операции!$O:$O,$F1866)+SUMIFS(операции!$AF:$AF,операции!$T:$T,"&lt;="&amp;I$9,операции!$X:$X,"&gt;"&amp;I$9,операции!$O:$O,$F1866))/I1922)</f>
        <v>42214.076784911653</v>
      </c>
      <c r="J1923" s="317"/>
      <c r="K1923" s="316">
        <f>IF(K1922=0,0,(SUMIFS(операции!$AF:$AF,операции!$T:$T,"&lt;="&amp;I$9,операции!$X:$X,"",операции!$L:$L,K$9,операции!$O:$O,$F1866)+SUMIFS(операции!$AF:$AF,операции!$T:$T,"&lt;="&amp;I$9,операции!$X:$X,"&gt;"&amp;I$9,операции!$L:$L,K$9,операции!$O:$O,$F1866))/K1922)</f>
        <v>42197.957886873861</v>
      </c>
      <c r="L1923" s="318">
        <f>IF(L1922=0,0,(SUMIFS(операции!$AF:$AF,операции!$T:$T,"&lt;="&amp;I$9,операции!$X:$X,"",операции!$L:$L,L$9,операции!$O:$O,$F1866)+SUMIFS(операции!$AF:$AF,операции!$T:$T,"&lt;="&amp;I$9,операции!$X:$X,"&gt;"&amp;I$9,операции!$L:$L,L$9,операции!$O:$O,$F1866))/L1922)</f>
        <v>42360.334999610626</v>
      </c>
      <c r="M1923" s="274"/>
      <c r="N1923" s="193">
        <f>IF(N1922=0,0,(SUMIFS(операции!$AF:$AF,операции!$T:$T,"&lt;="&amp;N$9,операции!$X:$X,"",операции!$O:$O,$F1866)+SUMIFS(операции!$AF:$AF,операции!$T:$T,"&lt;="&amp;N$9,операции!$X:$X,"&gt;"&amp;N$9,операции!$O:$O,$F1866))/N1922)</f>
        <v>42212.046777140902</v>
      </c>
      <c r="O1923" s="196"/>
      <c r="P1923" s="193">
        <f>IF(P1922=0,0,(SUMIFS(операции!$AF:$AF,операции!$T:$T,"&lt;="&amp;N$9,операции!$X:$X,"",операции!$L:$L,P$9,операции!$O:$O,$F1866)+SUMIFS(операции!$AF:$AF,операции!$T:$T,"&lt;="&amp;N$9,операции!$X:$X,"&gt;"&amp;N$9,операции!$L:$L,P$9,операции!$O:$O,$F1866))/P1922)</f>
        <v>42205.814827134156</v>
      </c>
      <c r="Q1923" s="237">
        <f>IF(Q1922=0,0,(SUMIFS(операции!$AF:$AF,операции!$T:$T,"&lt;="&amp;N$9,операции!$X:$X,"",операции!$L:$L,Q$9,операции!$O:$O,$F1866)+SUMIFS(операции!$AF:$AF,операции!$T:$T,"&lt;="&amp;N$9,операции!$X:$X,"&gt;"&amp;N$9,операции!$L:$L,Q$9,операции!$O:$O,$F1866))/Q1922)</f>
        <v>42306.223871770715</v>
      </c>
      <c r="R1923" s="238"/>
      <c r="S1923" s="193">
        <f>IF(S1922=0,0,(SUMIFS(операции!$AF:$AF,операции!$T:$T,"&lt;="&amp;S$9,операции!$X:$X,"",операции!$O:$O,$F1866)+SUMIFS(операции!$AF:$AF,операции!$T:$T,"&lt;="&amp;S$9,операции!$X:$X,"&gt;"&amp;S$9,операции!$O:$O,$F1866))/S1922)</f>
        <v>42276.011804802205</v>
      </c>
      <c r="T1923" s="196"/>
      <c r="U1923" s="193">
        <f>IF(U1922=0,0,(SUMIFS(операции!$AF:$AF,операции!$T:$T,"&lt;="&amp;S$9,операции!$X:$X,"",операции!$L:$L,U$9,операции!$O:$O,$F1866)+SUMIFS(операции!$AF:$AF,операции!$T:$T,"&lt;="&amp;S$9,операции!$X:$X,"&gt;"&amp;S$9,операции!$L:$L,U$9,операции!$O:$O,$F1866))/U1922)</f>
        <v>42196.066868766728</v>
      </c>
      <c r="V1923" s="237">
        <f>IF(V1922=0,0,(SUMIFS(операции!$AF:$AF,операции!$T:$T,"&lt;="&amp;S$9,операции!$X:$X,"",операции!$L:$L,V$9,операции!$O:$O,$F1866)+SUMIFS(операции!$AF:$AF,операции!$T:$T,"&lt;="&amp;S$9,операции!$X:$X,"&gt;"&amp;S$9,операции!$L:$L,V$9,операции!$O:$O,$F1866))/V1922)</f>
        <v>42335.414509413364</v>
      </c>
      <c r="W1923" s="238"/>
      <c r="X1923" s="193">
        <f>IF(X1922=0,0,(SUMIFS(операции!$AF:$AF,операции!$T:$T,"&lt;="&amp;X$9,операции!$X:$X,"",операции!$O:$O,$F1866)+SUMIFS(операции!$AF:$AF,операции!$T:$T,"&lt;="&amp;X$9,операции!$X:$X,"&gt;"&amp;X$9,операции!$O:$O,$F1866))/X1922)</f>
        <v>42214.076784911653</v>
      </c>
      <c r="Y1923" s="196"/>
      <c r="Z1923" s="193">
        <f>IF(Z1922=0,0,(SUMIFS(операции!$AF:$AF,операции!$T:$T,"&lt;="&amp;X$9,операции!$X:$X,"",операции!$L:$L,Z$9,операции!$O:$O,$F1866)+SUMIFS(операции!$AF:$AF,операции!$T:$T,"&lt;="&amp;X$9,операции!$X:$X,"&gt;"&amp;X$9,операции!$L:$L,Z$9,операции!$O:$O,$F1866))/Z1922)</f>
        <v>42197.957886873861</v>
      </c>
      <c r="AA1923" s="237">
        <f>IF(AA1922=0,0,(SUMIFS(операции!$AF:$AF,операции!$T:$T,"&lt;="&amp;X$9,операции!$X:$X,"",операции!$L:$L,AA$9,операции!$O:$O,$F1866)+SUMIFS(операции!$AF:$AF,операции!$T:$T,"&lt;="&amp;X$9,операции!$X:$X,"&gt;"&amp;X$9,операции!$L:$L,AA$9,операции!$O:$O,$F1866))/AA1922)</f>
        <v>42360.334999610626</v>
      </c>
      <c r="AB1923" s="265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37"/>
    </row>
    <row r="1924" spans="1:42" s="50" customFormat="1" ht="11.25">
      <c r="A1924" s="48"/>
      <c r="B1924" s="48"/>
      <c r="C1924" s="48"/>
      <c r="D1924" s="154" t="s">
        <v>239</v>
      </c>
      <c r="E1924" s="154"/>
      <c r="F1924" s="154" t="str">
        <f t="shared" si="3326"/>
        <v>ФорКидс</v>
      </c>
      <c r="G1924" s="154" t="s">
        <v>219</v>
      </c>
      <c r="H1924" s="319"/>
      <c r="I1924" s="320">
        <f>IF(I1922=0,0,I$9-I1923)</f>
        <v>154.92321508834721</v>
      </c>
      <c r="J1924" s="321">
        <f>I1924-SUMIFS(ПОбТЗ!$I:$I,ПОбТЗ!$E:$E,$D1924,ПОбТЗ!$F:$F,$F1924)</f>
        <v>0</v>
      </c>
      <c r="K1924" s="320">
        <f>IF(K1922=0,0,I$9-K1923)</f>
        <v>171.04211312613916</v>
      </c>
      <c r="L1924" s="322">
        <f>IF(L1922=0,0,I$9-L1923)</f>
        <v>8.6650003893737448</v>
      </c>
      <c r="M1924" s="275"/>
      <c r="N1924" s="155">
        <f>IF(N1922=0,0,N$9-N1923)</f>
        <v>95.953222859097878</v>
      </c>
      <c r="O1924" s="173">
        <f>N1924-SUMIFS(ПОбТЗ_3!$J:$J,ПОбТЗ_3!$D:$D,$D1924,ПОбТЗ_3!$E:$E,$F1924)</f>
        <v>0</v>
      </c>
      <c r="P1924" s="155">
        <f>IF(P1922=0,0,N$9-P1923)</f>
        <v>102.18517286584392</v>
      </c>
      <c r="Q1924" s="239">
        <f>IF(Q1922=0,0,N$9-Q1923)</f>
        <v>1.7761282292849501</v>
      </c>
      <c r="R1924" s="240"/>
      <c r="S1924" s="155">
        <f>IF(S1922=0,0,S$9-S1923)</f>
        <v>61.988195197794994</v>
      </c>
      <c r="T1924" s="173">
        <f>S1924-SUMIFS(ПОбТЗ_3!$K:$K,ПОбТЗ_3!$D:$D,$D1924,ПОбТЗ_3!$E:$E,$F1924)</f>
        <v>0</v>
      </c>
      <c r="U1924" s="155">
        <f>IF(U1922=0,0,S$9-U1923)</f>
        <v>141.93313123327243</v>
      </c>
      <c r="V1924" s="239">
        <f>IF(V1922=0,0,S$9-V1923)</f>
        <v>2.5854905866362969</v>
      </c>
      <c r="W1924" s="240"/>
      <c r="X1924" s="155">
        <f>IF(X1922=0,0,X$9-X1923)</f>
        <v>154.92321508834721</v>
      </c>
      <c r="Y1924" s="173">
        <f>X1924-SUMIFS(ПОбТЗ_3!$L:$L,ПОбТЗ_3!$D:$D,$D1924,ПОбТЗ_3!$E:$E,$F1924)</f>
        <v>0</v>
      </c>
      <c r="Z1924" s="155">
        <f>IF(Z1922=0,0,X$9-Z1923)</f>
        <v>171.04211312613916</v>
      </c>
      <c r="AA1924" s="239">
        <f>IF(AA1922=0,0,X$9-AA1923)</f>
        <v>8.6650003893737448</v>
      </c>
      <c r="AB1924" s="230"/>
      <c r="AC1924" s="48"/>
      <c r="AD1924" s="48"/>
      <c r="AE1924" s="48"/>
      <c r="AF1924" s="48"/>
      <c r="AG1924" s="48"/>
      <c r="AH1924" s="48"/>
      <c r="AI1924" s="48"/>
      <c r="AJ1924" s="48"/>
      <c r="AK1924" s="48"/>
      <c r="AL1924" s="48"/>
      <c r="AM1924" s="48"/>
      <c r="AN1924" s="48"/>
      <c r="AO1924" s="48"/>
      <c r="AP1924" s="48"/>
    </row>
    <row r="1925" spans="1:42" s="93" customFormat="1" ht="15">
      <c r="A1925" s="92"/>
      <c r="B1925" s="92"/>
      <c r="C1925" s="92"/>
      <c r="D1925" s="198" t="s">
        <v>280</v>
      </c>
      <c r="E1925" s="198"/>
      <c r="F1925" s="198" t="str">
        <f t="shared" si="3326"/>
        <v>ФорКидс</v>
      </c>
      <c r="G1925" s="198" t="s">
        <v>219</v>
      </c>
      <c r="H1925" s="323"/>
      <c r="I1925" s="324">
        <f>IF(I1922=0,0,(I1927*I1931+I1933*I1937)/I1922)</f>
        <v>36.646709634837364</v>
      </c>
      <c r="J1925" s="321"/>
      <c r="K1925" s="324">
        <f>IF(K1922=0,0,(K1927*K1931+K1933*K1937)/K1922)</f>
        <v>39.730531758463272</v>
      </c>
      <c r="L1925" s="325">
        <f>IF(L1922=0,0,(L1927*L1931+L1933*L1937)/L1922)</f>
        <v>8.6650003893737448</v>
      </c>
      <c r="M1925" s="276"/>
      <c r="N1925" s="199">
        <f>IF(N1922=0,0,(N1927*N1931+N1933*N1937)/N1922)</f>
        <v>37.276989106007029</v>
      </c>
      <c r="O1925" s="173"/>
      <c r="P1925" s="199">
        <f>IF(P1922=0,0,(P1927*P1931+P1933*P1937)/P1922)</f>
        <v>39.626175933755533</v>
      </c>
      <c r="Q1925" s="241">
        <f>IF(Q1922=0,0,(Q1927*Q1931+Q1933*Q1937)/Q1922)</f>
        <v>1.7761282292849501</v>
      </c>
      <c r="R1925" s="242"/>
      <c r="S1925" s="199">
        <f>IF(S1922=0,0,(S1927*S1931+S1933*S1937)/S1922)</f>
        <v>20.607246519091966</v>
      </c>
      <c r="T1925" s="173"/>
      <c r="U1925" s="199">
        <f>IF(U1922=0,0,(U1927*U1931+U1933*U1937)/U1922)</f>
        <v>44.861161129523396</v>
      </c>
      <c r="V1925" s="241">
        <f>IF(V1922=0,0,(V1927*V1931+V1933*V1937)/V1922)</f>
        <v>2.5854905866362969</v>
      </c>
      <c r="W1925" s="242"/>
      <c r="X1925" s="199">
        <f>IF(X1922=0,0,(X1927*X1931+X1933*X1937)/X1922)</f>
        <v>36.646709634837364</v>
      </c>
      <c r="Y1925" s="173"/>
      <c r="Z1925" s="199">
        <f>IF(Z1922=0,0,(Z1927*Z1931+Z1933*Z1937)/Z1922)</f>
        <v>39.730531758463272</v>
      </c>
      <c r="AA1925" s="241">
        <f>IF(AA1922=0,0,(AA1927*AA1931+AA1933*AA1937)/AA1922)</f>
        <v>8.6650003893737448</v>
      </c>
      <c r="AB1925" s="264"/>
      <c r="AC1925" s="92"/>
      <c r="AD1925" s="92"/>
      <c r="AE1925" s="92"/>
      <c r="AF1925" s="92"/>
      <c r="AG1925" s="92"/>
      <c r="AH1925" s="92"/>
      <c r="AI1925" s="92"/>
      <c r="AJ1925" s="92"/>
      <c r="AK1925" s="92"/>
      <c r="AL1925" s="92"/>
      <c r="AM1925" s="92"/>
      <c r="AN1925" s="92"/>
      <c r="AO1925" s="92"/>
      <c r="AP1925" s="92"/>
    </row>
    <row r="1926" spans="1:42" s="50" customFormat="1" ht="11.25">
      <c r="A1926" s="48"/>
      <c r="B1926" s="48"/>
      <c r="C1926" s="48"/>
      <c r="D1926" s="154" t="s">
        <v>281</v>
      </c>
      <c r="E1926" s="154"/>
      <c r="F1926" s="154" t="str">
        <f t="shared" si="3326"/>
        <v>ФорКидс</v>
      </c>
      <c r="G1926" s="154" t="s">
        <v>219</v>
      </c>
      <c r="H1926" s="319"/>
      <c r="I1926" s="320">
        <f>I1924-I1925</f>
        <v>118.27650545350984</v>
      </c>
      <c r="J1926" s="321"/>
      <c r="K1926" s="320">
        <f>K1924-K1925</f>
        <v>131.3115813676759</v>
      </c>
      <c r="L1926" s="322">
        <f>L1924-L1925</f>
        <v>0</v>
      </c>
      <c r="M1926" s="275"/>
      <c r="N1926" s="155">
        <f>N1924-N1925</f>
        <v>58.676233753090848</v>
      </c>
      <c r="O1926" s="173"/>
      <c r="P1926" s="155">
        <f>P1924-P1925</f>
        <v>62.558996932088391</v>
      </c>
      <c r="Q1926" s="239">
        <f>Q1924-Q1925</f>
        <v>0</v>
      </c>
      <c r="R1926" s="240"/>
      <c r="S1926" s="155">
        <f>S1924-S1925</f>
        <v>41.380948678703028</v>
      </c>
      <c r="T1926" s="173"/>
      <c r="U1926" s="155">
        <f>U1924-U1925</f>
        <v>97.071970103749038</v>
      </c>
      <c r="V1926" s="239">
        <f>V1924-V1925</f>
        <v>0</v>
      </c>
      <c r="W1926" s="240"/>
      <c r="X1926" s="155">
        <f>X1924-X1925</f>
        <v>118.27650545350984</v>
      </c>
      <c r="Y1926" s="173"/>
      <c r="Z1926" s="155">
        <f>Z1924-Z1925</f>
        <v>131.3115813676759</v>
      </c>
      <c r="AA1926" s="239">
        <f>AA1924-AA1925</f>
        <v>0</v>
      </c>
      <c r="AB1926" s="230"/>
      <c r="AC1926" s="48"/>
      <c r="AD1926" s="48"/>
      <c r="AE1926" s="48"/>
      <c r="AF1926" s="48"/>
      <c r="AG1926" s="48"/>
      <c r="AH1926" s="48"/>
      <c r="AI1926" s="48"/>
      <c r="AJ1926" s="48"/>
      <c r="AK1926" s="48"/>
      <c r="AL1926" s="48"/>
      <c r="AM1926" s="48"/>
      <c r="AN1926" s="48"/>
      <c r="AO1926" s="48"/>
      <c r="AP1926" s="48"/>
    </row>
    <row r="1927" spans="1:42" s="5" customFormat="1">
      <c r="A1927" s="1"/>
      <c r="B1927" s="1"/>
      <c r="C1927" s="1"/>
      <c r="D1927" s="168"/>
      <c r="E1927" s="168" t="s">
        <v>282</v>
      </c>
      <c r="F1927" s="168" t="str">
        <f t="shared" si="3326"/>
        <v>ФорКидс</v>
      </c>
      <c r="G1927" s="168" t="s">
        <v>261</v>
      </c>
      <c r="H1927" s="326"/>
      <c r="I1927" s="327">
        <f>SUMIFS(операции!$V:$V,операции!$T:$T,"&lt;="&amp;I$9,операции!$X:$X,"",операции!$AB:$AB,"&lt;&gt;"&amp;"",операции!$AB:$AB,"&lt;="&amp;I$9,операции!$O:$O,$F1866)+SUMIFS(операции!$V:$V,операции!$T:$T,"&lt;="&amp;I$9,операции!$X:$X,"&gt;"&amp;I$9,операции!$AB:$AB,"&lt;&gt;"&amp;"",операции!$AB:$AB,"&lt;="&amp;I$9,операции!$O:$O,$F1866)</f>
        <v>82145.649999999994</v>
      </c>
      <c r="J1927" s="313">
        <f>I1927-K1927-L1927</f>
        <v>0</v>
      </c>
      <c r="K1927" s="327">
        <f>SUMIFS(операции!$V:$V,операции!$T:$T,"&lt;="&amp;I$9,операции!$X:$X,"",операции!$AB:$AB,"&lt;&gt;"&amp;"",операции!$AB:$AB,"&lt;="&amp;I$9,операции!$L:$L,K$9,операции!$O:$O,$F1866)+SUMIFS(операции!$V:$V,операции!$T:$T,"&lt;="&amp;I$9,операции!$X:$X,"&gt;"&amp;I$9,операции!$AB:$AB,"&lt;&gt;"&amp;"",операции!$AB:$AB,"&lt;="&amp;I$9,операции!$L:$L,K$9,операции!$O:$O,$F1866)</f>
        <v>82145.649999999994</v>
      </c>
      <c r="L1927" s="328">
        <f>SUMIFS(операции!$V:$V,операции!$T:$T,"&lt;="&amp;I$9,операции!$X:$X,"",операции!$AB:$AB,"&lt;&gt;"&amp;"",операции!$AB:$AB,"&lt;="&amp;I$9,операции!$L:$L,L$9,операции!$O:$O,$F1866)+SUMIFS(операции!$V:$V,операции!$T:$T,"&lt;="&amp;I$9,операции!$X:$X,"&gt;"&amp;I$9,операции!$AB:$AB,"&lt;&gt;"&amp;"",операции!$AB:$AB,"&lt;="&amp;I$9,операции!$L:$L,L$9,операции!$O:$O,$F1866)</f>
        <v>0</v>
      </c>
      <c r="M1927" s="277"/>
      <c r="N1927" s="169">
        <f>SUMIFS(операции!$V:$V,операции!$T:$T,"&lt;="&amp;N$9,операции!$X:$X,"",операции!$AB:$AB,"&lt;&gt;"&amp;"",операции!$AB:$AB,"&lt;="&amp;N$9,операции!$O:$O,$F1866)+SUMIFS(операции!$V:$V,операции!$T:$T,"&lt;="&amp;N$9,операции!$X:$X,"&gt;"&amp;N$9,операции!$AB:$AB,"&lt;&gt;"&amp;"",операции!$AB:$AB,"&lt;="&amp;N$9,операции!$O:$O,$F1866)</f>
        <v>155660.65999999997</v>
      </c>
      <c r="O1927" s="170">
        <f>N1927-P1927-Q1927</f>
        <v>0</v>
      </c>
      <c r="P1927" s="169">
        <f>SUMIFS(операции!$V:$V,операции!$T:$T,"&lt;="&amp;N$9,операции!$X:$X,"",операции!$AB:$AB,"&lt;&gt;"&amp;"",операции!$AB:$AB,"&lt;="&amp;N$9,операции!$L:$L,P$9,операции!$O:$O,$F1866)+SUMIFS(операции!$V:$V,операции!$T:$T,"&lt;="&amp;N$9,операции!$X:$X,"&gt;"&amp;N$9,операции!$AB:$AB,"&lt;&gt;"&amp;"",операции!$AB:$AB,"&lt;="&amp;N$9,операции!$L:$L,P$9,операции!$O:$O,$F1866)</f>
        <v>155660.65999999997</v>
      </c>
      <c r="Q1927" s="243">
        <f>SUMIFS(операции!$V:$V,операции!$T:$T,"&lt;="&amp;N$9,операции!$X:$X,"",операции!$AB:$AB,"&lt;&gt;"&amp;"",операции!$AB:$AB,"&lt;="&amp;N$9,операции!$L:$L,Q$9,операции!$O:$O,$F1866)+SUMIFS(операции!$V:$V,операции!$T:$T,"&lt;="&amp;N$9,операции!$X:$X,"&gt;"&amp;N$9,операции!$AB:$AB,"&lt;&gt;"&amp;"",операции!$AB:$AB,"&lt;="&amp;N$9,операции!$L:$L,Q$9,операции!$O:$O,$F1866)</f>
        <v>0</v>
      </c>
      <c r="R1927" s="244"/>
      <c r="S1927" s="169">
        <f>SUMIFS(операции!$V:$V,операции!$T:$T,"&lt;="&amp;S$9,операции!$X:$X,"",операции!$AB:$AB,"&lt;&gt;"&amp;"",операции!$AB:$AB,"&lt;="&amp;S$9,операции!$O:$O,$F1866)+SUMIFS(операции!$V:$V,операции!$T:$T,"&lt;="&amp;S$9,операции!$X:$X,"&gt;"&amp;S$9,операции!$AB:$AB,"&lt;&gt;"&amp;"",операции!$AB:$AB,"&lt;="&amp;S$9,операции!$O:$O,$F1866)</f>
        <v>103174.73999999999</v>
      </c>
      <c r="T1927" s="170">
        <f>S1927-U1927-V1927</f>
        <v>0</v>
      </c>
      <c r="U1927" s="169">
        <f>SUMIFS(операции!$V:$V,операции!$T:$T,"&lt;="&amp;S$9,операции!$X:$X,"",операции!$AB:$AB,"&lt;&gt;"&amp;"",операции!$AB:$AB,"&lt;="&amp;S$9,операции!$L:$L,U$9,операции!$O:$O,$F1866)+SUMIFS(операции!$V:$V,операции!$T:$T,"&lt;="&amp;S$9,операции!$X:$X,"&gt;"&amp;S$9,операции!$AB:$AB,"&lt;&gt;"&amp;"",операции!$AB:$AB,"&lt;="&amp;S$9,операции!$L:$L,U$9,операции!$O:$O,$F1866)</f>
        <v>103174.73999999999</v>
      </c>
      <c r="V1927" s="243">
        <f>SUMIFS(операции!$V:$V,операции!$T:$T,"&lt;="&amp;S$9,операции!$X:$X,"",операции!$AB:$AB,"&lt;&gt;"&amp;"",операции!$AB:$AB,"&lt;="&amp;S$9,операции!$L:$L,V$9,операции!$O:$O,$F1866)+SUMIFS(операции!$V:$V,операции!$T:$T,"&lt;="&amp;S$9,операции!$X:$X,"&gt;"&amp;S$9,операции!$AB:$AB,"&lt;&gt;"&amp;"",операции!$AB:$AB,"&lt;="&amp;S$9,операции!$L:$L,V$9,операции!$O:$O,$F1866)</f>
        <v>0</v>
      </c>
      <c r="W1927" s="244"/>
      <c r="X1927" s="169">
        <f>SUMIFS(операции!$V:$V,операции!$T:$T,"&lt;="&amp;X$9,операции!$X:$X,"",операции!$AB:$AB,"&lt;&gt;"&amp;"",операции!$AB:$AB,"&lt;="&amp;X$9,операции!$O:$O,$F1866)+SUMIFS(операции!$V:$V,операции!$T:$T,"&lt;="&amp;X$9,операции!$X:$X,"&gt;"&amp;X$9,операции!$AB:$AB,"&lt;&gt;"&amp;"",операции!$AB:$AB,"&lt;="&amp;X$9,операции!$O:$O,$F1866)</f>
        <v>82145.649999999994</v>
      </c>
      <c r="Y1927" s="170">
        <f>X1927-Z1927-AA1927</f>
        <v>0</v>
      </c>
      <c r="Z1927" s="169">
        <f>SUMIFS(операции!$V:$V,операции!$T:$T,"&lt;="&amp;X$9,операции!$X:$X,"",операции!$AB:$AB,"&lt;&gt;"&amp;"",операции!$AB:$AB,"&lt;="&amp;X$9,операции!$L:$L,Z$9,операции!$O:$O,$F1866)+SUMIFS(операции!$V:$V,операции!$T:$T,"&lt;="&amp;X$9,операции!$X:$X,"&gt;"&amp;X$9,операции!$AB:$AB,"&lt;&gt;"&amp;"",операции!$AB:$AB,"&lt;="&amp;X$9,операции!$L:$L,Z$9,операции!$O:$O,$F1866)</f>
        <v>82145.649999999994</v>
      </c>
      <c r="AA1927" s="243">
        <f>SUMIFS(операции!$V:$V,операции!$T:$T,"&lt;="&amp;X$9,операции!$X:$X,"",операции!$AB:$AB,"&lt;&gt;"&amp;"",операции!$AB:$AB,"&lt;="&amp;X$9,операции!$L:$L,AA$9,операции!$O:$O,$F1866)+SUMIFS(операции!$V:$V,операции!$T:$T,"&lt;="&amp;X$9,операции!$X:$X,"&gt;"&amp;X$9,операции!$AB:$AB,"&lt;&gt;"&amp;"",операции!$AB:$AB,"&lt;="&amp;X$9,операции!$L:$L,AA$9,операции!$O:$O,$F1866)</f>
        <v>0</v>
      </c>
      <c r="AB1927" s="266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</row>
    <row r="1928" spans="1:42" s="192" customFormat="1" ht="11.25">
      <c r="A1928" s="37"/>
      <c r="B1928" s="37"/>
      <c r="C1928" s="37"/>
      <c r="D1928" s="191"/>
      <c r="E1928" s="191" t="s">
        <v>255</v>
      </c>
      <c r="F1928" s="191" t="str">
        <f t="shared" si="3326"/>
        <v>ФорКидс</v>
      </c>
      <c r="G1928" s="191" t="s">
        <v>262</v>
      </c>
      <c r="H1928" s="315"/>
      <c r="I1928" s="316">
        <f>IF(I1927=0,0,(SUMIFS(операции!$AF:$AF,операции!$T:$T,"&lt;="&amp;I$9,операции!$X:$X,"",операции!$AB:$AB,"&lt;&gt;"&amp;"",операции!$AB:$AB,"&lt;="&amp;I$9,операции!$O:$O,$F1866)+SUMIFS(операции!$AF:$AF,операции!$T:$T,"&lt;="&amp;I$9,операции!$X:$X,"&gt;"&amp;I$9,операции!$AB:$AB,"&lt;&gt;"&amp;"",операции!$AB:$AB,"&lt;="&amp;I$9,операции!$O:$O,$F1866))/I1927)</f>
        <v>42185.571237186632</v>
      </c>
      <c r="J1928" s="317"/>
      <c r="K1928" s="316">
        <f>IF(K1927=0,0,(SUMIFS(операции!$AF:$AF,операции!$T:$T,"&lt;="&amp;I$9,операции!$X:$X,"",операции!$AB:$AB,"&lt;&gt;"&amp;"",операции!$AB:$AB,"&lt;="&amp;I$9,операции!$L:$L,K$9,операции!$O:$O,$F1866)+SUMIFS(операции!$AF:$AF,операции!$T:$T,"&lt;="&amp;I$9,операции!$X:$X,"&gt;"&amp;I$9,операции!$AB:$AB,"&lt;&gt;"&amp;"",операции!$AB:$AB,"&lt;="&amp;I$9,операции!$L:$L,K$9,операции!$O:$O,$F1866))/K1927)</f>
        <v>42185.571237186632</v>
      </c>
      <c r="L1928" s="318">
        <f>IF(L1927=0,0,(SUMIFS(операции!$AF:$AF,операции!$T:$T,"&lt;="&amp;I$9,операции!$X:$X,"",операции!$AB:$AB,"&lt;&gt;"&amp;"",операции!$AB:$AB,"&lt;="&amp;I$9,операции!$L:$L,L$9,операции!$O:$O,$F1866)+SUMIFS(операции!$AF:$AF,операции!$T:$T,"&lt;="&amp;I$9,операции!$X:$X,"&gt;"&amp;I$9,операции!$AB:$AB,"&lt;&gt;"&amp;"",операции!$AB:$AB,"&lt;="&amp;I$9,операции!$L:$L,L$9,операции!$O:$O,$F1866))/L1927)</f>
        <v>0</v>
      </c>
      <c r="M1928" s="274"/>
      <c r="N1928" s="193">
        <f>IF(N1927=0,0,(SUMIFS(операции!$AF:$AF,операции!$T:$T,"&lt;="&amp;N$9,операции!$X:$X,"",операции!$AB:$AB,"&lt;&gt;"&amp;"",операции!$AB:$AB,"&lt;="&amp;N$9,операции!$O:$O,$F1866)+SUMIFS(операции!$AF:$AF,операции!$T:$T,"&lt;="&amp;N$9,операции!$X:$X,"&gt;"&amp;N$9,операции!$AB:$AB,"&lt;&gt;"&amp;"",операции!$AB:$AB,"&lt;="&amp;N$9,операции!$O:$O,$F1866))/N1927)</f>
        <v>42192.570197055575</v>
      </c>
      <c r="O1928" s="196"/>
      <c r="P1928" s="193">
        <f>IF(P1927=0,0,(SUMIFS(операции!$AF:$AF,операции!$T:$T,"&lt;="&amp;N$9,операции!$X:$X,"",операции!$AB:$AB,"&lt;&gt;"&amp;"",операции!$AB:$AB,"&lt;="&amp;N$9,операции!$L:$L,P$9,операции!$O:$O,$F1866)+SUMIFS(операции!$AF:$AF,операции!$T:$T,"&lt;="&amp;N$9,операции!$X:$X,"&gt;"&amp;N$9,операции!$AB:$AB,"&lt;&gt;"&amp;"",операции!$AB:$AB,"&lt;="&amp;N$9,операции!$L:$L,P$9,операции!$O:$O,$F1866))/P1927)</f>
        <v>42192.570197055575</v>
      </c>
      <c r="Q1928" s="237">
        <f>IF(Q1927=0,0,(SUMIFS(операции!$AF:$AF,операции!$T:$T,"&lt;="&amp;N$9,операции!$X:$X,"",операции!$AB:$AB,"&lt;&gt;"&amp;"",операции!$AB:$AB,"&lt;="&amp;N$9,операции!$L:$L,Q$9,операции!$O:$O,$F1866)+SUMIFS(операции!$AF:$AF,операции!$T:$T,"&lt;="&amp;N$9,операции!$X:$X,"&gt;"&amp;N$9,операции!$AB:$AB,"&lt;&gt;"&amp;"",операции!$AB:$AB,"&lt;="&amp;N$9,операции!$L:$L,Q$9,операции!$O:$O,$F1866))/Q1927)</f>
        <v>0</v>
      </c>
      <c r="R1928" s="238"/>
      <c r="S1928" s="193">
        <f>IF(S1927=0,0,(SUMIFS(операции!$AF:$AF,операции!$T:$T,"&lt;="&amp;S$9,операции!$X:$X,"",операции!$AB:$AB,"&lt;&gt;"&amp;"",операции!$AB:$AB,"&lt;="&amp;S$9,операции!$O:$O,$F1866)+SUMIFS(операции!$AF:$AF,операции!$T:$T,"&lt;="&amp;S$9,операции!$X:$X,"&gt;"&amp;S$9,операции!$AB:$AB,"&lt;&gt;"&amp;"",операции!$AB:$AB,"&lt;="&amp;S$9,операции!$O:$O,$F1866))/S1927)</f>
        <v>42186.857378753753</v>
      </c>
      <c r="T1928" s="196"/>
      <c r="U1928" s="193">
        <f>IF(U1927=0,0,(SUMIFS(операции!$AF:$AF,операции!$T:$T,"&lt;="&amp;S$9,операции!$X:$X,"",операции!$AB:$AB,"&lt;&gt;"&amp;"",операции!$AB:$AB,"&lt;="&amp;S$9,операции!$L:$L,U$9,операции!$O:$O,$F1866)+SUMIFS(операции!$AF:$AF,операции!$T:$T,"&lt;="&amp;S$9,операции!$X:$X,"&gt;"&amp;S$9,операции!$AB:$AB,"&lt;&gt;"&amp;"",операции!$AB:$AB,"&lt;="&amp;S$9,операции!$L:$L,U$9,операции!$O:$O,$F1866))/U1927)</f>
        <v>42186.857378753753</v>
      </c>
      <c r="V1928" s="237">
        <f>IF(V1927=0,0,(SUMIFS(операции!$AF:$AF,операции!$T:$T,"&lt;="&amp;S$9,операции!$X:$X,"",операции!$AB:$AB,"&lt;&gt;"&amp;"",операции!$AB:$AB,"&lt;="&amp;S$9,операции!$L:$L,V$9,операции!$O:$O,$F1866)+SUMIFS(операции!$AF:$AF,операции!$T:$T,"&lt;="&amp;S$9,операции!$X:$X,"&gt;"&amp;S$9,операции!$AB:$AB,"&lt;&gt;"&amp;"",операции!$AB:$AB,"&lt;="&amp;S$9,операции!$L:$L,V$9,операции!$O:$O,$F1866))/V1927)</f>
        <v>0</v>
      </c>
      <c r="W1928" s="238"/>
      <c r="X1928" s="193">
        <f>IF(X1927=0,0,(SUMIFS(операции!$AF:$AF,операции!$T:$T,"&lt;="&amp;X$9,операции!$X:$X,"",операции!$AB:$AB,"&lt;&gt;"&amp;"",операции!$AB:$AB,"&lt;="&amp;X$9,операции!$O:$O,$F1866)+SUMIFS(операции!$AF:$AF,операции!$T:$T,"&lt;="&amp;X$9,операции!$X:$X,"&gt;"&amp;X$9,операции!$AB:$AB,"&lt;&gt;"&amp;"",операции!$AB:$AB,"&lt;="&amp;X$9,операции!$O:$O,$F1866))/X1927)</f>
        <v>42185.571237186632</v>
      </c>
      <c r="Y1928" s="196"/>
      <c r="Z1928" s="193">
        <f>IF(Z1927=0,0,(SUMIFS(операции!$AF:$AF,операции!$T:$T,"&lt;="&amp;X$9,операции!$X:$X,"",операции!$AB:$AB,"&lt;&gt;"&amp;"",операции!$AB:$AB,"&lt;="&amp;X$9,операции!$L:$L,Z$9,операции!$O:$O,$F1866)+SUMIFS(операции!$AF:$AF,операции!$T:$T,"&lt;="&amp;X$9,операции!$X:$X,"&gt;"&amp;X$9,операции!$AB:$AB,"&lt;&gt;"&amp;"",операции!$AB:$AB,"&lt;="&amp;X$9,операции!$L:$L,Z$9,операции!$O:$O,$F1866))/Z1927)</f>
        <v>42185.571237186632</v>
      </c>
      <c r="AA1928" s="237">
        <f>IF(AA1927=0,0,(SUMIFS(операции!$AF:$AF,операции!$T:$T,"&lt;="&amp;X$9,операции!$X:$X,"",операции!$AB:$AB,"&lt;&gt;"&amp;"",операции!$AB:$AB,"&lt;="&amp;X$9,операции!$L:$L,AA$9,операции!$O:$O,$F1866)+SUMIFS(операции!$AF:$AF,операции!$T:$T,"&lt;="&amp;X$9,операции!$X:$X,"&gt;"&amp;X$9,операции!$AB:$AB,"&lt;&gt;"&amp;"",операции!$AB:$AB,"&lt;="&amp;X$9,операции!$L:$L,AA$9,операции!$O:$O,$F1866))/AA1927)</f>
        <v>0</v>
      </c>
      <c r="AB1928" s="265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37"/>
    </row>
    <row r="1929" spans="1:42" s="192" customFormat="1" ht="11.25">
      <c r="A1929" s="37"/>
      <c r="B1929" s="37"/>
      <c r="C1929" s="37"/>
      <c r="D1929" s="191"/>
      <c r="E1929" s="191" t="s">
        <v>283</v>
      </c>
      <c r="F1929" s="191" t="str">
        <f t="shared" si="3326"/>
        <v>ФорКидс</v>
      </c>
      <c r="G1929" s="191" t="s">
        <v>219</v>
      </c>
      <c r="H1929" s="315"/>
      <c r="I1929" s="329">
        <f>IF(I1927=0,0,I$9-I1928)</f>
        <v>183.42876281336794</v>
      </c>
      <c r="J1929" s="317"/>
      <c r="K1929" s="329">
        <f>IF(K1927=0,0,I$9-K1928)</f>
        <v>183.42876281336794</v>
      </c>
      <c r="L1929" s="330">
        <f>IF(L1927=0,0,I$9-L1928)</f>
        <v>0</v>
      </c>
      <c r="M1929" s="274"/>
      <c r="N1929" s="156">
        <f>IF(N1927=0,0,N$9-N1928)</f>
        <v>115.42980294442532</v>
      </c>
      <c r="O1929" s="196"/>
      <c r="P1929" s="156">
        <f>IF(P1927=0,0,N$9-P1928)</f>
        <v>115.42980294442532</v>
      </c>
      <c r="Q1929" s="245">
        <f>IF(Q1927=0,0,N$9-Q1928)</f>
        <v>0</v>
      </c>
      <c r="R1929" s="238"/>
      <c r="S1929" s="156">
        <f>IF(S1927=0,0,S$9-S1928)</f>
        <v>151.14262124624656</v>
      </c>
      <c r="T1929" s="196"/>
      <c r="U1929" s="156">
        <f>IF(U1927=0,0,S$9-U1928)</f>
        <v>151.14262124624656</v>
      </c>
      <c r="V1929" s="245">
        <f>IF(V1927=0,0,S$9-V1928)</f>
        <v>0</v>
      </c>
      <c r="W1929" s="238"/>
      <c r="X1929" s="156">
        <f>IF(X1927=0,0,X$9-X1928)</f>
        <v>183.42876281336794</v>
      </c>
      <c r="Y1929" s="196"/>
      <c r="Z1929" s="156">
        <f>IF(Z1927=0,0,X$9-Z1928)</f>
        <v>183.42876281336794</v>
      </c>
      <c r="AA1929" s="245">
        <f>IF(AA1927=0,0,X$9-AA1928)</f>
        <v>0</v>
      </c>
      <c r="AB1929" s="265"/>
      <c r="AC1929" s="37"/>
      <c r="AD1929" s="37"/>
      <c r="AE1929" s="37"/>
      <c r="AF1929" s="37"/>
      <c r="AG1929" s="37"/>
      <c r="AH1929" s="37"/>
      <c r="AI1929" s="37"/>
      <c r="AJ1929" s="37"/>
      <c r="AK1929" s="37"/>
      <c r="AL1929" s="37"/>
      <c r="AM1929" s="37"/>
      <c r="AN1929" s="37"/>
      <c r="AO1929" s="37"/>
      <c r="AP1929" s="37"/>
    </row>
    <row r="1930" spans="1:42" s="192" customFormat="1" ht="11.25">
      <c r="A1930" s="37"/>
      <c r="B1930" s="37"/>
      <c r="C1930" s="37"/>
      <c r="D1930" s="191"/>
      <c r="E1930" s="191" t="s">
        <v>259</v>
      </c>
      <c r="F1930" s="191" t="str">
        <f t="shared" si="3326"/>
        <v>ФорКидс</v>
      </c>
      <c r="G1930" s="191" t="s">
        <v>262</v>
      </c>
      <c r="H1930" s="315"/>
      <c r="I1930" s="316">
        <f>IF(I1927=0,0,(SUMIFS(операции!$AH:$AH,операции!$T:$T,"&lt;="&amp;I$9,операции!$X:$X,"",операции!$AB:$AB,"&lt;&gt;"&amp;"",операции!$AB:$AB,"&lt;="&amp;I$9,операции!$O:$O,$F1866)+SUMIFS(операции!$AH:$AH,операции!$T:$T,"&lt;="&amp;I$9,операции!$X:$X,"&gt;"&amp;I$9,операции!$AB:$AB,"&lt;&gt;"&amp;"",операции!$AB:$AB,"&lt;="&amp;I$9,операции!$O:$O,$F1866))/I1927)</f>
        <v>42212.546697847058</v>
      </c>
      <c r="J1930" s="317"/>
      <c r="K1930" s="316">
        <f>IF(K1927=0,0,(SUMIFS(операции!$AH:$AH,операции!$T:$T,"&lt;="&amp;I$9,операции!$X:$X,"",операции!$AB:$AB,"&lt;&gt;"&amp;"",операции!$AB:$AB,"&lt;="&amp;I$9,операции!$L:$L,K$9,операции!$O:$O,$F1866)+SUMIFS(операции!$AH:$AH,операции!$T:$T,"&lt;="&amp;I$9,операции!$X:$X,"&gt;"&amp;I$9,операции!$AB:$AB,"&lt;&gt;"&amp;"",операции!$AB:$AB,"&lt;="&amp;I$9,операции!$L:$L,K$9,операции!$O:$O,$F1866))/K1927)</f>
        <v>42212.546697847058</v>
      </c>
      <c r="L1930" s="318">
        <f>IF(L1927=0,0,(SUMIFS(операции!$AH:$AH,операции!$T:$T,"&lt;="&amp;I$9,операции!$X:$X,"",операции!$AB:$AB,"&lt;&gt;"&amp;"",операции!$AB:$AB,"&lt;="&amp;I$9,операции!$L:$L,L$9,операции!$O:$O,$F1866)+SUMIFS(операции!$AH:$AH,операции!$T:$T,"&lt;="&amp;I$9,операции!$X:$X,"&gt;"&amp;I$9,операции!$AB:$AB,"&lt;&gt;"&amp;"",операции!$AB:$AB,"&lt;="&amp;I$9,операции!$L:$L,L$9,операции!$O:$O,$F1866))/L1927)</f>
        <v>0</v>
      </c>
      <c r="M1930" s="274"/>
      <c r="N1930" s="193">
        <f>IF(N1927=0,0,(SUMIFS(операции!$AH:$AH,операции!$T:$T,"&lt;="&amp;N$9,операции!$X:$X,"",операции!$AB:$AB,"&lt;&gt;"&amp;"",операции!$AB:$AB,"&lt;="&amp;N$9,операции!$O:$O,$F1866)+SUMIFS(операции!$AH:$AH,операции!$T:$T,"&lt;="&amp;N$9,операции!$X:$X,"&gt;"&amp;N$9,операции!$AB:$AB,"&lt;&gt;"&amp;"",операции!$AB:$AB,"&lt;="&amp;N$9,операции!$O:$O,$F1866))/N1927)</f>
        <v>42219.676294318684</v>
      </c>
      <c r="O1930" s="196"/>
      <c r="P1930" s="193">
        <f>IF(P1927=0,0,(SUMIFS(операции!$AH:$AH,операции!$T:$T,"&lt;="&amp;N$9,операции!$X:$X,"",операции!$AB:$AB,"&lt;&gt;"&amp;"",операции!$AB:$AB,"&lt;="&amp;N$9,операции!$L:$L,P$9,операции!$O:$O,$F1866)+SUMIFS(операции!$AH:$AH,операции!$T:$T,"&lt;="&amp;N$9,операции!$X:$X,"&gt;"&amp;N$9,операции!$AB:$AB,"&lt;&gt;"&amp;"",операции!$AB:$AB,"&lt;="&amp;N$9,операции!$L:$L,P$9,операции!$O:$O,$F1866))/P1927)</f>
        <v>42219.676294318684</v>
      </c>
      <c r="Q1930" s="237">
        <f>IF(Q1927=0,0,(SUMIFS(операции!$AH:$AH,операции!$T:$T,"&lt;="&amp;N$9,операции!$X:$X,"",операции!$AB:$AB,"&lt;&gt;"&amp;"",операции!$AB:$AB,"&lt;="&amp;N$9,операции!$L:$L,Q$9,операции!$O:$O,$F1866)+SUMIFS(операции!$AH:$AH,операции!$T:$T,"&lt;="&amp;N$9,операции!$X:$X,"&gt;"&amp;N$9,операции!$AB:$AB,"&lt;&gt;"&amp;"",операции!$AB:$AB,"&lt;="&amp;N$9,операции!$L:$L,Q$9,операции!$O:$O,$F1866))/Q1927)</f>
        <v>0</v>
      </c>
      <c r="R1930" s="238"/>
      <c r="S1930" s="193">
        <f>IF(S1927=0,0,(SUMIFS(операции!$AH:$AH,операции!$T:$T,"&lt;="&amp;S$9,операции!$X:$X,"",операции!$AB:$AB,"&lt;&gt;"&amp;"",операции!$AB:$AB,"&lt;="&amp;S$9,операции!$O:$O,$F1866)+SUMIFS(операции!$AH:$AH,операции!$T:$T,"&lt;="&amp;S$9,операции!$X:$X,"&gt;"&amp;S$9,операции!$AB:$AB,"&lt;&gt;"&amp;"",операции!$AB:$AB,"&lt;="&amp;S$9,операции!$O:$O,$F1866))/S1927)</f>
        <v>42216.047981414842</v>
      </c>
      <c r="T1930" s="196"/>
      <c r="U1930" s="193">
        <f>IF(U1927=0,0,(SUMIFS(операции!$AH:$AH,операции!$T:$T,"&lt;="&amp;S$9,операции!$X:$X,"",операции!$AB:$AB,"&lt;&gt;"&amp;"",операции!$AB:$AB,"&lt;="&amp;S$9,операции!$L:$L,U$9,операции!$O:$O,$F1866)+SUMIFS(операции!$AH:$AH,операции!$T:$T,"&lt;="&amp;S$9,операции!$X:$X,"&gt;"&amp;S$9,операции!$AB:$AB,"&lt;&gt;"&amp;"",операции!$AB:$AB,"&lt;="&amp;S$9,операции!$L:$L,U$9,операции!$O:$O,$F1866))/U1927)</f>
        <v>42216.047981414842</v>
      </c>
      <c r="V1930" s="237">
        <f>IF(V1927=0,0,(SUMIFS(операции!$AH:$AH,операции!$T:$T,"&lt;="&amp;S$9,операции!$X:$X,"",операции!$AB:$AB,"&lt;&gt;"&amp;"",операции!$AB:$AB,"&lt;="&amp;S$9,операции!$L:$L,V$9,операции!$O:$O,$F1866)+SUMIFS(операции!$AH:$AH,операции!$T:$T,"&lt;="&amp;S$9,операции!$X:$X,"&gt;"&amp;S$9,операции!$AB:$AB,"&lt;&gt;"&amp;"",операции!$AB:$AB,"&lt;="&amp;S$9,операции!$L:$L,V$9,операции!$O:$O,$F1866))/V1927)</f>
        <v>0</v>
      </c>
      <c r="W1930" s="238"/>
      <c r="X1930" s="193">
        <f>IF(X1927=0,0,(SUMIFS(операции!$AH:$AH,операции!$T:$T,"&lt;="&amp;X$9,операции!$X:$X,"",операции!$AB:$AB,"&lt;&gt;"&amp;"",операции!$AB:$AB,"&lt;="&amp;X$9,операции!$O:$O,$F1866)+SUMIFS(операции!$AH:$AH,операции!$T:$T,"&lt;="&amp;X$9,операции!$X:$X,"&gt;"&amp;X$9,операции!$AB:$AB,"&lt;&gt;"&amp;"",операции!$AB:$AB,"&lt;="&amp;X$9,операции!$O:$O,$F1866))/X1927)</f>
        <v>42212.546697847058</v>
      </c>
      <c r="Y1930" s="196"/>
      <c r="Z1930" s="193">
        <f>IF(Z1927=0,0,(SUMIFS(операции!$AH:$AH,операции!$T:$T,"&lt;="&amp;X$9,операции!$X:$X,"",операции!$AB:$AB,"&lt;&gt;"&amp;"",операции!$AB:$AB,"&lt;="&amp;X$9,операции!$L:$L,Z$9,операции!$O:$O,$F1866)+SUMIFS(операции!$AH:$AH,операции!$T:$T,"&lt;="&amp;X$9,операции!$X:$X,"&gt;"&amp;X$9,операции!$AB:$AB,"&lt;&gt;"&amp;"",операции!$AB:$AB,"&lt;="&amp;X$9,операции!$L:$L,Z$9,операции!$O:$O,$F1866))/Z1927)</f>
        <v>42212.546697847058</v>
      </c>
      <c r="AA1930" s="237">
        <f>IF(AA1927=0,0,(SUMIFS(операции!$AH:$AH,операции!$T:$T,"&lt;="&amp;X$9,операции!$X:$X,"",операции!$AB:$AB,"&lt;&gt;"&amp;"",операции!$AB:$AB,"&lt;="&amp;X$9,операции!$L:$L,AA$9,операции!$O:$O,$F1866)+SUMIFS(операции!$AH:$AH,операции!$T:$T,"&lt;="&amp;X$9,операции!$X:$X,"&gt;"&amp;X$9,операции!$AB:$AB,"&lt;&gt;"&amp;"",операции!$AB:$AB,"&lt;="&amp;X$9,операции!$L:$L,AA$9,операции!$O:$O,$F1866))/AA1927)</f>
        <v>0</v>
      </c>
      <c r="AB1930" s="265"/>
      <c r="AC1930" s="37"/>
      <c r="AD1930" s="37"/>
      <c r="AE1930" s="37"/>
      <c r="AF1930" s="37"/>
      <c r="AG1930" s="37"/>
      <c r="AH1930" s="37"/>
      <c r="AI1930" s="37"/>
      <c r="AJ1930" s="37"/>
      <c r="AK1930" s="37"/>
      <c r="AL1930" s="37"/>
      <c r="AM1930" s="37"/>
      <c r="AN1930" s="37"/>
      <c r="AO1930" s="37"/>
      <c r="AP1930" s="37"/>
    </row>
    <row r="1931" spans="1:42" s="192" customFormat="1" ht="11.25">
      <c r="A1931" s="37"/>
      <c r="B1931" s="37"/>
      <c r="C1931" s="37"/>
      <c r="D1931" s="191"/>
      <c r="E1931" s="191" t="s">
        <v>284</v>
      </c>
      <c r="F1931" s="191" t="str">
        <f t="shared" si="3326"/>
        <v>ФорКидс</v>
      </c>
      <c r="G1931" s="191" t="s">
        <v>219</v>
      </c>
      <c r="H1931" s="315"/>
      <c r="I1931" s="329">
        <f>I1930-I1928</f>
        <v>26.975460660425597</v>
      </c>
      <c r="J1931" s="317"/>
      <c r="K1931" s="329">
        <f>K1930-K1928</f>
        <v>26.975460660425597</v>
      </c>
      <c r="L1931" s="330">
        <f>L1930-L1928</f>
        <v>0</v>
      </c>
      <c r="M1931" s="274"/>
      <c r="N1931" s="156">
        <f>N1930-N1928</f>
        <v>27.106097263109405</v>
      </c>
      <c r="O1931" s="196"/>
      <c r="P1931" s="156">
        <f>P1930-P1928</f>
        <v>27.106097263109405</v>
      </c>
      <c r="Q1931" s="245">
        <f>Q1930-Q1928</f>
        <v>0</v>
      </c>
      <c r="R1931" s="238"/>
      <c r="S1931" s="156">
        <f>S1930-S1928</f>
        <v>29.190602661088633</v>
      </c>
      <c r="T1931" s="196"/>
      <c r="U1931" s="156">
        <f>U1930-U1928</f>
        <v>29.190602661088633</v>
      </c>
      <c r="V1931" s="245">
        <f>V1930-V1928</f>
        <v>0</v>
      </c>
      <c r="W1931" s="238"/>
      <c r="X1931" s="156">
        <f>X1930-X1928</f>
        <v>26.975460660425597</v>
      </c>
      <c r="Y1931" s="196"/>
      <c r="Z1931" s="156">
        <f>Z1930-Z1928</f>
        <v>26.975460660425597</v>
      </c>
      <c r="AA1931" s="245">
        <f>AA1930-AA1928</f>
        <v>0</v>
      </c>
      <c r="AB1931" s="265"/>
      <c r="AC1931" s="37"/>
      <c r="AD1931" s="37"/>
      <c r="AE1931" s="37"/>
      <c r="AF1931" s="37"/>
      <c r="AG1931" s="37"/>
      <c r="AH1931" s="37"/>
      <c r="AI1931" s="37"/>
      <c r="AJ1931" s="37"/>
      <c r="AK1931" s="37"/>
      <c r="AL1931" s="37"/>
      <c r="AM1931" s="37"/>
      <c r="AN1931" s="37"/>
      <c r="AO1931" s="37"/>
      <c r="AP1931" s="37"/>
    </row>
    <row r="1932" spans="1:42" s="192" customFormat="1" ht="11.25">
      <c r="A1932" s="37"/>
      <c r="B1932" s="37"/>
      <c r="C1932" s="37"/>
      <c r="D1932" s="191"/>
      <c r="E1932" s="191" t="s">
        <v>285</v>
      </c>
      <c r="F1932" s="191" t="str">
        <f t="shared" si="3326"/>
        <v>ФорКидс</v>
      </c>
      <c r="G1932" s="191" t="s">
        <v>219</v>
      </c>
      <c r="H1932" s="315"/>
      <c r="I1932" s="329">
        <f>I1929-I1931</f>
        <v>156.45330215294234</v>
      </c>
      <c r="J1932" s="317"/>
      <c r="K1932" s="329">
        <f>K1929-K1931</f>
        <v>156.45330215294234</v>
      </c>
      <c r="L1932" s="330">
        <f>L1929-L1931</f>
        <v>0</v>
      </c>
      <c r="M1932" s="274"/>
      <c r="N1932" s="156">
        <f>N1929-N1931</f>
        <v>88.323705681315914</v>
      </c>
      <c r="O1932" s="196"/>
      <c r="P1932" s="156">
        <f>P1929-P1931</f>
        <v>88.323705681315914</v>
      </c>
      <c r="Q1932" s="245">
        <f>Q1929-Q1931</f>
        <v>0</v>
      </c>
      <c r="R1932" s="238"/>
      <c r="S1932" s="156">
        <f>S1929-S1931</f>
        <v>121.95201858515793</v>
      </c>
      <c r="T1932" s="196"/>
      <c r="U1932" s="156">
        <f>U1929-U1931</f>
        <v>121.95201858515793</v>
      </c>
      <c r="V1932" s="245">
        <f>V1929-V1931</f>
        <v>0</v>
      </c>
      <c r="W1932" s="238"/>
      <c r="X1932" s="156">
        <f>X1929-X1931</f>
        <v>156.45330215294234</v>
      </c>
      <c r="Y1932" s="196"/>
      <c r="Z1932" s="156">
        <f>Z1929-Z1931</f>
        <v>156.45330215294234</v>
      </c>
      <c r="AA1932" s="245">
        <f>AA1929-AA1931</f>
        <v>0</v>
      </c>
      <c r="AB1932" s="265"/>
      <c r="AC1932" s="37"/>
      <c r="AD1932" s="37"/>
      <c r="AE1932" s="37"/>
      <c r="AF1932" s="37"/>
      <c r="AG1932" s="37"/>
      <c r="AH1932" s="37"/>
      <c r="AI1932" s="37"/>
      <c r="AJ1932" s="37"/>
      <c r="AK1932" s="37"/>
      <c r="AL1932" s="37"/>
      <c r="AM1932" s="37"/>
      <c r="AN1932" s="37"/>
      <c r="AO1932" s="37"/>
      <c r="AP1932" s="37"/>
    </row>
    <row r="1933" spans="1:42" s="5" customFormat="1">
      <c r="A1933" s="1"/>
      <c r="B1933" s="1"/>
      <c r="C1933" s="1"/>
      <c r="D1933" s="168"/>
      <c r="E1933" s="168" t="s">
        <v>286</v>
      </c>
      <c r="F1933" s="168" t="str">
        <f t="shared" si="3326"/>
        <v>ФорКидс</v>
      </c>
      <c r="G1933" s="168" t="s">
        <v>261</v>
      </c>
      <c r="H1933" s="326"/>
      <c r="I1933" s="327">
        <f>SUMIFS(операции!$V:$V,операции!$T:$T,"&lt;="&amp;I$9,операции!$X:$X,"",операции!$AB:$AB,"",операции!$O:$O,$F1866)+SUMIFS(операции!$V:$V,операции!$T:$T,"&lt;="&amp;I$9,операции!$X:$X,"&gt;"&amp;I$9,операции!$AB:$AB,"",операции!$O:$O,$F1866)+SUMIFS(операции!$V:$V,операции!$T:$T,"&lt;="&amp;I$9,операции!$X:$X,"",операции!$AB:$AB,"&gt;"&amp;I$9,операции!$O:$O,$F1866)+SUMIFS(операции!$V:$V,операции!$T:$T,"&lt;="&amp;I$9,операции!$X:$X,"&gt;"&amp;I$9,операции!$AB:$AB,"&gt;"&amp;I$9,операции!$O:$O,$F1866)</f>
        <v>26514.63</v>
      </c>
      <c r="J1933" s="313">
        <f>I1933-K1933-L1933</f>
        <v>0</v>
      </c>
      <c r="K1933" s="327">
        <f>SUMIFS(операции!$V:$V,операции!$T:$T,"&lt;="&amp;I$9,операции!$X:$X,"",операции!$AB:$AB,"",операции!$L:$L,K$9,операции!$O:$O,$F1866)+SUMIFS(операции!$V:$V,операции!$T:$T,"&lt;="&amp;I$9,операции!$X:$X,"&gt;"&amp;I$9,операции!$AB:$AB,"",операции!$L:$L,K$9,операции!$O:$O,$F1866)+SUMIFS(операции!$V:$V,операции!$T:$T,"&lt;="&amp;I$9,операции!$X:$X,"",операции!$AB:$AB,"&gt;"&amp;I$9,операции!$L:$L,K$9,операции!$O:$O,$F1866)+SUMIFS(операции!$V:$V,операции!$T:$T,"&lt;="&amp;I$9,операции!$X:$X,"&gt;"&amp;I$9,операции!$AB:$AB,"&gt;"&amp;I$9,операции!$L:$L,K$9,операции!$O:$O,$F1866)</f>
        <v>15728.11</v>
      </c>
      <c r="L1933" s="328">
        <f>SUMIFS(операции!$V:$V,операции!$T:$T,"&lt;="&amp;I$9,операции!$X:$X,"",операции!$AB:$AB,"",операции!$L:$L,L$9,операции!$O:$O,$F1866)+SUMIFS(операции!$V:$V,операции!$T:$T,"&lt;="&amp;I$9,операции!$X:$X,"&gt;"&amp;I$9,операции!$AB:$AB,"",операции!$L:$L,L$9,операции!$O:$O,$F1866)+SUMIFS(операции!$V:$V,операции!$T:$T,"&lt;="&amp;I$9,операции!$X:$X,"",операции!$AB:$AB,"&gt;"&amp;I$9,операции!$L:$L,L$9,операции!$O:$O,$F1866)+SUMIFS(операции!$V:$V,операции!$T:$T,"&lt;="&amp;I$9,операции!$X:$X,"&gt;"&amp;I$9,операции!$AB:$AB,"&gt;"&amp;I$9,операции!$L:$L,L$9,операции!$O:$O,$F1866)</f>
        <v>10786.52</v>
      </c>
      <c r="M1933" s="277"/>
      <c r="N1933" s="169">
        <f>SUMIFS(операции!$V:$V,операции!$T:$T,"&lt;="&amp;N$9,операции!$X:$X,"",операции!$AB:$AB,"",операции!$O:$O,$F1866)+SUMIFS(операции!$V:$V,операции!$T:$T,"&lt;="&amp;N$9,операции!$X:$X,"&gt;"&amp;N$9,операции!$AB:$AB,"",операции!$O:$O,$F1866)+SUMIFS(операции!$V:$V,операции!$T:$T,"&lt;="&amp;N$9,операции!$X:$X,"",операции!$AB:$AB,"&gt;"&amp;N$9,операции!$O:$O,$F1866)+SUMIFS(операции!$V:$V,операции!$T:$T,"&lt;="&amp;N$9,операции!$X:$X,"&gt;"&amp;N$9,операции!$AB:$AB,"&gt;"&amp;N$9,операции!$O:$O,$F1866)</f>
        <v>78651.010000000009</v>
      </c>
      <c r="O1933" s="170">
        <f>N1933-P1933-Q1933</f>
        <v>0</v>
      </c>
      <c r="P1933" s="169">
        <f>SUMIFS(операции!$V:$V,операции!$T:$T,"&lt;="&amp;N$9,операции!$X:$X,"",операции!$AB:$AB,"",операции!$L:$L,P$9,операции!$O:$O,$F1866)+SUMIFS(операции!$V:$V,операции!$T:$T,"&lt;="&amp;N$9,операции!$X:$X,"&gt;"&amp;N$9,операции!$AB:$AB,"",операции!$L:$L,P$9,операции!$O:$O,$F1866)+SUMIFS(операции!$V:$V,операции!$T:$T,"&lt;="&amp;N$9,операции!$X:$X,"",операции!$AB:$AB,"&gt;"&amp;N$9,операции!$L:$L,P$9,операции!$O:$O,$F1866)+SUMIFS(операции!$V:$V,операции!$T:$T,"&lt;="&amp;N$9,операции!$X:$X,"&gt;"&amp;N$9,операции!$AB:$AB,"&gt;"&amp;N$9,операции!$L:$L,P$9,операции!$O:$O,$F1866)</f>
        <v>64108.310000000005</v>
      </c>
      <c r="Q1933" s="243">
        <f>SUMIFS(операции!$V:$V,операции!$T:$T,"&lt;="&amp;N$9,операции!$X:$X,"",операции!$AB:$AB,"",операции!$L:$L,Q$9,операции!$O:$O,$F1866)+SUMIFS(операции!$V:$V,операции!$T:$T,"&lt;="&amp;N$9,операции!$X:$X,"&gt;"&amp;N$9,операции!$AB:$AB,"",операции!$L:$L,Q$9,операции!$O:$O,$F1866)+SUMIFS(операции!$V:$V,операции!$T:$T,"&lt;="&amp;N$9,операции!$X:$X,"",операции!$AB:$AB,"&gt;"&amp;N$9,операции!$L:$L,Q$9,операции!$O:$O,$F1866)+SUMIFS(операции!$V:$V,операции!$T:$T,"&lt;="&amp;N$9,операции!$X:$X,"&gt;"&amp;N$9,операции!$AB:$AB,"&gt;"&amp;N$9,операции!$L:$L,Q$9,операции!$O:$O,$F1866)</f>
        <v>14542.7</v>
      </c>
      <c r="R1933" s="244"/>
      <c r="S1933" s="169">
        <f>SUMIFS(операции!$V:$V,операции!$T:$T,"&lt;="&amp;S$9,операции!$X:$X,"",операции!$AB:$AB,"",операции!$O:$O,$F1866)+SUMIFS(операции!$V:$V,операции!$T:$T,"&lt;="&amp;S$9,операции!$X:$X,"&gt;"&amp;S$9,операции!$AB:$AB,"",операции!$O:$O,$F1866)+SUMIFS(операции!$V:$V,операции!$T:$T,"&lt;="&amp;S$9,операции!$X:$X,"",операции!$AB:$AB,"&gt;"&amp;S$9,операции!$O:$O,$F1866)+SUMIFS(операции!$V:$V,операции!$T:$T,"&lt;="&amp;S$9,операции!$X:$X,"&gt;"&amp;S$9,операции!$AB:$AB,"&gt;"&amp;S$9,операции!$O:$O,$F1866)</f>
        <v>200887.11000000002</v>
      </c>
      <c r="T1933" s="170">
        <f>S1933-U1933-V1933</f>
        <v>0</v>
      </c>
      <c r="U1933" s="169">
        <f>SUMIFS(операции!$V:$V,операции!$T:$T,"&lt;="&amp;S$9,операции!$X:$X,"",операции!$AB:$AB,"",операции!$L:$L,U$9,операции!$O:$O,$F1866)+SUMIFS(операции!$V:$V,операции!$T:$T,"&lt;="&amp;S$9,операции!$X:$X,"&gt;"&amp;S$9,операции!$AB:$AB,"",операции!$L:$L,U$9,операции!$O:$O,$F1866)+SUMIFS(операции!$V:$V,операции!$T:$T,"&lt;="&amp;S$9,операции!$X:$X,"",операции!$AB:$AB,"&gt;"&amp;S$9,операции!$L:$L,U$9,операции!$O:$O,$F1866)+SUMIFS(операции!$V:$V,операции!$T:$T,"&lt;="&amp;S$9,операции!$X:$X,"&gt;"&amp;S$9,операции!$AB:$AB,"&gt;"&amp;S$9,операции!$L:$L,U$9,операции!$O:$O,$F1866)</f>
        <v>26444.22</v>
      </c>
      <c r="V1933" s="243">
        <f>SUMIFS(операции!$V:$V,операции!$T:$T,"&lt;="&amp;S$9,операции!$X:$X,"",операции!$AB:$AB,"",операции!$L:$L,V$9,операции!$O:$O,$F1866)+SUMIFS(операции!$V:$V,операции!$T:$T,"&lt;="&amp;S$9,операции!$X:$X,"&gt;"&amp;S$9,операции!$AB:$AB,"",операции!$L:$L,V$9,операции!$O:$O,$F1866)+SUMIFS(операции!$V:$V,операции!$T:$T,"&lt;="&amp;S$9,операции!$X:$X,"",операции!$AB:$AB,"&gt;"&amp;S$9,операции!$L:$L,V$9,операции!$O:$O,$F1866)+SUMIFS(операции!$V:$V,операции!$T:$T,"&lt;="&amp;S$9,операции!$X:$X,"&gt;"&amp;S$9,операции!$AB:$AB,"&gt;"&amp;S$9,операции!$L:$L,V$9,операции!$O:$O,$F1866)</f>
        <v>174442.89</v>
      </c>
      <c r="W1933" s="244"/>
      <c r="X1933" s="169">
        <f>SUMIFS(операции!$V:$V,операции!$T:$T,"&lt;="&amp;X$9,операции!$X:$X,"",операции!$AB:$AB,"",операции!$O:$O,$F1866)+SUMIFS(операции!$V:$V,операции!$T:$T,"&lt;="&amp;X$9,операции!$X:$X,"&gt;"&amp;X$9,операции!$AB:$AB,"",операции!$O:$O,$F1866)+SUMIFS(операции!$V:$V,операции!$T:$T,"&lt;="&amp;X$9,операции!$X:$X,"",операции!$AB:$AB,"&gt;"&amp;X$9,операции!$O:$O,$F1866)+SUMIFS(операции!$V:$V,операции!$T:$T,"&lt;="&amp;X$9,операции!$X:$X,"&gt;"&amp;X$9,операции!$AB:$AB,"&gt;"&amp;X$9,операции!$O:$O,$F1866)</f>
        <v>26514.63</v>
      </c>
      <c r="Y1933" s="170">
        <f>X1933-Z1933-AA1933</f>
        <v>0</v>
      </c>
      <c r="Z1933" s="169">
        <f>SUMIFS(операции!$V:$V,операции!$T:$T,"&lt;="&amp;X$9,операции!$X:$X,"",операции!$AB:$AB,"",операции!$L:$L,Z$9,операции!$O:$O,$F1866)+SUMIFS(операции!$V:$V,операции!$T:$T,"&lt;="&amp;X$9,операции!$X:$X,"&gt;"&amp;X$9,операции!$AB:$AB,"",операции!$L:$L,Z$9,операции!$O:$O,$F1866)+SUMIFS(операции!$V:$V,операции!$T:$T,"&lt;="&amp;X$9,операции!$X:$X,"",операции!$AB:$AB,"&gt;"&amp;X$9,операции!$L:$L,Z$9,операции!$O:$O,$F1866)+SUMIFS(операции!$V:$V,операции!$T:$T,"&lt;="&amp;X$9,операции!$X:$X,"&gt;"&amp;X$9,операции!$AB:$AB,"&gt;"&amp;X$9,операции!$L:$L,Z$9,операции!$O:$O,$F1866)</f>
        <v>15728.11</v>
      </c>
      <c r="AA1933" s="243">
        <f>SUMIFS(операции!$V:$V,операции!$T:$T,"&lt;="&amp;X$9,операции!$X:$X,"",операции!$AB:$AB,"",операции!$L:$L,AA$9,операции!$O:$O,$F1866)+SUMIFS(операции!$V:$V,операции!$T:$T,"&lt;="&amp;X$9,операции!$X:$X,"&gt;"&amp;X$9,операции!$AB:$AB,"",операции!$L:$L,AA$9,операции!$O:$O,$F1866)+SUMIFS(операции!$V:$V,операции!$T:$T,"&lt;="&amp;X$9,операции!$X:$X,"",операции!$AB:$AB,"&gt;"&amp;X$9,операции!$L:$L,AA$9,операции!$O:$O,$F1866)+SUMIFS(операции!$V:$V,операции!$T:$T,"&lt;="&amp;X$9,операции!$X:$X,"&gt;"&amp;X$9,операции!$AB:$AB,"&gt;"&amp;X$9,операции!$L:$L,AA$9,операции!$O:$O,$F1866)</f>
        <v>10786.52</v>
      </c>
      <c r="AB1933" s="266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</row>
    <row r="1934" spans="1:42" s="192" customFormat="1" ht="11.25">
      <c r="A1934" s="37"/>
      <c r="B1934" s="37"/>
      <c r="C1934" s="37"/>
      <c r="D1934" s="191"/>
      <c r="E1934" s="191" t="s">
        <v>255</v>
      </c>
      <c r="F1934" s="191" t="str">
        <f t="shared" si="3326"/>
        <v>ФорКидс</v>
      </c>
      <c r="G1934" s="191" t="s">
        <v>262</v>
      </c>
      <c r="H1934" s="315"/>
      <c r="I1934" s="316">
        <f>IF(I1933=0,0,(SUMIFS(операции!$AF:$AF,операции!$T:$T,"&lt;="&amp;I$9,операции!$X:$X,"",операции!$AB:$AB,"",операции!$O:$O,$F1866)+SUMIFS(операции!$AF:$AF,операции!$T:$T,"&lt;="&amp;I$9,операции!$X:$X,"&gt;"&amp;I$9,операции!$AB:$AB,"",операции!$O:$O,$F1866)+SUMIFS(операции!$AF:$AF,операции!$T:$T,"&lt;="&amp;I$9,операции!$X:$X,"",операции!$AB:$AB,"&gt;"&amp;I$9,операции!$O:$O,$F1866)+SUMIFS(операции!$AF:$AF,операции!$T:$T,"&lt;="&amp;I$9,операции!$X:$X,"&gt;"&amp;I$9,операции!$AB:$AB,"&gt;"&amp;I$9,операции!$O:$O,$F1866))/I1933)</f>
        <v>42302.390547784373</v>
      </c>
      <c r="J1934" s="317"/>
      <c r="K1934" s="316">
        <f>IF(K1933=0,0,(SUMIFS(операции!$AF:$AF,операции!$T:$T,"&lt;="&amp;I$9,операции!$X:$X,"",операции!$AB:$AB,"",операции!$L:$L,K$9,операции!$O:$O,$F1866)+SUMIFS(операции!$AF:$AF,операции!$T:$T,"&lt;="&amp;I$9,операции!$X:$X,"&gt;"&amp;I$9,операции!$AB:$AB,"",операции!$L:$L,K$9,операции!$O:$O,$F1866)+SUMIFS(операции!$AF:$AF,операции!$T:$T,"&lt;="&amp;I$9,операции!$X:$X,"",операции!$AB:$AB,"&gt;"&amp;I$9,операции!$L:$L,K$9,операции!$O:$O,$F1866)+SUMIFS(операции!$AF:$AF,операции!$T:$T,"&lt;="&amp;I$9,операции!$X:$X,"&gt;"&amp;I$9,операции!$AB:$AB,"&gt;"&amp;I$9,операции!$L:$L,K$9,операции!$O:$O,$F1866))/K1933)</f>
        <v>42262.651571612856</v>
      </c>
      <c r="L1934" s="318">
        <f>IF(L1933=0,0,(SUMIFS(операции!$AF:$AF,операции!$T:$T,"&lt;="&amp;I$9,операции!$X:$X,"",операции!$AB:$AB,"",операции!$L:$L,L$9,операции!$O:$O,$F1866)+SUMIFS(операции!$AF:$AF,операции!$T:$T,"&lt;="&amp;I$9,операции!$X:$X,"&gt;"&amp;I$9,операции!$AB:$AB,"",операции!$L:$L,L$9,операции!$O:$O,$F1866)+SUMIFS(операции!$AF:$AF,операции!$T:$T,"&lt;="&amp;I$9,операции!$X:$X,"",операции!$AB:$AB,"&gt;"&amp;I$9,операции!$L:$L,L$9,операции!$O:$O,$F1866)+SUMIFS(операции!$AF:$AF,операции!$T:$T,"&lt;="&amp;I$9,операции!$X:$X,"&gt;"&amp;I$9,операции!$AB:$AB,"&gt;"&amp;I$9,операции!$L:$L,L$9,операции!$O:$O,$F1866))/L1933)</f>
        <v>42360.334999610626</v>
      </c>
      <c r="M1934" s="274"/>
      <c r="N1934" s="193">
        <f>IF(N1933=0,0,(SUMIFS(операции!$AF:$AF,операции!$T:$T,"&lt;="&amp;N$9,операции!$X:$X,"",операции!$AB:$AB,"",операции!$O:$O,$F1866)+SUMIFS(операции!$AF:$AF,операции!$T:$T,"&lt;="&amp;N$9,операции!$X:$X,"&gt;"&amp;N$9,операции!$AB:$AB,"",операции!$O:$O,$F1866)+SUMIFS(операции!$AF:$AF,операции!$T:$T,"&lt;="&amp;N$9,операции!$X:$X,"",операции!$AB:$AB,"&gt;"&amp;N$9,операции!$O:$O,$F1866)+SUMIFS(операции!$AF:$AF,операции!$T:$T,"&lt;="&amp;N$9,операции!$X:$X,"&gt;"&amp;N$9,операции!$AB:$AB,"&gt;"&amp;N$9,операции!$O:$O,$F1866))/N1933)</f>
        <v>42250.593482524884</v>
      </c>
      <c r="O1934" s="196"/>
      <c r="P1934" s="193">
        <f>IF(P1933=0,0,(SUMIFS(операции!$AF:$AF,операции!$T:$T,"&lt;="&amp;N$9,операции!$X:$X,"",операции!$AB:$AB,"",операции!$L:$L,P$9,операции!$O:$O,$F1866)+SUMIFS(операции!$AF:$AF,операции!$T:$T,"&lt;="&amp;N$9,операции!$X:$X,"&gt;"&amp;N$9,операции!$AB:$AB,"",операции!$L:$L,P$9,операции!$O:$O,$F1866)+SUMIFS(операции!$AF:$AF,операции!$T:$T,"&lt;="&amp;N$9,операции!$X:$X,"",операции!$AB:$AB,"&gt;"&amp;N$9,операции!$L:$L,P$9,операции!$O:$O,$F1866)+SUMIFS(операции!$AF:$AF,операции!$T:$T,"&lt;="&amp;N$9,операции!$X:$X,"&gt;"&amp;N$9,операции!$AB:$AB,"&gt;"&amp;N$9,операции!$L:$L,P$9,операции!$O:$O,$F1866))/P1933)</f>
        <v>42237.973963125834</v>
      </c>
      <c r="Q1934" s="237">
        <f>IF(Q1933=0,0,(SUMIFS(операции!$AF:$AF,операции!$T:$T,"&lt;="&amp;N$9,операции!$X:$X,"",операции!$AB:$AB,"",операции!$L:$L,Q$9,операции!$O:$O,$F1866)+SUMIFS(операции!$AF:$AF,операции!$T:$T,"&lt;="&amp;N$9,операции!$X:$X,"&gt;"&amp;N$9,операции!$AB:$AB,"",операции!$L:$L,Q$9,операции!$O:$O,$F1866)+SUMIFS(операции!$AF:$AF,операции!$T:$T,"&lt;="&amp;N$9,операции!$X:$X,"",операции!$AB:$AB,"&gt;"&amp;N$9,операции!$L:$L,Q$9,операции!$O:$O,$F1866)+SUMIFS(операции!$AF:$AF,операции!$T:$T,"&lt;="&amp;N$9,операции!$X:$X,"&gt;"&amp;N$9,операции!$AB:$AB,"&gt;"&amp;N$9,операции!$L:$L,Q$9,операции!$O:$O,$F1866))/Q1933)</f>
        <v>42306.223871770715</v>
      </c>
      <c r="R1934" s="238"/>
      <c r="S1934" s="193">
        <f>IF(S1933=0,0,(SUMIFS(операции!$AF:$AF,операции!$T:$T,"&lt;="&amp;S$9,операции!$X:$X,"",операции!$AB:$AB,"",операции!$O:$O,$F1866)+SUMIFS(операции!$AF:$AF,операции!$T:$T,"&lt;="&amp;S$9,операции!$X:$X,"&gt;"&amp;S$9,операции!$AB:$AB,"",операции!$O:$O,$F1866)+SUMIFS(операции!$AF:$AF,операции!$T:$T,"&lt;="&amp;S$9,операции!$X:$X,"",операции!$AB:$AB,"&gt;"&amp;S$9,операции!$O:$O,$F1866)+SUMIFS(операции!$AF:$AF,операции!$T:$T,"&lt;="&amp;S$9,операции!$X:$X,"&gt;"&amp;S$9,операции!$AB:$AB,"&gt;"&amp;S$9,операции!$O:$O,$F1866))/S1933)</f>
        <v>42321.801127608436</v>
      </c>
      <c r="T1934" s="196"/>
      <c r="U1934" s="193">
        <f>IF(U1933=0,0,(SUMIFS(операции!$AF:$AF,операции!$T:$T,"&lt;="&amp;S$9,операции!$X:$X,"",операции!$AB:$AB,"",операции!$L:$L,U$9,операции!$O:$O,$F1866)+SUMIFS(операции!$AF:$AF,операции!$T:$T,"&lt;="&amp;S$9,операции!$X:$X,"&gt;"&amp;S$9,операции!$AB:$AB,"",операции!$L:$L,U$9,операции!$O:$O,$F1866)+SUMIFS(операции!$AF:$AF,операции!$T:$T,"&lt;="&amp;S$9,операции!$X:$X,"",операции!$AB:$AB,"&gt;"&amp;S$9,операции!$L:$L,U$9,операции!$O:$O,$F1866)+SUMIFS(операции!$AF:$AF,операции!$T:$T,"&lt;="&amp;S$9,операции!$X:$X,"&gt;"&amp;S$9,операции!$AB:$AB,"&gt;"&amp;S$9,операции!$L:$L,U$9,операции!$O:$O,$F1866))/U1933)</f>
        <v>42231.998604988155</v>
      </c>
      <c r="V1934" s="237">
        <f>IF(V1933=0,0,(SUMIFS(операции!$AF:$AF,операции!$T:$T,"&lt;="&amp;S$9,операции!$X:$X,"",операции!$AB:$AB,"",операции!$L:$L,V$9,операции!$O:$O,$F1866)+SUMIFS(операции!$AF:$AF,операции!$T:$T,"&lt;="&amp;S$9,операции!$X:$X,"&gt;"&amp;S$9,операции!$AB:$AB,"",операции!$L:$L,V$9,операции!$O:$O,$F1866)+SUMIFS(операции!$AF:$AF,операции!$T:$T,"&lt;="&amp;S$9,операции!$X:$X,"",операции!$AB:$AB,"&gt;"&amp;S$9,операции!$L:$L,V$9,операции!$O:$O,$F1866)+SUMIFS(операции!$AF:$AF,операции!$T:$T,"&lt;="&amp;S$9,операции!$X:$X,"&gt;"&amp;S$9,операции!$AB:$AB,"&gt;"&amp;S$9,операции!$L:$L,V$9,операции!$O:$O,$F1866))/V1933)</f>
        <v>42335.414509413364</v>
      </c>
      <c r="W1934" s="238"/>
      <c r="X1934" s="193">
        <f>IF(X1933=0,0,(SUMIFS(операции!$AF:$AF,операции!$T:$T,"&lt;="&amp;X$9,операции!$X:$X,"",операции!$AB:$AB,"",операции!$O:$O,$F1866)+SUMIFS(операции!$AF:$AF,операции!$T:$T,"&lt;="&amp;X$9,операции!$X:$X,"&gt;"&amp;X$9,операции!$AB:$AB,"",операции!$O:$O,$F1866)+SUMIFS(операции!$AF:$AF,операции!$T:$T,"&lt;="&amp;X$9,операции!$X:$X,"",операции!$AB:$AB,"&gt;"&amp;X$9,операции!$O:$O,$F1866)+SUMIFS(операции!$AF:$AF,операции!$T:$T,"&lt;="&amp;X$9,операции!$X:$X,"&gt;"&amp;X$9,операции!$AB:$AB,"&gt;"&amp;X$9,операции!$O:$O,$F1866))/X1933)</f>
        <v>42302.390547784373</v>
      </c>
      <c r="Y1934" s="196"/>
      <c r="Z1934" s="193">
        <f>IF(Z1933=0,0,(SUMIFS(операции!$AF:$AF,операции!$T:$T,"&lt;="&amp;X$9,операции!$X:$X,"",операции!$AB:$AB,"",операции!$L:$L,Z$9,операции!$O:$O,$F1866)+SUMIFS(операции!$AF:$AF,операции!$T:$T,"&lt;="&amp;X$9,операции!$X:$X,"&gt;"&amp;X$9,операции!$AB:$AB,"",операции!$L:$L,Z$9,операции!$O:$O,$F1866)+SUMIFS(операции!$AF:$AF,операции!$T:$T,"&lt;="&amp;X$9,операции!$X:$X,"",операции!$AB:$AB,"&gt;"&amp;X$9,операции!$L:$L,Z$9,операции!$O:$O,$F1866)+SUMIFS(операции!$AF:$AF,операции!$T:$T,"&lt;="&amp;X$9,операции!$X:$X,"&gt;"&amp;X$9,операции!$AB:$AB,"&gt;"&amp;X$9,операции!$L:$L,Z$9,операции!$O:$O,$F1866))/Z1933)</f>
        <v>42262.651571612856</v>
      </c>
      <c r="AA1934" s="237">
        <f>IF(AA1933=0,0,(SUMIFS(операции!$AF:$AF,операции!$T:$T,"&lt;="&amp;X$9,операции!$X:$X,"",операции!$AB:$AB,"",операции!$L:$L,AA$9,операции!$O:$O,$F1866)+SUMIFS(операции!$AF:$AF,операции!$T:$T,"&lt;="&amp;X$9,операции!$X:$X,"&gt;"&amp;X$9,операции!$AB:$AB,"",операции!$L:$L,AA$9,операции!$O:$O,$F1866)+SUMIFS(операции!$AF:$AF,операции!$T:$T,"&lt;="&amp;X$9,операции!$X:$X,"",операции!$AB:$AB,"&gt;"&amp;X$9,операции!$L:$L,AA$9,операции!$O:$O,$F1866)+SUMIFS(операции!$AF:$AF,операции!$T:$T,"&lt;="&amp;X$9,операции!$X:$X,"&gt;"&amp;X$9,операции!$AB:$AB,"&gt;"&amp;X$9,операции!$L:$L,AA$9,операции!$O:$O,$F1866))/AA1933)</f>
        <v>42360.334999610626</v>
      </c>
      <c r="AB1934" s="265"/>
      <c r="AC1934" s="37"/>
      <c r="AD1934" s="37"/>
      <c r="AE1934" s="37"/>
      <c r="AF1934" s="37"/>
      <c r="AG1934" s="37"/>
      <c r="AH1934" s="37"/>
      <c r="AI1934" s="37"/>
      <c r="AJ1934" s="37"/>
      <c r="AK1934" s="37"/>
      <c r="AL1934" s="37"/>
      <c r="AM1934" s="37"/>
      <c r="AN1934" s="37"/>
      <c r="AO1934" s="37"/>
      <c r="AP1934" s="37"/>
    </row>
    <row r="1935" spans="1:42" s="192" customFormat="1" ht="11.25">
      <c r="A1935" s="37"/>
      <c r="B1935" s="37"/>
      <c r="C1935" s="37"/>
      <c r="D1935" s="191"/>
      <c r="E1935" s="191" t="s">
        <v>287</v>
      </c>
      <c r="F1935" s="191" t="str">
        <f t="shared" ref="F1935:F1938" si="3459">F1934</f>
        <v>ФорКидс</v>
      </c>
      <c r="G1935" s="191" t="s">
        <v>219</v>
      </c>
      <c r="H1935" s="315"/>
      <c r="I1935" s="329">
        <f>IF(I1933=0,0,I$9-I1934)</f>
        <v>66.609452215627243</v>
      </c>
      <c r="J1935" s="317"/>
      <c r="K1935" s="329">
        <f>IF(K1933=0,0,I$9-K1934)</f>
        <v>106.34842838714394</v>
      </c>
      <c r="L1935" s="330">
        <f>IF(L1933=0,0,I$9-L1934)</f>
        <v>8.6650003893737448</v>
      </c>
      <c r="M1935" s="274"/>
      <c r="N1935" s="156">
        <f>IF(N1933=0,0,N$9-N1934)</f>
        <v>57.406517475115834</v>
      </c>
      <c r="O1935" s="196"/>
      <c r="P1935" s="156">
        <f>IF(P1933=0,0,N$9-P1934)</f>
        <v>70.026036874165584</v>
      </c>
      <c r="Q1935" s="245">
        <f>IF(Q1933=0,0,N$9-Q1934)</f>
        <v>1.7761282292849501</v>
      </c>
      <c r="R1935" s="238"/>
      <c r="S1935" s="156">
        <f>IF(S1933=0,0,S$9-S1934)</f>
        <v>16.198872391563782</v>
      </c>
      <c r="T1935" s="196"/>
      <c r="U1935" s="156">
        <f>IF(U1933=0,0,S$9-U1934)</f>
        <v>106.00139501184458</v>
      </c>
      <c r="V1935" s="245">
        <f>IF(V1933=0,0,S$9-V1934)</f>
        <v>2.5854905866362969</v>
      </c>
      <c r="W1935" s="238"/>
      <c r="X1935" s="156">
        <f>IF(X1933=0,0,X$9-X1934)</f>
        <v>66.609452215627243</v>
      </c>
      <c r="Y1935" s="196"/>
      <c r="Z1935" s="156">
        <f>IF(Z1933=0,0,X$9-Z1934)</f>
        <v>106.34842838714394</v>
      </c>
      <c r="AA1935" s="245">
        <f>IF(AA1933=0,0,X$9-AA1934)</f>
        <v>8.6650003893737448</v>
      </c>
      <c r="AB1935" s="265"/>
      <c r="AC1935" s="37"/>
      <c r="AD1935" s="37"/>
      <c r="AE1935" s="37"/>
      <c r="AF1935" s="37"/>
      <c r="AG1935" s="37"/>
      <c r="AH1935" s="37"/>
      <c r="AI1935" s="37"/>
      <c r="AJ1935" s="37"/>
      <c r="AK1935" s="37"/>
      <c r="AL1935" s="37"/>
      <c r="AM1935" s="37"/>
      <c r="AN1935" s="37"/>
      <c r="AO1935" s="37"/>
      <c r="AP1935" s="37"/>
    </row>
    <row r="1936" spans="1:42" s="192" customFormat="1" ht="11.25">
      <c r="A1936" s="37"/>
      <c r="B1936" s="37"/>
      <c r="C1936" s="37"/>
      <c r="D1936" s="191"/>
      <c r="E1936" s="191" t="s">
        <v>311</v>
      </c>
      <c r="F1936" s="191" t="str">
        <f t="shared" si="3459"/>
        <v>ФорКидс</v>
      </c>
      <c r="G1936" s="191" t="s">
        <v>262</v>
      </c>
      <c r="H1936" s="315"/>
      <c r="I1936" s="316">
        <f>I$9</f>
        <v>42369</v>
      </c>
      <c r="J1936" s="317"/>
      <c r="K1936" s="316">
        <f>I$9</f>
        <v>42369</v>
      </c>
      <c r="L1936" s="318">
        <f>I$9</f>
        <v>42369</v>
      </c>
      <c r="M1936" s="274"/>
      <c r="N1936" s="193">
        <f>N$9</f>
        <v>42308</v>
      </c>
      <c r="O1936" s="196"/>
      <c r="P1936" s="193">
        <f>N$9</f>
        <v>42308</v>
      </c>
      <c r="Q1936" s="237">
        <f>N$9</f>
        <v>42308</v>
      </c>
      <c r="R1936" s="238"/>
      <c r="S1936" s="193">
        <f>S$9</f>
        <v>42338</v>
      </c>
      <c r="T1936" s="196"/>
      <c r="U1936" s="193">
        <f>S$9</f>
        <v>42338</v>
      </c>
      <c r="V1936" s="237">
        <f>S$9</f>
        <v>42338</v>
      </c>
      <c r="W1936" s="238"/>
      <c r="X1936" s="193">
        <f>X$9</f>
        <v>42369</v>
      </c>
      <c r="Y1936" s="196"/>
      <c r="Z1936" s="193">
        <f>X$9</f>
        <v>42369</v>
      </c>
      <c r="AA1936" s="237">
        <f>X$9</f>
        <v>42369</v>
      </c>
      <c r="AB1936" s="265"/>
      <c r="AC1936" s="37"/>
      <c r="AD1936" s="37"/>
      <c r="AE1936" s="37"/>
      <c r="AF1936" s="37"/>
      <c r="AG1936" s="37"/>
      <c r="AH1936" s="37"/>
      <c r="AI1936" s="37"/>
      <c r="AJ1936" s="37"/>
      <c r="AK1936" s="37"/>
      <c r="AL1936" s="37"/>
      <c r="AM1936" s="37"/>
      <c r="AN1936" s="37"/>
      <c r="AO1936" s="37"/>
      <c r="AP1936" s="37"/>
    </row>
    <row r="1937" spans="1:42" s="192" customFormat="1" ht="11.25">
      <c r="A1937" s="37"/>
      <c r="B1937" s="37"/>
      <c r="C1937" s="37"/>
      <c r="D1937" s="191"/>
      <c r="E1937" s="191" t="s">
        <v>288</v>
      </c>
      <c r="F1937" s="191" t="str">
        <f t="shared" si="3459"/>
        <v>ФорКидс</v>
      </c>
      <c r="G1937" s="191" t="s">
        <v>219</v>
      </c>
      <c r="H1937" s="315"/>
      <c r="I1937" s="329">
        <f>IF(I1933=0,0,I1936-I1934)</f>
        <v>66.609452215627243</v>
      </c>
      <c r="J1937" s="317"/>
      <c r="K1937" s="329">
        <f>IF(K1933=0,0,K1936-K1934)</f>
        <v>106.34842838714394</v>
      </c>
      <c r="L1937" s="330">
        <f>IF(L1933=0,0,L1936-L1934)</f>
        <v>8.6650003893737448</v>
      </c>
      <c r="M1937" s="274"/>
      <c r="N1937" s="156">
        <f>IF(N1933=0,0,N1936-N1934)</f>
        <v>57.406517475115834</v>
      </c>
      <c r="O1937" s="196"/>
      <c r="P1937" s="156">
        <f>IF(P1933=0,0,P1936-P1934)</f>
        <v>70.026036874165584</v>
      </c>
      <c r="Q1937" s="245">
        <f>IF(Q1933=0,0,Q1936-Q1934)</f>
        <v>1.7761282292849501</v>
      </c>
      <c r="R1937" s="238"/>
      <c r="S1937" s="156">
        <f>IF(S1933=0,0,S1936-S1934)</f>
        <v>16.198872391563782</v>
      </c>
      <c r="T1937" s="196"/>
      <c r="U1937" s="156">
        <f>IF(U1933=0,0,U1936-U1934)</f>
        <v>106.00139501184458</v>
      </c>
      <c r="V1937" s="245">
        <f>IF(V1933=0,0,V1936-V1934)</f>
        <v>2.5854905866362969</v>
      </c>
      <c r="W1937" s="238"/>
      <c r="X1937" s="156">
        <f>IF(X1933=0,0,X1936-X1934)</f>
        <v>66.609452215627243</v>
      </c>
      <c r="Y1937" s="196"/>
      <c r="Z1937" s="156">
        <f>IF(Z1933=0,0,Z1936-Z1934)</f>
        <v>106.34842838714394</v>
      </c>
      <c r="AA1937" s="245">
        <f>IF(AA1933=0,0,AA1936-AA1934)</f>
        <v>8.6650003893737448</v>
      </c>
      <c r="AB1937" s="265"/>
      <c r="AC1937" s="37"/>
      <c r="AD1937" s="37"/>
      <c r="AE1937" s="37"/>
      <c r="AF1937" s="37"/>
      <c r="AG1937" s="37"/>
      <c r="AH1937" s="37"/>
      <c r="AI1937" s="37"/>
      <c r="AJ1937" s="37"/>
      <c r="AK1937" s="37"/>
      <c r="AL1937" s="37"/>
      <c r="AM1937" s="37"/>
      <c r="AN1937" s="37"/>
      <c r="AO1937" s="37"/>
      <c r="AP1937" s="37"/>
    </row>
    <row r="1938" spans="1:42" s="192" customFormat="1" ht="12" thickBot="1">
      <c r="A1938" s="37"/>
      <c r="B1938" s="37"/>
      <c r="C1938" s="37"/>
      <c r="D1938" s="297"/>
      <c r="E1938" s="297" t="s">
        <v>289</v>
      </c>
      <c r="F1938" s="297" t="str">
        <f t="shared" si="3459"/>
        <v>ФорКидс</v>
      </c>
      <c r="G1938" s="297" t="s">
        <v>219</v>
      </c>
      <c r="H1938" s="377"/>
      <c r="I1938" s="378">
        <f>I1935-I1937</f>
        <v>0</v>
      </c>
      <c r="J1938" s="379"/>
      <c r="K1938" s="378">
        <f>K1935-K1937</f>
        <v>0</v>
      </c>
      <c r="L1938" s="380">
        <f>L1935-L1937</f>
        <v>0</v>
      </c>
      <c r="M1938" s="300"/>
      <c r="N1938" s="298">
        <f>N1935-N1937</f>
        <v>0</v>
      </c>
      <c r="O1938" s="299"/>
      <c r="P1938" s="298">
        <f>P1935-P1937</f>
        <v>0</v>
      </c>
      <c r="Q1938" s="301">
        <f>Q1935-Q1937</f>
        <v>0</v>
      </c>
      <c r="R1938" s="302"/>
      <c r="S1938" s="298">
        <f>S1935-S1937</f>
        <v>0</v>
      </c>
      <c r="T1938" s="299"/>
      <c r="U1938" s="298">
        <f>U1935-U1937</f>
        <v>0</v>
      </c>
      <c r="V1938" s="301">
        <f>V1935-V1937</f>
        <v>0</v>
      </c>
      <c r="W1938" s="302"/>
      <c r="X1938" s="298">
        <f>X1935-X1937</f>
        <v>0</v>
      </c>
      <c r="Y1938" s="299"/>
      <c r="Z1938" s="298">
        <f>Z1935-Z1937</f>
        <v>0</v>
      </c>
      <c r="AA1938" s="301">
        <f>AA1935-AA1937</f>
        <v>0</v>
      </c>
      <c r="AB1938" s="265"/>
      <c r="AC1938" s="37"/>
      <c r="AD1938" s="37"/>
      <c r="AE1938" s="37"/>
      <c r="AF1938" s="37"/>
      <c r="AG1938" s="37"/>
      <c r="AH1938" s="37"/>
      <c r="AI1938" s="37"/>
      <c r="AJ1938" s="37"/>
      <c r="AK1938" s="37"/>
      <c r="AL1938" s="37"/>
      <c r="AM1938" s="37"/>
      <c r="AN1938" s="37"/>
      <c r="AO1938" s="37"/>
      <c r="AP1938" s="37"/>
    </row>
    <row r="1939" spans="1:42" s="111" customFormat="1" ht="11.25">
      <c r="A1939" s="108"/>
      <c r="B1939" s="108"/>
      <c r="C1939" s="108" t="s">
        <v>271</v>
      </c>
      <c r="D1939" s="291"/>
      <c r="E1939" s="291"/>
      <c r="F1939" s="291" t="str">
        <f>F1940</f>
        <v>ЭлектроФор</v>
      </c>
      <c r="G1939" s="291"/>
      <c r="H1939" s="373"/>
      <c r="I1939" s="374">
        <f>I1940-K1940-L1940</f>
        <v>0</v>
      </c>
      <c r="J1939" s="375">
        <f>N1939+N1957+N1995+SUM(O:O)+S1939+S1957+S1995+SUM(T:T)+X1939+X1957+X1995+SUM(Y:Y)</f>
        <v>3.7104683769939584E-9</v>
      </c>
      <c r="K1939" s="373"/>
      <c r="L1939" s="376"/>
      <c r="M1939" s="293"/>
      <c r="N1939" s="292">
        <f>N1940-P1940-Q1940</f>
        <v>0</v>
      </c>
      <c r="O1939" s="294"/>
      <c r="P1939" s="291"/>
      <c r="Q1939" s="295"/>
      <c r="R1939" s="296"/>
      <c r="S1939" s="292">
        <f>S1940-U1940-V1940</f>
        <v>0</v>
      </c>
      <c r="T1939" s="294"/>
      <c r="U1939" s="291"/>
      <c r="V1939" s="295"/>
      <c r="W1939" s="296"/>
      <c r="X1939" s="292">
        <f>X1940-Z1940-AA1940</f>
        <v>0</v>
      </c>
      <c r="Y1939" s="294"/>
      <c r="Z1939" s="291"/>
      <c r="AA1939" s="295"/>
      <c r="AB1939" s="263"/>
      <c r="AC1939" s="108"/>
      <c r="AD1939" s="108"/>
      <c r="AE1939" s="108"/>
      <c r="AF1939" s="108"/>
      <c r="AG1939" s="108"/>
      <c r="AH1939" s="108"/>
      <c r="AI1939" s="108"/>
      <c r="AJ1939" s="108"/>
      <c r="AK1939" s="108"/>
      <c r="AL1939" s="108"/>
      <c r="AM1939" s="108"/>
      <c r="AN1939" s="108"/>
      <c r="AO1939" s="108"/>
      <c r="AP1939" s="108"/>
    </row>
    <row r="1940" spans="1:42" s="93" customFormat="1" ht="15">
      <c r="A1940" s="92"/>
      <c r="B1940" s="92"/>
      <c r="C1940" s="92"/>
      <c r="D1940" s="151" t="s">
        <v>256</v>
      </c>
      <c r="E1940" s="151"/>
      <c r="F1940" s="286" t="str">
        <f>микс!$H$43</f>
        <v>ЭлектроФор</v>
      </c>
      <c r="G1940" s="151" t="s">
        <v>261</v>
      </c>
      <c r="H1940" s="311"/>
      <c r="I1940" s="312">
        <f>SUMIFS(операции!$V:$V,операции!$T:$T,"&lt;"&amp;I$8,операции!$X:$X,"",операции!$O:$O,$F1940)+SUMIFS(операции!$V:$V,операции!$T:$T,"&lt;"&amp;I$8,операции!$X:$X,"&gt;="&amp;I$8,операции!$O:$O,$F1940)</f>
        <v>10018.9</v>
      </c>
      <c r="J1940" s="313">
        <f>I1940-I1945-I1951</f>
        <v>0</v>
      </c>
      <c r="K1940" s="312">
        <f>SUMIFS(операции!$V:$V,операции!$T:$T,"&lt;"&amp;I$8,операции!$X:$X,"",операции!$L:$L,K$9,операции!$O:$O,$F1940)+SUMIFS(операции!$V:$V,операции!$T:$T,"&lt;"&amp;I$8,операции!$X:$X,"&gt;="&amp;I$8,операции!$L:$L,K$9,операции!$O:$O,$F1940)</f>
        <v>10018.9</v>
      </c>
      <c r="L1940" s="314">
        <f>SUMIFS(операции!$V:$V,операции!$T:$T,"&lt;"&amp;I$8,операции!$X:$X,"",операции!$L:$L,L$9,операции!$O:$O,$F1940)+SUMIFS(операции!$V:$V,операции!$T:$T,"&lt;"&amp;I$8,операции!$X:$X,"&gt;="&amp;I$8,операции!$L:$L,L$9,операции!$O:$O,$F1940)</f>
        <v>0</v>
      </c>
      <c r="M1940" s="273"/>
      <c r="N1940" s="152">
        <f>SUMIFS(операции!$V:$V,операции!$T:$T,"&lt;"&amp;N$8,операции!$X:$X,"",операции!$O:$O,$F1940)+SUMIFS(операции!$V:$V,операции!$T:$T,"&lt;"&amp;N$8,операции!$X:$X,"&gt;="&amp;N$8,операции!$O:$O,$F1940)</f>
        <v>10018.9</v>
      </c>
      <c r="O1940" s="170">
        <f>N1940-N1945-N1951</f>
        <v>0</v>
      </c>
      <c r="P1940" s="152">
        <f>SUMIFS(операции!$V:$V,операции!$T:$T,"&lt;"&amp;N$8,операции!$X:$X,"",операции!$L:$L,P$9,операции!$O:$O,$F1940)+SUMIFS(операции!$V:$V,операции!$T:$T,"&lt;"&amp;N$8,операции!$X:$X,"&gt;="&amp;N$8,операции!$L:$L,P$9,операции!$O:$O,$F1940)</f>
        <v>10018.9</v>
      </c>
      <c r="Q1940" s="235">
        <f>SUMIFS(операции!$V:$V,операции!$T:$T,"&lt;"&amp;N$8,операции!$X:$X,"",операции!$L:$L,Q$9,операции!$O:$O,$F1940)+SUMIFS(операции!$V:$V,операции!$T:$T,"&lt;"&amp;N$8,операции!$X:$X,"&gt;="&amp;N$8,операции!$L:$L,Q$9,операции!$O:$O,$F1940)</f>
        <v>0</v>
      </c>
      <c r="R1940" s="236"/>
      <c r="S1940" s="152">
        <f>SUMIFS(операции!$V:$V,операции!$T:$T,"&lt;"&amp;S$8,операции!$X:$X,"",операции!$O:$O,$F1940)+SUMIFS(операции!$V:$V,операции!$T:$T,"&lt;"&amp;S$8,операции!$X:$X,"&gt;="&amp;S$8,операции!$O:$O,$F1940)</f>
        <v>10018.9</v>
      </c>
      <c r="T1940" s="170">
        <f>S1940-S1945-S1951</f>
        <v>0</v>
      </c>
      <c r="U1940" s="152">
        <f>SUMIFS(операции!$V:$V,операции!$T:$T,"&lt;"&amp;S$8,операции!$X:$X,"",операции!$L:$L,U$9,операции!$O:$O,$F1940)+SUMIFS(операции!$V:$V,операции!$T:$T,"&lt;"&amp;S$8,операции!$X:$X,"&gt;="&amp;S$8,операции!$L:$L,U$9,операции!$O:$O,$F1940)</f>
        <v>10018.9</v>
      </c>
      <c r="V1940" s="235">
        <f>SUMIFS(операции!$V:$V,операции!$T:$T,"&lt;"&amp;S$8,операции!$X:$X,"",операции!$L:$L,V$9,операции!$O:$O,$F1940)+SUMIFS(операции!$V:$V,операции!$T:$T,"&lt;"&amp;S$8,операции!$X:$X,"&gt;="&amp;S$8,операции!$L:$L,V$9,операции!$O:$O,$F1940)</f>
        <v>0</v>
      </c>
      <c r="W1940" s="236"/>
      <c r="X1940" s="152">
        <f>SUMIFS(операции!$V:$V,операции!$T:$T,"&lt;"&amp;X$8,операции!$X:$X,"",операции!$O:$O,$F1940)+SUMIFS(операции!$V:$V,операции!$T:$T,"&lt;"&amp;X$8,операции!$X:$X,"&gt;="&amp;X$8,операции!$O:$O,$F1940)</f>
        <v>25916.5</v>
      </c>
      <c r="Y1940" s="170">
        <f>X1940-X1945-X1951</f>
        <v>0</v>
      </c>
      <c r="Z1940" s="152">
        <f>SUMIFS(операции!$V:$V,операции!$T:$T,"&lt;"&amp;X$8,операции!$X:$X,"",операции!$L:$L,Z$9,операции!$O:$O,$F1940)+SUMIFS(операции!$V:$V,операции!$T:$T,"&lt;"&amp;X$8,операции!$X:$X,"&gt;="&amp;X$8,операции!$L:$L,Z$9,операции!$O:$O,$F1940)</f>
        <v>9126.5</v>
      </c>
      <c r="AA1940" s="235">
        <f>SUMIFS(операции!$V:$V,операции!$T:$T,"&lt;"&amp;X$8,операции!$X:$X,"",операции!$L:$L,AA$9,операции!$O:$O,$F1940)+SUMIFS(операции!$V:$V,операции!$T:$T,"&lt;"&amp;X$8,операции!$X:$X,"&gt;="&amp;X$8,операции!$L:$L,AA$9,операции!$O:$O,$F1940)</f>
        <v>16790</v>
      </c>
      <c r="AB1940" s="264"/>
      <c r="AC1940" s="92"/>
      <c r="AD1940" s="92"/>
      <c r="AE1940" s="92"/>
      <c r="AF1940" s="92"/>
      <c r="AG1940" s="92"/>
      <c r="AH1940" s="92"/>
      <c r="AI1940" s="92"/>
      <c r="AJ1940" s="92"/>
      <c r="AK1940" s="92"/>
      <c r="AL1940" s="92"/>
      <c r="AM1940" s="92"/>
      <c r="AN1940" s="92"/>
      <c r="AO1940" s="92"/>
      <c r="AP1940" s="92"/>
    </row>
    <row r="1941" spans="1:42" s="192" customFormat="1" ht="11.25">
      <c r="A1941" s="37"/>
      <c r="B1941" s="37"/>
      <c r="C1941" s="37"/>
      <c r="D1941" s="191" t="s">
        <v>255</v>
      </c>
      <c r="E1941" s="191"/>
      <c r="F1941" s="191" t="str">
        <f>F1940</f>
        <v>ЭлектроФор</v>
      </c>
      <c r="G1941" s="191" t="s">
        <v>262</v>
      </c>
      <c r="H1941" s="315"/>
      <c r="I1941" s="316">
        <f>IF(I1940=0,0,(SUMIFS(операции!$AF:$AF,операции!$T:$T,"&lt;"&amp;I$8,операции!$X:$X,"",операции!$O:$O,$F1940)+SUMIFS(операции!$AF:$AF,операции!$T:$T,"&lt;"&amp;I$8,операции!$X:$X,"&gt;="&amp;I$8,операции!$O:$O,$F1940))/I1940)</f>
        <v>42258.08992504167</v>
      </c>
      <c r="J1941" s="317"/>
      <c r="K1941" s="316">
        <f>IF(K1940=0,0,(SUMIFS(операции!$AF:$AF,операции!$T:$T,"&lt;"&amp;I$8,операции!$X:$X,"",операции!$L:$L,K$9,операции!$O:$O,$F1940)+SUMIFS(операции!$AF:$AF,операции!$T:$T,"&lt;"&amp;I$8,операции!$X:$X,"&gt;="&amp;I$8,операции!$L:$L,K$9,операции!$O:$O,$F1940))/K1940)</f>
        <v>42258.08992504167</v>
      </c>
      <c r="L1941" s="318">
        <f>IF(L1940=0,0,(SUMIFS(операции!$AF:$AF,операции!$T:$T,"&lt;"&amp;I$8,операции!$X:$X,"",операции!$L:$L,L$9,операции!$O:$O,$F1940)+SUMIFS(операции!$AF:$AF,операции!$T:$T,"&lt;"&amp;I$8,операции!$X:$X,"&gt;="&amp;I$8,операции!$L:$L,L$9,операции!$O:$O,$F1940))/L1940)</f>
        <v>0</v>
      </c>
      <c r="M1941" s="274"/>
      <c r="N1941" s="193">
        <f>IF(N1940=0,0,(SUMIFS(операции!$AF:$AF,операции!$T:$T,"&lt;"&amp;N$8,операции!$X:$X,"",операции!$O:$O,$F1940)+SUMIFS(операции!$AF:$AF,операции!$T:$T,"&lt;"&amp;N$8,операции!$X:$X,"&gt;="&amp;N$8,операции!$O:$O,$F1940))/N1940)</f>
        <v>42258.08992504167</v>
      </c>
      <c r="O1941" s="196"/>
      <c r="P1941" s="193">
        <f>IF(P1940=0,0,(SUMIFS(операции!$AF:$AF,операции!$T:$T,"&lt;"&amp;N$8,операции!$X:$X,"",операции!$L:$L,P$9,операции!$O:$O,$F1940)+SUMIFS(операции!$AF:$AF,операции!$T:$T,"&lt;"&amp;N$8,операции!$X:$X,"&gt;="&amp;N$8,операции!$L:$L,P$9,операции!$O:$O,$F1940))/P1940)</f>
        <v>42258.08992504167</v>
      </c>
      <c r="Q1941" s="237">
        <f>IF(Q1940=0,0,(SUMIFS(операции!$AF:$AF,операции!$T:$T,"&lt;"&amp;N$8,операции!$X:$X,"",операции!$L:$L,Q$9,операции!$O:$O,$F1940)+SUMIFS(операции!$AF:$AF,операции!$T:$T,"&lt;"&amp;N$8,операции!$X:$X,"&gt;="&amp;N$8,операции!$L:$L,Q$9,операции!$O:$O,$F1940))/Q1940)</f>
        <v>0</v>
      </c>
      <c r="R1941" s="238"/>
      <c r="S1941" s="193">
        <f>IF(S1940=0,0,(SUMIFS(операции!$AF:$AF,операции!$T:$T,"&lt;"&amp;S$8,операции!$X:$X,"",операции!$O:$O,$F1940)+SUMIFS(операции!$AF:$AF,операции!$T:$T,"&lt;"&amp;S$8,операции!$X:$X,"&gt;="&amp;S$8,операции!$O:$O,$F1940))/S1940)</f>
        <v>42258.08992504167</v>
      </c>
      <c r="T1941" s="196"/>
      <c r="U1941" s="193">
        <f>IF(U1940=0,0,(SUMIFS(операции!$AF:$AF,операции!$T:$T,"&lt;"&amp;S$8,операции!$X:$X,"",операции!$L:$L,U$9,операции!$O:$O,$F1940)+SUMIFS(операции!$AF:$AF,операции!$T:$T,"&lt;"&amp;S$8,операции!$X:$X,"&gt;="&amp;S$8,операции!$L:$L,U$9,операции!$O:$O,$F1940))/U1940)</f>
        <v>42258.08992504167</v>
      </c>
      <c r="V1941" s="237">
        <f>IF(V1940=0,0,(SUMIFS(операции!$AF:$AF,операции!$T:$T,"&lt;"&amp;S$8,операции!$X:$X,"",операции!$L:$L,V$9,операции!$O:$O,$F1940)+SUMIFS(операции!$AF:$AF,операции!$T:$T,"&lt;"&amp;S$8,операции!$X:$X,"&gt;="&amp;S$8,операции!$L:$L,V$9,операции!$O:$O,$F1940))/V1940)</f>
        <v>0</v>
      </c>
      <c r="W1941" s="238"/>
      <c r="X1941" s="193">
        <f>IF(X1940=0,0,(SUMIFS(операции!$AF:$AF,операции!$T:$T,"&lt;"&amp;X$8,операции!$X:$X,"",операции!$O:$O,$F1940)+SUMIFS(операции!$AF:$AF,операции!$T:$T,"&lt;"&amp;X$8,операции!$X:$X,"&gt;="&amp;X$8,операции!$O:$O,$F1940))/X1940)</f>
        <v>42309.648936006022</v>
      </c>
      <c r="Y1941" s="196"/>
      <c r="Z1941" s="193">
        <f>IF(Z1940=0,0,(SUMIFS(операции!$AF:$AF,операции!$T:$T,"&lt;"&amp;X$8,операции!$X:$X,"",операции!$L:$L,Z$9,операции!$O:$O,$F1940)+SUMIFS(операции!$AF:$AF,операции!$T:$T,"&lt;"&amp;X$8,операции!$X:$X,"&gt;="&amp;X$8,операции!$L:$L,Z$9,операции!$O:$O,$F1940))/Z1940)</f>
        <v>42260.469911795321</v>
      </c>
      <c r="AA1941" s="237">
        <f>IF(AA1940=0,0,(SUMIFS(операции!$AF:$AF,операции!$T:$T,"&lt;"&amp;X$8,операции!$X:$X,"",операции!$L:$L,AA$9,операции!$O:$O,$F1940)+SUMIFS(операции!$AF:$AF,операции!$T:$T,"&lt;"&amp;X$8,операции!$X:$X,"&gt;="&amp;X$8,операции!$L:$L,AA$9,операции!$O:$O,$F1940))/AA1940)</f>
        <v>42336.381060154854</v>
      </c>
      <c r="AB1941" s="265"/>
      <c r="AC1941" s="37"/>
      <c r="AD1941" s="37"/>
      <c r="AE1941" s="37"/>
      <c r="AF1941" s="37"/>
      <c r="AG1941" s="37"/>
      <c r="AH1941" s="37"/>
      <c r="AI1941" s="37"/>
      <c r="AJ1941" s="37"/>
      <c r="AK1941" s="37"/>
      <c r="AL1941" s="37"/>
      <c r="AM1941" s="37"/>
      <c r="AN1941" s="37"/>
      <c r="AO1941" s="37"/>
      <c r="AP1941" s="37"/>
    </row>
    <row r="1942" spans="1:42" s="50" customFormat="1" ht="11.25">
      <c r="A1942" s="48"/>
      <c r="B1942" s="48"/>
      <c r="C1942" s="48"/>
      <c r="D1942" s="154" t="s">
        <v>257</v>
      </c>
      <c r="E1942" s="154"/>
      <c r="F1942" s="154" t="str">
        <f t="shared" ref="F1942:F2008" si="3460">F1941</f>
        <v>ЭлектроФор</v>
      </c>
      <c r="G1942" s="154" t="s">
        <v>219</v>
      </c>
      <c r="H1942" s="319"/>
      <c r="I1942" s="320">
        <f>IF(I1940=0,0,I$8-I1941)</f>
        <v>19.91007495833037</v>
      </c>
      <c r="J1942" s="321">
        <f>I1942-IF(I1940=0,0,(I1945*I1947+I1951*I1953)/I1940)</f>
        <v>-5.74473801862041E-12</v>
      </c>
      <c r="K1942" s="320">
        <f>IF(K1940=0,0,I$8-K1941)</f>
        <v>19.91007495833037</v>
      </c>
      <c r="L1942" s="322">
        <f>IF(L1940=0,0,I$8-L1941)</f>
        <v>0</v>
      </c>
      <c r="M1942" s="275"/>
      <c r="N1942" s="155">
        <f>IF(N1940=0,0,N$8-N1941)</f>
        <v>19.91007495833037</v>
      </c>
      <c r="O1942" s="173">
        <f>N1942-IF(N1940=0,0,(N1945*N1947+N1951*N1953)/N1940)</f>
        <v>-5.74473801862041E-12</v>
      </c>
      <c r="P1942" s="155">
        <f>IF(P1940=0,0,N$8-P1941)</f>
        <v>19.91007495833037</v>
      </c>
      <c r="Q1942" s="239">
        <f>IF(Q1940=0,0,N$8-Q1941)</f>
        <v>0</v>
      </c>
      <c r="R1942" s="240"/>
      <c r="S1942" s="155">
        <f>IF(S1940=0,0,S$8-S1941)</f>
        <v>50.91007495833037</v>
      </c>
      <c r="T1942" s="173">
        <f>S1942-IF(S1940=0,0,(S1945*S1947+S1951*S1953)/S1940)</f>
        <v>1.6768808563938364E-12</v>
      </c>
      <c r="U1942" s="155">
        <f>IF(U1940=0,0,S$8-U1941)</f>
        <v>50.91007495833037</v>
      </c>
      <c r="V1942" s="239">
        <f>IF(V1940=0,0,S$8-V1941)</f>
        <v>0</v>
      </c>
      <c r="W1942" s="240"/>
      <c r="X1942" s="155">
        <f>IF(X1940=0,0,X$8-X1941)</f>
        <v>29.351063993977732</v>
      </c>
      <c r="Y1942" s="173">
        <f>X1942-IF(X1940=0,0,(X1945*X1947+X1951*X1953)/X1940)</f>
        <v>-3.1370461783808423E-12</v>
      </c>
      <c r="Z1942" s="155">
        <f>IF(Z1940=0,0,X$8-Z1941)</f>
        <v>78.530088204679487</v>
      </c>
      <c r="AA1942" s="239">
        <f>IF(AA1940=0,0,X$8-AA1941)</f>
        <v>2.6189398451460875</v>
      </c>
      <c r="AB1942" s="230"/>
      <c r="AC1942" s="48"/>
      <c r="AD1942" s="48"/>
      <c r="AE1942" s="48"/>
      <c r="AF1942" s="48"/>
      <c r="AG1942" s="48"/>
      <c r="AH1942" s="48"/>
      <c r="AI1942" s="48"/>
      <c r="AJ1942" s="48"/>
      <c r="AK1942" s="48"/>
      <c r="AL1942" s="48"/>
      <c r="AM1942" s="48"/>
      <c r="AN1942" s="48"/>
      <c r="AO1942" s="48"/>
      <c r="AP1942" s="48"/>
    </row>
    <row r="1943" spans="1:42" s="93" customFormat="1" ht="15">
      <c r="A1943" s="92"/>
      <c r="B1943" s="92"/>
      <c r="C1943" s="92"/>
      <c r="D1943" s="198" t="s">
        <v>267</v>
      </c>
      <c r="E1943" s="198"/>
      <c r="F1943" s="198" t="str">
        <f t="shared" si="3460"/>
        <v>ЭлектроФор</v>
      </c>
      <c r="G1943" s="198" t="s">
        <v>219</v>
      </c>
      <c r="H1943" s="323"/>
      <c r="I1943" s="324">
        <f>IF(I1940=0,0,(I1945*I1949+I1951*I1955)/I1940)</f>
        <v>16.091127768524533</v>
      </c>
      <c r="J1943" s="321"/>
      <c r="K1943" s="324">
        <f t="shared" ref="K1943" si="3461">IF(K1940=0,0,(K1945*K1949+K1951*K1955)/K1940)</f>
        <v>16.091127768524533</v>
      </c>
      <c r="L1943" s="325">
        <f>IF(L1940=0,0,(L1945*L1949+L1951*L1955)/L1940)</f>
        <v>0</v>
      </c>
      <c r="M1943" s="276"/>
      <c r="N1943" s="199">
        <f>IF(N1940=0,0,(N1945*N1949+N1951*N1955)/N1940)</f>
        <v>16.091127768524533</v>
      </c>
      <c r="O1943" s="173"/>
      <c r="P1943" s="199">
        <f t="shared" ref="P1943" si="3462">IF(P1940=0,0,(P1945*P1949+P1951*P1955)/P1940)</f>
        <v>16.091127768524533</v>
      </c>
      <c r="Q1943" s="241">
        <f>IF(Q1940=0,0,(Q1945*Q1949+Q1951*Q1955)/Q1940)</f>
        <v>0</v>
      </c>
      <c r="R1943" s="242"/>
      <c r="S1943" s="199">
        <f>IF(S1940=0,0,(S1945*S1949+S1951*S1955)/S1940)</f>
        <v>35.338984319636765</v>
      </c>
      <c r="T1943" s="173"/>
      <c r="U1943" s="199">
        <f t="shared" ref="U1943" si="3463">IF(U1940=0,0,(U1945*U1949+U1951*U1955)/U1940)</f>
        <v>35.338984319636765</v>
      </c>
      <c r="V1943" s="241">
        <f>IF(V1940=0,0,(V1945*V1949+V1951*V1955)/V1940)</f>
        <v>0</v>
      </c>
      <c r="W1943" s="242"/>
      <c r="X1943" s="199">
        <f>IF(X1940=0,0,(X1945*X1949+X1951*X1955)/X1940)</f>
        <v>19.18128605328684</v>
      </c>
      <c r="Y1943" s="173"/>
      <c r="Z1943" s="199">
        <f t="shared" ref="Z1943" si="3464">IF(Z1940=0,0,(Z1945*Z1949+Z1951*Z1955)/Z1940)</f>
        <v>49.650994357090156</v>
      </c>
      <c r="AA1943" s="241">
        <f>IF(AA1940=0,0,(AA1945*AA1949+AA1951*AA1955)/AA1940)</f>
        <v>2.6189398451460875</v>
      </c>
      <c r="AB1943" s="264"/>
      <c r="AC1943" s="92"/>
      <c r="AD1943" s="92"/>
      <c r="AE1943" s="92"/>
      <c r="AF1943" s="92"/>
      <c r="AG1943" s="92"/>
      <c r="AH1943" s="92"/>
      <c r="AI1943" s="92"/>
      <c r="AJ1943" s="92"/>
      <c r="AK1943" s="92"/>
      <c r="AL1943" s="92"/>
      <c r="AM1943" s="92"/>
      <c r="AN1943" s="92"/>
      <c r="AO1943" s="92"/>
      <c r="AP1943" s="92"/>
    </row>
    <row r="1944" spans="1:42" s="50" customFormat="1" ht="11.25">
      <c r="A1944" s="48"/>
      <c r="B1944" s="48"/>
      <c r="C1944" s="48"/>
      <c r="D1944" s="154" t="s">
        <v>270</v>
      </c>
      <c r="E1944" s="154"/>
      <c r="F1944" s="154" t="str">
        <f t="shared" si="3460"/>
        <v>ЭлектроФор</v>
      </c>
      <c r="G1944" s="154" t="s">
        <v>219</v>
      </c>
      <c r="H1944" s="319"/>
      <c r="I1944" s="320">
        <f>I1942-I1943</f>
        <v>3.8189471898058365</v>
      </c>
      <c r="J1944" s="321"/>
      <c r="K1944" s="320">
        <f t="shared" ref="K1944" si="3465">K1942-K1943</f>
        <v>3.8189471898058365</v>
      </c>
      <c r="L1944" s="322">
        <f t="shared" ref="L1944" si="3466">L1942-L1943</f>
        <v>0</v>
      </c>
      <c r="M1944" s="275"/>
      <c r="N1944" s="155">
        <f>N1942-N1943</f>
        <v>3.8189471898058365</v>
      </c>
      <c r="O1944" s="173"/>
      <c r="P1944" s="155">
        <f t="shared" ref="P1944" si="3467">P1942-P1943</f>
        <v>3.8189471898058365</v>
      </c>
      <c r="Q1944" s="239">
        <f t="shared" ref="Q1944" si="3468">Q1942-Q1943</f>
        <v>0</v>
      </c>
      <c r="R1944" s="240"/>
      <c r="S1944" s="155">
        <f>S1942-S1943</f>
        <v>15.571090638693605</v>
      </c>
      <c r="T1944" s="173"/>
      <c r="U1944" s="155">
        <f t="shared" ref="U1944" si="3469">U1942-U1943</f>
        <v>15.571090638693605</v>
      </c>
      <c r="V1944" s="239">
        <f t="shared" ref="V1944" si="3470">V1942-V1943</f>
        <v>0</v>
      </c>
      <c r="W1944" s="240"/>
      <c r="X1944" s="155">
        <f>X1942-X1943</f>
        <v>10.169777940690892</v>
      </c>
      <c r="Y1944" s="173"/>
      <c r="Z1944" s="155">
        <f t="shared" ref="Z1944" si="3471">Z1942-Z1943</f>
        <v>28.879093847589331</v>
      </c>
      <c r="AA1944" s="239">
        <f t="shared" ref="AA1944" si="3472">AA1942-AA1943</f>
        <v>0</v>
      </c>
      <c r="AB1944" s="230"/>
      <c r="AC1944" s="48"/>
      <c r="AD1944" s="48"/>
      <c r="AE1944" s="48"/>
      <c r="AF1944" s="48"/>
      <c r="AG1944" s="48"/>
      <c r="AH1944" s="48"/>
      <c r="AI1944" s="48"/>
      <c r="AJ1944" s="48"/>
      <c r="AK1944" s="48"/>
      <c r="AL1944" s="48"/>
      <c r="AM1944" s="48"/>
      <c r="AN1944" s="48"/>
      <c r="AO1944" s="48"/>
      <c r="AP1944" s="48"/>
    </row>
    <row r="1945" spans="1:42" s="5" customFormat="1">
      <c r="A1945" s="1"/>
      <c r="B1945" s="1"/>
      <c r="C1945" s="1"/>
      <c r="D1945" s="168"/>
      <c r="E1945" s="168" t="s">
        <v>258</v>
      </c>
      <c r="F1945" s="168" t="str">
        <f t="shared" si="3460"/>
        <v>ЭлектроФор</v>
      </c>
      <c r="G1945" s="168" t="s">
        <v>261</v>
      </c>
      <c r="H1945" s="326"/>
      <c r="I1945" s="327">
        <f>SUMIFS(операции!$V:$V,операции!$T:$T,"&lt;"&amp;I$8,операции!$X:$X,"",операции!$AB:$AB,"&lt;&gt;"&amp;"",операции!$AB:$AB,"&lt;"&amp;I$8,операции!$O:$O,$F1940)+SUMIFS(операции!$V:$V,операции!$T:$T,"&lt;"&amp;I$8,операции!$X:$X,"&gt;="&amp;I$8,операции!$AB:$AB,"&lt;&gt;"&amp;"",операции!$AB:$AB,"&lt;"&amp;I$8,операции!$O:$O,$F1940)</f>
        <v>1673.25</v>
      </c>
      <c r="J1945" s="313">
        <f>I1945-K1945-L1945</f>
        <v>0</v>
      </c>
      <c r="K1945" s="327">
        <f>SUMIFS(операции!$V:$V,операции!$T:$T,"&lt;"&amp;I$8,операции!$X:$X,"",операции!$AB:$AB,"&lt;&gt;"&amp;"",операции!$AB:$AB,"&lt;"&amp;I$8,операции!$L:$L,K$9,операции!$O:$O,$F1940)+SUMIFS(операции!$V:$V,операции!$T:$T,"&lt;"&amp;I$8,операции!$X:$X,"&gt;="&amp;I$8,операции!$AB:$AB,"&lt;&gt;"&amp;"",операции!$AB:$AB,"&lt;"&amp;I$8,операции!$L:$L,K$9,операции!$O:$O,$F1940)</f>
        <v>1673.25</v>
      </c>
      <c r="L1945" s="328">
        <f>SUMIFS(операции!$V:$V,операции!$T:$T,"&lt;"&amp;I$8,операции!$X:$X,"",операции!$AB:$AB,"&lt;&gt;"&amp;"",операции!$AB:$AB,"&lt;"&amp;I$8,операции!$L:$L,L$9,операции!$O:$O,$F1940)+SUMIFS(операции!$V:$V,операции!$T:$T,"&lt;"&amp;I$8,операции!$X:$X,"&gt;="&amp;I$8,операции!$AB:$AB,"&lt;&gt;"&amp;"",операции!$AB:$AB,"&lt;"&amp;I$8,операции!$L:$L,L$9,операции!$O:$O,$F1940)</f>
        <v>0</v>
      </c>
      <c r="M1945" s="277"/>
      <c r="N1945" s="169">
        <f>SUMIFS(операции!$V:$V,операции!$T:$T,"&lt;"&amp;N$8,операции!$X:$X,"",операции!$AB:$AB,"&lt;&gt;"&amp;"",операции!$AB:$AB,"&lt;"&amp;N$8,операции!$O:$O,$F1940)+SUMIFS(операции!$V:$V,операции!$T:$T,"&lt;"&amp;N$8,операции!$X:$X,"&gt;="&amp;N$8,операции!$AB:$AB,"&lt;&gt;"&amp;"",операции!$AB:$AB,"&lt;"&amp;N$8,операции!$O:$O,$F1940)</f>
        <v>1673.25</v>
      </c>
      <c r="O1945" s="170">
        <f>N1945-P1945-Q1945</f>
        <v>0</v>
      </c>
      <c r="P1945" s="169">
        <f>SUMIFS(операции!$V:$V,операции!$T:$T,"&lt;"&amp;N$8,операции!$X:$X,"",операции!$AB:$AB,"&lt;&gt;"&amp;"",операции!$AB:$AB,"&lt;"&amp;N$8,операции!$L:$L,P$9,операции!$O:$O,$F1940)+SUMIFS(операции!$V:$V,операции!$T:$T,"&lt;"&amp;N$8,операции!$X:$X,"&gt;="&amp;N$8,операции!$AB:$AB,"&lt;&gt;"&amp;"",операции!$AB:$AB,"&lt;"&amp;N$8,операции!$L:$L,P$9,операции!$O:$O,$F1940)</f>
        <v>1673.25</v>
      </c>
      <c r="Q1945" s="243">
        <f>SUMIFS(операции!$V:$V,операции!$T:$T,"&lt;"&amp;N$8,операции!$X:$X,"",операции!$AB:$AB,"&lt;&gt;"&amp;"",операции!$AB:$AB,"&lt;"&amp;N$8,операции!$L:$L,Q$9,операции!$O:$O,$F1940)+SUMIFS(операции!$V:$V,операции!$T:$T,"&lt;"&amp;N$8,операции!$X:$X,"&gt;="&amp;N$8,операции!$AB:$AB,"&lt;&gt;"&amp;"",операции!$AB:$AB,"&lt;"&amp;N$8,операции!$L:$L,Q$9,операции!$O:$O,$F1940)</f>
        <v>0</v>
      </c>
      <c r="R1945" s="244"/>
      <c r="S1945" s="169">
        <f>SUMIFS(операции!$V:$V,операции!$T:$T,"&lt;"&amp;S$8,операции!$X:$X,"",операции!$AB:$AB,"&lt;&gt;"&amp;"",операции!$AB:$AB,"&lt;"&amp;S$8,операции!$O:$O,$F1940)+SUMIFS(операции!$V:$V,операции!$T:$T,"&lt;"&amp;S$8,операции!$X:$X,"&gt;="&amp;S$8,операции!$AB:$AB,"&lt;&gt;"&amp;"",операции!$AB:$AB,"&lt;"&amp;S$8,операции!$O:$O,$F1940)</f>
        <v>5790.3</v>
      </c>
      <c r="T1945" s="170">
        <f>S1945-U1945-V1945</f>
        <v>0</v>
      </c>
      <c r="U1945" s="169">
        <f>SUMIFS(операции!$V:$V,операции!$T:$T,"&lt;"&amp;S$8,операции!$X:$X,"",операции!$AB:$AB,"&lt;&gt;"&amp;"",операции!$AB:$AB,"&lt;"&amp;S$8,операции!$L:$L,U$9,операции!$O:$O,$F1940)+SUMIFS(операции!$V:$V,операции!$T:$T,"&lt;"&amp;S$8,операции!$X:$X,"&gt;="&amp;S$8,операции!$AB:$AB,"&lt;&gt;"&amp;"",операции!$AB:$AB,"&lt;"&amp;S$8,операции!$L:$L,U$9,операции!$O:$O,$F1940)</f>
        <v>5790.3</v>
      </c>
      <c r="V1945" s="243">
        <f>SUMIFS(операции!$V:$V,операции!$T:$T,"&lt;"&amp;S$8,операции!$X:$X,"",операции!$AB:$AB,"&lt;&gt;"&amp;"",операции!$AB:$AB,"&lt;"&amp;S$8,операции!$L:$L,V$9,операции!$O:$O,$F1940)+SUMIFS(операции!$V:$V,операции!$T:$T,"&lt;"&amp;S$8,операции!$X:$X,"&gt;="&amp;S$8,операции!$AB:$AB,"&lt;&gt;"&amp;"",операции!$AB:$AB,"&lt;"&amp;S$8,операции!$L:$L,V$9,операции!$O:$O,$F1940)</f>
        <v>0</v>
      </c>
      <c r="W1945" s="244"/>
      <c r="X1945" s="169">
        <f>SUMIFS(операции!$V:$V,операции!$T:$T,"&lt;"&amp;X$8,операции!$X:$X,"",операции!$AB:$AB,"&lt;&gt;"&amp;"",операции!$AB:$AB,"&lt;"&amp;X$8,операции!$O:$O,$F1940)+SUMIFS(операции!$V:$V,операции!$T:$T,"&lt;"&amp;X$8,операции!$X:$X,"&gt;="&amp;X$8,операции!$AB:$AB,"&lt;&gt;"&amp;"",операции!$AB:$AB,"&lt;"&amp;X$8,операции!$O:$O,$F1940)</f>
        <v>5009.45</v>
      </c>
      <c r="Y1945" s="170">
        <f>X1945-Z1945-AA1945</f>
        <v>0</v>
      </c>
      <c r="Z1945" s="169">
        <f>SUMIFS(операции!$V:$V,операции!$T:$T,"&lt;"&amp;X$8,операции!$X:$X,"",операции!$AB:$AB,"&lt;&gt;"&amp;"",операции!$AB:$AB,"&lt;"&amp;X$8,операции!$L:$L,Z$9,операции!$O:$O,$F1940)+SUMIFS(операции!$V:$V,операции!$T:$T,"&lt;"&amp;X$8,операции!$X:$X,"&gt;="&amp;X$8,операции!$AB:$AB,"&lt;&gt;"&amp;"",операции!$AB:$AB,"&lt;"&amp;X$8,операции!$L:$L,Z$9,операции!$O:$O,$F1940)</f>
        <v>5009.45</v>
      </c>
      <c r="AA1945" s="243">
        <f>SUMIFS(операции!$V:$V,операции!$T:$T,"&lt;"&amp;X$8,операции!$X:$X,"",операции!$AB:$AB,"&lt;&gt;"&amp;"",операции!$AB:$AB,"&lt;"&amp;X$8,операции!$L:$L,AA$9,операции!$O:$O,$F1940)+SUMIFS(операции!$V:$V,операции!$T:$T,"&lt;"&amp;X$8,операции!$X:$X,"&gt;="&amp;X$8,операции!$AB:$AB,"&lt;&gt;"&amp;"",операции!$AB:$AB,"&lt;"&amp;X$8,операции!$L:$L,AA$9,операции!$O:$O,$F1940)</f>
        <v>0</v>
      </c>
      <c r="AB1945" s="266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</row>
    <row r="1946" spans="1:42" s="192" customFormat="1" ht="11.25">
      <c r="A1946" s="37"/>
      <c r="B1946" s="37"/>
      <c r="C1946" s="37"/>
      <c r="D1946" s="191"/>
      <c r="E1946" s="191" t="s">
        <v>255</v>
      </c>
      <c r="F1946" s="191" t="str">
        <f t="shared" si="3460"/>
        <v>ЭлектроФор</v>
      </c>
      <c r="G1946" s="191" t="s">
        <v>262</v>
      </c>
      <c r="H1946" s="315"/>
      <c r="I1946" s="316">
        <f>IF(I1945=0,0,(SUMIFS(операции!$AF:$AF,операции!$T:$T,"&lt;"&amp;I$8,операции!$X:$X,"",операции!$AB:$AB,"&lt;&gt;"&amp;"",операции!$AB:$AB,"&lt;"&amp;I$8,операции!$O:$O,$F1940)+SUMIFS(операции!$AF:$AF,операции!$T:$T,"&lt;"&amp;I$8,операции!$X:$X,"&gt;="&amp;I$8,операции!$AB:$AB,"&lt;&gt;"&amp;"",операции!$AB:$AB,"&lt;"&amp;I$8,операции!$O:$O,$F1940))/I1945)</f>
        <v>42235.666666666664</v>
      </c>
      <c r="J1946" s="317"/>
      <c r="K1946" s="316">
        <f>IF(K1945=0,0,(SUMIFS(операции!$AF:$AF,операции!$T:$T,"&lt;"&amp;I$8,операции!$X:$X,"",операции!$AB:$AB,"&lt;&gt;"&amp;"",операции!$AB:$AB,"&lt;"&amp;I$8,операции!$L:$L,K$9,операции!$O:$O,$F1940)+SUMIFS(операции!$AF:$AF,операции!$T:$T,"&lt;"&amp;I$8,операции!$X:$X,"&gt;="&amp;I$8,операции!$AB:$AB,"&lt;&gt;"&amp;"",операции!$AB:$AB,"&lt;"&amp;I$8,операции!$L:$L,K$9,операции!$O:$O,$F1940))/K1945)</f>
        <v>42235.666666666664</v>
      </c>
      <c r="L1946" s="318">
        <f>IF(L1945=0,0,(SUMIFS(операции!$AF:$AF,операции!$T:$T,"&lt;"&amp;I$8,операции!$X:$X,"",операции!$AB:$AB,"&lt;&gt;"&amp;"",операции!$AB:$AB,"&lt;"&amp;I$8,операции!$L:$L,L$9,операции!$O:$O,$F1940)+SUMIFS(операции!$AF:$AF,операции!$T:$T,"&lt;"&amp;I$8,операции!$X:$X,"&gt;="&amp;I$8,операции!$AB:$AB,"&lt;&gt;"&amp;"",операции!$AB:$AB,"&lt;"&amp;I$8,операции!$L:$L,L$9,операции!$O:$O,$F1940))/L1945)</f>
        <v>0</v>
      </c>
      <c r="M1946" s="274"/>
      <c r="N1946" s="193">
        <f>IF(N1945=0,0,(SUMIFS(операции!$AF:$AF,операции!$T:$T,"&lt;"&amp;N$8,операции!$X:$X,"",операции!$AB:$AB,"&lt;&gt;"&amp;"",операции!$AB:$AB,"&lt;"&amp;N$8,операции!$O:$O,$F1940)+SUMIFS(операции!$AF:$AF,операции!$T:$T,"&lt;"&amp;N$8,операции!$X:$X,"&gt;="&amp;N$8,операции!$AB:$AB,"&lt;&gt;"&amp;"",операции!$AB:$AB,"&lt;"&amp;N$8,операции!$O:$O,$F1940))/N1945)</f>
        <v>42235.666666666664</v>
      </c>
      <c r="O1946" s="196"/>
      <c r="P1946" s="193">
        <f>IF(P1945=0,0,(SUMIFS(операции!$AF:$AF,операции!$T:$T,"&lt;"&amp;N$8,операции!$X:$X,"",операции!$AB:$AB,"&lt;&gt;"&amp;"",операции!$AB:$AB,"&lt;"&amp;N$8,операции!$L:$L,P$9,операции!$O:$O,$F1940)+SUMIFS(операции!$AF:$AF,операции!$T:$T,"&lt;"&amp;N$8,операции!$X:$X,"&gt;="&amp;N$8,операции!$AB:$AB,"&lt;&gt;"&amp;"",операции!$AB:$AB,"&lt;"&amp;N$8,операции!$L:$L,P$9,операции!$O:$O,$F1940))/P1945)</f>
        <v>42235.666666666664</v>
      </c>
      <c r="Q1946" s="237">
        <f>IF(Q1945=0,0,(SUMIFS(операции!$AF:$AF,операции!$T:$T,"&lt;"&amp;N$8,операции!$X:$X,"",операции!$AB:$AB,"&lt;&gt;"&amp;"",операции!$AB:$AB,"&lt;"&amp;N$8,операции!$L:$L,Q$9,операции!$O:$O,$F1940)+SUMIFS(операции!$AF:$AF,операции!$T:$T,"&lt;"&amp;N$8,операции!$X:$X,"&gt;="&amp;N$8,операции!$AB:$AB,"&lt;&gt;"&amp;"",операции!$AB:$AB,"&lt;"&amp;N$8,операции!$L:$L,Q$9,операции!$O:$O,$F1940))/Q1945)</f>
        <v>0</v>
      </c>
      <c r="R1946" s="238"/>
      <c r="S1946" s="193">
        <f>IF(S1945=0,0,(SUMIFS(операции!$AF:$AF,операции!$T:$T,"&lt;"&amp;S$8,операции!$X:$X,"",операции!$AB:$AB,"&lt;&gt;"&amp;"",операции!$AB:$AB,"&lt;"&amp;S$8,операции!$O:$O,$F1940)+SUMIFS(операции!$AF:$AF,операции!$T:$T,"&lt;"&amp;S$8,операции!$X:$X,"&gt;="&amp;S$8,операции!$AB:$AB,"&lt;&gt;"&amp;"",операции!$AB:$AB,"&lt;"&amp;S$8,операции!$O:$O,$F1940))/S1945)</f>
        <v>42255.101359169646</v>
      </c>
      <c r="T1946" s="196"/>
      <c r="U1946" s="193">
        <f>IF(U1945=0,0,(SUMIFS(операции!$AF:$AF,операции!$T:$T,"&lt;"&amp;S$8,операции!$X:$X,"",операции!$AB:$AB,"&lt;&gt;"&amp;"",операции!$AB:$AB,"&lt;"&amp;S$8,операции!$L:$L,U$9,операции!$O:$O,$F1940)+SUMIFS(операции!$AF:$AF,операции!$T:$T,"&lt;"&amp;S$8,операции!$X:$X,"&gt;="&amp;S$8,операции!$AB:$AB,"&lt;&gt;"&amp;"",операции!$AB:$AB,"&lt;"&amp;S$8,операции!$L:$L,U$9,операции!$O:$O,$F1940))/U1945)</f>
        <v>42255.101359169646</v>
      </c>
      <c r="V1946" s="237">
        <f>IF(V1945=0,0,(SUMIFS(операции!$AF:$AF,операции!$T:$T,"&lt;"&amp;S$8,операции!$X:$X,"",операции!$AB:$AB,"&lt;&gt;"&amp;"",операции!$AB:$AB,"&lt;"&amp;S$8,операции!$L:$L,V$9,операции!$O:$O,$F1940)+SUMIFS(операции!$AF:$AF,операции!$T:$T,"&lt;"&amp;S$8,операции!$X:$X,"&gt;="&amp;S$8,операции!$AB:$AB,"&lt;&gt;"&amp;"",операции!$AB:$AB,"&lt;"&amp;S$8,операции!$L:$L,V$9,операции!$O:$O,$F1940))/V1945)</f>
        <v>0</v>
      </c>
      <c r="W1946" s="238"/>
      <c r="X1946" s="193">
        <f>IF(X1945=0,0,(SUMIFS(операции!$AF:$AF,операции!$T:$T,"&lt;"&amp;X$8,операции!$X:$X,"",операции!$AB:$AB,"&lt;&gt;"&amp;"",операции!$AB:$AB,"&lt;"&amp;X$8,операции!$O:$O,$F1940)+SUMIFS(операции!$AF:$AF,операции!$T:$T,"&lt;"&amp;X$8,операции!$X:$X,"&gt;="&amp;X$8,операции!$AB:$AB,"&lt;&gt;"&amp;"",операции!$AB:$AB,"&lt;"&amp;X$8,операции!$O:$O,$F1940))/X1945)</f>
        <v>42258.390541875859</v>
      </c>
      <c r="Y1946" s="196"/>
      <c r="Z1946" s="193">
        <f>IF(Z1945=0,0,(SUMIFS(операции!$AF:$AF,операции!$T:$T,"&lt;"&amp;X$8,операции!$X:$X,"",операции!$AB:$AB,"&lt;&gt;"&amp;"",операции!$AB:$AB,"&lt;"&amp;X$8,операции!$L:$L,Z$9,операции!$O:$O,$F1940)+SUMIFS(операции!$AF:$AF,операции!$T:$T,"&lt;"&amp;X$8,операции!$X:$X,"&gt;="&amp;X$8,операции!$AB:$AB,"&lt;&gt;"&amp;"",операции!$AB:$AB,"&lt;"&amp;X$8,операции!$L:$L,Z$9,операции!$O:$O,$F1940))/Z1945)</f>
        <v>42258.390541875859</v>
      </c>
      <c r="AA1946" s="237">
        <f>IF(AA1945=0,0,(SUMIFS(операции!$AF:$AF,операции!$T:$T,"&lt;"&amp;X$8,операции!$X:$X,"",операции!$AB:$AB,"&lt;&gt;"&amp;"",операции!$AB:$AB,"&lt;"&amp;X$8,операции!$L:$L,AA$9,операции!$O:$O,$F1940)+SUMIFS(операции!$AF:$AF,операции!$T:$T,"&lt;"&amp;X$8,операции!$X:$X,"&gt;="&amp;X$8,операции!$AB:$AB,"&lt;&gt;"&amp;"",операции!$AB:$AB,"&lt;"&amp;X$8,операции!$L:$L,AA$9,операции!$O:$O,$F1940))/AA1945)</f>
        <v>0</v>
      </c>
      <c r="AB1946" s="265"/>
      <c r="AC1946" s="37"/>
      <c r="AD1946" s="37"/>
      <c r="AE1946" s="37"/>
      <c r="AF1946" s="37"/>
      <c r="AG1946" s="37"/>
      <c r="AH1946" s="37"/>
      <c r="AI1946" s="37"/>
      <c r="AJ1946" s="37"/>
      <c r="AK1946" s="37"/>
      <c r="AL1946" s="37"/>
      <c r="AM1946" s="37"/>
      <c r="AN1946" s="37"/>
      <c r="AO1946" s="37"/>
      <c r="AP1946" s="37"/>
    </row>
    <row r="1947" spans="1:42" s="192" customFormat="1" ht="11.25">
      <c r="A1947" s="37"/>
      <c r="B1947" s="37"/>
      <c r="C1947" s="37"/>
      <c r="D1947" s="191"/>
      <c r="E1947" s="191" t="s">
        <v>260</v>
      </c>
      <c r="F1947" s="191" t="str">
        <f t="shared" si="3460"/>
        <v>ЭлектроФор</v>
      </c>
      <c r="G1947" s="191" t="s">
        <v>219</v>
      </c>
      <c r="H1947" s="315"/>
      <c r="I1947" s="329">
        <f>IF(I1945=0,0,I$8-I1946)</f>
        <v>42.333333333335759</v>
      </c>
      <c r="J1947" s="317"/>
      <c r="K1947" s="329">
        <f>IF(K1945=0,0,I$8-K1946)</f>
        <v>42.333333333335759</v>
      </c>
      <c r="L1947" s="330">
        <f>IF(L1945=0,0,I$8-L1946)</f>
        <v>0</v>
      </c>
      <c r="M1947" s="274"/>
      <c r="N1947" s="156">
        <f>IF(N1945=0,0,N$8-N1946)</f>
        <v>42.333333333335759</v>
      </c>
      <c r="O1947" s="196"/>
      <c r="P1947" s="156">
        <f>IF(P1945=0,0,N$8-P1946)</f>
        <v>42.333333333335759</v>
      </c>
      <c r="Q1947" s="245">
        <f>IF(Q1945=0,0,N$8-Q1946)</f>
        <v>0</v>
      </c>
      <c r="R1947" s="238"/>
      <c r="S1947" s="156">
        <f>IF(S1945=0,0,S$8-S1946)</f>
        <v>53.898640830353543</v>
      </c>
      <c r="T1947" s="196"/>
      <c r="U1947" s="156">
        <f>IF(U1945=0,0,S$8-U1946)</f>
        <v>53.898640830353543</v>
      </c>
      <c r="V1947" s="245">
        <f>IF(V1945=0,0,S$8-V1946)</f>
        <v>0</v>
      </c>
      <c r="W1947" s="238"/>
      <c r="X1947" s="156">
        <f>IF(X1945=0,0,X$8-X1946)</f>
        <v>80.609458124141383</v>
      </c>
      <c r="Y1947" s="196"/>
      <c r="Z1947" s="156">
        <f>IF(Z1945=0,0,X$8-Z1946)</f>
        <v>80.609458124141383</v>
      </c>
      <c r="AA1947" s="245">
        <f>IF(AA1945=0,0,X$8-AA1946)</f>
        <v>0</v>
      </c>
      <c r="AB1947" s="265"/>
      <c r="AC1947" s="37"/>
      <c r="AD1947" s="37"/>
      <c r="AE1947" s="37"/>
      <c r="AF1947" s="37"/>
      <c r="AG1947" s="37"/>
      <c r="AH1947" s="37"/>
      <c r="AI1947" s="37"/>
      <c r="AJ1947" s="37"/>
      <c r="AK1947" s="37"/>
      <c r="AL1947" s="37"/>
      <c r="AM1947" s="37"/>
      <c r="AN1947" s="37"/>
      <c r="AO1947" s="37"/>
      <c r="AP1947" s="37"/>
    </row>
    <row r="1948" spans="1:42" s="192" customFormat="1" ht="11.25">
      <c r="A1948" s="37"/>
      <c r="B1948" s="37"/>
      <c r="C1948" s="37"/>
      <c r="D1948" s="191"/>
      <c r="E1948" s="191" t="s">
        <v>259</v>
      </c>
      <c r="F1948" s="191" t="str">
        <f t="shared" si="3460"/>
        <v>ЭлектроФор</v>
      </c>
      <c r="G1948" s="191" t="s">
        <v>262</v>
      </c>
      <c r="H1948" s="315"/>
      <c r="I1948" s="316">
        <f>IF(I1945=0,0,(SUMIFS(операции!$AH:$AH,операции!$T:$T,"&lt;"&amp;I$8,операции!$X:$X,"",операции!$AB:$AB,"&lt;&gt;"&amp;"",операции!$AB:$AB,"&lt;"&amp;I$8,операции!$O:$O,$F1940)+SUMIFS(операции!$AH:$AH,операции!$T:$T,"&lt;"&amp;I$8,операции!$X:$X,"&gt;="&amp;I$8,операции!$AB:$AB,"&lt;&gt;"&amp;"",операции!$AB:$AB,"&lt;"&amp;I$8,операции!$O:$O,$F1940))/I1945)</f>
        <v>42255.133333333331</v>
      </c>
      <c r="J1948" s="317"/>
      <c r="K1948" s="316">
        <f>IF(K1945=0,0,(SUMIFS(операции!$AH:$AH,операции!$T:$T,"&lt;"&amp;I$8,операции!$X:$X,"",операции!$AB:$AB,"&lt;&gt;"&amp;"",операции!$AB:$AB,"&lt;"&amp;I$8,операции!$L:$L,K$9,операции!$O:$O,$F1940)+SUMIFS(операции!$AH:$AH,операции!$T:$T,"&lt;"&amp;I$8,операции!$X:$X,"&gt;="&amp;I$8,операции!$AB:$AB,"&lt;&gt;"&amp;"",операции!$AB:$AB,"&lt;"&amp;I$8,операции!$L:$L,K$9,операции!$O:$O,$F1940))/K1945)</f>
        <v>42255.133333333331</v>
      </c>
      <c r="L1948" s="318">
        <f>IF(L1945=0,0,(SUMIFS(операции!$AH:$AH,операции!$T:$T,"&lt;"&amp;I$8,операции!$X:$X,"",операции!$AB:$AB,"&lt;&gt;"&amp;"",операции!$AB:$AB,"&lt;"&amp;I$8,операции!$L:$L,L$9,операции!$O:$O,$F1940)+SUMIFS(операции!$AH:$AH,операции!$T:$T,"&lt;"&amp;I$8,операции!$X:$X,"&gt;="&amp;I$8,операции!$AB:$AB,"&lt;&gt;"&amp;"",операции!$AB:$AB,"&lt;"&amp;I$8,операции!$L:$L,L$9,операции!$O:$O,$F1940))/L1945)</f>
        <v>0</v>
      </c>
      <c r="M1948" s="274"/>
      <c r="N1948" s="193">
        <f>IF(N1945=0,0,(SUMIFS(операции!$AH:$AH,операции!$T:$T,"&lt;"&amp;N$8,операции!$X:$X,"",операции!$AB:$AB,"&lt;&gt;"&amp;"",операции!$AB:$AB,"&lt;"&amp;N$8,операции!$O:$O,$F1940)+SUMIFS(операции!$AH:$AH,операции!$T:$T,"&lt;"&amp;N$8,операции!$X:$X,"&gt;="&amp;N$8,операции!$AB:$AB,"&lt;&gt;"&amp;"",операции!$AB:$AB,"&lt;"&amp;N$8,операции!$O:$O,$F1940))/N1945)</f>
        <v>42255.133333333331</v>
      </c>
      <c r="O1948" s="196"/>
      <c r="P1948" s="193">
        <f>IF(P1945=0,0,(SUMIFS(операции!$AH:$AH,операции!$T:$T,"&lt;"&amp;N$8,операции!$X:$X,"",операции!$AB:$AB,"&lt;&gt;"&amp;"",операции!$AB:$AB,"&lt;"&amp;N$8,операции!$L:$L,P$9,операции!$O:$O,$F1940)+SUMIFS(операции!$AH:$AH,операции!$T:$T,"&lt;"&amp;N$8,операции!$X:$X,"&gt;="&amp;N$8,операции!$AB:$AB,"&lt;&gt;"&amp;"",операции!$AB:$AB,"&lt;"&amp;N$8,операции!$L:$L,P$9,операции!$O:$O,$F1940))/P1945)</f>
        <v>42255.133333333331</v>
      </c>
      <c r="Q1948" s="237">
        <f>IF(Q1945=0,0,(SUMIFS(операции!$AH:$AH,операции!$T:$T,"&lt;"&amp;N$8,операции!$X:$X,"",операции!$AB:$AB,"&lt;&gt;"&amp;"",операции!$AB:$AB,"&lt;"&amp;N$8,операции!$L:$L,Q$9,операции!$O:$O,$F1940)+SUMIFS(операции!$AH:$AH,операции!$T:$T,"&lt;"&amp;N$8,операции!$X:$X,"&gt;="&amp;N$8,операции!$AB:$AB,"&lt;&gt;"&amp;"",операции!$AB:$AB,"&lt;"&amp;N$8,операции!$L:$L,Q$9,операции!$O:$O,$F1940))/Q1945)</f>
        <v>0</v>
      </c>
      <c r="R1948" s="238"/>
      <c r="S1948" s="193">
        <f>IF(S1945=0,0,(SUMIFS(операции!$AH:$AH,операции!$T:$T,"&lt;"&amp;S$8,операции!$X:$X,"",операции!$AB:$AB,"&lt;&gt;"&amp;"",операции!$AB:$AB,"&lt;"&amp;S$8,операции!$O:$O,$F1940)+SUMIFS(операции!$AH:$AH,операции!$T:$T,"&lt;"&amp;S$8,операции!$X:$X,"&gt;="&amp;S$8,операции!$AB:$AB,"&lt;&gt;"&amp;"",операции!$AB:$AB,"&lt;"&amp;S$8,операции!$O:$O,$F1940))/S1945)</f>
        <v>42282.057492703316</v>
      </c>
      <c r="T1948" s="196"/>
      <c r="U1948" s="193">
        <f>IF(U1945=0,0,(SUMIFS(операции!$AH:$AH,операции!$T:$T,"&lt;"&amp;S$8,операции!$X:$X,"",операции!$AB:$AB,"&lt;&gt;"&amp;"",операции!$AB:$AB,"&lt;"&amp;S$8,операции!$L:$L,U$9,операции!$O:$O,$F1940)+SUMIFS(операции!$AH:$AH,операции!$T:$T,"&lt;"&amp;S$8,операции!$X:$X,"&gt;="&amp;S$8,операции!$AB:$AB,"&lt;&gt;"&amp;"",операции!$AB:$AB,"&lt;"&amp;S$8,операции!$L:$L,U$9,операции!$O:$O,$F1940))/U1945)</f>
        <v>42282.057492703316</v>
      </c>
      <c r="V1948" s="237">
        <f>IF(V1945=0,0,(SUMIFS(операции!$AH:$AH,операции!$T:$T,"&lt;"&amp;S$8,операции!$X:$X,"",операции!$AB:$AB,"&lt;&gt;"&amp;"",операции!$AB:$AB,"&lt;"&amp;S$8,операции!$L:$L,V$9,операции!$O:$O,$F1940)+SUMIFS(операции!$AH:$AH,операции!$T:$T,"&lt;"&amp;S$8,операции!$X:$X,"&gt;="&amp;S$8,операции!$AB:$AB,"&lt;&gt;"&amp;"",операции!$AB:$AB,"&lt;"&amp;S$8,операции!$L:$L,V$9,операции!$O:$O,$F1940))/V1945)</f>
        <v>0</v>
      </c>
      <c r="W1948" s="238"/>
      <c r="X1948" s="193">
        <f>IF(X1945=0,0,(SUMIFS(операции!$AH:$AH,операции!$T:$T,"&lt;"&amp;X$8,операции!$X:$X,"",операции!$AB:$AB,"&lt;&gt;"&amp;"",операции!$AB:$AB,"&lt;"&amp;X$8,операции!$O:$O,$F1940)+SUMIFS(операции!$AH:$AH,операции!$T:$T,"&lt;"&amp;X$8,операции!$X:$X,"&gt;="&amp;X$8,операции!$AB:$AB,"&lt;&gt;"&amp;"",операции!$AB:$AB,"&lt;"&amp;X$8,операции!$O:$O,$F1940))/X1945)</f>
        <v>42286.386429647966</v>
      </c>
      <c r="Y1948" s="196"/>
      <c r="Z1948" s="193">
        <f>IF(Z1945=0,0,(SUMIFS(операции!$AH:$AH,операции!$T:$T,"&lt;"&amp;X$8,операции!$X:$X,"",операции!$AB:$AB,"&lt;&gt;"&amp;"",операции!$AB:$AB,"&lt;"&amp;X$8,операции!$L:$L,Z$9,операции!$O:$O,$F1940)+SUMIFS(операции!$AH:$AH,операции!$T:$T,"&lt;"&amp;X$8,операции!$X:$X,"&gt;="&amp;X$8,операции!$AB:$AB,"&lt;&gt;"&amp;"",операции!$AB:$AB,"&lt;"&amp;X$8,операции!$L:$L,Z$9,операции!$O:$O,$F1940))/Z1945)</f>
        <v>42286.386429647966</v>
      </c>
      <c r="AA1948" s="237">
        <f>IF(AA1945=0,0,(SUMIFS(операции!$AH:$AH,операции!$T:$T,"&lt;"&amp;X$8,операции!$X:$X,"",операции!$AB:$AB,"&lt;&gt;"&amp;"",операции!$AB:$AB,"&lt;"&amp;X$8,операции!$L:$L,AA$9,операции!$O:$O,$F1940)+SUMIFS(операции!$AH:$AH,операции!$T:$T,"&lt;"&amp;X$8,операции!$X:$X,"&gt;="&amp;X$8,операции!$AB:$AB,"&lt;&gt;"&amp;"",операции!$AB:$AB,"&lt;"&amp;X$8,операции!$L:$L,AA$9,операции!$O:$O,$F1940))/AA1945)</f>
        <v>0</v>
      </c>
      <c r="AB1948" s="265"/>
      <c r="AC1948" s="37"/>
      <c r="AD1948" s="37"/>
      <c r="AE1948" s="37"/>
      <c r="AF1948" s="37"/>
      <c r="AG1948" s="37"/>
      <c r="AH1948" s="37"/>
      <c r="AI1948" s="37"/>
      <c r="AJ1948" s="37"/>
      <c r="AK1948" s="37"/>
      <c r="AL1948" s="37"/>
      <c r="AM1948" s="37"/>
      <c r="AN1948" s="37"/>
      <c r="AO1948" s="37"/>
      <c r="AP1948" s="37"/>
    </row>
    <row r="1949" spans="1:42" s="192" customFormat="1" ht="11.25">
      <c r="A1949" s="37"/>
      <c r="B1949" s="37"/>
      <c r="C1949" s="37"/>
      <c r="D1949" s="191"/>
      <c r="E1949" s="191" t="s">
        <v>265</v>
      </c>
      <c r="F1949" s="191" t="str">
        <f t="shared" si="3460"/>
        <v>ЭлектроФор</v>
      </c>
      <c r="G1949" s="191" t="s">
        <v>219</v>
      </c>
      <c r="H1949" s="315"/>
      <c r="I1949" s="329">
        <f>I1948-I1946</f>
        <v>19.466666666667152</v>
      </c>
      <c r="J1949" s="317"/>
      <c r="K1949" s="329">
        <f t="shared" ref="K1949" si="3473">K1948-K1946</f>
        <v>19.466666666667152</v>
      </c>
      <c r="L1949" s="330">
        <f>L1948-L1946</f>
        <v>0</v>
      </c>
      <c r="M1949" s="274"/>
      <c r="N1949" s="156">
        <f>N1948-N1946</f>
        <v>19.466666666667152</v>
      </c>
      <c r="O1949" s="196"/>
      <c r="P1949" s="156">
        <f t="shared" ref="P1949" si="3474">P1948-P1946</f>
        <v>19.466666666667152</v>
      </c>
      <c r="Q1949" s="245">
        <f>Q1948-Q1946</f>
        <v>0</v>
      </c>
      <c r="R1949" s="238"/>
      <c r="S1949" s="156">
        <f>S1948-S1946</f>
        <v>26.956133533669345</v>
      </c>
      <c r="T1949" s="196"/>
      <c r="U1949" s="156">
        <f t="shared" ref="U1949" si="3475">U1948-U1946</f>
        <v>26.956133533669345</v>
      </c>
      <c r="V1949" s="245">
        <f>V1948-V1946</f>
        <v>0</v>
      </c>
      <c r="W1949" s="238"/>
      <c r="X1949" s="156">
        <f>X1948-X1946</f>
        <v>27.99588777210738</v>
      </c>
      <c r="Y1949" s="196"/>
      <c r="Z1949" s="156">
        <f t="shared" ref="Z1949" si="3476">Z1948-Z1946</f>
        <v>27.99588777210738</v>
      </c>
      <c r="AA1949" s="245">
        <f>AA1948-AA1946</f>
        <v>0</v>
      </c>
      <c r="AB1949" s="265"/>
      <c r="AC1949" s="37"/>
      <c r="AD1949" s="37"/>
      <c r="AE1949" s="37"/>
      <c r="AF1949" s="37"/>
      <c r="AG1949" s="37"/>
      <c r="AH1949" s="37"/>
      <c r="AI1949" s="37"/>
      <c r="AJ1949" s="37"/>
      <c r="AK1949" s="37"/>
      <c r="AL1949" s="37"/>
      <c r="AM1949" s="37"/>
      <c r="AN1949" s="37"/>
      <c r="AO1949" s="37"/>
      <c r="AP1949" s="37"/>
    </row>
    <row r="1950" spans="1:42" s="192" customFormat="1" ht="11.25">
      <c r="A1950" s="37"/>
      <c r="B1950" s="37"/>
      <c r="C1950" s="37"/>
      <c r="D1950" s="191"/>
      <c r="E1950" s="191" t="s">
        <v>268</v>
      </c>
      <c r="F1950" s="191" t="str">
        <f t="shared" si="3460"/>
        <v>ЭлектроФор</v>
      </c>
      <c r="G1950" s="191" t="s">
        <v>219</v>
      </c>
      <c r="H1950" s="315"/>
      <c r="I1950" s="329">
        <f>I1947-I1949</f>
        <v>22.866666666668607</v>
      </c>
      <c r="J1950" s="317"/>
      <c r="K1950" s="329">
        <f t="shared" ref="K1950" si="3477">K1947-K1949</f>
        <v>22.866666666668607</v>
      </c>
      <c r="L1950" s="330">
        <f t="shared" ref="L1950" si="3478">L1947-L1949</f>
        <v>0</v>
      </c>
      <c r="M1950" s="274"/>
      <c r="N1950" s="156">
        <f>N1947-N1949</f>
        <v>22.866666666668607</v>
      </c>
      <c r="O1950" s="196"/>
      <c r="P1950" s="156">
        <f t="shared" ref="P1950" si="3479">P1947-P1949</f>
        <v>22.866666666668607</v>
      </c>
      <c r="Q1950" s="245">
        <f t="shared" ref="Q1950" si="3480">Q1947-Q1949</f>
        <v>0</v>
      </c>
      <c r="R1950" s="238"/>
      <c r="S1950" s="156">
        <f>S1947-S1949</f>
        <v>26.942507296684198</v>
      </c>
      <c r="T1950" s="196"/>
      <c r="U1950" s="156">
        <f t="shared" ref="U1950" si="3481">U1947-U1949</f>
        <v>26.942507296684198</v>
      </c>
      <c r="V1950" s="245">
        <f t="shared" ref="V1950" si="3482">V1947-V1949</f>
        <v>0</v>
      </c>
      <c r="W1950" s="238"/>
      <c r="X1950" s="156">
        <f>X1947-X1949</f>
        <v>52.613570352034003</v>
      </c>
      <c r="Y1950" s="196"/>
      <c r="Z1950" s="156">
        <f t="shared" ref="Z1950" si="3483">Z1947-Z1949</f>
        <v>52.613570352034003</v>
      </c>
      <c r="AA1950" s="245">
        <f t="shared" ref="AA1950" si="3484">AA1947-AA1949</f>
        <v>0</v>
      </c>
      <c r="AB1950" s="265"/>
      <c r="AC1950" s="37"/>
      <c r="AD1950" s="37"/>
      <c r="AE1950" s="37"/>
      <c r="AF1950" s="37"/>
      <c r="AG1950" s="37"/>
      <c r="AH1950" s="37"/>
      <c r="AI1950" s="37"/>
      <c r="AJ1950" s="37"/>
      <c r="AK1950" s="37"/>
      <c r="AL1950" s="37"/>
      <c r="AM1950" s="37"/>
      <c r="AN1950" s="37"/>
      <c r="AO1950" s="37"/>
      <c r="AP1950" s="37"/>
    </row>
    <row r="1951" spans="1:42" s="5" customFormat="1">
      <c r="A1951" s="1"/>
      <c r="B1951" s="1"/>
      <c r="C1951" s="1"/>
      <c r="D1951" s="168"/>
      <c r="E1951" s="168" t="s">
        <v>276</v>
      </c>
      <c r="F1951" s="168" t="str">
        <f t="shared" si="3460"/>
        <v>ЭлектроФор</v>
      </c>
      <c r="G1951" s="168" t="s">
        <v>261</v>
      </c>
      <c r="H1951" s="326"/>
      <c r="I1951" s="327">
        <f>SUMIFS(операции!$V:$V,операции!$T:$T,"&lt;"&amp;I$8,операции!$X:$X,"",операции!$AB:$AB,"",операции!$O:$O,$F1940)+SUMIFS(операции!$V:$V,операции!$T:$T,"&lt;"&amp;I$8,операции!$X:$X,"&gt;="&amp;I$8,операции!$AB:$AB,"",операции!$O:$O,$F1940)+SUMIFS(операции!$V:$V,операции!$T:$T,"&lt;"&amp;I$8,операции!$X:$X,"",операции!$AB:$AB,"&gt;="&amp;I$8,операции!$O:$O,$F1940)+SUMIFS(операции!$V:$V,операции!$T:$T,"&lt;"&amp;I$8,операции!$X:$X,"&gt;="&amp;I$8,операции!$AB:$AB,"&gt;="&amp;I$8,операции!$O:$O,$F1940)</f>
        <v>8345.6500000000015</v>
      </c>
      <c r="J1951" s="313">
        <f>I1951-K1951-L1951</f>
        <v>0</v>
      </c>
      <c r="K1951" s="327">
        <f>SUMIFS(операции!$V:$V,операции!$T:$T,"&lt;"&amp;I$8,операции!$X:$X,"",операции!$AB:$AB,"",операции!$L:$L,K$9,операции!$O:$O,$F1940)+SUMIFS(операции!$V:$V,операции!$T:$T,"&lt;"&amp;I$8,операции!$X:$X,"&gt;="&amp;I$8,операции!$AB:$AB,"",операции!$L:$L,K$9,операции!$O:$O,$F1940)+SUMIFS(операции!$V:$V,операции!$T:$T,"&lt;"&amp;I$8,операции!$X:$X,"",операции!$AB:$AB,"&gt;="&amp;I$8,операции!$L:$L,K$9,операции!$O:$O,$F1940)+SUMIFS(операции!$V:$V,операции!$T:$T,"&lt;"&amp;I$8,операции!$X:$X,"&gt;="&amp;I$8,операции!$AB:$AB,"&gt;="&amp;I$8,операции!$L:$L,K$9,операции!$O:$O,$F1940)</f>
        <v>8345.6500000000015</v>
      </c>
      <c r="L1951" s="328">
        <f>SUMIFS(операции!$V:$V,операции!$T:$T,"&lt;"&amp;I$8,операции!$X:$X,"",операции!$AB:$AB,"",операции!$L:$L,L$9,операции!$O:$O,$F1940)+SUMIFS(операции!$V:$V,операции!$T:$T,"&lt;"&amp;I$8,операции!$X:$X,"&gt;="&amp;I$8,операции!$AB:$AB,"",операции!$L:$L,L$9,операции!$O:$O,$F1940)+SUMIFS(операции!$V:$V,операции!$T:$T,"&lt;"&amp;I$8,операции!$X:$X,"",операции!$AB:$AB,"&gt;="&amp;I$8,операции!$L:$L,L$9,операции!$O:$O,$F1940)+SUMIFS(операции!$V:$V,операции!$T:$T,"&lt;"&amp;I$8,операции!$X:$X,"&gt;="&amp;I$8,операции!$AB:$AB,"&gt;="&amp;I$8,операции!$L:$L,L$9,операции!$O:$O,$F1940)</f>
        <v>0</v>
      </c>
      <c r="M1951" s="277"/>
      <c r="N1951" s="169">
        <f>SUMIFS(операции!$V:$V,операции!$T:$T,"&lt;"&amp;N$8,операции!$X:$X,"",операции!$AB:$AB,"",операции!$O:$O,$F1940)+SUMIFS(операции!$V:$V,операции!$T:$T,"&lt;"&amp;N$8,операции!$X:$X,"&gt;="&amp;N$8,операции!$AB:$AB,"",операции!$O:$O,$F1940)+SUMIFS(операции!$V:$V,операции!$T:$T,"&lt;"&amp;N$8,операции!$X:$X,"",операции!$AB:$AB,"&gt;="&amp;N$8,операции!$O:$O,$F1940)+SUMIFS(операции!$V:$V,операции!$T:$T,"&lt;"&amp;N$8,операции!$X:$X,"&gt;="&amp;N$8,операции!$AB:$AB,"&gt;="&amp;N$8,операции!$O:$O,$F1940)</f>
        <v>8345.6500000000015</v>
      </c>
      <c r="O1951" s="170">
        <f>N1951-P1951-Q1951</f>
        <v>0</v>
      </c>
      <c r="P1951" s="169">
        <f>SUMIFS(операции!$V:$V,операции!$T:$T,"&lt;"&amp;N$8,операции!$X:$X,"",операции!$AB:$AB,"",операции!$L:$L,P$9,операции!$O:$O,$F1940)+SUMIFS(операции!$V:$V,операции!$T:$T,"&lt;"&amp;N$8,операции!$X:$X,"&gt;="&amp;N$8,операции!$AB:$AB,"",операции!$L:$L,P$9,операции!$O:$O,$F1940)+SUMIFS(операции!$V:$V,операции!$T:$T,"&lt;"&amp;N$8,операции!$X:$X,"",операции!$AB:$AB,"&gt;="&amp;N$8,операции!$L:$L,P$9,операции!$O:$O,$F1940)+SUMIFS(операции!$V:$V,операции!$T:$T,"&lt;"&amp;N$8,операции!$X:$X,"&gt;="&amp;N$8,операции!$AB:$AB,"&gt;="&amp;N$8,операции!$L:$L,P$9,операции!$O:$O,$F1940)</f>
        <v>8345.6500000000015</v>
      </c>
      <c r="Q1951" s="243">
        <f>SUMIFS(операции!$V:$V,операции!$T:$T,"&lt;"&amp;N$8,операции!$X:$X,"",операции!$AB:$AB,"",операции!$L:$L,Q$9,операции!$O:$O,$F1940)+SUMIFS(операции!$V:$V,операции!$T:$T,"&lt;"&amp;N$8,операции!$X:$X,"&gt;="&amp;N$8,операции!$AB:$AB,"",операции!$L:$L,Q$9,операции!$O:$O,$F1940)+SUMIFS(операции!$V:$V,операции!$T:$T,"&lt;"&amp;N$8,операции!$X:$X,"",операции!$AB:$AB,"&gt;="&amp;N$8,операции!$L:$L,Q$9,операции!$O:$O,$F1940)+SUMIFS(операции!$V:$V,операции!$T:$T,"&lt;"&amp;N$8,операции!$X:$X,"&gt;="&amp;N$8,операции!$AB:$AB,"&gt;="&amp;N$8,операции!$L:$L,Q$9,операции!$O:$O,$F1940)</f>
        <v>0</v>
      </c>
      <c r="R1951" s="244"/>
      <c r="S1951" s="169">
        <f>SUMIFS(операции!$V:$V,операции!$T:$T,"&lt;"&amp;S$8,операции!$X:$X,"",операции!$AB:$AB,"",операции!$O:$O,$F1940)+SUMIFS(операции!$V:$V,операции!$T:$T,"&lt;"&amp;S$8,операции!$X:$X,"&gt;="&amp;S$8,операции!$AB:$AB,"",операции!$O:$O,$F1940)+SUMIFS(операции!$V:$V,операции!$T:$T,"&lt;"&amp;S$8,операции!$X:$X,"",операции!$AB:$AB,"&gt;="&amp;S$8,операции!$O:$O,$F1940)+SUMIFS(операции!$V:$V,операции!$T:$T,"&lt;"&amp;S$8,операции!$X:$X,"&gt;="&amp;S$8,операции!$AB:$AB,"&gt;="&amp;S$8,операции!$O:$O,$F1940)</f>
        <v>4228.6000000000004</v>
      </c>
      <c r="T1951" s="170">
        <f>S1951-U1951-V1951</f>
        <v>0</v>
      </c>
      <c r="U1951" s="169">
        <f>SUMIFS(операции!$V:$V,операции!$T:$T,"&lt;"&amp;S$8,операции!$X:$X,"",операции!$AB:$AB,"",операции!$L:$L,U$9,операции!$O:$O,$F1940)+SUMIFS(операции!$V:$V,операции!$T:$T,"&lt;"&amp;S$8,операции!$X:$X,"&gt;="&amp;S$8,операции!$AB:$AB,"",операции!$L:$L,U$9,операции!$O:$O,$F1940)+SUMIFS(операции!$V:$V,операции!$T:$T,"&lt;"&amp;S$8,операции!$X:$X,"",операции!$AB:$AB,"&gt;="&amp;S$8,операции!$L:$L,U$9,операции!$O:$O,$F1940)+SUMIFS(операции!$V:$V,операции!$T:$T,"&lt;"&amp;S$8,операции!$X:$X,"&gt;="&amp;S$8,операции!$AB:$AB,"&gt;="&amp;S$8,операции!$L:$L,U$9,операции!$O:$O,$F1940)</f>
        <v>4228.6000000000004</v>
      </c>
      <c r="V1951" s="243">
        <f>SUMIFS(операции!$V:$V,операции!$T:$T,"&lt;"&amp;S$8,операции!$X:$X,"",операции!$AB:$AB,"",операции!$L:$L,V$9,операции!$O:$O,$F1940)+SUMIFS(операции!$V:$V,операции!$T:$T,"&lt;"&amp;S$8,операции!$X:$X,"&gt;="&amp;S$8,операции!$AB:$AB,"",операции!$L:$L,V$9,операции!$O:$O,$F1940)+SUMIFS(операции!$V:$V,операции!$T:$T,"&lt;"&amp;S$8,операции!$X:$X,"",операции!$AB:$AB,"&gt;="&amp;S$8,операции!$L:$L,V$9,операции!$O:$O,$F1940)+SUMIFS(операции!$V:$V,операции!$T:$T,"&lt;"&amp;S$8,операции!$X:$X,"&gt;="&amp;S$8,операции!$AB:$AB,"&gt;="&amp;S$8,операции!$L:$L,V$9,операции!$O:$O,$F1940)</f>
        <v>0</v>
      </c>
      <c r="W1951" s="244"/>
      <c r="X1951" s="169">
        <f>SUMIFS(операции!$V:$V,операции!$T:$T,"&lt;"&amp;X$8,операции!$X:$X,"",операции!$AB:$AB,"",операции!$O:$O,$F1940)+SUMIFS(операции!$V:$V,операции!$T:$T,"&lt;"&amp;X$8,операции!$X:$X,"&gt;="&amp;X$8,операции!$AB:$AB,"",операции!$O:$O,$F1940)+SUMIFS(операции!$V:$V,операции!$T:$T,"&lt;"&amp;X$8,операции!$X:$X,"",операции!$AB:$AB,"&gt;="&amp;X$8,операции!$O:$O,$F1940)+SUMIFS(операции!$V:$V,операции!$T:$T,"&lt;"&amp;X$8,операции!$X:$X,"&gt;="&amp;X$8,операции!$AB:$AB,"&gt;="&amp;X$8,операции!$O:$O,$F1940)</f>
        <v>20907.05</v>
      </c>
      <c r="Y1951" s="170">
        <f>X1951-Z1951-AA1951</f>
        <v>0</v>
      </c>
      <c r="Z1951" s="169">
        <f>SUMIFS(операции!$V:$V,операции!$T:$T,"&lt;"&amp;X$8,операции!$X:$X,"",операции!$AB:$AB,"",операции!$L:$L,Z$9,операции!$O:$O,$F1940)+SUMIFS(операции!$V:$V,операции!$T:$T,"&lt;"&amp;X$8,операции!$X:$X,"&gt;="&amp;X$8,операции!$AB:$AB,"",операции!$L:$L,Z$9,операции!$O:$O,$F1940)+SUMIFS(операции!$V:$V,операции!$T:$T,"&lt;"&amp;X$8,операции!$X:$X,"",операции!$AB:$AB,"&gt;="&amp;X$8,операции!$L:$L,Z$9,операции!$O:$O,$F1940)+SUMIFS(операции!$V:$V,операции!$T:$T,"&lt;"&amp;X$8,операции!$X:$X,"&gt;="&amp;X$8,операции!$AB:$AB,"&gt;="&amp;X$8,операции!$L:$L,Z$9,операции!$O:$O,$F1940)</f>
        <v>4117.05</v>
      </c>
      <c r="AA1951" s="243">
        <f>SUMIFS(операции!$V:$V,операции!$T:$T,"&lt;"&amp;X$8,операции!$X:$X,"",операции!$AB:$AB,"",операции!$L:$L,AA$9,операции!$O:$O,$F1940)+SUMIFS(операции!$V:$V,операции!$T:$T,"&lt;"&amp;X$8,операции!$X:$X,"&gt;="&amp;X$8,операции!$AB:$AB,"",операции!$L:$L,AA$9,операции!$O:$O,$F1940)+SUMIFS(операции!$V:$V,операции!$T:$T,"&lt;"&amp;X$8,операции!$X:$X,"",операции!$AB:$AB,"&gt;="&amp;X$8,операции!$L:$L,AA$9,операции!$O:$O,$F1940)+SUMIFS(операции!$V:$V,операции!$T:$T,"&lt;"&amp;X$8,операции!$X:$X,"&gt;="&amp;X$8,операции!$AB:$AB,"&gt;="&amp;X$8,операции!$L:$L,AA$9,операции!$O:$O,$F1940)</f>
        <v>16790</v>
      </c>
      <c r="AB1951" s="266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</row>
    <row r="1952" spans="1:42" s="192" customFormat="1" ht="11.25">
      <c r="A1952" s="37"/>
      <c r="B1952" s="37"/>
      <c r="C1952" s="37"/>
      <c r="D1952" s="191"/>
      <c r="E1952" s="191" t="s">
        <v>255</v>
      </c>
      <c r="F1952" s="191" t="str">
        <f t="shared" si="3460"/>
        <v>ЭлектроФор</v>
      </c>
      <c r="G1952" s="191" t="s">
        <v>262</v>
      </c>
      <c r="H1952" s="315"/>
      <c r="I1952" s="316">
        <f>IF(I1951=0,0,(SUMIFS(операции!$AF:$AF,операции!$T:$T,"&lt;"&amp;I$8,операции!$X:$X,"",операции!$AB:$AB,"",операции!$O:$O,$F1940)+SUMIFS(операции!$AF:$AF,операции!$T:$T,"&lt;"&amp;I$8,операции!$X:$X,"&gt;="&amp;I$8,операции!$AB:$AB,"",операции!$O:$O,$F1940)+SUMIFS(операции!$AF:$AF,операции!$T:$T,"&lt;"&amp;I$8,операции!$X:$X,"",операции!$AB:$AB,"&gt;="&amp;I$8,операции!$O:$O,$F1940)+SUMIFS(операции!$AF:$AF,операции!$T:$T,"&lt;"&amp;I$8,операции!$X:$X,"&gt;="&amp;I$8,операции!$AB:$AB,"&gt;="&amp;I$8,операции!$O:$O,$F1940))/I1951)</f>
        <v>42262.585646414591</v>
      </c>
      <c r="J1952" s="317"/>
      <c r="K1952" s="316">
        <f>IF(K1951=0,0,(SUMIFS(операции!$AF:$AF,операции!$T:$T,"&lt;"&amp;I$8,операции!$X:$X,"",операции!$AB:$AB,"",операции!$L:$L,K$9,операции!$O:$O,$F1940)+SUMIFS(операции!$AF:$AF,операции!$T:$T,"&lt;"&amp;I$8,операции!$X:$X,"&gt;="&amp;I$8,операции!$AB:$AB,"",операции!$L:$L,K$9,операции!$O:$O,$F1940)+SUMIFS(операции!$AF:$AF,операции!$T:$T,"&lt;"&amp;I$8,операции!$X:$X,"",операции!$AB:$AB,"&gt;="&amp;I$8,операции!$L:$L,K$9,операции!$O:$O,$F1940)+SUMIFS(операции!$AF:$AF,операции!$T:$T,"&lt;"&amp;I$8,операции!$X:$X,"&gt;="&amp;I$8,операции!$AB:$AB,"&gt;="&amp;I$8,операции!$L:$L,K$9,операции!$O:$O,$F1940))/K1951)</f>
        <v>42262.585646414591</v>
      </c>
      <c r="L1952" s="318">
        <f>IF(L1951=0,0,(SUMIFS(операции!$AF:$AF,операции!$T:$T,"&lt;"&amp;I$8,операции!$X:$X,"",операции!$AB:$AB,"",операции!$L:$L,L$9,операции!$O:$O,$F1940)+SUMIFS(операции!$AF:$AF,операции!$T:$T,"&lt;"&amp;I$8,операции!$X:$X,"&gt;="&amp;I$8,операции!$AB:$AB,"",операции!$L:$L,L$9,операции!$O:$O,$F1940)+SUMIFS(операции!$AF:$AF,операции!$T:$T,"&lt;"&amp;I$8,операции!$X:$X,"",операции!$AB:$AB,"&gt;="&amp;I$8,операции!$L:$L,L$9,операции!$O:$O,$F1940)+SUMIFS(операции!$AF:$AF,операции!$T:$T,"&lt;"&amp;I$8,операции!$X:$X,"&gt;="&amp;I$8,операции!$AB:$AB,"&gt;="&amp;I$8,операции!$L:$L,L$9,операции!$O:$O,$F1940))/L1951)</f>
        <v>0</v>
      </c>
      <c r="M1952" s="274"/>
      <c r="N1952" s="193">
        <f>IF(N1951=0,0,(SUMIFS(операции!$AF:$AF,операции!$T:$T,"&lt;"&amp;N$8,операции!$X:$X,"",операции!$AB:$AB,"",операции!$O:$O,$F1940)+SUMIFS(операции!$AF:$AF,операции!$T:$T,"&lt;"&amp;N$8,операции!$X:$X,"&gt;="&amp;N$8,операции!$AB:$AB,"",операции!$O:$O,$F1940)+SUMIFS(операции!$AF:$AF,операции!$T:$T,"&lt;"&amp;N$8,операции!$X:$X,"",операции!$AB:$AB,"&gt;="&amp;N$8,операции!$O:$O,$F1940)+SUMIFS(операции!$AF:$AF,операции!$T:$T,"&lt;"&amp;N$8,операции!$X:$X,"&gt;="&amp;N$8,операции!$AB:$AB,"&gt;="&amp;N$8,операции!$O:$O,$F1940))/N1951)</f>
        <v>42262.585646414591</v>
      </c>
      <c r="O1952" s="196"/>
      <c r="P1952" s="193">
        <f>IF(P1951=0,0,(SUMIFS(операции!$AF:$AF,операции!$T:$T,"&lt;"&amp;N$8,операции!$X:$X,"",операции!$AB:$AB,"",операции!$L:$L,P$9,операции!$O:$O,$F1940)+SUMIFS(операции!$AF:$AF,операции!$T:$T,"&lt;"&amp;N$8,операции!$X:$X,"&gt;="&amp;N$8,операции!$AB:$AB,"",операции!$L:$L,P$9,операции!$O:$O,$F1940)+SUMIFS(операции!$AF:$AF,операции!$T:$T,"&lt;"&amp;N$8,операции!$X:$X,"",операции!$AB:$AB,"&gt;="&amp;N$8,операции!$L:$L,P$9,операции!$O:$O,$F1940)+SUMIFS(операции!$AF:$AF,операции!$T:$T,"&lt;"&amp;N$8,операции!$X:$X,"&gt;="&amp;N$8,операции!$AB:$AB,"&gt;="&amp;N$8,операции!$L:$L,P$9,операции!$O:$O,$F1940))/P1951)</f>
        <v>42262.585646414591</v>
      </c>
      <c r="Q1952" s="237">
        <f>IF(Q1951=0,0,(SUMIFS(операции!$AF:$AF,операции!$T:$T,"&lt;"&amp;N$8,операции!$X:$X,"",операции!$AB:$AB,"",операции!$L:$L,Q$9,операции!$O:$O,$F1940)+SUMIFS(операции!$AF:$AF,операции!$T:$T,"&lt;"&amp;N$8,операции!$X:$X,"&gt;="&amp;N$8,операции!$AB:$AB,"",операции!$L:$L,Q$9,операции!$O:$O,$F1940)+SUMIFS(операции!$AF:$AF,операции!$T:$T,"&lt;"&amp;N$8,операции!$X:$X,"",операции!$AB:$AB,"&gt;="&amp;N$8,операции!$L:$L,Q$9,операции!$O:$O,$F1940)+SUMIFS(операции!$AF:$AF,операции!$T:$T,"&lt;"&amp;N$8,операции!$X:$X,"&gt;="&amp;N$8,операции!$AB:$AB,"&gt;="&amp;N$8,операции!$L:$L,Q$9,операции!$O:$O,$F1940))/Q1951)</f>
        <v>0</v>
      </c>
      <c r="R1952" s="238"/>
      <c r="S1952" s="193">
        <f>IF(S1951=0,0,(SUMIFS(операции!$AF:$AF,операции!$T:$T,"&lt;"&amp;S$8,операции!$X:$X,"",операции!$AB:$AB,"",операции!$O:$O,$F1940)+SUMIFS(операции!$AF:$AF,операции!$T:$T,"&lt;"&amp;S$8,операции!$X:$X,"&gt;="&amp;S$8,операции!$AB:$AB,"",операции!$O:$O,$F1940)+SUMIFS(операции!$AF:$AF,операции!$T:$T,"&lt;"&amp;S$8,операции!$X:$X,"",операции!$AB:$AB,"&gt;="&amp;S$8,операции!$O:$O,$F1940)+SUMIFS(операции!$AF:$AF,операции!$T:$T,"&lt;"&amp;S$8,операции!$X:$X,"&gt;="&amp;S$8,операции!$AB:$AB,"&gt;="&amp;S$8,операции!$O:$O,$F1940))/S1951)</f>
        <v>42262.182223430922</v>
      </c>
      <c r="T1952" s="196"/>
      <c r="U1952" s="193">
        <f>IF(U1951=0,0,(SUMIFS(операции!$AF:$AF,операции!$T:$T,"&lt;"&amp;S$8,операции!$X:$X,"",операции!$AB:$AB,"",операции!$L:$L,U$9,операции!$O:$O,$F1940)+SUMIFS(операции!$AF:$AF,операции!$T:$T,"&lt;"&amp;S$8,операции!$X:$X,"&gt;="&amp;S$8,операции!$AB:$AB,"",операции!$L:$L,U$9,операции!$O:$O,$F1940)+SUMIFS(операции!$AF:$AF,операции!$T:$T,"&lt;"&amp;S$8,операции!$X:$X,"",операции!$AB:$AB,"&gt;="&amp;S$8,операции!$L:$L,U$9,операции!$O:$O,$F1940)+SUMIFS(операции!$AF:$AF,операции!$T:$T,"&lt;"&amp;S$8,операции!$X:$X,"&gt;="&amp;S$8,операции!$AB:$AB,"&gt;="&amp;S$8,операции!$L:$L,U$9,операции!$O:$O,$F1940))/U1951)</f>
        <v>42262.182223430922</v>
      </c>
      <c r="V1952" s="237">
        <f>IF(V1951=0,0,(SUMIFS(операции!$AF:$AF,операции!$T:$T,"&lt;"&amp;S$8,операции!$X:$X,"",операции!$AB:$AB,"",операции!$L:$L,V$9,операции!$O:$O,$F1940)+SUMIFS(операции!$AF:$AF,операции!$T:$T,"&lt;"&amp;S$8,операции!$X:$X,"&gt;="&amp;S$8,операции!$AB:$AB,"",операции!$L:$L,V$9,операции!$O:$O,$F1940)+SUMIFS(операции!$AF:$AF,операции!$T:$T,"&lt;"&amp;S$8,операции!$X:$X,"",операции!$AB:$AB,"&gt;="&amp;S$8,операции!$L:$L,V$9,операции!$O:$O,$F1940)+SUMIFS(операции!$AF:$AF,операции!$T:$T,"&lt;"&amp;S$8,операции!$X:$X,"&gt;="&amp;S$8,операции!$AB:$AB,"&gt;="&amp;S$8,операции!$L:$L,V$9,операции!$O:$O,$F1940))/V1951)</f>
        <v>0</v>
      </c>
      <c r="W1952" s="238"/>
      <c r="X1952" s="193">
        <f>IF(X1951=0,0,(SUMIFS(операции!$AF:$AF,операции!$T:$T,"&lt;"&amp;X$8,операции!$X:$X,"",операции!$AB:$AB,"",операции!$O:$O,$F1940)+SUMIFS(операции!$AF:$AF,операции!$T:$T,"&lt;"&amp;X$8,операции!$X:$X,"&gt;="&amp;X$8,операции!$AB:$AB,"",операции!$O:$O,$F1940)+SUMIFS(операции!$AF:$AF,операции!$T:$T,"&lt;"&amp;X$8,операции!$X:$X,"",операции!$AB:$AB,"&gt;="&amp;X$8,операции!$O:$O,$F1940)+SUMIFS(операции!$AF:$AF,операции!$T:$T,"&lt;"&amp;X$8,операции!$X:$X,"&gt;="&amp;X$8,операции!$AB:$AB,"&gt;="&amp;X$8,операции!$O:$O,$F1940))/X1951)</f>
        <v>42321.930743457349</v>
      </c>
      <c r="Y1952" s="196"/>
      <c r="Z1952" s="193">
        <f>IF(Z1951=0,0,(SUMIFS(операции!$AF:$AF,операции!$T:$T,"&lt;"&amp;X$8,операции!$X:$X,"",операции!$AB:$AB,"",операции!$L:$L,Z$9,операции!$O:$O,$F1940)+SUMIFS(операции!$AF:$AF,операции!$T:$T,"&lt;"&amp;X$8,операции!$X:$X,"&gt;="&amp;X$8,операции!$AB:$AB,"",операции!$L:$L,Z$9,операции!$O:$O,$F1940)+SUMIFS(операции!$AF:$AF,операции!$T:$T,"&lt;"&amp;X$8,операции!$X:$X,"",операции!$AB:$AB,"&gt;="&amp;X$8,операции!$L:$L,Z$9,операции!$O:$O,$F1940)+SUMIFS(операции!$AF:$AF,операции!$T:$T,"&lt;"&amp;X$8,операции!$X:$X,"&gt;="&amp;X$8,операции!$AB:$AB,"&gt;="&amp;X$8,операции!$L:$L,Z$9,операции!$O:$O,$F1940))/Z1951)</f>
        <v>42263</v>
      </c>
      <c r="AA1952" s="237">
        <f>IF(AA1951=0,0,(SUMIFS(операции!$AF:$AF,операции!$T:$T,"&lt;"&amp;X$8,операции!$X:$X,"",операции!$AB:$AB,"",операции!$L:$L,AA$9,операции!$O:$O,$F1940)+SUMIFS(операции!$AF:$AF,операции!$T:$T,"&lt;"&amp;X$8,операции!$X:$X,"&gt;="&amp;X$8,операции!$AB:$AB,"",операции!$L:$L,AA$9,операции!$O:$O,$F1940)+SUMIFS(операции!$AF:$AF,операции!$T:$T,"&lt;"&amp;X$8,операции!$X:$X,"",операции!$AB:$AB,"&gt;="&amp;X$8,операции!$L:$L,AA$9,операции!$O:$O,$F1940)+SUMIFS(операции!$AF:$AF,операции!$T:$T,"&lt;"&amp;X$8,операции!$X:$X,"&gt;="&amp;X$8,операции!$AB:$AB,"&gt;="&amp;X$8,операции!$L:$L,AA$9,операции!$O:$O,$F1940))/AA1951)</f>
        <v>42336.381060154854</v>
      </c>
      <c r="AB1952" s="265"/>
      <c r="AC1952" s="37"/>
      <c r="AD1952" s="37"/>
      <c r="AE1952" s="37"/>
      <c r="AF1952" s="37"/>
      <c r="AG1952" s="37"/>
      <c r="AH1952" s="37"/>
      <c r="AI1952" s="37"/>
      <c r="AJ1952" s="37"/>
      <c r="AK1952" s="37"/>
      <c r="AL1952" s="37"/>
      <c r="AM1952" s="37"/>
      <c r="AN1952" s="37"/>
      <c r="AO1952" s="37"/>
      <c r="AP1952" s="37"/>
    </row>
    <row r="1953" spans="1:42" s="192" customFormat="1" ht="11.25">
      <c r="A1953" s="37"/>
      <c r="B1953" s="37"/>
      <c r="C1953" s="37"/>
      <c r="D1953" s="191"/>
      <c r="E1953" s="191" t="s">
        <v>263</v>
      </c>
      <c r="F1953" s="191" t="str">
        <f t="shared" si="3460"/>
        <v>ЭлектроФор</v>
      </c>
      <c r="G1953" s="191" t="s">
        <v>219</v>
      </c>
      <c r="H1953" s="315"/>
      <c r="I1953" s="329">
        <f>IF(I1951=0,0,I$8-I1952)</f>
        <v>15.414353585409117</v>
      </c>
      <c r="J1953" s="317"/>
      <c r="K1953" s="329">
        <f>IF(K1951=0,0,I$8-K1952)</f>
        <v>15.414353585409117</v>
      </c>
      <c r="L1953" s="330">
        <f>IF(L1951=0,0,I$8-L1952)</f>
        <v>0</v>
      </c>
      <c r="M1953" s="274"/>
      <c r="N1953" s="156">
        <f>IF(N1951=0,0,N$8-N1952)</f>
        <v>15.414353585409117</v>
      </c>
      <c r="O1953" s="196"/>
      <c r="P1953" s="156">
        <f>IF(P1951=0,0,N$8-P1952)</f>
        <v>15.414353585409117</v>
      </c>
      <c r="Q1953" s="245">
        <f>IF(Q1951=0,0,N$8-Q1952)</f>
        <v>0</v>
      </c>
      <c r="R1953" s="238"/>
      <c r="S1953" s="156">
        <f>IF(S1951=0,0,S$8-S1952)</f>
        <v>46.817776569077978</v>
      </c>
      <c r="T1953" s="196"/>
      <c r="U1953" s="156">
        <f>IF(U1951=0,0,S$8-U1952)</f>
        <v>46.817776569077978</v>
      </c>
      <c r="V1953" s="245">
        <f>IF(V1951=0,0,S$8-V1952)</f>
        <v>0</v>
      </c>
      <c r="W1953" s="238"/>
      <c r="X1953" s="156">
        <f>IF(X1951=0,0,X$8-X1952)</f>
        <v>17.069256542650692</v>
      </c>
      <c r="Y1953" s="196"/>
      <c r="Z1953" s="156">
        <f>IF(Z1951=0,0,X$8-Z1952)</f>
        <v>76</v>
      </c>
      <c r="AA1953" s="245">
        <f>IF(AA1951=0,0,X$8-AA1952)</f>
        <v>2.6189398451460875</v>
      </c>
      <c r="AB1953" s="265"/>
      <c r="AC1953" s="37"/>
      <c r="AD1953" s="37"/>
      <c r="AE1953" s="37"/>
      <c r="AF1953" s="37"/>
      <c r="AG1953" s="37"/>
      <c r="AH1953" s="37"/>
      <c r="AI1953" s="37"/>
      <c r="AJ1953" s="37"/>
      <c r="AK1953" s="37"/>
      <c r="AL1953" s="37"/>
      <c r="AM1953" s="37"/>
      <c r="AN1953" s="37"/>
      <c r="AO1953" s="37"/>
      <c r="AP1953" s="37"/>
    </row>
    <row r="1954" spans="1:42" s="192" customFormat="1" ht="11.25">
      <c r="A1954" s="37"/>
      <c r="B1954" s="37"/>
      <c r="C1954" s="37"/>
      <c r="D1954" s="191"/>
      <c r="E1954" s="191" t="s">
        <v>311</v>
      </c>
      <c r="F1954" s="191" t="str">
        <f t="shared" si="3460"/>
        <v>ЭлектроФор</v>
      </c>
      <c r="G1954" s="191" t="s">
        <v>262</v>
      </c>
      <c r="H1954" s="315"/>
      <c r="I1954" s="316">
        <f>I$8</f>
        <v>42278</v>
      </c>
      <c r="J1954" s="317"/>
      <c r="K1954" s="316">
        <f>I$8</f>
        <v>42278</v>
      </c>
      <c r="L1954" s="318">
        <f>I$8</f>
        <v>42278</v>
      </c>
      <c r="M1954" s="274"/>
      <c r="N1954" s="193">
        <f>N$8</f>
        <v>42278</v>
      </c>
      <c r="O1954" s="196"/>
      <c r="P1954" s="193">
        <f>N$8</f>
        <v>42278</v>
      </c>
      <c r="Q1954" s="237">
        <f>N$8</f>
        <v>42278</v>
      </c>
      <c r="R1954" s="238"/>
      <c r="S1954" s="193">
        <f>S$8</f>
        <v>42309</v>
      </c>
      <c r="T1954" s="196"/>
      <c r="U1954" s="193">
        <f>S$8</f>
        <v>42309</v>
      </c>
      <c r="V1954" s="237">
        <f>S$8</f>
        <v>42309</v>
      </c>
      <c r="W1954" s="238"/>
      <c r="X1954" s="193">
        <f>X$8</f>
        <v>42339</v>
      </c>
      <c r="Y1954" s="196"/>
      <c r="Z1954" s="193">
        <f>X$8</f>
        <v>42339</v>
      </c>
      <c r="AA1954" s="237">
        <f>X$8</f>
        <v>42339</v>
      </c>
      <c r="AB1954" s="265"/>
      <c r="AC1954" s="37"/>
      <c r="AD1954" s="37"/>
      <c r="AE1954" s="37"/>
      <c r="AF1954" s="37"/>
      <c r="AG1954" s="37"/>
      <c r="AH1954" s="37"/>
      <c r="AI1954" s="37"/>
      <c r="AJ1954" s="37"/>
      <c r="AK1954" s="37"/>
      <c r="AL1954" s="37"/>
      <c r="AM1954" s="37"/>
      <c r="AN1954" s="37"/>
      <c r="AO1954" s="37"/>
      <c r="AP1954" s="37"/>
    </row>
    <row r="1955" spans="1:42" s="192" customFormat="1" ht="11.25">
      <c r="A1955" s="37"/>
      <c r="B1955" s="37"/>
      <c r="C1955" s="37"/>
      <c r="D1955" s="191"/>
      <c r="E1955" s="191" t="s">
        <v>264</v>
      </c>
      <c r="F1955" s="191" t="str">
        <f t="shared" si="3460"/>
        <v>ЭлектроФор</v>
      </c>
      <c r="G1955" s="191" t="s">
        <v>219</v>
      </c>
      <c r="H1955" s="315"/>
      <c r="I1955" s="329">
        <f>IF(I1951=0,0,I1954-I1952)</f>
        <v>15.414353585409117</v>
      </c>
      <c r="J1955" s="317"/>
      <c r="K1955" s="329">
        <f>IF(K1951=0,0,K1954-K1952)</f>
        <v>15.414353585409117</v>
      </c>
      <c r="L1955" s="330">
        <f>IF(L1951=0,0,L1954-L1952)</f>
        <v>0</v>
      </c>
      <c r="M1955" s="274"/>
      <c r="N1955" s="156">
        <f>IF(N1951=0,0,N1954-N1952)</f>
        <v>15.414353585409117</v>
      </c>
      <c r="O1955" s="196"/>
      <c r="P1955" s="156">
        <f>IF(P1951=0,0,P1954-P1952)</f>
        <v>15.414353585409117</v>
      </c>
      <c r="Q1955" s="245">
        <f>IF(Q1951=0,0,Q1954-Q1952)</f>
        <v>0</v>
      </c>
      <c r="R1955" s="238"/>
      <c r="S1955" s="156">
        <f>IF(S1951=0,0,S1954-S1952)</f>
        <v>46.817776569077978</v>
      </c>
      <c r="T1955" s="196"/>
      <c r="U1955" s="156">
        <f>IF(U1951=0,0,U1954-U1952)</f>
        <v>46.817776569077978</v>
      </c>
      <c r="V1955" s="245">
        <f>IF(V1951=0,0,V1954-V1952)</f>
        <v>0</v>
      </c>
      <c r="W1955" s="238"/>
      <c r="X1955" s="156">
        <f>IF(X1951=0,0,X1954-X1952)</f>
        <v>17.069256542650692</v>
      </c>
      <c r="Y1955" s="196"/>
      <c r="Z1955" s="156">
        <f>IF(Z1951=0,0,Z1954-Z1952)</f>
        <v>76</v>
      </c>
      <c r="AA1955" s="245">
        <f>IF(AA1951=0,0,AA1954-AA1952)</f>
        <v>2.6189398451460875</v>
      </c>
      <c r="AB1955" s="265"/>
      <c r="AC1955" s="37"/>
      <c r="AD1955" s="37"/>
      <c r="AE1955" s="37"/>
      <c r="AF1955" s="37"/>
      <c r="AG1955" s="37"/>
      <c r="AH1955" s="37"/>
      <c r="AI1955" s="37"/>
      <c r="AJ1955" s="37"/>
      <c r="AK1955" s="37"/>
      <c r="AL1955" s="37"/>
      <c r="AM1955" s="37"/>
      <c r="AN1955" s="37"/>
      <c r="AO1955" s="37"/>
      <c r="AP1955" s="37"/>
    </row>
    <row r="1956" spans="1:42" s="192" customFormat="1" ht="11.25">
      <c r="A1956" s="37"/>
      <c r="B1956" s="37"/>
      <c r="C1956" s="37"/>
      <c r="D1956" s="207"/>
      <c r="E1956" s="207" t="s">
        <v>269</v>
      </c>
      <c r="F1956" s="207" t="str">
        <f t="shared" si="3460"/>
        <v>ЭлектроФор</v>
      </c>
      <c r="G1956" s="207" t="s">
        <v>219</v>
      </c>
      <c r="H1956" s="331"/>
      <c r="I1956" s="332">
        <f>I1953-I1955</f>
        <v>0</v>
      </c>
      <c r="J1956" s="333"/>
      <c r="K1956" s="332">
        <f t="shared" ref="K1956" si="3485">K1953-K1955</f>
        <v>0</v>
      </c>
      <c r="L1956" s="334">
        <f>L1953-L1955</f>
        <v>0</v>
      </c>
      <c r="M1956" s="278"/>
      <c r="N1956" s="162">
        <f>N1953-N1955</f>
        <v>0</v>
      </c>
      <c r="O1956" s="208"/>
      <c r="P1956" s="162">
        <f t="shared" ref="P1956" si="3486">P1953-P1955</f>
        <v>0</v>
      </c>
      <c r="Q1956" s="246">
        <f>Q1953-Q1955</f>
        <v>0</v>
      </c>
      <c r="R1956" s="247"/>
      <c r="S1956" s="162">
        <f>S1953-S1955</f>
        <v>0</v>
      </c>
      <c r="T1956" s="208"/>
      <c r="U1956" s="162">
        <f t="shared" ref="U1956" si="3487">U1953-U1955</f>
        <v>0</v>
      </c>
      <c r="V1956" s="246">
        <f>V1953-V1955</f>
        <v>0</v>
      </c>
      <c r="W1956" s="247"/>
      <c r="X1956" s="162">
        <f>X1953-X1955</f>
        <v>0</v>
      </c>
      <c r="Y1956" s="208"/>
      <c r="Z1956" s="162">
        <f t="shared" ref="Z1956" si="3488">Z1953-Z1955</f>
        <v>0</v>
      </c>
      <c r="AA1956" s="246">
        <f>AA1953-AA1955</f>
        <v>0</v>
      </c>
      <c r="AB1956" s="265"/>
      <c r="AC1956" s="37"/>
      <c r="AD1956" s="37"/>
      <c r="AE1956" s="37"/>
      <c r="AF1956" s="37"/>
      <c r="AG1956" s="37"/>
      <c r="AH1956" s="37"/>
      <c r="AI1956" s="37"/>
      <c r="AJ1956" s="37"/>
      <c r="AK1956" s="37"/>
      <c r="AL1956" s="37"/>
      <c r="AM1956" s="37"/>
      <c r="AN1956" s="37"/>
      <c r="AO1956" s="37"/>
      <c r="AP1956" s="37"/>
    </row>
    <row r="1957" spans="1:42" s="111" customFormat="1" ht="11.25">
      <c r="A1957" s="108"/>
      <c r="B1957" s="108"/>
      <c r="C1957" s="108" t="s">
        <v>272</v>
      </c>
      <c r="D1957" s="109"/>
      <c r="E1957" s="109"/>
      <c r="F1957" s="109" t="str">
        <f t="shared" si="3460"/>
        <v>ЭлектроФор</v>
      </c>
      <c r="G1957" s="109"/>
      <c r="H1957" s="307"/>
      <c r="I1957" s="308">
        <f>I1958-K1958-L1958</f>
        <v>0</v>
      </c>
      <c r="J1957" s="335"/>
      <c r="K1957" s="308"/>
      <c r="L1957" s="336"/>
      <c r="M1957" s="272"/>
      <c r="N1957" s="110">
        <f>N1958-P1958-Q1958</f>
        <v>0</v>
      </c>
      <c r="O1957" s="105"/>
      <c r="P1957" s="110"/>
      <c r="Q1957" s="248"/>
      <c r="R1957" s="234"/>
      <c r="S1957" s="110">
        <f>S1958-U1958-V1958</f>
        <v>0</v>
      </c>
      <c r="T1957" s="105"/>
      <c r="U1957" s="110"/>
      <c r="V1957" s="248"/>
      <c r="W1957" s="234"/>
      <c r="X1957" s="110">
        <f>X1958-Z1958-AA1958</f>
        <v>0</v>
      </c>
      <c r="Y1957" s="105"/>
      <c r="Z1957" s="110"/>
      <c r="AA1957" s="248"/>
      <c r="AB1957" s="263"/>
      <c r="AC1957" s="108"/>
      <c r="AD1957" s="108"/>
      <c r="AE1957" s="108"/>
      <c r="AF1957" s="108"/>
      <c r="AG1957" s="108"/>
      <c r="AH1957" s="108"/>
      <c r="AI1957" s="108"/>
      <c r="AJ1957" s="108"/>
      <c r="AK1957" s="108"/>
      <c r="AL1957" s="108"/>
      <c r="AM1957" s="108"/>
      <c r="AN1957" s="108"/>
      <c r="AO1957" s="108"/>
      <c r="AP1957" s="108"/>
    </row>
    <row r="1958" spans="1:42" s="5" customFormat="1">
      <c r="A1958" s="1"/>
      <c r="B1958" s="1"/>
      <c r="C1958" s="1"/>
      <c r="D1958" s="168" t="s">
        <v>273</v>
      </c>
      <c r="E1958" s="168"/>
      <c r="F1958" s="168" t="str">
        <f t="shared" si="3460"/>
        <v>ЭлектроФор</v>
      </c>
      <c r="G1958" s="168" t="s">
        <v>261</v>
      </c>
      <c r="H1958" s="326"/>
      <c r="I1958" s="327">
        <f>SUMIFS(операции!$V:$V,операции!$T:$T,"&gt;="&amp;I$8,операции!$T:$T,"&lt;="&amp;I$9,операции!$O:$O,$F1940)</f>
        <v>22464</v>
      </c>
      <c r="J1958" s="313"/>
      <c r="K1958" s="327">
        <f>SUMIFS(операции!$V:$V,операции!$T:$T,"&gt;="&amp;I$8,операции!$T:$T,"&lt;="&amp;I$9,операции!$L:$L,K$9,операции!$O:$O,$F1940)</f>
        <v>0</v>
      </c>
      <c r="L1958" s="328">
        <f>SUMIFS(операции!$V:$V,операции!$T:$T,"&gt;="&amp;I$8,операции!$T:$T,"&lt;="&amp;I$9,операции!$L:$L,L$9,операции!$O:$O,$F1940)</f>
        <v>22464</v>
      </c>
      <c r="M1958" s="277"/>
      <c r="N1958" s="169">
        <f>SUMIFS(операции!$V:$V,операции!$T:$T,"&gt;="&amp;N$8,операции!$T:$T,"&lt;="&amp;N$9,операции!$O:$O,$F1940)</f>
        <v>0</v>
      </c>
      <c r="O1958" s="170"/>
      <c r="P1958" s="169">
        <f>SUMIFS(операции!$V:$V,операции!$T:$T,"&gt;="&amp;N$8,операции!$T:$T,"&lt;="&amp;N$9,операции!$L:$L,P$9,операции!$O:$O,$F1940)</f>
        <v>0</v>
      </c>
      <c r="Q1958" s="243">
        <f>SUMIFS(операции!$V:$V,операции!$T:$T,"&gt;="&amp;N$8,операции!$T:$T,"&lt;="&amp;N$9,операции!$L:$L,Q$9,операции!$O:$O,$F1940)</f>
        <v>0</v>
      </c>
      <c r="R1958" s="244"/>
      <c r="S1958" s="169">
        <f>SUMIFS(операции!$V:$V,операции!$T:$T,"&gt;="&amp;S$8,операции!$T:$T,"&lt;="&amp;S$9,операции!$O:$O,$F1940)</f>
        <v>22464</v>
      </c>
      <c r="T1958" s="170"/>
      <c r="U1958" s="169">
        <f>SUMIFS(операции!$V:$V,операции!$T:$T,"&gt;="&amp;S$8,операции!$T:$T,"&lt;="&amp;S$9,операции!$L:$L,U$9,операции!$O:$O,$F1940)</f>
        <v>0</v>
      </c>
      <c r="V1958" s="243">
        <f>SUMIFS(операции!$V:$V,операции!$T:$T,"&gt;="&amp;S$8,операции!$T:$T,"&lt;="&amp;S$9,операции!$L:$L,V$9,операции!$O:$O,$F1940)</f>
        <v>22464</v>
      </c>
      <c r="W1958" s="244"/>
      <c r="X1958" s="169">
        <f>SUMIFS(операции!$V:$V,операции!$T:$T,"&gt;="&amp;X$8,операции!$T:$T,"&lt;="&amp;X$9,операции!$O:$O,$F1940)</f>
        <v>0</v>
      </c>
      <c r="Y1958" s="170"/>
      <c r="Z1958" s="169">
        <f>SUMIFS(операции!$V:$V,операции!$T:$T,"&gt;="&amp;X$8,операции!$T:$T,"&lt;="&amp;X$9,операции!$L:$L,Z$9,операции!$O:$O,$F1940)</f>
        <v>0</v>
      </c>
      <c r="AA1958" s="243">
        <f>SUMIFS(операции!$V:$V,операции!$T:$T,"&gt;="&amp;X$8,операции!$T:$T,"&lt;="&amp;X$9,операции!$L:$L,AA$9,операции!$O:$O,$F1940)</f>
        <v>0</v>
      </c>
      <c r="AB1958" s="266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</row>
    <row r="1959" spans="1:42" s="192" customFormat="1" ht="11.25">
      <c r="A1959" s="37"/>
      <c r="B1959" s="37"/>
      <c r="C1959" s="37"/>
      <c r="D1959" s="207" t="s">
        <v>255</v>
      </c>
      <c r="E1959" s="207"/>
      <c r="F1959" s="207" t="str">
        <f t="shared" si="3460"/>
        <v>ЭлектроФор</v>
      </c>
      <c r="G1959" s="207" t="s">
        <v>262</v>
      </c>
      <c r="H1959" s="331"/>
      <c r="I1959" s="337">
        <f>IF(I1958=0,0,SUMIFS(операции!$AF:$AF,операции!$T:$T,"&gt;="&amp;I$8,операции!$T:$T,"&lt;="&amp;I$9,операции!$O:$O,$F1940)/I1958)</f>
        <v>42335.527065527065</v>
      </c>
      <c r="J1959" s="333"/>
      <c r="K1959" s="337">
        <f>IF(K1958=0,0,SUMIFS(операции!$AF:$AF,операции!$T:$T,"&gt;="&amp;I$8,операции!$T:$T,"&lt;="&amp;I$9,операции!$L:$L,K$9,операции!$O:$O,$F1940)/K1958)</f>
        <v>0</v>
      </c>
      <c r="L1959" s="338">
        <f>IF(L1958=0,0,SUMIFS(операции!$AF:$AF,операции!$T:$T,"&gt;="&amp;I$8,операции!$T:$T,"&lt;="&amp;I$9,операции!$L:$L,L$9,операции!$O:$O,$F1940)/L1958)</f>
        <v>42335.527065527065</v>
      </c>
      <c r="M1959" s="278"/>
      <c r="N1959" s="217">
        <f>IF(N1958=0,0,SUMIFS(операции!$AF:$AF,операции!$T:$T,"&gt;="&amp;N$8,операции!$T:$T,"&lt;="&amp;N$9,операции!$O:$O,$F1940)/N1958)</f>
        <v>0</v>
      </c>
      <c r="O1959" s="208"/>
      <c r="P1959" s="217">
        <f>IF(P1958=0,0,SUMIFS(операции!$AF:$AF,операции!$T:$T,"&gt;="&amp;N$8,операции!$T:$T,"&lt;="&amp;N$9,операции!$L:$L,P$9,операции!$O:$O,$F1940)/P1958)</f>
        <v>0</v>
      </c>
      <c r="Q1959" s="249">
        <f>IF(Q1958=0,0,SUMIFS(операции!$AF:$AF,операции!$T:$T,"&gt;="&amp;N$8,операции!$T:$T,"&lt;="&amp;N$9,операции!$L:$L,Q$9,операции!$O:$O,$F1940)/Q1958)</f>
        <v>0</v>
      </c>
      <c r="R1959" s="247"/>
      <c r="S1959" s="217">
        <f>IF(S1958=0,0,SUMIFS(операции!$AF:$AF,операции!$T:$T,"&gt;="&amp;S$8,операции!$T:$T,"&lt;="&amp;S$9,операции!$O:$O,$F1940)/S1958)</f>
        <v>42335.527065527065</v>
      </c>
      <c r="T1959" s="208"/>
      <c r="U1959" s="217">
        <f>IF(U1958=0,0,SUMIFS(операции!$AF:$AF,операции!$T:$T,"&gt;="&amp;S$8,операции!$T:$T,"&lt;="&amp;S$9,операции!$L:$L,U$9,операции!$O:$O,$F1940)/U1958)</f>
        <v>0</v>
      </c>
      <c r="V1959" s="249">
        <f>IF(V1958=0,0,SUMIFS(операции!$AF:$AF,операции!$T:$T,"&gt;="&amp;S$8,операции!$T:$T,"&lt;="&amp;S$9,операции!$L:$L,V$9,операции!$O:$O,$F1940)/V1958)</f>
        <v>42335.527065527065</v>
      </c>
      <c r="W1959" s="247"/>
      <c r="X1959" s="217">
        <f>IF(X1958=0,0,SUMIFS(операции!$AF:$AF,операции!$T:$T,"&gt;="&amp;X$8,операции!$T:$T,"&lt;="&amp;X$9,операции!$O:$O,$F1940)/X1958)</f>
        <v>0</v>
      </c>
      <c r="Y1959" s="208"/>
      <c r="Z1959" s="217">
        <f>IF(Z1958=0,0,SUMIFS(операции!$AF:$AF,операции!$T:$T,"&gt;="&amp;X$8,операции!$T:$T,"&lt;="&amp;X$9,операции!$L:$L,Z$9,операции!$O:$O,$F1940)/Z1958)</f>
        <v>0</v>
      </c>
      <c r="AA1959" s="249">
        <f>IF(AA1958=0,0,SUMIFS(операции!$AF:$AF,операции!$T:$T,"&gt;="&amp;X$8,операции!$T:$T,"&lt;="&amp;X$9,операции!$L:$L,AA$9,операции!$O:$O,$F1940)/AA1958)</f>
        <v>0</v>
      </c>
      <c r="AB1959" s="265"/>
      <c r="AC1959" s="37"/>
      <c r="AD1959" s="37"/>
      <c r="AE1959" s="37"/>
      <c r="AF1959" s="37"/>
      <c r="AG1959" s="37"/>
      <c r="AH1959" s="37"/>
      <c r="AI1959" s="37"/>
      <c r="AJ1959" s="37"/>
      <c r="AK1959" s="37"/>
      <c r="AL1959" s="37"/>
      <c r="AM1959" s="37"/>
      <c r="AN1959" s="37"/>
      <c r="AO1959" s="37"/>
      <c r="AP1959" s="37"/>
    </row>
    <row r="1960" spans="1:42" s="93" customFormat="1" ht="15">
      <c r="A1960" s="92"/>
      <c r="B1960" s="92"/>
      <c r="C1960" s="92"/>
      <c r="D1960" s="212" t="s">
        <v>274</v>
      </c>
      <c r="E1960" s="212"/>
      <c r="F1960" s="212" t="str">
        <f t="shared" si="3460"/>
        <v>ЭлектроФор</v>
      </c>
      <c r="G1960" s="212" t="s">
        <v>261</v>
      </c>
      <c r="H1960" s="339"/>
      <c r="I1960" s="340">
        <f>SUMIFS(операции!$Z:$Z,операции!$X:$X,"&gt;="&amp;I$8,операции!$X:$X,"&lt;="&amp;I$9,операции!$O:$O,$F1940)</f>
        <v>29015</v>
      </c>
      <c r="J1960" s="341">
        <f>I1960-I1973-I1983</f>
        <v>0</v>
      </c>
      <c r="K1960" s="340">
        <f>SUMIFS(операции!$Z:$Z,операции!$X:$X,"&gt;="&amp;I$8,операции!$X:$X,"&lt;="&amp;I$9,операции!$L:$L,K$9,операции!$O:$O,$F1940)</f>
        <v>5552</v>
      </c>
      <c r="L1960" s="342">
        <f>SUMIFS(операции!$Z:$Z,операции!$X:$X,"&gt;="&amp;I$8,операции!$X:$X,"&lt;="&amp;I$9,операции!$L:$L,L$9,операции!$O:$O,$F1940)</f>
        <v>23463</v>
      </c>
      <c r="M1960" s="279"/>
      <c r="N1960" s="213">
        <f>SUMIFS(операции!$Z:$Z,операции!$X:$X,"&gt;="&amp;N$8,операции!$X:$X,"&lt;="&amp;N$9,операции!$O:$O,$F1940)</f>
        <v>0</v>
      </c>
      <c r="O1960" s="216">
        <f>N1960-N1973-N1983</f>
        <v>0</v>
      </c>
      <c r="P1960" s="213">
        <f>SUMIFS(операции!$Z:$Z,операции!$X:$X,"&gt;="&amp;N$8,операции!$X:$X,"&lt;="&amp;N$9,операции!$L:$L,P$9,операции!$O:$O,$F1940)</f>
        <v>0</v>
      </c>
      <c r="Q1960" s="250">
        <f>SUMIFS(операции!$Z:$Z,операции!$X:$X,"&gt;="&amp;N$8,операции!$X:$X,"&lt;="&amp;N$9,операции!$L:$L,Q$9,операции!$O:$O,$F1940)</f>
        <v>0</v>
      </c>
      <c r="R1960" s="251"/>
      <c r="S1960" s="213">
        <f>SUMIFS(операции!$Z:$Z,операции!$X:$X,"&gt;="&amp;S$8,операции!$X:$X,"&lt;="&amp;S$9,операции!$O:$O,$F1940)</f>
        <v>7024</v>
      </c>
      <c r="T1960" s="216">
        <f>S1960-S1973-S1983</f>
        <v>0</v>
      </c>
      <c r="U1960" s="213">
        <f>SUMIFS(операции!$Z:$Z,операции!$X:$X,"&gt;="&amp;S$8,операции!$X:$X,"&lt;="&amp;S$9,операции!$L:$L,U$9,операции!$O:$O,$F1940)</f>
        <v>896</v>
      </c>
      <c r="V1960" s="250">
        <f>SUMIFS(операции!$Z:$Z,операции!$X:$X,"&gt;="&amp;S$8,операции!$X:$X,"&lt;="&amp;S$9,операции!$L:$L,V$9,операции!$O:$O,$F1940)</f>
        <v>6128</v>
      </c>
      <c r="W1960" s="251"/>
      <c r="X1960" s="213">
        <f>SUMIFS(операции!$Z:$Z,операции!$X:$X,"&gt;="&amp;X$8,операции!$X:$X,"&lt;="&amp;X$9,операции!$O:$O,$F1940)</f>
        <v>21991</v>
      </c>
      <c r="Y1960" s="216">
        <f>X1960-X1973-X1983</f>
        <v>0</v>
      </c>
      <c r="Z1960" s="213">
        <f>SUMIFS(операции!$Z:$Z,операции!$X:$X,"&gt;="&amp;X$8,операции!$X:$X,"&lt;="&amp;X$9,операции!$L:$L,Z$9,операции!$O:$O,$F1940)</f>
        <v>4656</v>
      </c>
      <c r="AA1960" s="250">
        <f>SUMIFS(операции!$Z:$Z,операции!$X:$X,"&gt;="&amp;X$8,операции!$X:$X,"&lt;="&amp;X$9,операции!$L:$L,AA$9,операции!$O:$O,$F1940)</f>
        <v>17335</v>
      </c>
      <c r="AB1960" s="264"/>
      <c r="AC1960" s="92"/>
      <c r="AD1960" s="92"/>
      <c r="AE1960" s="92"/>
      <c r="AF1960" s="92"/>
      <c r="AG1960" s="92"/>
      <c r="AH1960" s="92"/>
      <c r="AI1960" s="92"/>
      <c r="AJ1960" s="92"/>
      <c r="AK1960" s="92"/>
      <c r="AL1960" s="92"/>
      <c r="AM1960" s="92"/>
      <c r="AN1960" s="92"/>
      <c r="AO1960" s="92"/>
      <c r="AP1960" s="92"/>
    </row>
    <row r="1961" spans="1:42" s="407" customFormat="1" ht="11.25">
      <c r="A1961" s="404"/>
      <c r="B1961" s="404"/>
      <c r="C1961" s="404"/>
      <c r="D1961" s="405" t="s">
        <v>332</v>
      </c>
      <c r="E1961" s="405"/>
      <c r="F1961" s="405" t="str">
        <f>F1959</f>
        <v>ЭлектроФор</v>
      </c>
      <c r="G1961" s="405" t="s">
        <v>218</v>
      </c>
      <c r="H1961" s="408"/>
      <c r="I1961" s="408">
        <f>IF(I$31=0,0,I1960/I$31)</f>
        <v>7.8212269420040448E-3</v>
      </c>
      <c r="J1961" s="409"/>
      <c r="K1961" s="408">
        <f t="shared" ref="K1961" si="3489">IF(K$31=0,0,K1960/K$31)</f>
        <v>4.26462161468775E-3</v>
      </c>
      <c r="L1961" s="410">
        <f t="shared" ref="L1961" si="3490">IF(L$31=0,0,L1960/L$31)</f>
        <v>9.7441673290690409E-3</v>
      </c>
      <c r="M1961" s="411"/>
      <c r="N1961" s="412">
        <f t="shared" ref="N1961" si="3491">IF(N$31=0,0,N1960/N$31)</f>
        <v>0</v>
      </c>
      <c r="O1961" s="413"/>
      <c r="P1961" s="412">
        <f t="shared" ref="P1961" si="3492">IF(P$31=0,0,P1960/P$31)</f>
        <v>0</v>
      </c>
      <c r="Q1961" s="414">
        <f t="shared" ref="Q1961" si="3493">IF(Q$31=0,0,Q1960/Q$31)</f>
        <v>0</v>
      </c>
      <c r="R1961" s="415"/>
      <c r="S1961" s="412">
        <f t="shared" ref="S1961" si="3494">IF(S$31=0,0,S1960/S$31)</f>
        <v>3.9578631821242521E-3</v>
      </c>
      <c r="T1961" s="413"/>
      <c r="U1961" s="412">
        <f t="shared" ref="U1961" si="3495">IF(U$31=0,0,U1960/U$31)</f>
        <v>1.4227755238148169E-3</v>
      </c>
      <c r="V1961" s="414">
        <f t="shared" ref="V1961" si="3496">IF(V$31=0,0,V1960/V$31)</f>
        <v>5.3522455325169874E-3</v>
      </c>
      <c r="W1961" s="415"/>
      <c r="X1961" s="412">
        <f t="shared" ref="X1961" si="3497">IF(X$31=0,0,X1960/X$31)</f>
        <v>1.8956483960561273E-2</v>
      </c>
      <c r="Y1961" s="413"/>
      <c r="Z1961" s="412">
        <f t="shared" ref="Z1961" si="3498">IF(Z$31=0,0,Z1960/Z$31)</f>
        <v>2.7126069807682226E-2</v>
      </c>
      <c r="AA1961" s="414">
        <f t="shared" ref="AA1961" si="3499">IF(AA$31=0,0,AA1960/AA$31)</f>
        <v>1.7537824945494645E-2</v>
      </c>
      <c r="AB1961" s="406"/>
      <c r="AC1961" s="404"/>
      <c r="AD1961" s="404"/>
      <c r="AE1961" s="404"/>
      <c r="AF1961" s="404"/>
      <c r="AG1961" s="404"/>
      <c r="AH1961" s="404"/>
      <c r="AI1961" s="404"/>
      <c r="AJ1961" s="404"/>
      <c r="AK1961" s="404"/>
      <c r="AL1961" s="404"/>
      <c r="AM1961" s="404"/>
      <c r="AN1961" s="404"/>
      <c r="AO1961" s="404"/>
      <c r="AP1961" s="404"/>
    </row>
    <row r="1962" spans="1:42" s="192" customFormat="1" ht="11.25">
      <c r="A1962" s="37"/>
      <c r="B1962" s="37"/>
      <c r="C1962" s="37"/>
      <c r="D1962" s="191" t="s">
        <v>331</v>
      </c>
      <c r="E1962" s="191"/>
      <c r="F1962" s="191" t="str">
        <f>F1960</f>
        <v>ЭлектроФор</v>
      </c>
      <c r="G1962" s="191" t="s">
        <v>334</v>
      </c>
      <c r="H1962" s="315"/>
      <c r="I1962" s="329">
        <f>SUMIFS(операции!$R:$R,операции!$X:$X,"&gt;="&amp;I$8,операции!$X:$X,"&lt;="&amp;I$9,операции!$O:$O,$F1940)</f>
        <v>15</v>
      </c>
      <c r="J1962" s="317">
        <f>I1962-K1962-L1962</f>
        <v>0</v>
      </c>
      <c r="K1962" s="329">
        <f>SUMIFS(операции!$R:$R,операции!$X:$X,"&gt;="&amp;I$8,операции!$X:$X,"&lt;="&amp;I$9,операции!$L:$L,K$9,операции!$O:$O,$F1940)</f>
        <v>9</v>
      </c>
      <c r="L1962" s="330">
        <f>SUMIFS(операции!$R:$R,операции!$X:$X,"&gt;="&amp;I$8,операции!$X:$X,"&lt;="&amp;I$9,операции!$L:$L,L$9,операции!$O:$O,$F1940)</f>
        <v>6</v>
      </c>
      <c r="M1962" s="402"/>
      <c r="N1962" s="156">
        <f>SUMIFS(операции!$R:$R,операции!$X:$X,"&gt;="&amp;N$8,операции!$X:$X,"&lt;="&amp;N$9,операции!$O:$O,$F1940)</f>
        <v>0</v>
      </c>
      <c r="O1962" s="196">
        <f t="shared" ref="O1962" si="3500">N1962-P1962-Q1962</f>
        <v>0</v>
      </c>
      <c r="P1962" s="156">
        <f>SUMIFS(операции!$R:$R,операции!$X:$X,"&gt;="&amp;N$8,операции!$X:$X,"&lt;="&amp;N$9,операции!$L:$L,P$9,операции!$O:$O,$F1940)</f>
        <v>0</v>
      </c>
      <c r="Q1962" s="245">
        <f>SUMIFS(операции!$R:$R,операции!$X:$X,"&gt;="&amp;N$8,операции!$X:$X,"&lt;="&amp;N$9,операции!$L:$L,Q$9,операции!$O:$O,$F1940)</f>
        <v>0</v>
      </c>
      <c r="R1962" s="403"/>
      <c r="S1962" s="156">
        <f>SUMIFS(операции!$R:$R,операции!$X:$X,"&gt;="&amp;S$8,операции!$X:$X,"&lt;="&amp;S$9,операции!$O:$O,$F1940)</f>
        <v>9</v>
      </c>
      <c r="T1962" s="196">
        <f t="shared" ref="T1962" si="3501">S1962-U1962-V1962</f>
        <v>0</v>
      </c>
      <c r="U1962" s="156">
        <f>SUMIFS(операции!$R:$R,операции!$X:$X,"&gt;="&amp;S$8,операции!$X:$X,"&lt;="&amp;S$9,операции!$L:$L,U$9,операции!$O:$O,$F1940)</f>
        <v>8</v>
      </c>
      <c r="V1962" s="245">
        <f>SUMIFS(операции!$R:$R,операции!$X:$X,"&gt;="&amp;S$8,операции!$X:$X,"&lt;="&amp;S$9,операции!$L:$L,V$9,операции!$O:$O,$F1940)</f>
        <v>1</v>
      </c>
      <c r="W1962" s="403"/>
      <c r="X1962" s="156">
        <f>SUMIFS(операции!$R:$R,операции!$X:$X,"&gt;="&amp;X$8,операции!$X:$X,"&lt;="&amp;X$9,операции!$O:$O,$F1940)</f>
        <v>6</v>
      </c>
      <c r="Y1962" s="196">
        <f t="shared" ref="Y1962" si="3502">X1962-Z1962-AA1962</f>
        <v>0</v>
      </c>
      <c r="Z1962" s="156">
        <f>SUMIFS(операции!$R:$R,операции!$X:$X,"&gt;="&amp;X$8,операции!$X:$X,"&lt;="&amp;X$9,операции!$L:$L,Z$9,операции!$O:$O,$F1940)</f>
        <v>1</v>
      </c>
      <c r="AA1962" s="245">
        <f>SUMIFS(операции!$R:$R,операции!$X:$X,"&gt;="&amp;X$8,операции!$X:$X,"&lt;="&amp;X$9,операции!$L:$L,AA$9,операции!$O:$O,$F1940)</f>
        <v>5</v>
      </c>
      <c r="AB1962" s="265"/>
      <c r="AC1962" s="37"/>
      <c r="AD1962" s="37"/>
      <c r="AE1962" s="37"/>
      <c r="AF1962" s="37"/>
      <c r="AG1962" s="37"/>
      <c r="AH1962" s="37"/>
      <c r="AI1962" s="37"/>
      <c r="AJ1962" s="37"/>
      <c r="AK1962" s="37"/>
      <c r="AL1962" s="37"/>
      <c r="AM1962" s="37"/>
      <c r="AN1962" s="37"/>
      <c r="AO1962" s="37"/>
      <c r="AP1962" s="37"/>
    </row>
    <row r="1963" spans="1:42" s="192" customFormat="1" ht="11.25">
      <c r="A1963" s="37"/>
      <c r="B1963" s="37"/>
      <c r="C1963" s="37"/>
      <c r="D1963" s="191" t="s">
        <v>333</v>
      </c>
      <c r="E1963" s="191"/>
      <c r="F1963" s="191" t="str">
        <f t="shared" si="3460"/>
        <v>ЭлектроФор</v>
      </c>
      <c r="G1963" s="191" t="s">
        <v>261</v>
      </c>
      <c r="H1963" s="315"/>
      <c r="I1963" s="329">
        <f>IF(I1962=0,0,I1960/I1962)</f>
        <v>1934.3333333333333</v>
      </c>
      <c r="J1963" s="317"/>
      <c r="K1963" s="329">
        <f t="shared" ref="K1963" si="3503">IF(K1962=0,0,K1960/K1962)</f>
        <v>616.88888888888891</v>
      </c>
      <c r="L1963" s="330">
        <f t="shared" ref="L1963" si="3504">IF(L1962=0,0,L1960/L1962)</f>
        <v>3910.5</v>
      </c>
      <c r="M1963" s="402"/>
      <c r="N1963" s="156">
        <f>IF(N1962=0,0,N1960/N1962)</f>
        <v>0</v>
      </c>
      <c r="O1963" s="196"/>
      <c r="P1963" s="156">
        <f>IF(P1962=0,0,P1960/P1962)</f>
        <v>0</v>
      </c>
      <c r="Q1963" s="245">
        <f>IF(Q1962=0,0,Q1960/Q1962)</f>
        <v>0</v>
      </c>
      <c r="R1963" s="403"/>
      <c r="S1963" s="156">
        <f>IF(S1962=0,0,S1960/S1962)</f>
        <v>780.44444444444446</v>
      </c>
      <c r="T1963" s="196"/>
      <c r="U1963" s="156">
        <f>IF(U1962=0,0,U1960/U1962)</f>
        <v>112</v>
      </c>
      <c r="V1963" s="245">
        <f>IF(V1962=0,0,V1960/V1962)</f>
        <v>6128</v>
      </c>
      <c r="W1963" s="403"/>
      <c r="X1963" s="156">
        <f>IF(X1962=0,0,X1960/X1962)</f>
        <v>3665.1666666666665</v>
      </c>
      <c r="Y1963" s="196"/>
      <c r="Z1963" s="156">
        <f>IF(Z1962=0,0,Z1960/Z1962)</f>
        <v>4656</v>
      </c>
      <c r="AA1963" s="245">
        <f>IF(AA1962=0,0,AA1960/AA1962)</f>
        <v>3467</v>
      </c>
      <c r="AB1963" s="265"/>
      <c r="AC1963" s="37"/>
      <c r="AD1963" s="37"/>
      <c r="AE1963" s="37"/>
      <c r="AF1963" s="37"/>
      <c r="AG1963" s="37"/>
      <c r="AH1963" s="37"/>
      <c r="AI1963" s="37"/>
      <c r="AJ1963" s="37"/>
      <c r="AK1963" s="37"/>
      <c r="AL1963" s="37"/>
      <c r="AM1963" s="37"/>
      <c r="AN1963" s="37"/>
      <c r="AO1963" s="37"/>
      <c r="AP1963" s="37"/>
    </row>
    <row r="1964" spans="1:42" s="192" customFormat="1" ht="11.25">
      <c r="A1964" s="37"/>
      <c r="B1964" s="37"/>
      <c r="C1964" s="37"/>
      <c r="D1964" s="191" t="s">
        <v>290</v>
      </c>
      <c r="E1964" s="191"/>
      <c r="F1964" s="191" t="str">
        <f>F1960</f>
        <v>ЭлектроФор</v>
      </c>
      <c r="G1964" s="191" t="s">
        <v>262</v>
      </c>
      <c r="H1964" s="315"/>
      <c r="I1964" s="316">
        <f>IF(I1960=0,0,SUMIFS(операции!$AG:$AG,операции!$X:$X,"&gt;="&amp;I$8,операции!$X:$X,"&lt;="&amp;I$9,операции!$O:$O,$F1940)/I1960)</f>
        <v>42341.192624504569</v>
      </c>
      <c r="J1964" s="317"/>
      <c r="K1964" s="316">
        <f>IF(K1960=0,0,SUMIFS(операции!$AG:$AG,операции!$X:$X,"&gt;="&amp;I$8,операции!$X:$X,"&lt;="&amp;I$9,операции!$L:$L,K$9,операции!$O:$O,$F1940)/K1960)</f>
        <v>42340.821325648416</v>
      </c>
      <c r="L1964" s="318">
        <f>IF(L1960=0,0,SUMIFS(операции!$AG:$AG,операции!$X:$X,"&gt;="&amp;I$8,операции!$X:$X,"&lt;="&amp;I$9,операции!$L:$L,L$9,операции!$O:$O,$F1940)/L1960)</f>
        <v>42341.280484166557</v>
      </c>
      <c r="M1964" s="274"/>
      <c r="N1964" s="193">
        <f>IF(N1960=0,0,SUMIFS(операции!$AG:$AG,операции!$X:$X,"&gt;="&amp;N$8,операции!$X:$X,"&lt;="&amp;N$9,операции!$O:$O,$F1940)/N1960)</f>
        <v>0</v>
      </c>
      <c r="O1964" s="196"/>
      <c r="P1964" s="193">
        <f>IF(P1960=0,0,SUMIFS(операции!$AG:$AG,операции!$X:$X,"&gt;="&amp;N$8,операции!$X:$X,"&lt;="&amp;N$9,операции!$L:$L,P$9,операции!$O:$O,$F1940)/P1960)</f>
        <v>0</v>
      </c>
      <c r="Q1964" s="237">
        <f>IF(Q1960=0,0,SUMIFS(операции!$AG:$AG,операции!$X:$X,"&gt;="&amp;N$8,операции!$X:$X,"&lt;="&amp;N$9,операции!$L:$L,Q$9,операции!$O:$O,$F1940)/Q1960)</f>
        <v>0</v>
      </c>
      <c r="R1964" s="238"/>
      <c r="S1964" s="193">
        <f>IF(S1960=0,0,SUMIFS(операции!$AG:$AG,операции!$X:$X,"&gt;="&amp;S$8,операции!$X:$X,"&lt;="&amp;S$9,операции!$O:$O,$F1940)/S1960)</f>
        <v>42335.170842824598</v>
      </c>
      <c r="T1964" s="196"/>
      <c r="U1964" s="193">
        <f>IF(U1960=0,0,SUMIFS(операции!$AG:$AG,операции!$X:$X,"&gt;="&amp;S$8,операции!$X:$X,"&lt;="&amp;S$9,операции!$L:$L,U$9,операции!$O:$O,$F1940)/U1960)</f>
        <v>42329.5</v>
      </c>
      <c r="V1964" s="237">
        <f>IF(V1960=0,0,SUMIFS(операции!$AG:$AG,операции!$X:$X,"&gt;="&amp;S$8,операции!$X:$X,"&lt;="&amp;S$9,операции!$L:$L,V$9,операции!$O:$O,$F1940)/V1960)</f>
        <v>42336</v>
      </c>
      <c r="W1964" s="238"/>
      <c r="X1964" s="193">
        <f>IF(X1960=0,0,SUMIFS(операции!$AG:$AG,операции!$X:$X,"&gt;="&amp;X$8,операции!$X:$X,"&lt;="&amp;X$9,операции!$O:$O,$F1940)/X1960)</f>
        <v>42343.116002000817</v>
      </c>
      <c r="Y1964" s="196"/>
      <c r="Z1964" s="193">
        <f>IF(Z1960=0,0,SUMIFS(операции!$AG:$AG,операции!$X:$X,"&gt;="&amp;X$8,операции!$X:$X,"&lt;="&amp;X$9,операции!$L:$L,Z$9,операции!$O:$O,$F1940)/Z1960)</f>
        <v>42343</v>
      </c>
      <c r="AA1964" s="237">
        <f>IF(AA1960=0,0,SUMIFS(операции!$AG:$AG,операции!$X:$X,"&gt;="&amp;X$8,операции!$X:$X,"&lt;="&amp;X$9,операции!$L:$L,AA$9,операции!$O:$O,$F1940)/AA1960)</f>
        <v>42343.14715892703</v>
      </c>
      <c r="AB1964" s="265"/>
      <c r="AC1964" s="37"/>
      <c r="AD1964" s="37"/>
      <c r="AE1964" s="37"/>
      <c r="AF1964" s="37"/>
      <c r="AG1964" s="37"/>
      <c r="AH1964" s="37"/>
      <c r="AI1964" s="37"/>
      <c r="AJ1964" s="37"/>
      <c r="AK1964" s="37"/>
      <c r="AL1964" s="37"/>
      <c r="AM1964" s="37"/>
      <c r="AN1964" s="37"/>
      <c r="AO1964" s="37"/>
      <c r="AP1964" s="37"/>
    </row>
    <row r="1965" spans="1:42" s="93" customFormat="1" ht="15">
      <c r="A1965" s="92"/>
      <c r="B1965" s="92"/>
      <c r="C1965" s="92"/>
      <c r="D1965" s="151" t="s">
        <v>275</v>
      </c>
      <c r="E1965" s="151"/>
      <c r="F1965" s="151" t="str">
        <f t="shared" si="3460"/>
        <v>ЭлектроФор</v>
      </c>
      <c r="G1965" s="151" t="s">
        <v>261</v>
      </c>
      <c r="H1965" s="311"/>
      <c r="I1965" s="312">
        <f>SUMIFS(операции!$V:$V,операции!$X:$X,"&gt;="&amp;I$8,операции!$X:$X,"&lt;="&amp;I$9,операции!$O:$O,$F1940)</f>
        <v>27473.45</v>
      </c>
      <c r="J1965" s="313">
        <f>I1965-I1975-I1985</f>
        <v>0</v>
      </c>
      <c r="K1965" s="312">
        <f>SUMIFS(операции!$V:$V,операции!$X:$X,"&gt;="&amp;I$8,операции!$X:$X,"&lt;="&amp;I$9,операции!$L:$L,K$9,операции!$O:$O,$F1940)</f>
        <v>5009.45</v>
      </c>
      <c r="L1965" s="314">
        <f>SUMIFS(операции!$V:$V,операции!$X:$X,"&gt;="&amp;I$8,операции!$X:$X,"&lt;="&amp;I$9,операции!$L:$L,L$9,операции!$O:$O,$F1940)</f>
        <v>22464</v>
      </c>
      <c r="M1965" s="273"/>
      <c r="N1965" s="152">
        <f>SUMIFS(операции!$V:$V,операции!$X:$X,"&gt;="&amp;N$8,операции!$X:$X,"&lt;="&amp;N$9,операции!$O:$O,$F1940)</f>
        <v>0</v>
      </c>
      <c r="O1965" s="170">
        <f>N1965-N1975-N1985</f>
        <v>0</v>
      </c>
      <c r="P1965" s="152">
        <f>SUMIFS(операции!$V:$V,операции!$X:$X,"&gt;="&amp;N$8,операции!$X:$X,"&lt;="&amp;N$9,операции!$L:$L,P$9,операции!$O:$O,$F1940)</f>
        <v>0</v>
      </c>
      <c r="Q1965" s="235">
        <f>SUMIFS(операции!$V:$V,операции!$X:$X,"&gt;="&amp;N$8,операции!$X:$X,"&lt;="&amp;N$9,операции!$L:$L,Q$9,операции!$O:$O,$F1940)</f>
        <v>0</v>
      </c>
      <c r="R1965" s="236"/>
      <c r="S1965" s="152">
        <f>SUMIFS(операции!$V:$V,операции!$X:$X,"&gt;="&amp;S$8,операции!$X:$X,"&lt;="&amp;S$9,операции!$O:$O,$F1940)</f>
        <v>6566.4</v>
      </c>
      <c r="T1965" s="170">
        <f>S1965-S1975-S1985</f>
        <v>-7.2475359047530219E-13</v>
      </c>
      <c r="U1965" s="152">
        <f>SUMIFS(операции!$V:$V,операции!$X:$X,"&gt;="&amp;S$8,операции!$X:$X,"&lt;="&amp;S$9,операции!$L:$L,U$9,операции!$O:$O,$F1940)</f>
        <v>892.4</v>
      </c>
      <c r="V1965" s="235">
        <f>SUMIFS(операции!$V:$V,операции!$X:$X,"&gt;="&amp;S$8,операции!$X:$X,"&lt;="&amp;S$9,операции!$L:$L,V$9,операции!$O:$O,$F1940)</f>
        <v>5674</v>
      </c>
      <c r="W1965" s="236"/>
      <c r="X1965" s="152">
        <f>SUMIFS(операции!$V:$V,операции!$X:$X,"&gt;="&amp;X$8,операции!$X:$X,"&lt;="&amp;X$9,операции!$O:$O,$F1940)</f>
        <v>20907.05</v>
      </c>
      <c r="Y1965" s="170">
        <f>X1965-X1975-X1985</f>
        <v>0</v>
      </c>
      <c r="Z1965" s="152">
        <f>SUMIFS(операции!$V:$V,операции!$X:$X,"&gt;="&amp;X$8,операции!$X:$X,"&lt;="&amp;X$9,операции!$L:$L,Z$9,операции!$O:$O,$F1940)</f>
        <v>4117.05</v>
      </c>
      <c r="AA1965" s="235">
        <f>SUMIFS(операции!$V:$V,операции!$X:$X,"&gt;="&amp;X$8,операции!$X:$X,"&lt;="&amp;X$9,операции!$L:$L,AA$9,операции!$O:$O,$F1940)</f>
        <v>16790</v>
      </c>
      <c r="AB1965" s="264"/>
      <c r="AC1965" s="92"/>
      <c r="AD1965" s="92"/>
      <c r="AE1965" s="92"/>
      <c r="AF1965" s="92"/>
      <c r="AG1965" s="92"/>
      <c r="AH1965" s="92"/>
      <c r="AI1965" s="92"/>
      <c r="AJ1965" s="92"/>
      <c r="AK1965" s="92"/>
      <c r="AL1965" s="92"/>
      <c r="AM1965" s="92"/>
      <c r="AN1965" s="92"/>
      <c r="AO1965" s="92"/>
      <c r="AP1965" s="92"/>
    </row>
    <row r="1966" spans="1:42" s="192" customFormat="1" ht="11.25">
      <c r="A1966" s="37"/>
      <c r="B1966" s="37"/>
      <c r="C1966" s="37"/>
      <c r="D1966" s="191" t="s">
        <v>291</v>
      </c>
      <c r="E1966" s="191"/>
      <c r="F1966" s="191" t="str">
        <f t="shared" si="3460"/>
        <v>ЭлектроФор</v>
      </c>
      <c r="G1966" s="191" t="s">
        <v>262</v>
      </c>
      <c r="H1966" s="315"/>
      <c r="I1966" s="316">
        <f>IF(I1965=0,0,SUMIFS(операции!$AF:$AF,операции!$X:$X,"&gt;="&amp;I$8,операции!$X:$X,"&lt;="&amp;I$9,операции!$O:$O,$F1940)/I1965)</f>
        <v>42321.352529442061</v>
      </c>
      <c r="J1966" s="317"/>
      <c r="K1966" s="316">
        <f>IF(K1965=0,0,SUMIFS(операции!$AF:$AF,операции!$X:$X,"&gt;="&amp;I$8,операции!$X:$X,"&lt;="&amp;I$9,операции!$L:$L,K$9,операции!$O:$O,$F1940)/K1965)</f>
        <v>42257.789308207488</v>
      </c>
      <c r="L1966" s="318">
        <f>IF(L1965=0,0,SUMIFS(операции!$AF:$AF,операции!$X:$X,"&gt;="&amp;I$8,операции!$X:$X,"&lt;="&amp;I$9,операции!$L:$L,L$9,операции!$O:$O,$F1940)/L1965)</f>
        <v>42335.527065527065</v>
      </c>
      <c r="M1966" s="274"/>
      <c r="N1966" s="193">
        <f>IF(N1965=0,0,SUMIFS(операции!$AF:$AF,операции!$X:$X,"&gt;="&amp;N$8,операции!$X:$X,"&lt;="&amp;N$9,операции!$O:$O,$F1940)/N1965)</f>
        <v>0</v>
      </c>
      <c r="O1966" s="196"/>
      <c r="P1966" s="193">
        <f>IF(P1965=0,0,SUMIFS(операции!$AF:$AF,операции!$X:$X,"&gt;="&amp;N$8,операции!$X:$X,"&lt;="&amp;N$9,операции!$L:$L,P$9,операции!$O:$O,$F1940)/P1965)</f>
        <v>0</v>
      </c>
      <c r="Q1966" s="237">
        <f>IF(Q1965=0,0,SUMIFS(операции!$AF:$AF,операции!$X:$X,"&gt;="&amp;N$8,операции!$X:$X,"&lt;="&amp;N$9,операции!$L:$L,Q$9,операции!$O:$O,$F1940)/Q1965)</f>
        <v>0</v>
      </c>
      <c r="R1966" s="238"/>
      <c r="S1966" s="193">
        <f>IF(S1965=0,0,SUMIFS(операции!$AF:$AF,операции!$X:$X,"&gt;="&amp;S$8,операции!$X:$X,"&lt;="&amp;S$9,операции!$O:$O,$F1940)/S1965)</f>
        <v>42319.511528386945</v>
      </c>
      <c r="T1966" s="196"/>
      <c r="U1966" s="193">
        <f>IF(U1965=0,0,SUMIFS(операции!$AF:$AF,операции!$X:$X,"&gt;="&amp;S$8,операции!$X:$X,"&lt;="&amp;S$9,операции!$L:$L,U$9,операции!$O:$O,$F1940)/U1965)</f>
        <v>42233.75</v>
      </c>
      <c r="V1966" s="237">
        <f>IF(V1965=0,0,SUMIFS(операции!$AF:$AF,операции!$X:$X,"&gt;="&amp;S$8,операции!$X:$X,"&lt;="&amp;S$9,операции!$L:$L,V$9,операции!$O:$O,$F1940)/V1965)</f>
        <v>42333</v>
      </c>
      <c r="W1966" s="238"/>
      <c r="X1966" s="193">
        <f>IF(X1965=0,0,SUMIFS(операции!$AF:$AF,операции!$X:$X,"&gt;="&amp;X$8,операции!$X:$X,"&lt;="&amp;X$9,операции!$O:$O,$F1940)/X1965)</f>
        <v>42321.930743457349</v>
      </c>
      <c r="Y1966" s="196"/>
      <c r="Z1966" s="193">
        <f>IF(Z1965=0,0,SUMIFS(операции!$AF:$AF,операции!$X:$X,"&gt;="&amp;X$8,операции!$X:$X,"&lt;="&amp;X$9,операции!$L:$L,Z$9,операции!$O:$O,$F1940)/Z1965)</f>
        <v>42263</v>
      </c>
      <c r="AA1966" s="237">
        <f>IF(AA1965=0,0,SUMIFS(операции!$AF:$AF,операции!$X:$X,"&gt;="&amp;X$8,операции!$X:$X,"&lt;="&amp;X$9,операции!$L:$L,AA$9,операции!$O:$O,$F1940)/AA1965)</f>
        <v>42336.381060154854</v>
      </c>
      <c r="AB1966" s="265"/>
      <c r="AC1966" s="37"/>
      <c r="AD1966" s="37"/>
      <c r="AE1966" s="37"/>
      <c r="AF1966" s="37"/>
      <c r="AG1966" s="37"/>
      <c r="AH1966" s="37"/>
      <c r="AI1966" s="37"/>
      <c r="AJ1966" s="37"/>
      <c r="AK1966" s="37"/>
      <c r="AL1966" s="37"/>
      <c r="AM1966" s="37"/>
      <c r="AN1966" s="37"/>
      <c r="AO1966" s="37"/>
      <c r="AP1966" s="37"/>
    </row>
    <row r="1967" spans="1:42" s="192" customFormat="1" ht="11.25">
      <c r="A1967" s="37"/>
      <c r="B1967" s="37"/>
      <c r="C1967" s="37"/>
      <c r="D1967" s="191" t="s">
        <v>308</v>
      </c>
      <c r="E1967" s="191"/>
      <c r="F1967" s="191" t="str">
        <f t="shared" si="3460"/>
        <v>ЭлектроФор</v>
      </c>
      <c r="G1967" s="191" t="s">
        <v>262</v>
      </c>
      <c r="H1967" s="315"/>
      <c r="I1967" s="316">
        <f>IF(I1965=0,0,(I1975*I1977+I1985*I1987)/I1965)</f>
        <v>42350.315981429339</v>
      </c>
      <c r="J1967" s="317"/>
      <c r="K1967" s="316">
        <f t="shared" ref="K1967:L1967" si="3505">IF(K1965=0,0,(K1975*K1977+K1985*K1987)/K1965)</f>
        <v>42288.657756839573</v>
      </c>
      <c r="L1967" s="318">
        <f t="shared" si="3505"/>
        <v>42364.065705128203</v>
      </c>
      <c r="M1967" s="274"/>
      <c r="N1967" s="193">
        <f>IF(N1965=0,0,(N1975*N1977+N1985*N1987)/N1965)</f>
        <v>0</v>
      </c>
      <c r="O1967" s="196"/>
      <c r="P1967" s="193">
        <f t="shared" ref="P1967:Q1967" si="3506">IF(P1965=0,0,(P1975*P1977+P1985*P1987)/P1965)</f>
        <v>0</v>
      </c>
      <c r="Q1967" s="237">
        <f t="shared" si="3506"/>
        <v>0</v>
      </c>
      <c r="R1967" s="238"/>
      <c r="S1967" s="193">
        <f>IF(S1965=0,0,(S1975*S1977+S1985*S1987)/S1965)</f>
        <v>42349.647432383041</v>
      </c>
      <c r="T1967" s="196"/>
      <c r="U1967" s="193">
        <f t="shared" ref="U1967:V1967" si="3507">IF(U1965=0,0,(U1975*U1977+U1985*U1987)/U1965)</f>
        <v>42264.75</v>
      </c>
      <c r="V1967" s="237">
        <f t="shared" si="3507"/>
        <v>42363</v>
      </c>
      <c r="W1967" s="238"/>
      <c r="X1967" s="193">
        <f>IF(X1965=0,0,(X1975*X1977+X1985*X1987)/X1965)</f>
        <v>42350.360555410734</v>
      </c>
      <c r="Y1967" s="196"/>
      <c r="Z1967" s="193">
        <f t="shared" ref="Z1967:AA1967" si="3508">IF(Z1965=0,0,(Z1975*Z1977+Z1985*Z1987)/Z1965)</f>
        <v>42293</v>
      </c>
      <c r="AA1967" s="237">
        <f t="shared" si="3508"/>
        <v>42364.425848719475</v>
      </c>
      <c r="AB1967" s="265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37"/>
    </row>
    <row r="1968" spans="1:42" s="93" customFormat="1" ht="15">
      <c r="A1968" s="92"/>
      <c r="B1968" s="92"/>
      <c r="C1968" s="92"/>
      <c r="D1968" s="151" t="s">
        <v>278</v>
      </c>
      <c r="E1968" s="151"/>
      <c r="F1968" s="151" t="str">
        <f t="shared" si="3460"/>
        <v>ЭлектроФор</v>
      </c>
      <c r="G1968" s="151" t="s">
        <v>261</v>
      </c>
      <c r="H1968" s="311"/>
      <c r="I1968" s="312">
        <f>I1960-I1965</f>
        <v>1541.5499999999993</v>
      </c>
      <c r="J1968" s="313">
        <f>I1968-K1968-L1968</f>
        <v>-9.0949470177292824E-13</v>
      </c>
      <c r="K1968" s="312">
        <f t="shared" ref="K1968:L1968" si="3509">K1960-K1965</f>
        <v>542.55000000000018</v>
      </c>
      <c r="L1968" s="314">
        <f t="shared" si="3509"/>
        <v>999</v>
      </c>
      <c r="M1968" s="273"/>
      <c r="N1968" s="152">
        <f>N1960-N1965</f>
        <v>0</v>
      </c>
      <c r="O1968" s="170">
        <f>N1968-P1968-Q1968</f>
        <v>0</v>
      </c>
      <c r="P1968" s="152">
        <f t="shared" ref="P1968:Q1968" si="3510">P1960-P1965</f>
        <v>0</v>
      </c>
      <c r="Q1968" s="235">
        <f t="shared" si="3510"/>
        <v>0</v>
      </c>
      <c r="R1968" s="236"/>
      <c r="S1968" s="152">
        <f>S1960-S1965</f>
        <v>457.60000000000036</v>
      </c>
      <c r="T1968" s="170">
        <f>S1968-U1968-V1968</f>
        <v>0</v>
      </c>
      <c r="U1968" s="152">
        <f t="shared" ref="U1968:V1968" si="3511">U1960-U1965</f>
        <v>3.6000000000000227</v>
      </c>
      <c r="V1968" s="235">
        <f t="shared" si="3511"/>
        <v>454</v>
      </c>
      <c r="W1968" s="236"/>
      <c r="X1968" s="152">
        <f>X1960-X1965</f>
        <v>1083.9500000000007</v>
      </c>
      <c r="Y1968" s="170">
        <f>X1968-Z1968-AA1968</f>
        <v>9.0949470177292824E-13</v>
      </c>
      <c r="Z1968" s="152">
        <f t="shared" ref="Z1968:AA1968" si="3512">Z1960-Z1965</f>
        <v>538.94999999999982</v>
      </c>
      <c r="AA1968" s="235">
        <f t="shared" si="3512"/>
        <v>545</v>
      </c>
      <c r="AB1968" s="264"/>
      <c r="AC1968" s="92"/>
      <c r="AD1968" s="92"/>
      <c r="AE1968" s="92"/>
      <c r="AF1968" s="92"/>
      <c r="AG1968" s="92"/>
      <c r="AH1968" s="92"/>
      <c r="AI1968" s="92"/>
      <c r="AJ1968" s="92"/>
      <c r="AK1968" s="92"/>
      <c r="AL1968" s="92"/>
      <c r="AM1968" s="92"/>
      <c r="AN1968" s="92"/>
      <c r="AO1968" s="92"/>
      <c r="AP1968" s="92"/>
    </row>
    <row r="1969" spans="1:42" s="211" customFormat="1">
      <c r="A1969" s="210"/>
      <c r="B1969" s="210"/>
      <c r="C1969" s="210"/>
      <c r="D1969" s="218" t="s">
        <v>277</v>
      </c>
      <c r="E1969" s="218"/>
      <c r="F1969" s="218" t="str">
        <f t="shared" si="3460"/>
        <v>ЭлектроФор</v>
      </c>
      <c r="G1969" s="218" t="s">
        <v>218</v>
      </c>
      <c r="H1969" s="343"/>
      <c r="I1969" s="344">
        <f>IF(I1960=0,0,(I1968/I1960))</f>
        <v>5.3129415819403732E-2</v>
      </c>
      <c r="J1969" s="345"/>
      <c r="K1969" s="344">
        <f t="shared" ref="K1969" si="3513">IF(K1960=0,0,(K1968/K1960))</f>
        <v>9.7721541786743554E-2</v>
      </c>
      <c r="L1969" s="346">
        <f t="shared" ref="L1969" si="3514">IF(L1960=0,0,(L1968/L1960))</f>
        <v>4.2577675489067893E-2</v>
      </c>
      <c r="M1969" s="280"/>
      <c r="N1969" s="219">
        <f>IF(N1960=0,0,(N1968/N1960))</f>
        <v>0</v>
      </c>
      <c r="O1969" s="220"/>
      <c r="P1969" s="219">
        <f t="shared" ref="P1969" si="3515">IF(P1960=0,0,(P1968/P1960))</f>
        <v>0</v>
      </c>
      <c r="Q1969" s="252">
        <f t="shared" ref="Q1969" si="3516">IF(Q1960=0,0,(Q1968/Q1960))</f>
        <v>0</v>
      </c>
      <c r="R1969" s="253"/>
      <c r="S1969" s="219">
        <f>IF(S1960=0,0,(S1968/S1960))</f>
        <v>6.5148063781321236E-2</v>
      </c>
      <c r="T1969" s="220"/>
      <c r="U1969" s="219">
        <f t="shared" ref="U1969" si="3517">IF(U1960=0,0,(U1968/U1960))</f>
        <v>4.0178571428571685E-3</v>
      </c>
      <c r="V1969" s="252">
        <f t="shared" ref="V1969" si="3518">IF(V1960=0,0,(V1968/V1960))</f>
        <v>7.4086161879895557E-2</v>
      </c>
      <c r="W1969" s="253"/>
      <c r="X1969" s="219">
        <f>IF(X1960=0,0,(X1968/X1960))</f>
        <v>4.9290618889545758E-2</v>
      </c>
      <c r="Y1969" s="220"/>
      <c r="Z1969" s="219">
        <f t="shared" ref="Z1969" si="3519">IF(Z1960=0,0,(Z1968/Z1960))</f>
        <v>0.11575386597938141</v>
      </c>
      <c r="AA1969" s="252">
        <f t="shared" ref="AA1969" si="3520">IF(AA1960=0,0,(AA1968/AA1960))</f>
        <v>3.1439284684164986E-2</v>
      </c>
      <c r="AB1969" s="267"/>
      <c r="AC1969" s="210"/>
      <c r="AD1969" s="210"/>
      <c r="AE1969" s="210"/>
      <c r="AF1969" s="210"/>
      <c r="AG1969" s="210"/>
      <c r="AH1969" s="210"/>
      <c r="AI1969" s="210"/>
      <c r="AJ1969" s="210"/>
      <c r="AK1969" s="210"/>
      <c r="AL1969" s="210"/>
      <c r="AM1969" s="210"/>
      <c r="AN1969" s="210"/>
      <c r="AO1969" s="210"/>
      <c r="AP1969" s="210"/>
    </row>
    <row r="1970" spans="1:42" s="93" customFormat="1" ht="15">
      <c r="A1970" s="92"/>
      <c r="B1970" s="92"/>
      <c r="C1970" s="92"/>
      <c r="D1970" s="198" t="s">
        <v>220</v>
      </c>
      <c r="E1970" s="198"/>
      <c r="F1970" s="198" t="str">
        <f t="shared" si="3460"/>
        <v>ЭлектроФор</v>
      </c>
      <c r="G1970" s="198" t="s">
        <v>219</v>
      </c>
      <c r="H1970" s="323"/>
      <c r="I1970" s="324">
        <f>I1964-I1966</f>
        <v>19.840095062507316</v>
      </c>
      <c r="J1970" s="321">
        <f>I1970-SUMIFS(ПОбТЗ!$I:$I,ПОбТЗ!$E:$E,$D1970,ПОбТЗ!$F:$F,$F1970)</f>
        <v>0</v>
      </c>
      <c r="K1970" s="324">
        <f t="shared" ref="K1970:L1970" si="3521">K1964-K1966</f>
        <v>83.03201744092803</v>
      </c>
      <c r="L1970" s="325">
        <f t="shared" si="3521"/>
        <v>5.7534186394914286</v>
      </c>
      <c r="M1970" s="276"/>
      <c r="N1970" s="199">
        <f>N1964-N1966</f>
        <v>0</v>
      </c>
      <c r="O1970" s="173">
        <f>N1970-SUMIFS(ПОбТЗ_3!$J:$J,ПОбТЗ_3!$D:$D,$D1970,ПОбТЗ_3!$E:$E,$F1970)</f>
        <v>0</v>
      </c>
      <c r="P1970" s="199">
        <f t="shared" ref="P1970:Q1970" si="3522">P1964-P1966</f>
        <v>0</v>
      </c>
      <c r="Q1970" s="241">
        <f t="shared" si="3522"/>
        <v>0</v>
      </c>
      <c r="R1970" s="242"/>
      <c r="S1970" s="199">
        <f>S1964-S1966</f>
        <v>15.659314437652938</v>
      </c>
      <c r="T1970" s="173">
        <f>S1970-SUMIFS(ПОбТЗ_3!$K:$K,ПОбТЗ_3!$D:$D,$D1970,ПОбТЗ_3!$E:$E,$F1970)</f>
        <v>0</v>
      </c>
      <c r="U1970" s="199">
        <f t="shared" ref="U1970:V1970" si="3523">U1964-U1966</f>
        <v>95.75</v>
      </c>
      <c r="V1970" s="241">
        <f t="shared" si="3523"/>
        <v>3</v>
      </c>
      <c r="W1970" s="242"/>
      <c r="X1970" s="199">
        <f>X1964-X1966</f>
        <v>21.18525854346808</v>
      </c>
      <c r="Y1970" s="173">
        <f>X1970-SUMIFS(ПОбТЗ_3!$L:$L,ПОбТЗ_3!$D:$D,$D1970,ПОбТЗ_3!$E:$E,$F1970)</f>
        <v>0</v>
      </c>
      <c r="Z1970" s="199">
        <f t="shared" ref="Z1970:AA1970" si="3524">Z1964-Z1966</f>
        <v>80</v>
      </c>
      <c r="AA1970" s="241">
        <f t="shared" si="3524"/>
        <v>6.7660987721756101</v>
      </c>
      <c r="AB1970" s="264"/>
      <c r="AC1970" s="92"/>
      <c r="AD1970" s="92"/>
      <c r="AE1970" s="92"/>
      <c r="AF1970" s="92"/>
      <c r="AG1970" s="92"/>
      <c r="AH1970" s="92"/>
      <c r="AI1970" s="92"/>
      <c r="AJ1970" s="92"/>
      <c r="AK1970" s="92"/>
      <c r="AL1970" s="92"/>
      <c r="AM1970" s="92"/>
      <c r="AN1970" s="92"/>
      <c r="AO1970" s="92"/>
      <c r="AP1970" s="92"/>
    </row>
    <row r="1971" spans="1:42" s="5" customFormat="1">
      <c r="A1971" s="1"/>
      <c r="B1971" s="1"/>
      <c r="C1971" s="1"/>
      <c r="D1971" s="227" t="s">
        <v>309</v>
      </c>
      <c r="E1971" s="227"/>
      <c r="F1971" s="227" t="str">
        <f t="shared" si="3460"/>
        <v>ЭлектроФор</v>
      </c>
      <c r="G1971" s="227" t="s">
        <v>219</v>
      </c>
      <c r="H1971" s="347"/>
      <c r="I1971" s="348">
        <f>I1967-I1966</f>
        <v>28.963451987277949</v>
      </c>
      <c r="J1971" s="321"/>
      <c r="K1971" s="348">
        <f t="shared" ref="K1971:L1971" si="3525">K1967-K1966</f>
        <v>30.868448632085347</v>
      </c>
      <c r="L1971" s="349">
        <f t="shared" si="3525"/>
        <v>28.538639601138129</v>
      </c>
      <c r="M1971" s="281"/>
      <c r="N1971" s="228">
        <f>N1967-N1966</f>
        <v>0</v>
      </c>
      <c r="O1971" s="173"/>
      <c r="P1971" s="228">
        <f t="shared" ref="P1971:Q1971" si="3526">P1967-P1966</f>
        <v>0</v>
      </c>
      <c r="Q1971" s="254">
        <f t="shared" si="3526"/>
        <v>0</v>
      </c>
      <c r="R1971" s="255"/>
      <c r="S1971" s="228">
        <f>S1967-S1966</f>
        <v>30.135903996095294</v>
      </c>
      <c r="T1971" s="173"/>
      <c r="U1971" s="228">
        <f t="shared" ref="U1971:V1971" si="3527">U1967-U1966</f>
        <v>31</v>
      </c>
      <c r="V1971" s="254">
        <f t="shared" si="3527"/>
        <v>30</v>
      </c>
      <c r="W1971" s="255"/>
      <c r="X1971" s="228">
        <f>X1967-X1966</f>
        <v>28.42981195338507</v>
      </c>
      <c r="Y1971" s="173"/>
      <c r="Z1971" s="228">
        <f t="shared" ref="Z1971:AA1971" si="3528">Z1967-Z1966</f>
        <v>30</v>
      </c>
      <c r="AA1971" s="254">
        <f t="shared" si="3528"/>
        <v>28.044788564620831</v>
      </c>
      <c r="AB1971" s="266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</row>
    <row r="1972" spans="1:42" s="5" customFormat="1">
      <c r="A1972" s="1"/>
      <c r="B1972" s="1"/>
      <c r="C1972" s="1"/>
      <c r="D1972" s="225" t="s">
        <v>310</v>
      </c>
      <c r="E1972" s="225"/>
      <c r="F1972" s="225" t="str">
        <f t="shared" si="3460"/>
        <v>ЭлектроФор</v>
      </c>
      <c r="G1972" s="225" t="s">
        <v>219</v>
      </c>
      <c r="H1972" s="350"/>
      <c r="I1972" s="351">
        <f>I1970-I1971</f>
        <v>-9.1233569247706328</v>
      </c>
      <c r="J1972" s="352"/>
      <c r="K1972" s="351">
        <f t="shared" ref="K1972" si="3529">K1970-K1971</f>
        <v>52.163568808842683</v>
      </c>
      <c r="L1972" s="353">
        <f t="shared" ref="L1972" si="3530">L1970-L1971</f>
        <v>-22.785220961646701</v>
      </c>
      <c r="M1972" s="282"/>
      <c r="N1972" s="226">
        <f>N1970-N1971</f>
        <v>0</v>
      </c>
      <c r="O1972" s="181"/>
      <c r="P1972" s="226">
        <f t="shared" ref="P1972" si="3531">P1970-P1971</f>
        <v>0</v>
      </c>
      <c r="Q1972" s="256">
        <f t="shared" ref="Q1972" si="3532">Q1970-Q1971</f>
        <v>0</v>
      </c>
      <c r="R1972" s="257"/>
      <c r="S1972" s="226">
        <f>S1970-S1971</f>
        <v>-14.476589558442356</v>
      </c>
      <c r="T1972" s="181"/>
      <c r="U1972" s="226">
        <f t="shared" ref="U1972" si="3533">U1970-U1971</f>
        <v>64.75</v>
      </c>
      <c r="V1972" s="256">
        <f t="shared" ref="V1972" si="3534">V1970-V1971</f>
        <v>-27</v>
      </c>
      <c r="W1972" s="257"/>
      <c r="X1972" s="226">
        <f>X1970-X1971</f>
        <v>-7.244553409916989</v>
      </c>
      <c r="Y1972" s="181"/>
      <c r="Z1972" s="226">
        <f t="shared" ref="Z1972" si="3535">Z1970-Z1971</f>
        <v>50</v>
      </c>
      <c r="AA1972" s="256">
        <f t="shared" ref="AA1972" si="3536">AA1970-AA1971</f>
        <v>-21.278689792445221</v>
      </c>
      <c r="AB1972" s="266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</row>
    <row r="1973" spans="1:42" s="5" customFormat="1">
      <c r="A1973" s="1"/>
      <c r="B1973" s="1"/>
      <c r="C1973" s="1"/>
      <c r="D1973" s="223"/>
      <c r="E1973" s="223" t="s">
        <v>293</v>
      </c>
      <c r="F1973" s="223" t="str">
        <f t="shared" si="3460"/>
        <v>ЭлектроФор</v>
      </c>
      <c r="G1973" s="223" t="s">
        <v>261</v>
      </c>
      <c r="H1973" s="354"/>
      <c r="I1973" s="355">
        <f>SUMIFS(операции!$Z:$Z,операции!$X:$X,"&gt;="&amp;I$8,операции!$X:$X,"&lt;="&amp;I$9,операции!$AB:$AB,"&lt;&gt;"&amp;"",операции!$O:$O,$F1940)</f>
        <v>18181</v>
      </c>
      <c r="J1973" s="341">
        <f>I1973-K1973-L1973</f>
        <v>0</v>
      </c>
      <c r="K1973" s="355">
        <f>SUMIFS(операции!$Z:$Z,операции!$X:$X,"&gt;="&amp;I$8,операции!$X:$X,"&lt;="&amp;I$9,операции!$AB:$AB,"&lt;&gt;"&amp;"",операции!$L:$L,K$9,операции!$O:$O,$F1940)</f>
        <v>5440</v>
      </c>
      <c r="L1973" s="356">
        <f>SUMIFS(операции!$Z:$Z,операции!$X:$X,"&gt;="&amp;I$8,операции!$X:$X,"&lt;="&amp;I$9,операции!$AB:$AB,"&lt;&gt;"&amp;"",операции!$L:$L,L$9,операции!$O:$O,$F1940)</f>
        <v>12741</v>
      </c>
      <c r="M1973" s="283"/>
      <c r="N1973" s="224">
        <f>SUMIFS(операции!$Z:$Z,операции!$X:$X,"&gt;="&amp;N$8,операции!$X:$X,"&lt;="&amp;N$9,операции!$AB:$AB,"&lt;&gt;"&amp;"",операции!$O:$O,$F1940)</f>
        <v>0</v>
      </c>
      <c r="O1973" s="216">
        <f>N1973-P1973-Q1973</f>
        <v>0</v>
      </c>
      <c r="P1973" s="224">
        <f>SUMIFS(операции!$Z:$Z,операции!$X:$X,"&gt;="&amp;N$8,операции!$X:$X,"&lt;="&amp;N$9,операции!$AB:$AB,"&lt;&gt;"&amp;"",операции!$L:$L,P$9,операции!$O:$O,$F1940)</f>
        <v>0</v>
      </c>
      <c r="Q1973" s="258">
        <f>SUMIFS(операции!$Z:$Z,операции!$X:$X,"&gt;="&amp;N$8,операции!$X:$X,"&lt;="&amp;N$9,операции!$AB:$AB,"&lt;&gt;"&amp;"",операции!$L:$L,Q$9,операции!$O:$O,$F1940)</f>
        <v>0</v>
      </c>
      <c r="R1973" s="259"/>
      <c r="S1973" s="224">
        <f>SUMIFS(операции!$Z:$Z,операции!$X:$X,"&gt;="&amp;S$8,операции!$X:$X,"&lt;="&amp;S$9,операции!$AB:$AB,"&lt;&gt;"&amp;"",операции!$O:$O,$F1940)</f>
        <v>6912</v>
      </c>
      <c r="T1973" s="216">
        <f>S1973-U1973-V1973</f>
        <v>0</v>
      </c>
      <c r="U1973" s="224">
        <f>SUMIFS(операции!$Z:$Z,операции!$X:$X,"&gt;="&amp;S$8,операции!$X:$X,"&lt;="&amp;S$9,операции!$AB:$AB,"&lt;&gt;"&amp;"",операции!$L:$L,U$9,операции!$O:$O,$F1940)</f>
        <v>784</v>
      </c>
      <c r="V1973" s="258">
        <f>SUMIFS(операции!$Z:$Z,операции!$X:$X,"&gt;="&amp;S$8,операции!$X:$X,"&lt;="&amp;S$9,операции!$AB:$AB,"&lt;&gt;"&amp;"",операции!$L:$L,V$9,операции!$O:$O,$F1940)</f>
        <v>6128</v>
      </c>
      <c r="W1973" s="259"/>
      <c r="X1973" s="224">
        <f>SUMIFS(операции!$Z:$Z,операции!$X:$X,"&gt;="&amp;X$8,операции!$X:$X,"&lt;="&amp;X$9,операции!$AB:$AB,"&lt;&gt;"&amp;"",операции!$O:$O,$F1940)</f>
        <v>11269</v>
      </c>
      <c r="Y1973" s="216">
        <f>X1973-Z1973-AA1973</f>
        <v>0</v>
      </c>
      <c r="Z1973" s="224">
        <f>SUMIFS(операции!$Z:$Z,операции!$X:$X,"&gt;="&amp;X$8,операции!$X:$X,"&lt;="&amp;X$9,операции!$AB:$AB,"&lt;&gt;"&amp;"",операции!$L:$L,Z$9,операции!$O:$O,$F1940)</f>
        <v>4656</v>
      </c>
      <c r="AA1973" s="258">
        <f>SUMIFS(операции!$Z:$Z,операции!$X:$X,"&gt;="&amp;X$8,операции!$X:$X,"&lt;="&amp;X$9,операции!$AB:$AB,"&lt;&gt;"&amp;"",операции!$L:$L,AA$9,операции!$O:$O,$F1940)</f>
        <v>6613</v>
      </c>
      <c r="AB1973" s="266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</row>
    <row r="1974" spans="1:42" s="192" customFormat="1" ht="11.25">
      <c r="A1974" s="37"/>
      <c r="B1974" s="37"/>
      <c r="C1974" s="37"/>
      <c r="D1974" s="191"/>
      <c r="E1974" s="191" t="s">
        <v>295</v>
      </c>
      <c r="F1974" s="191" t="str">
        <f t="shared" si="3460"/>
        <v>ЭлектроФор</v>
      </c>
      <c r="G1974" s="191" t="s">
        <v>262</v>
      </c>
      <c r="H1974" s="315"/>
      <c r="I1974" s="316">
        <f>IF(I1973=0,0,SUMIFS(операции!$AG:$AG,операции!$X:$X,"&gt;="&amp;I$8,операции!$X:$X,"&lt;="&amp;I$9,операции!$AB:$AB,"&lt;&gt;"&amp;"",операции!$O:$O,$F1940)/I1973)</f>
        <v>42341.253781420164</v>
      </c>
      <c r="J1974" s="317"/>
      <c r="K1974" s="316">
        <f>IF(K1973=0,0,SUMIFS(операции!$AG:$AG,операции!$X:$X,"&gt;="&amp;I$8,операции!$X:$X,"&lt;="&amp;I$9,операции!$AB:$AB,"&lt;&gt;"&amp;"",операции!$L:$L,K$9,операции!$O:$O,$F1940)/K1973)</f>
        <v>42341.00294117647</v>
      </c>
      <c r="L1974" s="318">
        <f>IF(L1973=0,0,SUMIFS(операции!$AG:$AG,операции!$X:$X,"&gt;="&amp;I$8,операции!$X:$X,"&lt;="&amp;I$9,операции!$AB:$AB,"&lt;&gt;"&amp;"",операции!$L:$L,L$9,операции!$O:$O,$F1940)/L1973)</f>
        <v>42341.360882191351</v>
      </c>
      <c r="M1974" s="274"/>
      <c r="N1974" s="193">
        <f>IF(N1973=0,0,SUMIFS(операции!$AG:$AG,операции!$X:$X,"&gt;="&amp;N$8,операции!$X:$X,"&lt;="&amp;N$9,операции!$AB:$AB,"&lt;&gt;"&amp;"",операции!$O:$O,$F1940)/N1973)</f>
        <v>0</v>
      </c>
      <c r="O1974" s="196"/>
      <c r="P1974" s="193">
        <f>IF(P1973=0,0,SUMIFS(операции!$AG:$AG,операции!$X:$X,"&gt;="&amp;N$8,операции!$X:$X,"&lt;="&amp;N$9,операции!$AB:$AB,"&lt;&gt;"&amp;"",операции!$L:$L,P$9,операции!$O:$O,$F1940)/P1973)</f>
        <v>0</v>
      </c>
      <c r="Q1974" s="237">
        <f>IF(Q1973=0,0,SUMIFS(операции!$AG:$AG,операции!$X:$X,"&gt;="&amp;N$8,операции!$X:$X,"&lt;="&amp;N$9,операции!$AB:$AB,"&lt;&gt;"&amp;"",операции!$L:$L,Q$9,операции!$O:$O,$F1940)/Q1973)</f>
        <v>0</v>
      </c>
      <c r="R1974" s="238"/>
      <c r="S1974" s="193">
        <f>IF(S1973=0,0,SUMIFS(операции!$AG:$AG,операции!$X:$X,"&gt;="&amp;S$8,операции!$X:$X,"&lt;="&amp;S$9,операции!$AB:$AB,"&lt;&gt;"&amp;"",операции!$O:$O,$F1940)/S1973)</f>
        <v>42335.222222222219</v>
      </c>
      <c r="T1974" s="196"/>
      <c r="U1974" s="193">
        <f>IF(U1973=0,0,SUMIFS(операции!$AG:$AG,операции!$X:$X,"&gt;="&amp;S$8,операции!$X:$X,"&lt;="&amp;S$9,операции!$AB:$AB,"&lt;&gt;"&amp;"",операции!$L:$L,U$9,операции!$O:$O,$F1940)/U1973)</f>
        <v>42329.142857142855</v>
      </c>
      <c r="V1974" s="237">
        <f>IF(V1973=0,0,SUMIFS(операции!$AG:$AG,операции!$X:$X,"&gt;="&amp;S$8,операции!$X:$X,"&lt;="&amp;S$9,операции!$AB:$AB,"&lt;&gt;"&amp;"",операции!$L:$L,V$9,операции!$O:$O,$F1940)/V1973)</f>
        <v>42336</v>
      </c>
      <c r="W1974" s="238"/>
      <c r="X1974" s="193">
        <f>IF(X1973=0,0,SUMIFS(операции!$AG:$AG,операции!$X:$X,"&gt;="&amp;X$8,операции!$X:$X,"&lt;="&amp;X$9,операции!$AB:$AB,"&lt;&gt;"&amp;"",операции!$O:$O,$F1940)/X1973)</f>
        <v>42344.953323276248</v>
      </c>
      <c r="Y1974" s="196"/>
      <c r="Z1974" s="193">
        <f>IF(Z1973=0,0,SUMIFS(операции!$AG:$AG,операции!$X:$X,"&gt;="&amp;X$8,операции!$X:$X,"&lt;="&amp;X$9,операции!$AB:$AB,"&lt;&gt;"&amp;"",операции!$L:$L,Z$9,операции!$O:$O,$F1940)/Z1973)</f>
        <v>42343</v>
      </c>
      <c r="AA1974" s="237">
        <f>IF(AA1973=0,0,SUMIFS(операции!$AG:$AG,операции!$X:$X,"&gt;="&amp;X$8,операции!$X:$X,"&lt;="&amp;X$9,операции!$AB:$AB,"&lt;&gt;"&amp;"",операции!$L:$L,AA$9,операции!$O:$O,$F1940)/AA1973)</f>
        <v>42346.328595191291</v>
      </c>
      <c r="AB1974" s="265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37"/>
    </row>
    <row r="1975" spans="1:42" s="93" customFormat="1" ht="15">
      <c r="A1975" s="92"/>
      <c r="B1975" s="92"/>
      <c r="C1975" s="92"/>
      <c r="D1975" s="151"/>
      <c r="E1975" s="151" t="s">
        <v>292</v>
      </c>
      <c r="F1975" s="151" t="str">
        <f t="shared" si="3460"/>
        <v>ЭлектроФор</v>
      </c>
      <c r="G1975" s="151" t="s">
        <v>261</v>
      </c>
      <c r="H1975" s="311"/>
      <c r="I1975" s="312">
        <f>SUMIFS(операции!$V:$V,операции!$X:$X,"&gt;="&amp;I$8,операции!$X:$X,"&lt;="&amp;I$9,операции!$AB:$AB,"&lt;&gt;"&amp;"",операции!$O:$O,$F1940)</f>
        <v>17037.900000000001</v>
      </c>
      <c r="J1975" s="313">
        <f>I1975-K1975-L1975</f>
        <v>0</v>
      </c>
      <c r="K1975" s="312">
        <f>SUMIFS(операции!$V:$V,операции!$X:$X,"&gt;="&amp;I$8,операции!$X:$X,"&lt;="&amp;I$9,операции!$AB:$AB,"&lt;&gt;"&amp;"",операции!$L:$L,K$9,операции!$O:$O,$F1940)</f>
        <v>4897.9000000000005</v>
      </c>
      <c r="L1975" s="314">
        <f>SUMIFS(операции!$V:$V,операции!$X:$X,"&gt;="&amp;I$8,операции!$X:$X,"&lt;="&amp;I$9,операции!$AB:$AB,"&lt;&gt;"&amp;"",операции!$L:$L,L$9,операции!$O:$O,$F1940)</f>
        <v>12140</v>
      </c>
      <c r="M1975" s="273"/>
      <c r="N1975" s="152">
        <f>SUMIFS(операции!$V:$V,операции!$X:$X,"&gt;="&amp;N$8,операции!$X:$X,"&lt;="&amp;N$9,операции!$AB:$AB,"&lt;&gt;"&amp;"",операции!$O:$O,$F1940)</f>
        <v>0</v>
      </c>
      <c r="O1975" s="170">
        <f>N1975-P1975-Q1975</f>
        <v>0</v>
      </c>
      <c r="P1975" s="152">
        <f>SUMIFS(операции!$V:$V,операции!$X:$X,"&gt;="&amp;N$8,операции!$X:$X,"&lt;="&amp;N$9,операции!$AB:$AB,"&lt;&gt;"&amp;"",операции!$L:$L,P$9,операции!$O:$O,$F1940)</f>
        <v>0</v>
      </c>
      <c r="Q1975" s="235">
        <f>SUMIFS(операции!$V:$V,операции!$X:$X,"&gt;="&amp;N$8,операции!$X:$X,"&lt;="&amp;N$9,операции!$AB:$AB,"&lt;&gt;"&amp;"",операции!$L:$L,Q$9,операции!$O:$O,$F1940)</f>
        <v>0</v>
      </c>
      <c r="R1975" s="236"/>
      <c r="S1975" s="152">
        <f>SUMIFS(операции!$V:$V,операции!$X:$X,"&gt;="&amp;S$8,операции!$X:$X,"&lt;="&amp;S$9,операции!$AB:$AB,"&lt;&gt;"&amp;"",операции!$O:$O,$F1940)</f>
        <v>6454.85</v>
      </c>
      <c r="T1975" s="170">
        <f>S1975-U1975-V1975</f>
        <v>0</v>
      </c>
      <c r="U1975" s="152">
        <f>SUMIFS(операции!$V:$V,операции!$X:$X,"&gt;="&amp;S$8,операции!$X:$X,"&lt;="&amp;S$9,операции!$AB:$AB,"&lt;&gt;"&amp;"",операции!$L:$L,U$9,операции!$O:$O,$F1940)</f>
        <v>780.85</v>
      </c>
      <c r="V1975" s="235">
        <f>SUMIFS(операции!$V:$V,операции!$X:$X,"&gt;="&amp;S$8,операции!$X:$X,"&lt;="&amp;S$9,операции!$AB:$AB,"&lt;&gt;"&amp;"",операции!$L:$L,V$9,операции!$O:$O,$F1940)</f>
        <v>5674</v>
      </c>
      <c r="W1975" s="236"/>
      <c r="X1975" s="152">
        <f>SUMIFS(операции!$V:$V,операции!$X:$X,"&gt;="&amp;X$8,операции!$X:$X,"&lt;="&amp;X$9,операции!$AB:$AB,"&lt;&gt;"&amp;"",операции!$O:$O,$F1940)</f>
        <v>10583.05</v>
      </c>
      <c r="Y1975" s="170">
        <f>X1975-Z1975-AA1975</f>
        <v>0</v>
      </c>
      <c r="Z1975" s="152">
        <f>SUMIFS(операции!$V:$V,операции!$X:$X,"&gt;="&amp;X$8,операции!$X:$X,"&lt;="&amp;X$9,операции!$AB:$AB,"&lt;&gt;"&amp;"",операции!$L:$L,Z$9,операции!$O:$O,$F1940)</f>
        <v>4117.05</v>
      </c>
      <c r="AA1975" s="235">
        <f>SUMIFS(операции!$V:$V,операции!$X:$X,"&gt;="&amp;X$8,операции!$X:$X,"&lt;="&amp;X$9,операции!$AB:$AB,"&lt;&gt;"&amp;"",операции!$L:$L,AA$9,операции!$O:$O,$F1940)</f>
        <v>6466</v>
      </c>
      <c r="AB1975" s="264"/>
      <c r="AC1975" s="92"/>
      <c r="AD1975" s="92"/>
      <c r="AE1975" s="92"/>
      <c r="AF1975" s="92"/>
      <c r="AG1975" s="92"/>
      <c r="AH1975" s="92"/>
      <c r="AI1975" s="92"/>
      <c r="AJ1975" s="92"/>
      <c r="AK1975" s="92"/>
      <c r="AL1975" s="92"/>
      <c r="AM1975" s="92"/>
      <c r="AN1975" s="92"/>
      <c r="AO1975" s="92"/>
      <c r="AP1975" s="92"/>
    </row>
    <row r="1976" spans="1:42" s="192" customFormat="1" ht="11.25">
      <c r="A1976" s="37"/>
      <c r="B1976" s="37"/>
      <c r="C1976" s="37"/>
      <c r="D1976" s="191"/>
      <c r="E1976" s="191" t="s">
        <v>294</v>
      </c>
      <c r="F1976" s="191" t="str">
        <f t="shared" si="3460"/>
        <v>ЭлектроФор</v>
      </c>
      <c r="G1976" s="191" t="s">
        <v>262</v>
      </c>
      <c r="H1976" s="315"/>
      <c r="I1976" s="316">
        <f>IF(I1975=0,0,SUMIFS(операции!$AF:$AF,операции!$X:$X,"&gt;="&amp;I$8,операции!$X:$X,"&lt;="&amp;I$9,операции!$AB:$AB,"&lt;&gt;"&amp;"",операции!$O:$O,$F1940)/I1975)</f>
        <v>42312.686484249811</v>
      </c>
      <c r="J1976" s="317"/>
      <c r="K1976" s="316">
        <f>IF(K1975=0,0,SUMIFS(операции!$AF:$AF,операции!$X:$X,"&gt;="&amp;I$8,операции!$X:$X,"&lt;="&amp;I$9,операции!$AB:$AB,"&lt;&gt;"&amp;"",операции!$L:$L,K$9,операции!$O:$O,$F1940)/K1975)</f>
        <v>42258.376661426322</v>
      </c>
      <c r="L1976" s="318">
        <f>IF(L1975=0,0,SUMIFS(операции!$AF:$AF,операции!$X:$X,"&gt;="&amp;I$8,операции!$X:$X,"&lt;="&amp;I$9,операции!$AB:$AB,"&lt;&gt;"&amp;"",операции!$L:$L,L$9,операции!$O:$O,$F1940)/L1975)</f>
        <v>42334.597858319605</v>
      </c>
      <c r="M1976" s="274"/>
      <c r="N1976" s="193">
        <f>IF(N1975=0,0,SUMIFS(операции!$AF:$AF,операции!$X:$X,"&gt;="&amp;N$8,операции!$X:$X,"&lt;="&amp;N$9,операции!$AB:$AB,"&lt;&gt;"&amp;"",операции!$O:$O,$F1940)/N1975)</f>
        <v>0</v>
      </c>
      <c r="O1976" s="196"/>
      <c r="P1976" s="193">
        <f>IF(P1975=0,0,SUMIFS(операции!$AF:$AF,операции!$X:$X,"&gt;="&amp;N$8,операции!$X:$X,"&lt;="&amp;N$9,операции!$AB:$AB,"&lt;&gt;"&amp;"",операции!$L:$L,P$9,операции!$O:$O,$F1940)/P1975)</f>
        <v>0</v>
      </c>
      <c r="Q1976" s="237">
        <f>IF(Q1975=0,0,SUMIFS(операции!$AF:$AF,операции!$X:$X,"&gt;="&amp;N$8,операции!$X:$X,"&lt;="&amp;N$9,операции!$AB:$AB,"&lt;&gt;"&amp;"",операции!$L:$L,Q$9,операции!$O:$O,$F1940)/Q1975)</f>
        <v>0</v>
      </c>
      <c r="R1976" s="238"/>
      <c r="S1976" s="193">
        <f>IF(S1975=0,0,SUMIFS(операции!$AF:$AF,операции!$X:$X,"&gt;="&amp;S$8,операции!$X:$X,"&lt;="&amp;S$9,операции!$AB:$AB,"&lt;&gt;"&amp;"",операции!$O:$O,$F1940)/S1975)</f>
        <v>42321.023865775343</v>
      </c>
      <c r="T1976" s="196"/>
      <c r="U1976" s="193">
        <f>IF(U1975=0,0,SUMIFS(операции!$AF:$AF,операции!$X:$X,"&gt;="&amp;S$8,операции!$X:$X,"&lt;="&amp;S$9,операции!$AB:$AB,"&lt;&gt;"&amp;"",операции!$L:$L,U$9,операции!$O:$O,$F1940)/U1975)</f>
        <v>42234</v>
      </c>
      <c r="V1976" s="237">
        <f>IF(V1975=0,0,SUMIFS(операции!$AF:$AF,операции!$X:$X,"&gt;="&amp;S$8,операции!$X:$X,"&lt;="&amp;S$9,операции!$AB:$AB,"&lt;&gt;"&amp;"",операции!$L:$L,V$9,операции!$O:$O,$F1940)/V1975)</f>
        <v>42333</v>
      </c>
      <c r="W1976" s="238"/>
      <c r="X1976" s="193">
        <f>IF(X1975=0,0,SUMIFS(операции!$AF:$AF,операции!$X:$X,"&gt;="&amp;X$8,операции!$X:$X,"&lt;="&amp;X$9,операции!$AB:$AB,"&lt;&gt;"&amp;"",операции!$O:$O,$F1940)/X1975)</f>
        <v>42307.601320035341</v>
      </c>
      <c r="Y1976" s="196"/>
      <c r="Z1976" s="193">
        <f>IF(Z1975=0,0,SUMIFS(операции!$AF:$AF,операции!$X:$X,"&gt;="&amp;X$8,операции!$X:$X,"&lt;="&amp;X$9,операции!$AB:$AB,"&lt;&gt;"&amp;"",операции!$L:$L,Z$9,операции!$O:$O,$F1940)/Z1975)</f>
        <v>42263</v>
      </c>
      <c r="AA1976" s="237">
        <f>IF(AA1975=0,0,SUMIFS(операции!$AF:$AF,операции!$X:$X,"&gt;="&amp;X$8,операции!$X:$X,"&lt;="&amp;X$9,операции!$AB:$AB,"&lt;&gt;"&amp;"",операции!$L:$L,AA$9,операции!$O:$O,$F1940)/AA1975)</f>
        <v>42336</v>
      </c>
      <c r="AB1976" s="265"/>
      <c r="AC1976" s="37"/>
      <c r="AD1976" s="37"/>
      <c r="AE1976" s="37"/>
      <c r="AF1976" s="37"/>
      <c r="AG1976" s="37"/>
      <c r="AH1976" s="37"/>
      <c r="AI1976" s="37"/>
      <c r="AJ1976" s="37"/>
      <c r="AK1976" s="37"/>
      <c r="AL1976" s="37"/>
      <c r="AM1976" s="37"/>
      <c r="AN1976" s="37"/>
      <c r="AO1976" s="37"/>
      <c r="AP1976" s="37"/>
    </row>
    <row r="1977" spans="1:42" s="192" customFormat="1" ht="11.25">
      <c r="A1977" s="37"/>
      <c r="B1977" s="37"/>
      <c r="C1977" s="37"/>
      <c r="D1977" s="191"/>
      <c r="E1977" s="191" t="s">
        <v>299</v>
      </c>
      <c r="F1977" s="191" t="str">
        <f t="shared" si="3460"/>
        <v>ЭлектроФор</v>
      </c>
      <c r="G1977" s="191" t="s">
        <v>262</v>
      </c>
      <c r="H1977" s="315"/>
      <c r="I1977" s="316">
        <f>IF(I1975=0,0,SUMIFS(операции!$AH:$AH,операции!$X:$X,"&gt;="&amp;I$8,операции!$X:$X,"&lt;="&amp;I$9,операции!$AB:$AB,"&lt;&gt;"&amp;"",операции!$O:$O,$F1940)/I1975)</f>
        <v>42338.872199625534</v>
      </c>
      <c r="J1977" s="317"/>
      <c r="K1977" s="316">
        <f>IF(K1975=0,0,SUMIFS(операции!$AH:$AH,операции!$X:$X,"&gt;="&amp;I$8,операции!$X:$X,"&lt;="&amp;I$9,операции!$AB:$AB,"&lt;&gt;"&amp;"",операции!$L:$L,K$9,операции!$O:$O,$F1940)/K1975)</f>
        <v>42286.827956879475</v>
      </c>
      <c r="L1977" s="318">
        <f>IF(L1975=0,0,SUMIFS(операции!$AH:$AH,операции!$X:$X,"&gt;="&amp;I$8,операции!$X:$X,"&lt;="&amp;I$9,операции!$AB:$AB,"&lt;&gt;"&amp;"",операции!$L:$L,L$9,операции!$O:$O,$F1940)/L1975)</f>
        <v>42359.869522240529</v>
      </c>
      <c r="M1977" s="274"/>
      <c r="N1977" s="193">
        <f>IF(N1975=0,0,SUMIFS(операции!$AH:$AH,операции!$X:$X,"&gt;="&amp;N$8,операции!$X:$X,"&lt;="&amp;N$9,операции!$AB:$AB,"&lt;&gt;"&amp;"",операции!$O:$O,$F1940)/N1975)</f>
        <v>0</v>
      </c>
      <c r="O1977" s="196"/>
      <c r="P1977" s="193">
        <f>IF(P1975=0,0,SUMIFS(операции!$AH:$AH,операции!$X:$X,"&gt;="&amp;N$8,операции!$X:$X,"&lt;="&amp;N$9,операции!$AB:$AB,"&lt;&gt;"&amp;"",операции!$L:$L,P$9,операции!$O:$O,$F1940)/P1975)</f>
        <v>0</v>
      </c>
      <c r="Q1977" s="237">
        <f>IF(Q1975=0,0,SUMIFS(операции!$AH:$AH,операции!$X:$X,"&gt;="&amp;N$8,операции!$X:$X,"&lt;="&amp;N$9,операции!$AB:$AB,"&lt;&gt;"&amp;"",операции!$L:$L,Q$9,операции!$O:$O,$F1940)/Q1975)</f>
        <v>0</v>
      </c>
      <c r="R1977" s="238"/>
      <c r="S1977" s="193">
        <f>IF(S1975=0,0,SUMIFS(операции!$AH:$AH,операции!$X:$X,"&gt;="&amp;S$8,операции!$X:$X,"&lt;="&amp;S$9,операции!$AB:$AB,"&lt;&gt;"&amp;"",операции!$O:$O,$F1940)/S1975)</f>
        <v>42349.848718405541</v>
      </c>
      <c r="T1977" s="196"/>
      <c r="U1977" s="193">
        <f>IF(U1975=0,0,SUMIFS(операции!$AH:$AH,операции!$X:$X,"&gt;="&amp;S$8,операции!$X:$X,"&lt;="&amp;S$9,операции!$AB:$AB,"&lt;&gt;"&amp;"",операции!$L:$L,U$9,операции!$O:$O,$F1940)/U1975)</f>
        <v>42254.28571428571</v>
      </c>
      <c r="V1977" s="237">
        <f>IF(V1975=0,0,SUMIFS(операции!$AH:$AH,операции!$X:$X,"&gt;="&amp;S$8,операции!$X:$X,"&lt;="&amp;S$9,операции!$AB:$AB,"&lt;&gt;"&amp;"",операции!$L:$L,V$9,операции!$O:$O,$F1940)/V1975)</f>
        <v>42363</v>
      </c>
      <c r="W1977" s="238"/>
      <c r="X1977" s="193">
        <f>IF(X1975=0,0,SUMIFS(операции!$AH:$AH,операции!$X:$X,"&gt;="&amp;X$8,операции!$X:$X,"&lt;="&amp;X$9,операции!$AB:$AB,"&lt;&gt;"&amp;"",операции!$O:$O,$F1940)/X1975)</f>
        <v>42332.177363803443</v>
      </c>
      <c r="Y1977" s="196"/>
      <c r="Z1977" s="193">
        <f>IF(Z1975=0,0,SUMIFS(операции!$AH:$AH,операции!$X:$X,"&gt;="&amp;X$8,операции!$X:$X,"&lt;="&amp;X$9,операции!$AB:$AB,"&lt;&gt;"&amp;"",операции!$L:$L,Z$9,операции!$O:$O,$F1940)/Z1975)</f>
        <v>42293</v>
      </c>
      <c r="AA1977" s="237">
        <f>IF(AA1975=0,0,SUMIFS(операции!$AH:$AH,операции!$X:$X,"&gt;="&amp;X$8,операции!$X:$X,"&lt;="&amp;X$9,операции!$AB:$AB,"&lt;&gt;"&amp;"",операции!$L:$L,AA$9,операции!$O:$O,$F1940)/AA1975)</f>
        <v>42357.122486854314</v>
      </c>
      <c r="AB1977" s="265"/>
      <c r="AC1977" s="37"/>
      <c r="AD1977" s="37"/>
      <c r="AE1977" s="37"/>
      <c r="AF1977" s="37"/>
      <c r="AG1977" s="37"/>
      <c r="AH1977" s="37"/>
      <c r="AI1977" s="37"/>
      <c r="AJ1977" s="37"/>
      <c r="AK1977" s="37"/>
      <c r="AL1977" s="37"/>
      <c r="AM1977" s="37"/>
      <c r="AN1977" s="37"/>
      <c r="AO1977" s="37"/>
      <c r="AP1977" s="37"/>
    </row>
    <row r="1978" spans="1:42" s="5" customFormat="1">
      <c r="A1978" s="1"/>
      <c r="B1978" s="1"/>
      <c r="C1978" s="1"/>
      <c r="D1978" s="168"/>
      <c r="E1978" s="168" t="s">
        <v>296</v>
      </c>
      <c r="F1978" s="168" t="str">
        <f t="shared" si="3460"/>
        <v>ЭлектроФор</v>
      </c>
      <c r="G1978" s="168" t="s">
        <v>261</v>
      </c>
      <c r="H1978" s="326"/>
      <c r="I1978" s="327">
        <f>I1973-I1975</f>
        <v>1143.0999999999985</v>
      </c>
      <c r="J1978" s="313">
        <f>I1978-K1978-L1978</f>
        <v>-9.0949470177292824E-13</v>
      </c>
      <c r="K1978" s="327">
        <f t="shared" ref="K1978:L1978" si="3537">K1973-K1975</f>
        <v>542.09999999999945</v>
      </c>
      <c r="L1978" s="328">
        <f t="shared" si="3537"/>
        <v>601</v>
      </c>
      <c r="M1978" s="277"/>
      <c r="N1978" s="169">
        <f>N1973-N1975</f>
        <v>0</v>
      </c>
      <c r="O1978" s="170">
        <f>N1978-P1978-Q1978</f>
        <v>0</v>
      </c>
      <c r="P1978" s="169">
        <f t="shared" ref="P1978:Q1978" si="3538">P1973-P1975</f>
        <v>0</v>
      </c>
      <c r="Q1978" s="243">
        <f t="shared" si="3538"/>
        <v>0</v>
      </c>
      <c r="R1978" s="244"/>
      <c r="S1978" s="169">
        <f>S1973-S1975</f>
        <v>457.14999999999964</v>
      </c>
      <c r="T1978" s="170">
        <f>S1978-U1978-V1978</f>
        <v>0</v>
      </c>
      <c r="U1978" s="169">
        <f t="shared" ref="U1978:V1978" si="3539">U1973-U1975</f>
        <v>3.1499999999999773</v>
      </c>
      <c r="V1978" s="243">
        <f t="shared" si="3539"/>
        <v>454</v>
      </c>
      <c r="W1978" s="244"/>
      <c r="X1978" s="169">
        <f>X1973-X1975</f>
        <v>685.95000000000073</v>
      </c>
      <c r="Y1978" s="170">
        <f>X1978-Z1978-AA1978</f>
        <v>9.0949470177292824E-13</v>
      </c>
      <c r="Z1978" s="169">
        <f t="shared" ref="Z1978:AA1978" si="3540">Z1973-Z1975</f>
        <v>538.94999999999982</v>
      </c>
      <c r="AA1978" s="243">
        <f t="shared" si="3540"/>
        <v>147</v>
      </c>
      <c r="AB1978" s="266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</row>
    <row r="1979" spans="1:42" s="211" customFormat="1">
      <c r="A1979" s="210"/>
      <c r="B1979" s="210"/>
      <c r="C1979" s="210"/>
      <c r="D1979" s="218"/>
      <c r="E1979" s="218" t="s">
        <v>297</v>
      </c>
      <c r="F1979" s="218" t="str">
        <f t="shared" si="3460"/>
        <v>ЭлектроФор</v>
      </c>
      <c r="G1979" s="218" t="s">
        <v>218</v>
      </c>
      <c r="H1979" s="343"/>
      <c r="I1979" s="344">
        <f>IF(I1973=0,0,(I1978/I1973))</f>
        <v>6.2873329299818412E-2</v>
      </c>
      <c r="J1979" s="345"/>
      <c r="K1979" s="344">
        <f t="shared" ref="K1979" si="3541">IF(K1973=0,0,(K1978/K1973))</f>
        <v>9.965073529411754E-2</v>
      </c>
      <c r="L1979" s="346">
        <f t="shared" ref="L1979" si="3542">IF(L1973=0,0,(L1978/L1973))</f>
        <v>4.7170551762028098E-2</v>
      </c>
      <c r="M1979" s="280"/>
      <c r="N1979" s="219">
        <f>IF(N1973=0,0,(N1978/N1973))</f>
        <v>0</v>
      </c>
      <c r="O1979" s="220"/>
      <c r="P1979" s="219">
        <f t="shared" ref="P1979" si="3543">IF(P1973=0,0,(P1978/P1973))</f>
        <v>0</v>
      </c>
      <c r="Q1979" s="252">
        <f t="shared" ref="Q1979" si="3544">IF(Q1973=0,0,(Q1978/Q1973))</f>
        <v>0</v>
      </c>
      <c r="R1979" s="253"/>
      <c r="S1979" s="219">
        <f>IF(S1973=0,0,(S1978/S1973))</f>
        <v>6.6138599537036991E-2</v>
      </c>
      <c r="T1979" s="220"/>
      <c r="U1979" s="219">
        <f t="shared" ref="U1979" si="3545">IF(U1973=0,0,(U1978/U1973))</f>
        <v>4.0178571428571138E-3</v>
      </c>
      <c r="V1979" s="252">
        <f t="shared" ref="V1979" si="3546">IF(V1973=0,0,(V1978/V1973))</f>
        <v>7.4086161879895557E-2</v>
      </c>
      <c r="W1979" s="253"/>
      <c r="X1979" s="219">
        <f>IF(X1973=0,0,(X1978/X1973))</f>
        <v>6.0870529771940789E-2</v>
      </c>
      <c r="Y1979" s="220"/>
      <c r="Z1979" s="219">
        <f t="shared" ref="Z1979" si="3547">IF(Z1973=0,0,(Z1978/Z1973))</f>
        <v>0.11575386597938141</v>
      </c>
      <c r="AA1979" s="252">
        <f t="shared" ref="AA1979" si="3548">IF(AA1973=0,0,(AA1978/AA1973))</f>
        <v>2.2228942991078179E-2</v>
      </c>
      <c r="AB1979" s="267"/>
      <c r="AC1979" s="210"/>
      <c r="AD1979" s="210"/>
      <c r="AE1979" s="210"/>
      <c r="AF1979" s="210"/>
      <c r="AG1979" s="210"/>
      <c r="AH1979" s="210"/>
      <c r="AI1979" s="210"/>
      <c r="AJ1979" s="210"/>
      <c r="AK1979" s="210"/>
      <c r="AL1979" s="210"/>
      <c r="AM1979" s="210"/>
      <c r="AN1979" s="210"/>
      <c r="AO1979" s="210"/>
      <c r="AP1979" s="210"/>
    </row>
    <row r="1980" spans="1:42" s="5" customFormat="1">
      <c r="A1980" s="1"/>
      <c r="B1980" s="1"/>
      <c r="C1980" s="1"/>
      <c r="D1980" s="227"/>
      <c r="E1980" s="227" t="s">
        <v>298</v>
      </c>
      <c r="F1980" s="227" t="str">
        <f t="shared" si="3460"/>
        <v>ЭлектроФор</v>
      </c>
      <c r="G1980" s="227" t="s">
        <v>219</v>
      </c>
      <c r="H1980" s="347"/>
      <c r="I1980" s="348">
        <f>I1974-I1976</f>
        <v>28.567297170353413</v>
      </c>
      <c r="J1980" s="321"/>
      <c r="K1980" s="348">
        <f t="shared" ref="K1980:L1980" si="3549">K1974-K1976</f>
        <v>82.62627975014766</v>
      </c>
      <c r="L1980" s="349">
        <f t="shared" si="3549"/>
        <v>6.7630238717465545</v>
      </c>
      <c r="M1980" s="281"/>
      <c r="N1980" s="228">
        <f>N1974-N1976</f>
        <v>0</v>
      </c>
      <c r="O1980" s="173"/>
      <c r="P1980" s="228">
        <f t="shared" ref="P1980:Q1980" si="3550">P1974-P1976</f>
        <v>0</v>
      </c>
      <c r="Q1980" s="254">
        <f t="shared" si="3550"/>
        <v>0</v>
      </c>
      <c r="R1980" s="255"/>
      <c r="S1980" s="228">
        <f>S1974-S1976</f>
        <v>14.19835644687555</v>
      </c>
      <c r="T1980" s="173"/>
      <c r="U1980" s="228">
        <f t="shared" ref="U1980:V1980" si="3551">U1974-U1976</f>
        <v>95.142857142855064</v>
      </c>
      <c r="V1980" s="254">
        <f t="shared" si="3551"/>
        <v>3</v>
      </c>
      <c r="W1980" s="255"/>
      <c r="X1980" s="228">
        <f>X1974-X1976</f>
        <v>37.352003240906924</v>
      </c>
      <c r="Y1980" s="173"/>
      <c r="Z1980" s="228">
        <f t="shared" ref="Z1980:AA1980" si="3552">Z1974-Z1976</f>
        <v>80</v>
      </c>
      <c r="AA1980" s="254">
        <f t="shared" si="3552"/>
        <v>10.328595191291242</v>
      </c>
      <c r="AB1980" s="266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</row>
    <row r="1981" spans="1:42" s="5" customFormat="1">
      <c r="A1981" s="1"/>
      <c r="B1981" s="1"/>
      <c r="C1981" s="1"/>
      <c r="D1981" s="227"/>
      <c r="E1981" s="227" t="s">
        <v>300</v>
      </c>
      <c r="F1981" s="227" t="str">
        <f t="shared" si="3460"/>
        <v>ЭлектроФор</v>
      </c>
      <c r="G1981" s="227" t="s">
        <v>219</v>
      </c>
      <c r="H1981" s="347"/>
      <c r="I1981" s="348">
        <f>I1977-I1976</f>
        <v>26.185715375722793</v>
      </c>
      <c r="J1981" s="321"/>
      <c r="K1981" s="348">
        <f t="shared" ref="K1981:L1981" si="3553">K1977-K1976</f>
        <v>28.451295453152852</v>
      </c>
      <c r="L1981" s="349">
        <f t="shared" si="3553"/>
        <v>25.271663920924766</v>
      </c>
      <c r="M1981" s="281"/>
      <c r="N1981" s="228">
        <f>N1977-N1976</f>
        <v>0</v>
      </c>
      <c r="O1981" s="173"/>
      <c r="P1981" s="228">
        <f t="shared" ref="P1981:Q1981" si="3554">P1977-P1976</f>
        <v>0</v>
      </c>
      <c r="Q1981" s="254">
        <f t="shared" si="3554"/>
        <v>0</v>
      </c>
      <c r="R1981" s="255"/>
      <c r="S1981" s="228">
        <f>S1977-S1976</f>
        <v>28.824852630197711</v>
      </c>
      <c r="T1981" s="173"/>
      <c r="U1981" s="228">
        <f t="shared" ref="U1981:V1981" si="3555">U1977-U1976</f>
        <v>20.285714285710128</v>
      </c>
      <c r="V1981" s="254">
        <f t="shared" si="3555"/>
        <v>30</v>
      </c>
      <c r="W1981" s="255"/>
      <c r="X1981" s="228">
        <f>X1977-X1976</f>
        <v>24.576043768101954</v>
      </c>
      <c r="Y1981" s="173"/>
      <c r="Z1981" s="228">
        <f t="shared" ref="Z1981:AA1981" si="3556">Z1977-Z1976</f>
        <v>30</v>
      </c>
      <c r="AA1981" s="254">
        <f t="shared" si="3556"/>
        <v>21.122486854314047</v>
      </c>
      <c r="AB1981" s="266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</row>
    <row r="1982" spans="1:42" s="93" customFormat="1" ht="15">
      <c r="A1982" s="92"/>
      <c r="B1982" s="92"/>
      <c r="C1982" s="92"/>
      <c r="D1982" s="221"/>
      <c r="E1982" s="221" t="s">
        <v>301</v>
      </c>
      <c r="F1982" s="221" t="str">
        <f t="shared" si="3460"/>
        <v>ЭлектроФор</v>
      </c>
      <c r="G1982" s="221" t="s">
        <v>219</v>
      </c>
      <c r="H1982" s="357"/>
      <c r="I1982" s="358">
        <f>I1980-I1981</f>
        <v>2.3815817946306197</v>
      </c>
      <c r="J1982" s="352"/>
      <c r="K1982" s="358">
        <f t="shared" ref="K1982" si="3557">K1980-K1981</f>
        <v>54.174984296994808</v>
      </c>
      <c r="L1982" s="359">
        <f t="shared" ref="L1982" si="3558">L1980-L1981</f>
        <v>-18.508640049178211</v>
      </c>
      <c r="M1982" s="284"/>
      <c r="N1982" s="222">
        <f>N1980-N1981</f>
        <v>0</v>
      </c>
      <c r="O1982" s="181"/>
      <c r="P1982" s="222">
        <f t="shared" ref="P1982" si="3559">P1980-P1981</f>
        <v>0</v>
      </c>
      <c r="Q1982" s="260">
        <f t="shared" ref="Q1982" si="3560">Q1980-Q1981</f>
        <v>0</v>
      </c>
      <c r="R1982" s="261"/>
      <c r="S1982" s="222">
        <f>S1980-S1981</f>
        <v>-14.626496183322161</v>
      </c>
      <c r="T1982" s="181"/>
      <c r="U1982" s="222">
        <f t="shared" ref="U1982" si="3561">U1980-U1981</f>
        <v>74.857142857144936</v>
      </c>
      <c r="V1982" s="260">
        <f t="shared" ref="V1982" si="3562">V1980-V1981</f>
        <v>-27</v>
      </c>
      <c r="W1982" s="261"/>
      <c r="X1982" s="222">
        <f>X1980-X1981</f>
        <v>12.775959472804971</v>
      </c>
      <c r="Y1982" s="181"/>
      <c r="Z1982" s="222">
        <f t="shared" ref="Z1982" si="3563">Z1980-Z1981</f>
        <v>50</v>
      </c>
      <c r="AA1982" s="260">
        <f t="shared" ref="AA1982" si="3564">AA1980-AA1981</f>
        <v>-10.793891663022805</v>
      </c>
      <c r="AB1982" s="264"/>
      <c r="AC1982" s="92"/>
      <c r="AD1982" s="92"/>
      <c r="AE1982" s="92"/>
      <c r="AF1982" s="92"/>
      <c r="AG1982" s="92"/>
      <c r="AH1982" s="92"/>
      <c r="AI1982" s="92"/>
      <c r="AJ1982" s="92"/>
      <c r="AK1982" s="92"/>
      <c r="AL1982" s="92"/>
      <c r="AM1982" s="92"/>
      <c r="AN1982" s="92"/>
      <c r="AO1982" s="92"/>
      <c r="AP1982" s="92"/>
    </row>
    <row r="1983" spans="1:42" s="5" customFormat="1">
      <c r="A1983" s="1"/>
      <c r="B1983" s="1"/>
      <c r="C1983" s="1"/>
      <c r="D1983" s="223"/>
      <c r="E1983" s="223" t="s">
        <v>302</v>
      </c>
      <c r="F1983" s="223" t="str">
        <f t="shared" si="3460"/>
        <v>ЭлектроФор</v>
      </c>
      <c r="G1983" s="223" t="s">
        <v>261</v>
      </c>
      <c r="H1983" s="354"/>
      <c r="I1983" s="355">
        <f>SUMIFS(операции!$Z:$Z,операции!$X:$X,"&gt;="&amp;I$8,операции!$X:$X,"&lt;="&amp;I$9,операции!$AB:$AB,"",операции!$O:$O,$F1940)</f>
        <v>10834</v>
      </c>
      <c r="J1983" s="341">
        <f>I1983-K1983-L1983</f>
        <v>0</v>
      </c>
      <c r="K1983" s="355">
        <f>SUMIFS(операции!$Z:$Z,операции!$X:$X,"&gt;="&amp;I$8,операции!$X:$X,"&lt;="&amp;I$9,операции!$AB:$AB,"",операции!$L:$L,K$9,операции!$O:$O,$F1940)</f>
        <v>112</v>
      </c>
      <c r="L1983" s="356">
        <f>SUMIFS(операции!$Z:$Z,операции!$X:$X,"&gt;="&amp;I$8,операции!$X:$X,"&lt;="&amp;I$9,операции!$AB:$AB,"",операции!$L:$L,L$9,операции!$O:$O,$F1940)</f>
        <v>10722</v>
      </c>
      <c r="M1983" s="283"/>
      <c r="N1983" s="224">
        <f>SUMIFS(операции!$Z:$Z,операции!$X:$X,"&gt;="&amp;N$8,операции!$X:$X,"&lt;="&amp;N$9,операции!$AB:$AB,"",операции!$O:$O,$F1940)</f>
        <v>0</v>
      </c>
      <c r="O1983" s="216">
        <f>N1983-P1983-Q1983</f>
        <v>0</v>
      </c>
      <c r="P1983" s="224">
        <f>SUMIFS(операции!$Z:$Z,операции!$X:$X,"&gt;="&amp;N$8,операции!$X:$X,"&lt;="&amp;N$9,операции!$AB:$AB,"",операции!$L:$L,P$9,операции!$O:$O,$F1940)</f>
        <v>0</v>
      </c>
      <c r="Q1983" s="258">
        <f>SUMIFS(операции!$Z:$Z,операции!$X:$X,"&gt;="&amp;N$8,операции!$X:$X,"&lt;="&amp;N$9,операции!$AB:$AB,"",операции!$L:$L,Q$9,операции!$O:$O,$F1940)</f>
        <v>0</v>
      </c>
      <c r="R1983" s="259"/>
      <c r="S1983" s="224">
        <f>SUMIFS(операции!$Z:$Z,операции!$X:$X,"&gt;="&amp;S$8,операции!$X:$X,"&lt;="&amp;S$9,операции!$AB:$AB,"",операции!$O:$O,$F1940)</f>
        <v>112</v>
      </c>
      <c r="T1983" s="216">
        <f>S1983-U1983-V1983</f>
        <v>0</v>
      </c>
      <c r="U1983" s="224">
        <f>SUMIFS(операции!$Z:$Z,операции!$X:$X,"&gt;="&amp;S$8,операции!$X:$X,"&lt;="&amp;S$9,операции!$AB:$AB,"",операции!$L:$L,U$9,операции!$O:$O,$F1940)</f>
        <v>112</v>
      </c>
      <c r="V1983" s="258">
        <f>SUMIFS(операции!$Z:$Z,операции!$X:$X,"&gt;="&amp;S$8,операции!$X:$X,"&lt;="&amp;S$9,операции!$AB:$AB,"",операции!$L:$L,V$9,операции!$O:$O,$F1940)</f>
        <v>0</v>
      </c>
      <c r="W1983" s="259"/>
      <c r="X1983" s="224">
        <f>SUMIFS(операции!$Z:$Z,операции!$X:$X,"&gt;="&amp;X$8,операции!$X:$X,"&lt;="&amp;X$9,операции!$AB:$AB,"",операции!$O:$O,$F1940)</f>
        <v>10722</v>
      </c>
      <c r="Y1983" s="216">
        <f>X1983-Z1983-AA1983</f>
        <v>0</v>
      </c>
      <c r="Z1983" s="224">
        <f>SUMIFS(операции!$Z:$Z,операции!$X:$X,"&gt;="&amp;X$8,операции!$X:$X,"&lt;="&amp;X$9,операции!$AB:$AB,"",операции!$L:$L,Z$9,операции!$O:$O,$F1940)</f>
        <v>0</v>
      </c>
      <c r="AA1983" s="258">
        <f>SUMIFS(операции!$Z:$Z,операции!$X:$X,"&gt;="&amp;X$8,операции!$X:$X,"&lt;="&amp;X$9,операции!$AB:$AB,"",операции!$L:$L,AA$9,операции!$O:$O,$F1940)</f>
        <v>10722</v>
      </c>
      <c r="AB1983" s="266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</row>
    <row r="1984" spans="1:42" s="192" customFormat="1" ht="11.25">
      <c r="A1984" s="37"/>
      <c r="B1984" s="37"/>
      <c r="C1984" s="37"/>
      <c r="D1984" s="191"/>
      <c r="E1984" s="191" t="s">
        <v>303</v>
      </c>
      <c r="F1984" s="191" t="str">
        <f t="shared" si="3460"/>
        <v>ЭлектроФор</v>
      </c>
      <c r="G1984" s="191" t="s">
        <v>262</v>
      </c>
      <c r="H1984" s="315"/>
      <c r="I1984" s="316">
        <f>IF(I1983=0,0,SUMIFS(операции!$AG:$AG,операции!$X:$X,"&gt;="&amp;I$8,операции!$X:$X,"&lt;="&amp;I$9,операции!$AB:$AB,"",операции!$O:$O,$F1940)/I1983)</f>
        <v>42341.08999446188</v>
      </c>
      <c r="J1984" s="317"/>
      <c r="K1984" s="316">
        <f>IF(K1983=0,0,SUMIFS(операции!$AG:$AG,операции!$X:$X,"&gt;="&amp;I$8,операции!$X:$X,"&lt;="&amp;I$9,операции!$AB:$AB,"",операции!$L:$L,K$9,операции!$O:$O,$F1940)/K1983)</f>
        <v>42332</v>
      </c>
      <c r="L1984" s="318">
        <f>IF(L1983=0,0,SUMIFS(операции!$AG:$AG,операции!$X:$X,"&gt;="&amp;I$8,операции!$X:$X,"&lt;="&amp;I$9,операции!$AB:$AB,"",операции!$L:$L,L$9,операции!$O:$O,$F1940)/L1983)</f>
        <v>42341.184946838279</v>
      </c>
      <c r="M1984" s="274"/>
      <c r="N1984" s="193">
        <f>IF(N1983=0,0,SUMIFS(операции!$AG:$AG,операции!$X:$X,"&gt;="&amp;N$8,операции!$X:$X,"&lt;="&amp;N$9,операции!$AB:$AB,"",операции!$O:$O,$F1940)/N1983)</f>
        <v>0</v>
      </c>
      <c r="O1984" s="196"/>
      <c r="P1984" s="193">
        <f>IF(P1983=0,0,SUMIFS(операции!$AG:$AG,операции!$X:$X,"&gt;="&amp;N$8,операции!$X:$X,"&lt;="&amp;N$9,операции!$AB:$AB,"",операции!$L:$L,P$9,операции!$O:$O,$F1940)/P1983)</f>
        <v>0</v>
      </c>
      <c r="Q1984" s="237">
        <f>IF(Q1983=0,0,SUMIFS(операции!$AG:$AG,операции!$X:$X,"&gt;="&amp;N$8,операции!$X:$X,"&lt;="&amp;N$9,операции!$AB:$AB,"",операции!$L:$L,Q$9,операции!$O:$O,$F1940)/Q1983)</f>
        <v>0</v>
      </c>
      <c r="R1984" s="238"/>
      <c r="S1984" s="193">
        <f>IF(S1983=0,0,SUMIFS(операции!$AG:$AG,операции!$X:$X,"&gt;="&amp;S$8,операции!$X:$X,"&lt;="&amp;S$9,операции!$AB:$AB,"",операции!$O:$O,$F1940)/S1983)</f>
        <v>42332</v>
      </c>
      <c r="T1984" s="196"/>
      <c r="U1984" s="193">
        <f>IF(U1983=0,0,SUMIFS(операции!$AG:$AG,операции!$X:$X,"&gt;="&amp;S$8,операции!$X:$X,"&lt;="&amp;S$9,операции!$AB:$AB,"",операции!$L:$L,U$9,операции!$O:$O,$F1940)/U1983)</f>
        <v>42332</v>
      </c>
      <c r="V1984" s="237">
        <f>IF(V1983=0,0,SUMIFS(операции!$AG:$AG,операции!$X:$X,"&gt;="&amp;S$8,операции!$X:$X,"&lt;="&amp;S$9,операции!$AB:$AB,"",операции!$L:$L,V$9,операции!$O:$O,$F1940)/V1983)</f>
        <v>0</v>
      </c>
      <c r="W1984" s="238"/>
      <c r="X1984" s="193">
        <f>IF(X1983=0,0,SUMIFS(операции!$AG:$AG,операции!$X:$X,"&gt;="&amp;X$8,операции!$X:$X,"&lt;="&amp;X$9,операции!$AB:$AB,"",операции!$O:$O,$F1940)/X1983)</f>
        <v>42341.184946838279</v>
      </c>
      <c r="Y1984" s="196"/>
      <c r="Z1984" s="193">
        <f>IF(Z1983=0,0,SUMIFS(операции!$AG:$AG,операции!$X:$X,"&gt;="&amp;X$8,операции!$X:$X,"&lt;="&amp;X$9,операции!$AB:$AB,"",операции!$L:$L,Z$9,операции!$O:$O,$F1940)/Z1983)</f>
        <v>0</v>
      </c>
      <c r="AA1984" s="237">
        <f>IF(AA1983=0,0,SUMIFS(операции!$AG:$AG,операции!$X:$X,"&gt;="&amp;X$8,операции!$X:$X,"&lt;="&amp;X$9,операции!$AB:$AB,"",операции!$L:$L,AA$9,операции!$O:$O,$F1940)/AA1983)</f>
        <v>42341.184946838279</v>
      </c>
      <c r="AB1984" s="265"/>
      <c r="AC1984" s="37"/>
      <c r="AD1984" s="37"/>
      <c r="AE1984" s="37"/>
      <c r="AF1984" s="37"/>
      <c r="AG1984" s="37"/>
      <c r="AH1984" s="37"/>
      <c r="AI1984" s="37"/>
      <c r="AJ1984" s="37"/>
      <c r="AK1984" s="37"/>
      <c r="AL1984" s="37"/>
      <c r="AM1984" s="37"/>
      <c r="AN1984" s="37"/>
      <c r="AO1984" s="37"/>
      <c r="AP1984" s="37"/>
    </row>
    <row r="1985" spans="1:42" s="5" customFormat="1">
      <c r="A1985" s="1"/>
      <c r="B1985" s="1"/>
      <c r="C1985" s="1"/>
      <c r="D1985" s="168"/>
      <c r="E1985" s="168" t="s">
        <v>304</v>
      </c>
      <c r="F1985" s="168" t="str">
        <f t="shared" si="3460"/>
        <v>ЭлектроФор</v>
      </c>
      <c r="G1985" s="168" t="s">
        <v>261</v>
      </c>
      <c r="H1985" s="326"/>
      <c r="I1985" s="327">
        <f>SUMIFS(операции!$V:$V,операции!$X:$X,"&gt;="&amp;I$8,операции!$X:$X,"&lt;="&amp;I$9,операции!$AB:$AB,"",операции!$O:$O,$F1940)</f>
        <v>10435.549999999999</v>
      </c>
      <c r="J1985" s="313">
        <f>I1985-K1985-L1985</f>
        <v>0</v>
      </c>
      <c r="K1985" s="327">
        <f>SUMIFS(операции!$V:$V,операции!$X:$X,"&gt;="&amp;I$8,операции!$X:$X,"&lt;="&amp;I$9,операции!$AB:$AB,"",операции!$L:$L,K$9,операции!$O:$O,$F1940)</f>
        <v>111.55</v>
      </c>
      <c r="L1985" s="328">
        <f>SUMIFS(операции!$V:$V,операции!$X:$X,"&gt;="&amp;I$8,операции!$X:$X,"&lt;="&amp;I$9,операции!$AB:$AB,"",операции!$L:$L,L$9,операции!$O:$O,$F1940)</f>
        <v>10324</v>
      </c>
      <c r="M1985" s="277"/>
      <c r="N1985" s="169">
        <f>SUMIFS(операции!$V:$V,операции!$X:$X,"&gt;="&amp;N$8,операции!$X:$X,"&lt;="&amp;N$9,операции!$AB:$AB,"",операции!$O:$O,$F1940)</f>
        <v>0</v>
      </c>
      <c r="O1985" s="170">
        <f>N1985-P1985-Q1985</f>
        <v>0</v>
      </c>
      <c r="P1985" s="169">
        <f>SUMIFS(операции!$V:$V,операции!$X:$X,"&gt;="&amp;N$8,операции!$X:$X,"&lt;="&amp;N$9,операции!$AB:$AB,"",операции!$L:$L,P$9,операции!$O:$O,$F1940)</f>
        <v>0</v>
      </c>
      <c r="Q1985" s="243">
        <f>SUMIFS(операции!$V:$V,операции!$X:$X,"&gt;="&amp;N$8,операции!$X:$X,"&lt;="&amp;N$9,операции!$AB:$AB,"",операции!$L:$L,Q$9,операции!$O:$O,$F1940)</f>
        <v>0</v>
      </c>
      <c r="R1985" s="244"/>
      <c r="S1985" s="169">
        <f>SUMIFS(операции!$V:$V,операции!$X:$X,"&gt;="&amp;S$8,операции!$X:$X,"&lt;="&amp;S$9,операции!$AB:$AB,"",операции!$O:$O,$F1940)</f>
        <v>111.55</v>
      </c>
      <c r="T1985" s="170">
        <f>S1985-U1985-V1985</f>
        <v>0</v>
      </c>
      <c r="U1985" s="169">
        <f>SUMIFS(операции!$V:$V,операции!$X:$X,"&gt;="&amp;S$8,операции!$X:$X,"&lt;="&amp;S$9,операции!$AB:$AB,"",операции!$L:$L,U$9,операции!$O:$O,$F1940)</f>
        <v>111.55</v>
      </c>
      <c r="V1985" s="243">
        <f>SUMIFS(операции!$V:$V,операции!$X:$X,"&gt;="&amp;S$8,операции!$X:$X,"&lt;="&amp;S$9,операции!$AB:$AB,"",операции!$L:$L,V$9,операции!$O:$O,$F1940)</f>
        <v>0</v>
      </c>
      <c r="W1985" s="244"/>
      <c r="X1985" s="169">
        <f>SUMIFS(операции!$V:$V,операции!$X:$X,"&gt;="&amp;X$8,операции!$X:$X,"&lt;="&amp;X$9,операции!$AB:$AB,"",операции!$O:$O,$F1940)</f>
        <v>10324</v>
      </c>
      <c r="Y1985" s="170">
        <f>X1985-Z1985-AA1985</f>
        <v>0</v>
      </c>
      <c r="Z1985" s="169">
        <f>SUMIFS(операции!$V:$V,операции!$X:$X,"&gt;="&amp;X$8,операции!$X:$X,"&lt;="&amp;X$9,операции!$AB:$AB,"",операции!$L:$L,Z$9,операции!$O:$O,$F1940)</f>
        <v>0</v>
      </c>
      <c r="AA1985" s="243">
        <f>SUMIFS(операции!$V:$V,операции!$X:$X,"&gt;="&amp;X$8,операции!$X:$X,"&lt;="&amp;X$9,операции!$AB:$AB,"",операции!$L:$L,AA$9,операции!$O:$O,$F1940)</f>
        <v>10324</v>
      </c>
      <c r="AB1985" s="266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</row>
    <row r="1986" spans="1:42" s="192" customFormat="1" ht="11.25">
      <c r="A1986" s="37"/>
      <c r="B1986" s="37"/>
      <c r="C1986" s="37"/>
      <c r="D1986" s="191"/>
      <c r="E1986" s="191" t="s">
        <v>305</v>
      </c>
      <c r="F1986" s="191" t="str">
        <f t="shared" si="3460"/>
        <v>ЭлектроФор</v>
      </c>
      <c r="G1986" s="191" t="s">
        <v>262</v>
      </c>
      <c r="H1986" s="315"/>
      <c r="I1986" s="316">
        <f>IF(I1985=0,0,SUMIFS(операции!$AF:$AF,операции!$X:$X,"&gt;="&amp;I$8,операции!$X:$X,"&lt;="&amp;I$9,операции!$AB:$AB,"",операции!$O:$O,$F1940)/I1985)</f>
        <v>42335.501396668122</v>
      </c>
      <c r="J1986" s="317"/>
      <c r="K1986" s="316">
        <f>IF(K1985=0,0,SUMIFS(операции!$AF:$AF,операции!$X:$X,"&gt;="&amp;I$8,операции!$X:$X,"&lt;="&amp;I$9,операции!$AB:$AB,"",операции!$L:$L,K$9,операции!$O:$O,$F1940)/K1985)</f>
        <v>42232</v>
      </c>
      <c r="L1986" s="318">
        <f>IF(L1985=0,0,SUMIFS(операции!$AF:$AF,операции!$X:$X,"&gt;="&amp;I$8,операции!$X:$X,"&lt;="&amp;I$9,операции!$AB:$AB,"",операции!$L:$L,L$9,операции!$O:$O,$F1940)/L1985)</f>
        <v>42336.619721038354</v>
      </c>
      <c r="M1986" s="274"/>
      <c r="N1986" s="193">
        <f>IF(N1985=0,0,SUMIFS(операции!$AF:$AF,операции!$X:$X,"&gt;="&amp;N$8,операции!$X:$X,"&lt;="&amp;N$9,операции!$AB:$AB,"",операции!$O:$O,$F1940)/N1985)</f>
        <v>0</v>
      </c>
      <c r="O1986" s="196"/>
      <c r="P1986" s="193">
        <f>IF(P1985=0,0,SUMIFS(операции!$AF:$AF,операции!$X:$X,"&gt;="&amp;N$8,операции!$X:$X,"&lt;="&amp;N$9,операции!$AB:$AB,"",операции!$L:$L,P$9,операции!$O:$O,$F1940)/P1985)</f>
        <v>0</v>
      </c>
      <c r="Q1986" s="237">
        <f>IF(Q1985=0,0,SUMIFS(операции!$AF:$AF,операции!$X:$X,"&gt;="&amp;N$8,операции!$X:$X,"&lt;="&amp;N$9,операции!$AB:$AB,"",операции!$L:$L,Q$9,операции!$O:$O,$F1940)/Q1985)</f>
        <v>0</v>
      </c>
      <c r="R1986" s="238"/>
      <c r="S1986" s="193">
        <f>IF(S1985=0,0,SUMIFS(операции!$AF:$AF,операции!$X:$X,"&gt;="&amp;S$8,операции!$X:$X,"&lt;="&amp;S$9,операции!$AB:$AB,"",операции!$O:$O,$F1940)/S1985)</f>
        <v>42232</v>
      </c>
      <c r="T1986" s="196"/>
      <c r="U1986" s="193">
        <f>IF(U1985=0,0,SUMIFS(операции!$AF:$AF,операции!$X:$X,"&gt;="&amp;S$8,операции!$X:$X,"&lt;="&amp;S$9,операции!$AB:$AB,"",операции!$L:$L,U$9,операции!$O:$O,$F1940)/U1985)</f>
        <v>42232</v>
      </c>
      <c r="V1986" s="237">
        <f>IF(V1985=0,0,SUMIFS(операции!$AF:$AF,операции!$X:$X,"&gt;="&amp;S$8,операции!$X:$X,"&lt;="&amp;S$9,операции!$AB:$AB,"",операции!$L:$L,V$9,операции!$O:$O,$F1940)/V1985)</f>
        <v>0</v>
      </c>
      <c r="W1986" s="238"/>
      <c r="X1986" s="193">
        <f>IF(X1985=0,0,SUMIFS(операции!$AF:$AF,операции!$X:$X,"&gt;="&amp;X$8,операции!$X:$X,"&lt;="&amp;X$9,операции!$AB:$AB,"",операции!$O:$O,$F1940)/X1985)</f>
        <v>42336.619721038354</v>
      </c>
      <c r="Y1986" s="196"/>
      <c r="Z1986" s="193">
        <f>IF(Z1985=0,0,SUMIFS(операции!$AF:$AF,операции!$X:$X,"&gt;="&amp;X$8,операции!$X:$X,"&lt;="&amp;X$9,операции!$AB:$AB,"",операции!$L:$L,Z$9,операции!$O:$O,$F1940)/Z1985)</f>
        <v>0</v>
      </c>
      <c r="AA1986" s="237">
        <f>IF(AA1985=0,0,SUMIFS(операции!$AF:$AF,операции!$X:$X,"&gt;="&amp;X$8,операции!$X:$X,"&lt;="&amp;X$9,операции!$AB:$AB,"",операции!$L:$L,AA$9,операции!$O:$O,$F1940)/AA1985)</f>
        <v>42336.619721038354</v>
      </c>
      <c r="AB1986" s="265"/>
      <c r="AC1986" s="37"/>
      <c r="AD1986" s="37"/>
      <c r="AE1986" s="37"/>
      <c r="AF1986" s="37"/>
      <c r="AG1986" s="37"/>
      <c r="AH1986" s="37"/>
      <c r="AI1986" s="37"/>
      <c r="AJ1986" s="37"/>
      <c r="AK1986" s="37"/>
      <c r="AL1986" s="37"/>
      <c r="AM1986" s="37"/>
      <c r="AN1986" s="37"/>
      <c r="AO1986" s="37"/>
      <c r="AP1986" s="37"/>
    </row>
    <row r="1987" spans="1:42" s="192" customFormat="1" ht="11.25">
      <c r="A1987" s="37"/>
      <c r="B1987" s="37"/>
      <c r="C1987" s="37"/>
      <c r="D1987" s="191"/>
      <c r="E1987" s="191" t="s">
        <v>307</v>
      </c>
      <c r="F1987" s="191" t="str">
        <f t="shared" si="3460"/>
        <v>ЭлектроФор</v>
      </c>
      <c r="G1987" s="191" t="s">
        <v>262</v>
      </c>
      <c r="H1987" s="315"/>
      <c r="I1987" s="316">
        <f>I$9</f>
        <v>42369</v>
      </c>
      <c r="J1987" s="317"/>
      <c r="K1987" s="316">
        <f>I$9</f>
        <v>42369</v>
      </c>
      <c r="L1987" s="318">
        <f>I$9</f>
        <v>42369</v>
      </c>
      <c r="M1987" s="274"/>
      <c r="N1987" s="193">
        <f>N$9</f>
        <v>42308</v>
      </c>
      <c r="O1987" s="196"/>
      <c r="P1987" s="193">
        <f>N$9</f>
        <v>42308</v>
      </c>
      <c r="Q1987" s="237">
        <f>N$9</f>
        <v>42308</v>
      </c>
      <c r="R1987" s="238"/>
      <c r="S1987" s="193">
        <f>S$9</f>
        <v>42338</v>
      </c>
      <c r="T1987" s="196"/>
      <c r="U1987" s="193">
        <f>S$9</f>
        <v>42338</v>
      </c>
      <c r="V1987" s="237">
        <f>S$9</f>
        <v>42338</v>
      </c>
      <c r="W1987" s="238"/>
      <c r="X1987" s="193">
        <f>X$9</f>
        <v>42369</v>
      </c>
      <c r="Y1987" s="196"/>
      <c r="Z1987" s="193">
        <f>X$9</f>
        <v>42369</v>
      </c>
      <c r="AA1987" s="237">
        <f>X$9</f>
        <v>42369</v>
      </c>
      <c r="AB1987" s="265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37"/>
    </row>
    <row r="1988" spans="1:42" s="5" customFormat="1">
      <c r="A1988" s="1"/>
      <c r="B1988" s="1"/>
      <c r="C1988" s="1"/>
      <c r="D1988" s="168"/>
      <c r="E1988" s="168" t="s">
        <v>380</v>
      </c>
      <c r="F1988" s="168" t="str">
        <f t="shared" si="3460"/>
        <v>ЭлектроФор</v>
      </c>
      <c r="G1988" s="168" t="s">
        <v>261</v>
      </c>
      <c r="H1988" s="326"/>
      <c r="I1988" s="327">
        <f>I1983-I1985</f>
        <v>398.45000000000073</v>
      </c>
      <c r="J1988" s="313">
        <f>I1988-K1988-L1988</f>
        <v>7.3896444519050419E-13</v>
      </c>
      <c r="K1988" s="327">
        <f t="shared" ref="K1988:L1988" si="3565">K1983-K1985</f>
        <v>0.45000000000000284</v>
      </c>
      <c r="L1988" s="328">
        <f t="shared" si="3565"/>
        <v>398</v>
      </c>
      <c r="M1988" s="277"/>
      <c r="N1988" s="169">
        <f>N1983-N1985</f>
        <v>0</v>
      </c>
      <c r="O1988" s="170">
        <f>N1988-P1988-Q1988</f>
        <v>0</v>
      </c>
      <c r="P1988" s="169">
        <f t="shared" ref="P1988:Q1988" si="3566">P1983-P1985</f>
        <v>0</v>
      </c>
      <c r="Q1988" s="243">
        <f t="shared" si="3566"/>
        <v>0</v>
      </c>
      <c r="R1988" s="244"/>
      <c r="S1988" s="169">
        <f>S1983-S1985</f>
        <v>0.45000000000000284</v>
      </c>
      <c r="T1988" s="170">
        <f>S1988-U1988-V1988</f>
        <v>0</v>
      </c>
      <c r="U1988" s="169">
        <f t="shared" ref="U1988:V1988" si="3567">U1983-U1985</f>
        <v>0.45000000000000284</v>
      </c>
      <c r="V1988" s="243">
        <f t="shared" si="3567"/>
        <v>0</v>
      </c>
      <c r="W1988" s="244"/>
      <c r="X1988" s="169">
        <f>X1983-X1985</f>
        <v>398</v>
      </c>
      <c r="Y1988" s="170">
        <f>X1988-Z1988-AA1988</f>
        <v>0</v>
      </c>
      <c r="Z1988" s="169">
        <f t="shared" ref="Z1988:AA1988" si="3568">Z1983-Z1985</f>
        <v>0</v>
      </c>
      <c r="AA1988" s="243">
        <f t="shared" si="3568"/>
        <v>398</v>
      </c>
      <c r="AB1988" s="266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</row>
    <row r="1989" spans="1:42" s="211" customFormat="1">
      <c r="A1989" s="210"/>
      <c r="B1989" s="210"/>
      <c r="C1989" s="210"/>
      <c r="D1989" s="218"/>
      <c r="E1989" s="218" t="s">
        <v>381</v>
      </c>
      <c r="F1989" s="218" t="str">
        <f t="shared" si="3460"/>
        <v>ЭлектроФор</v>
      </c>
      <c r="G1989" s="218" t="s">
        <v>218</v>
      </c>
      <c r="H1989" s="343"/>
      <c r="I1989" s="344">
        <f>IF(I1983=0,0,(I1988/I1983))</f>
        <v>3.6777736754661318E-2</v>
      </c>
      <c r="J1989" s="345"/>
      <c r="K1989" s="344">
        <f t="shared" ref="K1989" si="3569">IF(K1983=0,0,(K1988/K1983))</f>
        <v>4.0178571428571685E-3</v>
      </c>
      <c r="L1989" s="346">
        <f t="shared" ref="L1989" si="3570">IF(L1983=0,0,(L1988/L1983))</f>
        <v>3.7119940309643724E-2</v>
      </c>
      <c r="M1989" s="280"/>
      <c r="N1989" s="219">
        <f>IF(N1983=0,0,(N1988/N1983))</f>
        <v>0</v>
      </c>
      <c r="O1989" s="220"/>
      <c r="P1989" s="219">
        <f t="shared" ref="P1989" si="3571">IF(P1983=0,0,(P1988/P1983))</f>
        <v>0</v>
      </c>
      <c r="Q1989" s="252">
        <f t="shared" ref="Q1989" si="3572">IF(Q1983=0,0,(Q1988/Q1983))</f>
        <v>0</v>
      </c>
      <c r="R1989" s="253"/>
      <c r="S1989" s="219">
        <f>IF(S1983=0,0,(S1988/S1983))</f>
        <v>4.0178571428571685E-3</v>
      </c>
      <c r="T1989" s="220"/>
      <c r="U1989" s="219">
        <f t="shared" ref="U1989" si="3573">IF(U1983=0,0,(U1988/U1983))</f>
        <v>4.0178571428571685E-3</v>
      </c>
      <c r="V1989" s="252">
        <f t="shared" ref="V1989" si="3574">IF(V1983=0,0,(V1988/V1983))</f>
        <v>0</v>
      </c>
      <c r="W1989" s="253"/>
      <c r="X1989" s="219">
        <f>IF(X1983=0,0,(X1988/X1983))</f>
        <v>3.7119940309643724E-2</v>
      </c>
      <c r="Y1989" s="220"/>
      <c r="Z1989" s="219">
        <f t="shared" ref="Z1989" si="3575">IF(Z1983=0,0,(Z1988/Z1983))</f>
        <v>0</v>
      </c>
      <c r="AA1989" s="252">
        <f t="shared" ref="AA1989" si="3576">IF(AA1983=0,0,(AA1988/AA1983))</f>
        <v>3.7119940309643724E-2</v>
      </c>
      <c r="AB1989" s="267"/>
      <c r="AC1989" s="210"/>
      <c r="AD1989" s="210"/>
      <c r="AE1989" s="210"/>
      <c r="AF1989" s="210"/>
      <c r="AG1989" s="210"/>
      <c r="AH1989" s="210"/>
      <c r="AI1989" s="210"/>
      <c r="AJ1989" s="210"/>
      <c r="AK1989" s="210"/>
      <c r="AL1989" s="210"/>
      <c r="AM1989" s="210"/>
      <c r="AN1989" s="210"/>
      <c r="AO1989" s="210"/>
      <c r="AP1989" s="210"/>
    </row>
    <row r="1990" spans="1:42" s="5" customFormat="1">
      <c r="A1990" s="1"/>
      <c r="B1990" s="1"/>
      <c r="C1990" s="1"/>
      <c r="D1990" s="227"/>
      <c r="E1990" s="227" t="s">
        <v>306</v>
      </c>
      <c r="F1990" s="227" t="str">
        <f t="shared" si="3460"/>
        <v>ЭлектроФор</v>
      </c>
      <c r="G1990" s="227" t="s">
        <v>219</v>
      </c>
      <c r="H1990" s="347"/>
      <c r="I1990" s="348">
        <f>I1984-I1986</f>
        <v>5.5885977937577991</v>
      </c>
      <c r="J1990" s="321"/>
      <c r="K1990" s="348">
        <f t="shared" ref="K1990:L1990" si="3577">K1984-K1986</f>
        <v>100</v>
      </c>
      <c r="L1990" s="349">
        <f t="shared" si="3577"/>
        <v>4.5652257999245194</v>
      </c>
      <c r="M1990" s="281"/>
      <c r="N1990" s="228">
        <f>N1984-N1986</f>
        <v>0</v>
      </c>
      <c r="O1990" s="173"/>
      <c r="P1990" s="228">
        <f t="shared" ref="P1990:Q1990" si="3578">P1984-P1986</f>
        <v>0</v>
      </c>
      <c r="Q1990" s="254">
        <f t="shared" si="3578"/>
        <v>0</v>
      </c>
      <c r="R1990" s="255"/>
      <c r="S1990" s="228">
        <f>S1984-S1986</f>
        <v>100</v>
      </c>
      <c r="T1990" s="173"/>
      <c r="U1990" s="228">
        <f t="shared" ref="U1990:V1990" si="3579">U1984-U1986</f>
        <v>100</v>
      </c>
      <c r="V1990" s="254">
        <f t="shared" si="3579"/>
        <v>0</v>
      </c>
      <c r="W1990" s="255"/>
      <c r="X1990" s="228">
        <f>X1984-X1986</f>
        <v>4.5652257999245194</v>
      </c>
      <c r="Y1990" s="173"/>
      <c r="Z1990" s="228">
        <f t="shared" ref="Z1990:AA1990" si="3580">Z1984-Z1986</f>
        <v>0</v>
      </c>
      <c r="AA1990" s="254">
        <f t="shared" si="3580"/>
        <v>4.5652257999245194</v>
      </c>
      <c r="AB1990" s="266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</row>
    <row r="1991" spans="1:42" s="5" customFormat="1">
      <c r="A1991" s="1"/>
      <c r="B1991" s="1"/>
      <c r="C1991" s="1"/>
      <c r="D1991" s="227"/>
      <c r="E1991" s="227" t="s">
        <v>382</v>
      </c>
      <c r="F1991" s="227" t="str">
        <f t="shared" si="3460"/>
        <v>ЭлектроФор</v>
      </c>
      <c r="G1991" s="227" t="s">
        <v>219</v>
      </c>
      <c r="H1991" s="347"/>
      <c r="I1991" s="348">
        <f>I1987-I1986</f>
        <v>33.498603331878257</v>
      </c>
      <c r="J1991" s="321"/>
      <c r="K1991" s="348">
        <f t="shared" ref="K1991:L1991" si="3581">K1987-K1986</f>
        <v>137</v>
      </c>
      <c r="L1991" s="349">
        <f t="shared" si="3581"/>
        <v>32.380278961645672</v>
      </c>
      <c r="M1991" s="281"/>
      <c r="N1991" s="228">
        <f>N1987-N1986</f>
        <v>42308</v>
      </c>
      <c r="O1991" s="173"/>
      <c r="P1991" s="228">
        <f t="shared" ref="P1991:Q1991" si="3582">P1987-P1986</f>
        <v>42308</v>
      </c>
      <c r="Q1991" s="254">
        <f t="shared" si="3582"/>
        <v>42308</v>
      </c>
      <c r="R1991" s="255"/>
      <c r="S1991" s="228">
        <f>S1987-S1986</f>
        <v>106</v>
      </c>
      <c r="T1991" s="173"/>
      <c r="U1991" s="228">
        <f t="shared" ref="U1991:V1991" si="3583">U1987-U1986</f>
        <v>106</v>
      </c>
      <c r="V1991" s="254">
        <f t="shared" si="3583"/>
        <v>42338</v>
      </c>
      <c r="W1991" s="255"/>
      <c r="X1991" s="228">
        <f>X1987-X1986</f>
        <v>32.380278961645672</v>
      </c>
      <c r="Y1991" s="173"/>
      <c r="Z1991" s="228">
        <f t="shared" ref="Z1991:AA1991" si="3584">Z1987-Z1986</f>
        <v>42369</v>
      </c>
      <c r="AA1991" s="254">
        <f t="shared" si="3584"/>
        <v>32.380278961645672</v>
      </c>
      <c r="AB1991" s="266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</row>
    <row r="1992" spans="1:42" s="5" customFormat="1">
      <c r="A1992" s="1"/>
      <c r="B1992" s="1"/>
      <c r="C1992" s="1"/>
      <c r="D1992" s="225"/>
      <c r="E1992" s="225" t="s">
        <v>383</v>
      </c>
      <c r="F1992" s="225" t="str">
        <f t="shared" si="3460"/>
        <v>ЭлектроФор</v>
      </c>
      <c r="G1992" s="225" t="s">
        <v>219</v>
      </c>
      <c r="H1992" s="350"/>
      <c r="I1992" s="351">
        <f>I1990-I1991</f>
        <v>-27.910005538120458</v>
      </c>
      <c r="J1992" s="352"/>
      <c r="K1992" s="351">
        <f t="shared" ref="K1992" si="3585">K1990-K1991</f>
        <v>-37</v>
      </c>
      <c r="L1992" s="353">
        <f t="shared" ref="L1992" si="3586">L1990-L1991</f>
        <v>-27.815053161721153</v>
      </c>
      <c r="M1992" s="282"/>
      <c r="N1992" s="226">
        <f>N1990-N1991</f>
        <v>-42308</v>
      </c>
      <c r="O1992" s="181"/>
      <c r="P1992" s="226">
        <f t="shared" ref="P1992" si="3587">P1990-P1991</f>
        <v>-42308</v>
      </c>
      <c r="Q1992" s="256">
        <f t="shared" ref="Q1992" si="3588">Q1990-Q1991</f>
        <v>-42308</v>
      </c>
      <c r="R1992" s="257"/>
      <c r="S1992" s="226">
        <f>S1990-S1991</f>
        <v>-6</v>
      </c>
      <c r="T1992" s="181"/>
      <c r="U1992" s="226">
        <f t="shared" ref="U1992" si="3589">U1990-U1991</f>
        <v>-6</v>
      </c>
      <c r="V1992" s="256">
        <f t="shared" ref="V1992" si="3590">V1990-V1991</f>
        <v>-42338</v>
      </c>
      <c r="W1992" s="257"/>
      <c r="X1992" s="226">
        <f>X1990-X1991</f>
        <v>-27.815053161721153</v>
      </c>
      <c r="Y1992" s="181"/>
      <c r="Z1992" s="226">
        <f t="shared" ref="Z1992" si="3591">Z1990-Z1991</f>
        <v>-42369</v>
      </c>
      <c r="AA1992" s="256">
        <f t="shared" ref="AA1992" si="3592">AA1990-AA1991</f>
        <v>-27.815053161721153</v>
      </c>
      <c r="AB1992" s="266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</row>
    <row r="1993" spans="1:42" s="5" customFormat="1">
      <c r="A1993" s="1"/>
      <c r="B1993" s="1"/>
      <c r="C1993" s="1"/>
      <c r="D1993" s="168" t="s">
        <v>312</v>
      </c>
      <c r="E1993" s="168"/>
      <c r="F1993" s="168" t="str">
        <f t="shared" si="3460"/>
        <v>ЭлектроФор</v>
      </c>
      <c r="G1993" s="168" t="s">
        <v>261</v>
      </c>
      <c r="H1993" s="326"/>
      <c r="I1993" s="327">
        <f>SUMIFS(операции!$AC:$AC,операции!$AB:$AB,"&gt;="&amp;I$8,операции!$AB:$AB,"&lt;="&amp;I$9,операции!$O:$O,$F1940)</f>
        <v>16257.05</v>
      </c>
      <c r="J1993" s="313">
        <f>I1993-K1993-L1993</f>
        <v>0</v>
      </c>
      <c r="K1993" s="327">
        <f>SUMIFS(операции!$AC:$AC,операции!$AB:$AB,"&gt;="&amp;I$8,операции!$AB:$AB,"&lt;="&amp;I$9,операции!$L:$L,K$9,операции!$O:$O,$F1940)</f>
        <v>4117.05</v>
      </c>
      <c r="L1993" s="328">
        <f>SUMIFS(операции!$AC:$AC,операции!$AB:$AB,"&gt;="&amp;I$8,операции!$AB:$AB,"&lt;="&amp;I$9,операции!$L:$L,L$9,операции!$O:$O,$F1940)</f>
        <v>12140</v>
      </c>
      <c r="M1993" s="277"/>
      <c r="N1993" s="169">
        <f>SUMIFS(операции!$AC:$AC,операции!$AB:$AB,"&gt;="&amp;N$8,операции!$AB:$AB,"&lt;="&amp;N$9,операции!$O:$O,$F1940)</f>
        <v>4117.05</v>
      </c>
      <c r="O1993" s="170">
        <f>N1993-P1993-Q1993</f>
        <v>0</v>
      </c>
      <c r="P1993" s="169">
        <f>SUMIFS(операции!$AC:$AC,операции!$AB:$AB,"&gt;="&amp;N$8,операции!$AB:$AB,"&lt;="&amp;N$9,операции!$L:$L,P$9,операции!$O:$O,$F1940)</f>
        <v>4117.05</v>
      </c>
      <c r="Q1993" s="243">
        <f>SUMIFS(операции!$AC:$AC,операции!$AB:$AB,"&gt;="&amp;N$8,операции!$AB:$AB,"&lt;="&amp;N$9,операции!$L:$L,Q$9,операции!$O:$O,$F1940)</f>
        <v>0</v>
      </c>
      <c r="R1993" s="244"/>
      <c r="S1993" s="169">
        <f>SUMIFS(операции!$AC:$AC,операции!$AB:$AB,"&gt;="&amp;S$8,операции!$AB:$AB,"&lt;="&amp;S$9,операции!$O:$O,$F1940)</f>
        <v>0</v>
      </c>
      <c r="T1993" s="170">
        <f>S1993-U1993-V1993</f>
        <v>0</v>
      </c>
      <c r="U1993" s="169">
        <f>SUMIFS(операции!$AC:$AC,операции!$AB:$AB,"&gt;="&amp;S$8,операции!$AB:$AB,"&lt;="&amp;S$9,операции!$L:$L,U$9,операции!$O:$O,$F1940)</f>
        <v>0</v>
      </c>
      <c r="V1993" s="243">
        <f>SUMIFS(операции!$AC:$AC,операции!$AB:$AB,"&gt;="&amp;S$8,операции!$AB:$AB,"&lt;="&amp;S$9,операции!$L:$L,V$9,операции!$O:$O,$F1940)</f>
        <v>0</v>
      </c>
      <c r="W1993" s="244"/>
      <c r="X1993" s="169">
        <f>SUMIFS(операции!$AC:$AC,операции!$AB:$AB,"&gt;="&amp;X$8,операции!$AB:$AB,"&lt;="&amp;X$9,операции!$O:$O,$F1940)</f>
        <v>12140</v>
      </c>
      <c r="Y1993" s="170">
        <f>X1993-Z1993-AA1993</f>
        <v>0</v>
      </c>
      <c r="Z1993" s="169">
        <f>SUMIFS(операции!$AC:$AC,операции!$AB:$AB,"&gt;="&amp;X$8,операции!$AB:$AB,"&lt;="&amp;X$9,операции!$L:$L,Z$9,операции!$O:$O,$F1940)</f>
        <v>0</v>
      </c>
      <c r="AA1993" s="243">
        <f>SUMIFS(операции!$AC:$AC,операции!$AB:$AB,"&gt;="&amp;X$8,операции!$AB:$AB,"&lt;="&amp;X$9,операции!$L:$L,AA$9,операции!$O:$O,$F1940)</f>
        <v>12140</v>
      </c>
      <c r="AB1993" s="266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</row>
    <row r="1994" spans="1:42" s="192" customFormat="1" ht="11.25">
      <c r="A1994" s="37"/>
      <c r="B1994" s="37"/>
      <c r="C1994" s="37"/>
      <c r="D1994" s="207" t="s">
        <v>255</v>
      </c>
      <c r="E1994" s="207"/>
      <c r="F1994" s="207" t="str">
        <f t="shared" si="3460"/>
        <v>ЭлектроФор</v>
      </c>
      <c r="G1994" s="207" t="s">
        <v>262</v>
      </c>
      <c r="H1994" s="331"/>
      <c r="I1994" s="337">
        <f>IF(I1993=0,0,SUMIFS(операции!$AH:$AH,операции!$AB:$AB,"&gt;="&amp;I$8,операции!$AB:$AB,"&lt;="&amp;I$9,операции!$O:$O,$F1940)/I1993)</f>
        <v>42342.93501280983</v>
      </c>
      <c r="J1994" s="333"/>
      <c r="K1994" s="337">
        <f>IF(K1993=0,0,SUMIFS(операции!$AH:$AH,операции!$AB:$AB,"&gt;="&amp;I$8,операции!$AB:$AB,"&lt;="&amp;I$9,операции!$L:$L,K$9,операции!$O:$O,$F1940)/K1993)</f>
        <v>42293</v>
      </c>
      <c r="L1994" s="338">
        <f>IF(L1993=0,0,SUMIFS(операции!$AH:$AH,операции!$AB:$AB,"&gt;="&amp;I$8,операции!$AB:$AB,"&lt;="&amp;I$9,операции!$L:$L,L$9,операции!$O:$O,$F1940)/L1993)</f>
        <v>42359.869522240529</v>
      </c>
      <c r="M1994" s="278"/>
      <c r="N1994" s="217">
        <f>IF(N1993=0,0,SUMIFS(операции!$AH:$AH,операции!$AB:$AB,"&gt;="&amp;N$8,операции!$AB:$AB,"&lt;="&amp;N$9,операции!$O:$O,$F1940)/N1993)</f>
        <v>42293</v>
      </c>
      <c r="O1994" s="208"/>
      <c r="P1994" s="217">
        <f>IF(P1993=0,0,SUMIFS(операции!$AH:$AH,операции!$AB:$AB,"&gt;="&amp;N$8,операции!$AB:$AB,"&lt;="&amp;N$9,операции!$L:$L,P$9,операции!$O:$O,$F1940)/P1993)</f>
        <v>42293</v>
      </c>
      <c r="Q1994" s="249">
        <f>IF(Q1993=0,0,SUMIFS(операции!$AH:$AH,операции!$AB:$AB,"&gt;="&amp;N$8,операции!$AB:$AB,"&lt;="&amp;N$9,операции!$L:$L,Q$9,операции!$O:$O,$F1940)/Q1993)</f>
        <v>0</v>
      </c>
      <c r="R1994" s="247"/>
      <c r="S1994" s="217">
        <f>IF(S1993=0,0,SUMIFS(операции!$AH:$AH,операции!$AB:$AB,"&gt;="&amp;S$8,операции!$AB:$AB,"&lt;="&amp;S$9,операции!$O:$O,$F1940)/S1993)</f>
        <v>0</v>
      </c>
      <c r="T1994" s="208"/>
      <c r="U1994" s="217">
        <f>IF(U1993=0,0,SUMIFS(операции!$AH:$AH,операции!$AB:$AB,"&gt;="&amp;S$8,операции!$AB:$AB,"&lt;="&amp;S$9,операции!$L:$L,U$9,операции!$O:$O,$F1940)/U1993)</f>
        <v>0</v>
      </c>
      <c r="V1994" s="249">
        <f>IF(V1993=0,0,SUMIFS(операции!$AH:$AH,операции!$AB:$AB,"&gt;="&amp;S$8,операции!$AB:$AB,"&lt;="&amp;S$9,операции!$L:$L,V$9,операции!$O:$O,$F1940)/V1993)</f>
        <v>0</v>
      </c>
      <c r="W1994" s="247"/>
      <c r="X1994" s="217">
        <f>IF(X1993=0,0,SUMIFS(операции!$AH:$AH,операции!$AB:$AB,"&gt;="&amp;X$8,операции!$AB:$AB,"&lt;="&amp;X$9,операции!$O:$O,$F1940)/X1993)</f>
        <v>42359.869522240529</v>
      </c>
      <c r="Y1994" s="208"/>
      <c r="Z1994" s="217">
        <f>IF(Z1993=0,0,SUMIFS(операции!$AH:$AH,операции!$AB:$AB,"&gt;="&amp;X$8,операции!$AB:$AB,"&lt;="&amp;X$9,операции!$L:$L,Z$9,операции!$O:$O,$F1940)/Z1993)</f>
        <v>0</v>
      </c>
      <c r="AA1994" s="249">
        <f>IF(AA1993=0,0,SUMIFS(операции!$AH:$AH,операции!$AB:$AB,"&gt;="&amp;X$8,операции!$AB:$AB,"&lt;="&amp;X$9,операции!$L:$L,AA$9,операции!$O:$O,$F1940)/AA1993)</f>
        <v>42359.869522240529</v>
      </c>
      <c r="AB1994" s="265"/>
      <c r="AC1994" s="37"/>
      <c r="AD1994" s="37"/>
      <c r="AE1994" s="37"/>
      <c r="AF1994" s="37"/>
      <c r="AG1994" s="37"/>
      <c r="AH1994" s="37"/>
      <c r="AI1994" s="37"/>
      <c r="AJ1994" s="37"/>
      <c r="AK1994" s="37"/>
      <c r="AL1994" s="37"/>
      <c r="AM1994" s="37"/>
      <c r="AN1994" s="37"/>
      <c r="AO1994" s="37"/>
      <c r="AP1994" s="37"/>
    </row>
    <row r="1995" spans="1:42" s="111" customFormat="1" ht="11.25">
      <c r="A1995" s="108"/>
      <c r="B1995" s="108"/>
      <c r="C1995" s="209" t="s">
        <v>279</v>
      </c>
      <c r="D1995" s="109"/>
      <c r="E1995" s="109"/>
      <c r="F1995" s="109" t="str">
        <f t="shared" si="3460"/>
        <v>ЭлектроФор</v>
      </c>
      <c r="G1995" s="109"/>
      <c r="H1995" s="307"/>
      <c r="I1995" s="308">
        <f>I1996-K1996-L1996+K1995+L1995</f>
        <v>0</v>
      </c>
      <c r="J1995" s="309">
        <f>I1940+I1958-I1965-I1996</f>
        <v>0</v>
      </c>
      <c r="K1995" s="308">
        <f>K1940+K1958-K1965-K1996</f>
        <v>0</v>
      </c>
      <c r="L1995" s="336">
        <f>L1940+L1958-L1965-L1996</f>
        <v>0</v>
      </c>
      <c r="M1995" s="272"/>
      <c r="N1995" s="110">
        <f>N1996-P1996-Q1996</f>
        <v>0</v>
      </c>
      <c r="O1995" s="215">
        <f>N1940+N1958-N1965-N1996</f>
        <v>0</v>
      </c>
      <c r="P1995" s="110">
        <f>P1940+P1958-P1965-P1996</f>
        <v>0</v>
      </c>
      <c r="Q1995" s="248">
        <f>Q1940+Q1958-Q1965-Q1996</f>
        <v>0</v>
      </c>
      <c r="R1995" s="234"/>
      <c r="S1995" s="110">
        <f>S1996-U1996-V1996</f>
        <v>0</v>
      </c>
      <c r="T1995" s="215">
        <f>S1940+S1958-S1965-S1996</f>
        <v>0</v>
      </c>
      <c r="U1995" s="110">
        <f>U1940+U1958-U1965-U1996</f>
        <v>0</v>
      </c>
      <c r="V1995" s="248">
        <f>V1940+V1958-V1965-V1996</f>
        <v>0</v>
      </c>
      <c r="W1995" s="234"/>
      <c r="X1995" s="110">
        <f>X1996-Z1996-AA1996</f>
        <v>0</v>
      </c>
      <c r="Y1995" s="215">
        <f>X1940+X1958-X1965-X1996</f>
        <v>0</v>
      </c>
      <c r="Z1995" s="110">
        <f>Z1940+Z1958-Z1965-Z1996</f>
        <v>0</v>
      </c>
      <c r="AA1995" s="248">
        <f>AA1940+AA1958-AA1965-AA1996</f>
        <v>0</v>
      </c>
      <c r="AB1995" s="263"/>
      <c r="AC1995" s="108"/>
      <c r="AD1995" s="108"/>
      <c r="AE1995" s="108"/>
      <c r="AF1995" s="108"/>
      <c r="AG1995" s="108"/>
      <c r="AH1995" s="108"/>
      <c r="AI1995" s="108"/>
      <c r="AJ1995" s="108"/>
      <c r="AK1995" s="108"/>
      <c r="AL1995" s="108"/>
      <c r="AM1995" s="108"/>
      <c r="AN1995" s="108"/>
      <c r="AO1995" s="108"/>
      <c r="AP1995" s="108"/>
    </row>
    <row r="1996" spans="1:42" s="93" customFormat="1" ht="15">
      <c r="A1996" s="92"/>
      <c r="B1996" s="92"/>
      <c r="C1996" s="214"/>
      <c r="D1996" s="151" t="s">
        <v>238</v>
      </c>
      <c r="E1996" s="151"/>
      <c r="F1996" s="151" t="str">
        <f t="shared" si="3460"/>
        <v>ЭлектроФор</v>
      </c>
      <c r="G1996" s="151" t="s">
        <v>261</v>
      </c>
      <c r="H1996" s="311"/>
      <c r="I1996" s="312">
        <f>SUMIFS(операции!$V:$V,операции!$T:$T,"&lt;="&amp;I$9,операции!$X:$X,"",операции!$O:$O,$F1940)+SUMIFS(операции!$V:$V,операции!$T:$T,"&lt;="&amp;I$9,операции!$X:$X,"&gt;"&amp;I$9,операции!$O:$O,$F1940)</f>
        <v>5009.45</v>
      </c>
      <c r="J1996" s="313">
        <f>I1996-I2001-I2007</f>
        <v>0</v>
      </c>
      <c r="K1996" s="312">
        <f>SUMIFS(операции!$V:$V,операции!$T:$T,"&lt;="&amp;I$9,операции!$X:$X,"",операции!$L:$L,K$9,операции!$O:$O,$F1940)+SUMIFS(операции!$V:$V,операции!$T:$T,"&lt;="&amp;I$9,операции!$X:$X,"&gt;"&amp;I$9,операции!$L:$L,K$9,операции!$O:$O,$F1940)</f>
        <v>5009.45</v>
      </c>
      <c r="L1996" s="314">
        <f>SUMIFS(операции!$V:$V,операции!$T:$T,"&lt;="&amp;I$9,операции!$X:$X,"",операции!$L:$L,L$9,операции!$O:$O,$F1940)+SUMIFS(операции!$V:$V,операции!$T:$T,"&lt;="&amp;I$9,операции!$X:$X,"&gt;"&amp;I$9,операции!$L:$L,L$9,операции!$O:$O,$F1940)</f>
        <v>0</v>
      </c>
      <c r="M1996" s="273"/>
      <c r="N1996" s="152">
        <f>SUMIFS(операции!$V:$V,операции!$T:$T,"&lt;="&amp;N$9,операции!$X:$X,"",операции!$O:$O,$F1940)+SUMIFS(операции!$V:$V,операции!$T:$T,"&lt;="&amp;N$9,операции!$X:$X,"&gt;"&amp;N$9,операции!$O:$O,$F1940)</f>
        <v>10018.9</v>
      </c>
      <c r="O1996" s="170">
        <f>N1996-N2001-N2007</f>
        <v>0</v>
      </c>
      <c r="P1996" s="152">
        <f>SUMIFS(операции!$V:$V,операции!$T:$T,"&lt;="&amp;N$9,операции!$X:$X,"",операции!$L:$L,P$9,операции!$O:$O,$F1940)+SUMIFS(операции!$V:$V,операции!$T:$T,"&lt;="&amp;N$9,операции!$X:$X,"&gt;"&amp;N$9,операции!$L:$L,P$9,операции!$O:$O,$F1940)</f>
        <v>10018.9</v>
      </c>
      <c r="Q1996" s="235">
        <f>SUMIFS(операции!$V:$V,операции!$T:$T,"&lt;="&amp;N$9,операции!$X:$X,"",операции!$L:$L,Q$9,операции!$O:$O,$F1940)+SUMIFS(операции!$V:$V,операции!$T:$T,"&lt;="&amp;N$9,операции!$X:$X,"&gt;"&amp;N$9,операции!$L:$L,Q$9,операции!$O:$O,$F1940)</f>
        <v>0</v>
      </c>
      <c r="R1996" s="236"/>
      <c r="S1996" s="152">
        <f>SUMIFS(операции!$V:$V,операции!$T:$T,"&lt;="&amp;S$9,операции!$X:$X,"",операции!$O:$O,$F1940)+SUMIFS(операции!$V:$V,операции!$T:$T,"&lt;="&amp;S$9,операции!$X:$X,"&gt;"&amp;S$9,операции!$O:$O,$F1940)</f>
        <v>25916.5</v>
      </c>
      <c r="T1996" s="170">
        <f>S1996-S2001-S2007</f>
        <v>0</v>
      </c>
      <c r="U1996" s="152">
        <f>SUMIFS(операции!$V:$V,операции!$T:$T,"&lt;="&amp;S$9,операции!$X:$X,"",операции!$L:$L,U$9,операции!$O:$O,$F1940)+SUMIFS(операции!$V:$V,операции!$T:$T,"&lt;="&amp;S$9,операции!$X:$X,"&gt;"&amp;S$9,операции!$L:$L,U$9,операции!$O:$O,$F1940)</f>
        <v>9126.5</v>
      </c>
      <c r="V1996" s="235">
        <f>SUMIFS(операции!$V:$V,операции!$T:$T,"&lt;="&amp;S$9,операции!$X:$X,"",операции!$L:$L,V$9,операции!$O:$O,$F1940)+SUMIFS(операции!$V:$V,операции!$T:$T,"&lt;="&amp;S$9,операции!$X:$X,"&gt;"&amp;S$9,операции!$L:$L,V$9,операции!$O:$O,$F1940)</f>
        <v>16790</v>
      </c>
      <c r="W1996" s="236"/>
      <c r="X1996" s="152">
        <f>SUMIFS(операции!$V:$V,операции!$T:$T,"&lt;="&amp;X$9,операции!$X:$X,"",операции!$O:$O,$F1940)+SUMIFS(операции!$V:$V,операции!$T:$T,"&lt;="&amp;X$9,операции!$X:$X,"&gt;"&amp;X$9,операции!$O:$O,$F1940)</f>
        <v>5009.45</v>
      </c>
      <c r="Y1996" s="170">
        <f>X1996-X2001-X2007</f>
        <v>0</v>
      </c>
      <c r="Z1996" s="152">
        <f>SUMIFS(операции!$V:$V,операции!$T:$T,"&lt;="&amp;X$9,операции!$X:$X,"",операции!$L:$L,Z$9,операции!$O:$O,$F1940)+SUMIFS(операции!$V:$V,операции!$T:$T,"&lt;="&amp;X$9,операции!$X:$X,"&gt;"&amp;X$9,операции!$L:$L,Z$9,операции!$O:$O,$F1940)</f>
        <v>5009.45</v>
      </c>
      <c r="AA1996" s="235">
        <f>SUMIFS(операции!$V:$V,операции!$T:$T,"&lt;="&amp;X$9,операции!$X:$X,"",операции!$L:$L,AA$9,операции!$O:$O,$F1940)+SUMIFS(операции!$V:$V,операции!$T:$T,"&lt;="&amp;X$9,операции!$X:$X,"&gt;"&amp;X$9,операции!$L:$L,AA$9,операции!$O:$O,$F1940)</f>
        <v>0</v>
      </c>
      <c r="AB1996" s="264"/>
      <c r="AC1996" s="92"/>
      <c r="AD1996" s="92"/>
      <c r="AE1996" s="92"/>
      <c r="AF1996" s="92"/>
      <c r="AG1996" s="92"/>
      <c r="AH1996" s="92"/>
      <c r="AI1996" s="92"/>
      <c r="AJ1996" s="92"/>
      <c r="AK1996" s="92"/>
      <c r="AL1996" s="92"/>
      <c r="AM1996" s="92"/>
      <c r="AN1996" s="92"/>
      <c r="AO1996" s="92"/>
      <c r="AP1996" s="92"/>
    </row>
    <row r="1997" spans="1:42" s="192" customFormat="1" ht="11.25">
      <c r="A1997" s="37"/>
      <c r="B1997" s="37"/>
      <c r="C1997" s="37"/>
      <c r="D1997" s="191" t="s">
        <v>255</v>
      </c>
      <c r="E1997" s="191"/>
      <c r="F1997" s="191" t="str">
        <f t="shared" si="3460"/>
        <v>ЭлектроФор</v>
      </c>
      <c r="G1997" s="191" t="s">
        <v>262</v>
      </c>
      <c r="H1997" s="315"/>
      <c r="I1997" s="316">
        <f>IF(I1996=0,0,(SUMIFS(операции!$AF:$AF,операции!$T:$T,"&lt;="&amp;I$9,операции!$X:$X,"",операции!$O:$O,$F1940)+SUMIFS(операции!$AF:$AF,операции!$T:$T,"&lt;="&amp;I$9,операции!$X:$X,"&gt;"&amp;I$9,операции!$O:$O,$F1940))/I1996)</f>
        <v>42258.390541875859</v>
      </c>
      <c r="J1997" s="317"/>
      <c r="K1997" s="316">
        <f>IF(K1996=0,0,(SUMIFS(операции!$AF:$AF,операции!$T:$T,"&lt;="&amp;I$9,операции!$X:$X,"",операции!$L:$L,K$9,операции!$O:$O,$F1940)+SUMIFS(операции!$AF:$AF,операции!$T:$T,"&lt;="&amp;I$9,операции!$X:$X,"&gt;"&amp;I$9,операции!$L:$L,K$9,операции!$O:$O,$F1940))/K1996)</f>
        <v>42258.390541875859</v>
      </c>
      <c r="L1997" s="318">
        <f>IF(L1996=0,0,(SUMIFS(операции!$AF:$AF,операции!$T:$T,"&lt;="&amp;I$9,операции!$X:$X,"",операции!$L:$L,L$9,операции!$O:$O,$F1940)+SUMIFS(операции!$AF:$AF,операции!$T:$T,"&lt;="&amp;I$9,операции!$X:$X,"&gt;"&amp;I$9,операции!$L:$L,L$9,операции!$O:$O,$F1940))/L1996)</f>
        <v>0</v>
      </c>
      <c r="M1997" s="274"/>
      <c r="N1997" s="193">
        <f>IF(N1996=0,0,(SUMIFS(операции!$AF:$AF,операции!$T:$T,"&lt;="&amp;N$9,операции!$X:$X,"",операции!$O:$O,$F1940)+SUMIFS(операции!$AF:$AF,операции!$T:$T,"&lt;="&amp;N$9,операции!$X:$X,"&gt;"&amp;N$9,операции!$O:$O,$F1940))/N1996)</f>
        <v>42258.08992504167</v>
      </c>
      <c r="O1997" s="196"/>
      <c r="P1997" s="193">
        <f>IF(P1996=0,0,(SUMIFS(операции!$AF:$AF,операции!$T:$T,"&lt;="&amp;N$9,операции!$X:$X,"",операции!$L:$L,P$9,операции!$O:$O,$F1940)+SUMIFS(операции!$AF:$AF,операции!$T:$T,"&lt;="&amp;N$9,операции!$X:$X,"&gt;"&amp;N$9,операции!$L:$L,P$9,операции!$O:$O,$F1940))/P1996)</f>
        <v>42258.08992504167</v>
      </c>
      <c r="Q1997" s="237">
        <f>IF(Q1996=0,0,(SUMIFS(операции!$AF:$AF,операции!$T:$T,"&lt;="&amp;N$9,операции!$X:$X,"",операции!$L:$L,Q$9,операции!$O:$O,$F1940)+SUMIFS(операции!$AF:$AF,операции!$T:$T,"&lt;="&amp;N$9,операции!$X:$X,"&gt;"&amp;N$9,операции!$L:$L,Q$9,операции!$O:$O,$F1940))/Q1996)</f>
        <v>0</v>
      </c>
      <c r="R1997" s="238"/>
      <c r="S1997" s="193">
        <f>IF(S1996=0,0,(SUMIFS(операции!$AF:$AF,операции!$T:$T,"&lt;="&amp;S$9,операции!$X:$X,"",операции!$O:$O,$F1940)+SUMIFS(операции!$AF:$AF,операции!$T:$T,"&lt;="&amp;S$9,операции!$X:$X,"&gt;"&amp;S$9,операции!$O:$O,$F1940))/S1996)</f>
        <v>42309.648936006022</v>
      </c>
      <c r="T1997" s="196"/>
      <c r="U1997" s="193">
        <f>IF(U1996=0,0,(SUMIFS(операции!$AF:$AF,операции!$T:$T,"&lt;="&amp;S$9,операции!$X:$X,"",операции!$L:$L,U$9,операции!$O:$O,$F1940)+SUMIFS(операции!$AF:$AF,операции!$T:$T,"&lt;="&amp;S$9,операции!$X:$X,"&gt;"&amp;S$9,операции!$L:$L,U$9,операции!$O:$O,$F1940))/U1996)</f>
        <v>42260.469911795321</v>
      </c>
      <c r="V1997" s="237">
        <f>IF(V1996=0,0,(SUMIFS(операции!$AF:$AF,операции!$T:$T,"&lt;="&amp;S$9,операции!$X:$X,"",операции!$L:$L,V$9,операции!$O:$O,$F1940)+SUMIFS(операции!$AF:$AF,операции!$T:$T,"&lt;="&amp;S$9,операции!$X:$X,"&gt;"&amp;S$9,операции!$L:$L,V$9,операции!$O:$O,$F1940))/V1996)</f>
        <v>42336.381060154854</v>
      </c>
      <c r="W1997" s="238"/>
      <c r="X1997" s="193">
        <f>IF(X1996=0,0,(SUMIFS(операции!$AF:$AF,операции!$T:$T,"&lt;="&amp;X$9,операции!$X:$X,"",операции!$O:$O,$F1940)+SUMIFS(операции!$AF:$AF,операции!$T:$T,"&lt;="&amp;X$9,операции!$X:$X,"&gt;"&amp;X$9,операции!$O:$O,$F1940))/X1996)</f>
        <v>42258.390541875859</v>
      </c>
      <c r="Y1997" s="196"/>
      <c r="Z1997" s="193">
        <f>IF(Z1996=0,0,(SUMIFS(операции!$AF:$AF,операции!$T:$T,"&lt;="&amp;X$9,операции!$X:$X,"",операции!$L:$L,Z$9,операции!$O:$O,$F1940)+SUMIFS(операции!$AF:$AF,операции!$T:$T,"&lt;="&amp;X$9,операции!$X:$X,"&gt;"&amp;X$9,операции!$L:$L,Z$9,операции!$O:$O,$F1940))/Z1996)</f>
        <v>42258.390541875859</v>
      </c>
      <c r="AA1997" s="237">
        <f>IF(AA1996=0,0,(SUMIFS(операции!$AF:$AF,операции!$T:$T,"&lt;="&amp;X$9,операции!$X:$X,"",операции!$L:$L,AA$9,операции!$O:$O,$F1940)+SUMIFS(операции!$AF:$AF,операции!$T:$T,"&lt;="&amp;X$9,операции!$X:$X,"&gt;"&amp;X$9,операции!$L:$L,AA$9,операции!$O:$O,$F1940))/AA1996)</f>
        <v>0</v>
      </c>
      <c r="AB1997" s="265"/>
      <c r="AC1997" s="37"/>
      <c r="AD1997" s="37"/>
      <c r="AE1997" s="37"/>
      <c r="AF1997" s="37"/>
      <c r="AG1997" s="37"/>
      <c r="AH1997" s="37"/>
      <c r="AI1997" s="37"/>
      <c r="AJ1997" s="37"/>
      <c r="AK1997" s="37"/>
      <c r="AL1997" s="37"/>
      <c r="AM1997" s="37"/>
      <c r="AN1997" s="37"/>
      <c r="AO1997" s="37"/>
      <c r="AP1997" s="37"/>
    </row>
    <row r="1998" spans="1:42" s="50" customFormat="1" ht="11.25">
      <c r="A1998" s="48"/>
      <c r="B1998" s="48"/>
      <c r="C1998" s="48"/>
      <c r="D1998" s="154" t="s">
        <v>239</v>
      </c>
      <c r="E1998" s="154"/>
      <c r="F1998" s="154" t="str">
        <f t="shared" si="3460"/>
        <v>ЭлектроФор</v>
      </c>
      <c r="G1998" s="154" t="s">
        <v>219</v>
      </c>
      <c r="H1998" s="319"/>
      <c r="I1998" s="320">
        <f>IF(I1996=0,0,I$9-I1997)</f>
        <v>110.60945812414138</v>
      </c>
      <c r="J1998" s="321">
        <f>I1998-SUMIFS(ПОбТЗ!$I:$I,ПОбТЗ!$E:$E,$D1998,ПОбТЗ!$F:$F,$F1998)</f>
        <v>0</v>
      </c>
      <c r="K1998" s="320">
        <f>IF(K1996=0,0,I$9-K1997)</f>
        <v>110.60945812414138</v>
      </c>
      <c r="L1998" s="322">
        <f>IF(L1996=0,0,I$9-L1997)</f>
        <v>0</v>
      </c>
      <c r="M1998" s="275"/>
      <c r="N1998" s="155">
        <f>IF(N1996=0,0,N$9-N1997)</f>
        <v>49.91007495833037</v>
      </c>
      <c r="O1998" s="173">
        <f>N1998-SUMIFS(ПОбТЗ_3!$J:$J,ПОбТЗ_3!$D:$D,$D1998,ПОбТЗ_3!$E:$E,$F1998)</f>
        <v>0</v>
      </c>
      <c r="P1998" s="155">
        <f>IF(P1996=0,0,N$9-P1997)</f>
        <v>49.91007495833037</v>
      </c>
      <c r="Q1998" s="239">
        <f>IF(Q1996=0,0,N$9-Q1997)</f>
        <v>0</v>
      </c>
      <c r="R1998" s="240"/>
      <c r="S1998" s="155">
        <f>IF(S1996=0,0,S$9-S1997)</f>
        <v>28.351063993977732</v>
      </c>
      <c r="T1998" s="173">
        <f>S1998-SUMIFS(ПОбТЗ_3!$K:$K,ПОбТЗ_3!$D:$D,$D1998,ПОбТЗ_3!$E:$E,$F1998)</f>
        <v>0</v>
      </c>
      <c r="U1998" s="155">
        <f>IF(U1996=0,0,S$9-U1997)</f>
        <v>77.530088204679487</v>
      </c>
      <c r="V1998" s="239">
        <f>IF(V1996=0,0,S$9-V1997)</f>
        <v>1.6189398451460875</v>
      </c>
      <c r="W1998" s="240"/>
      <c r="X1998" s="155">
        <f>IF(X1996=0,0,X$9-X1997)</f>
        <v>110.60945812414138</v>
      </c>
      <c r="Y1998" s="173">
        <f>X1998-SUMIFS(ПОбТЗ_3!$L:$L,ПОбТЗ_3!$D:$D,$D1998,ПОбТЗ_3!$E:$E,$F1998)</f>
        <v>0</v>
      </c>
      <c r="Z1998" s="155">
        <f>IF(Z1996=0,0,X$9-Z1997)</f>
        <v>110.60945812414138</v>
      </c>
      <c r="AA1998" s="239">
        <f>IF(AA1996=0,0,X$9-AA1997)</f>
        <v>0</v>
      </c>
      <c r="AB1998" s="230"/>
      <c r="AC1998" s="48"/>
      <c r="AD1998" s="48"/>
      <c r="AE1998" s="48"/>
      <c r="AF1998" s="48"/>
      <c r="AG1998" s="48"/>
      <c r="AH1998" s="48"/>
      <c r="AI1998" s="48"/>
      <c r="AJ1998" s="48"/>
      <c r="AK1998" s="48"/>
      <c r="AL1998" s="48"/>
      <c r="AM1998" s="48"/>
      <c r="AN1998" s="48"/>
      <c r="AO1998" s="48"/>
      <c r="AP1998" s="48"/>
    </row>
    <row r="1999" spans="1:42" s="93" customFormat="1" ht="15">
      <c r="A1999" s="92"/>
      <c r="B1999" s="92"/>
      <c r="C1999" s="92"/>
      <c r="D1999" s="198" t="s">
        <v>280</v>
      </c>
      <c r="E1999" s="198"/>
      <c r="F1999" s="198" t="str">
        <f t="shared" si="3460"/>
        <v>ЭлектроФор</v>
      </c>
      <c r="G1999" s="198" t="s">
        <v>219</v>
      </c>
      <c r="H1999" s="323"/>
      <c r="I1999" s="324">
        <f>IF(I1996=0,0,(I2001*I2005+I2007*I2011)/I1996)</f>
        <v>90.45699627703641</v>
      </c>
      <c r="J1999" s="321"/>
      <c r="K1999" s="324">
        <f>IF(K1996=0,0,(K2001*K2005+K2007*K2011)/K1996)</f>
        <v>90.45699627703641</v>
      </c>
      <c r="L1999" s="325">
        <f>IF(L1996=0,0,(L2001*L2005+L2007*L2011)/L1996)</f>
        <v>0</v>
      </c>
      <c r="M1999" s="276"/>
      <c r="N1999" s="199">
        <f>IF(N1996=0,0,(N2001*N2005+N2007*N2011)/N1996)</f>
        <v>34.916922017388011</v>
      </c>
      <c r="O1999" s="173"/>
      <c r="P1999" s="199">
        <f>IF(P1996=0,0,(P2001*P2005+P2007*P2011)/P1996)</f>
        <v>34.916922017388011</v>
      </c>
      <c r="Q1999" s="241">
        <f>IF(Q1996=0,0,(Q2001*Q2005+Q2007*Q2011)/Q1996)</f>
        <v>0</v>
      </c>
      <c r="R1999" s="242"/>
      <c r="S1999" s="199">
        <f>IF(S1996=0,0,(S2001*S2005+S2007*S2011)/S1996)</f>
        <v>18.374577971562847</v>
      </c>
      <c r="T1999" s="173"/>
      <c r="U1999" s="199">
        <f>IF(U1996=0,0,(U2001*U2005+U2007*U2011)/U1996)</f>
        <v>49.199884950417285</v>
      </c>
      <c r="V1999" s="241">
        <f>IF(V1996=0,0,(V2001*V2005+V2007*V2011)/V1996)</f>
        <v>1.6189398451460875</v>
      </c>
      <c r="W1999" s="242"/>
      <c r="X1999" s="199">
        <f>IF(X1996=0,0,(X2001*X2005+X2007*X2011)/X1996)</f>
        <v>90.45699627703641</v>
      </c>
      <c r="Y1999" s="173"/>
      <c r="Z1999" s="199">
        <f>IF(Z1996=0,0,(Z2001*Z2005+Z2007*Z2011)/Z1996)</f>
        <v>90.45699627703641</v>
      </c>
      <c r="AA1999" s="241">
        <f>IF(AA1996=0,0,(AA2001*AA2005+AA2007*AA2011)/AA1996)</f>
        <v>0</v>
      </c>
      <c r="AB1999" s="264"/>
      <c r="AC1999" s="92"/>
      <c r="AD1999" s="92"/>
      <c r="AE1999" s="92"/>
      <c r="AF1999" s="92"/>
      <c r="AG1999" s="92"/>
      <c r="AH1999" s="92"/>
      <c r="AI1999" s="92"/>
      <c r="AJ1999" s="92"/>
      <c r="AK1999" s="92"/>
      <c r="AL1999" s="92"/>
      <c r="AM1999" s="92"/>
      <c r="AN1999" s="92"/>
      <c r="AO1999" s="92"/>
      <c r="AP1999" s="92"/>
    </row>
    <row r="2000" spans="1:42" s="50" customFormat="1" ht="11.25">
      <c r="A2000" s="48"/>
      <c r="B2000" s="48"/>
      <c r="C2000" s="48"/>
      <c r="D2000" s="154" t="s">
        <v>281</v>
      </c>
      <c r="E2000" s="154"/>
      <c r="F2000" s="154" t="str">
        <f t="shared" si="3460"/>
        <v>ЭлектроФор</v>
      </c>
      <c r="G2000" s="154" t="s">
        <v>219</v>
      </c>
      <c r="H2000" s="319"/>
      <c r="I2000" s="320">
        <f>I1998-I1999</f>
        <v>20.152461847104973</v>
      </c>
      <c r="J2000" s="321"/>
      <c r="K2000" s="320">
        <f>K1998-K1999</f>
        <v>20.152461847104973</v>
      </c>
      <c r="L2000" s="322">
        <f>L1998-L1999</f>
        <v>0</v>
      </c>
      <c r="M2000" s="275"/>
      <c r="N2000" s="155">
        <f>N1998-N1999</f>
        <v>14.993152940942359</v>
      </c>
      <c r="O2000" s="173"/>
      <c r="P2000" s="155">
        <f>P1998-P1999</f>
        <v>14.993152940942359</v>
      </c>
      <c r="Q2000" s="239">
        <f>Q1998-Q1999</f>
        <v>0</v>
      </c>
      <c r="R2000" s="240"/>
      <c r="S2000" s="155">
        <f>S1998-S1999</f>
        <v>9.9764860224148855</v>
      </c>
      <c r="T2000" s="173"/>
      <c r="U2000" s="155">
        <f>U1998-U1999</f>
        <v>28.330203254262202</v>
      </c>
      <c r="V2000" s="239">
        <f>V1998-V1999</f>
        <v>0</v>
      </c>
      <c r="W2000" s="240"/>
      <c r="X2000" s="155">
        <f>X1998-X1999</f>
        <v>20.152461847104973</v>
      </c>
      <c r="Y2000" s="173"/>
      <c r="Z2000" s="155">
        <f>Z1998-Z1999</f>
        <v>20.152461847104973</v>
      </c>
      <c r="AA2000" s="239">
        <f>AA1998-AA1999</f>
        <v>0</v>
      </c>
      <c r="AB2000" s="230"/>
      <c r="AC2000" s="48"/>
      <c r="AD2000" s="48"/>
      <c r="AE2000" s="48"/>
      <c r="AF2000" s="48"/>
      <c r="AG2000" s="48"/>
      <c r="AH2000" s="48"/>
      <c r="AI2000" s="48"/>
      <c r="AJ2000" s="48"/>
      <c r="AK2000" s="48"/>
      <c r="AL2000" s="48"/>
      <c r="AM2000" s="48"/>
      <c r="AN2000" s="48"/>
      <c r="AO2000" s="48"/>
      <c r="AP2000" s="48"/>
    </row>
    <row r="2001" spans="1:42" s="5" customFormat="1">
      <c r="A2001" s="1"/>
      <c r="B2001" s="1"/>
      <c r="C2001" s="1"/>
      <c r="D2001" s="168"/>
      <c r="E2001" s="168" t="s">
        <v>282</v>
      </c>
      <c r="F2001" s="168" t="str">
        <f t="shared" si="3460"/>
        <v>ЭлектроФор</v>
      </c>
      <c r="G2001" s="168" t="s">
        <v>261</v>
      </c>
      <c r="H2001" s="326"/>
      <c r="I2001" s="327">
        <f>SUMIFS(операции!$V:$V,операции!$T:$T,"&lt;="&amp;I$9,операции!$X:$X,"",операции!$AB:$AB,"&lt;&gt;"&amp;"",операции!$AB:$AB,"&lt;="&amp;I$9,операции!$O:$O,$F1940)+SUMIFS(операции!$V:$V,операции!$T:$T,"&lt;="&amp;I$9,операции!$X:$X,"&gt;"&amp;I$9,операции!$AB:$AB,"&lt;&gt;"&amp;"",операции!$AB:$AB,"&lt;="&amp;I$9,операции!$O:$O,$F1940)</f>
        <v>892.4</v>
      </c>
      <c r="J2001" s="313">
        <f>I2001-K2001-L2001</f>
        <v>0</v>
      </c>
      <c r="K2001" s="327">
        <f>SUMIFS(операции!$V:$V,операции!$T:$T,"&lt;="&amp;I$9,операции!$X:$X,"",операции!$AB:$AB,"&lt;&gt;"&amp;"",операции!$AB:$AB,"&lt;="&amp;I$9,операции!$L:$L,K$9,операции!$O:$O,$F1940)+SUMIFS(операции!$V:$V,операции!$T:$T,"&lt;="&amp;I$9,операции!$X:$X,"&gt;"&amp;I$9,операции!$AB:$AB,"&lt;&gt;"&amp;"",операции!$AB:$AB,"&lt;="&amp;I$9,операции!$L:$L,K$9,операции!$O:$O,$F1940)</f>
        <v>892.4</v>
      </c>
      <c r="L2001" s="328">
        <f>SUMIFS(операции!$V:$V,операции!$T:$T,"&lt;="&amp;I$9,операции!$X:$X,"",операции!$AB:$AB,"&lt;&gt;"&amp;"",операции!$AB:$AB,"&lt;="&amp;I$9,операции!$L:$L,L$9,операции!$O:$O,$F1940)+SUMIFS(операции!$V:$V,операции!$T:$T,"&lt;="&amp;I$9,операции!$X:$X,"&gt;"&amp;I$9,операции!$AB:$AB,"&lt;&gt;"&amp;"",операции!$AB:$AB,"&lt;="&amp;I$9,операции!$L:$L,L$9,операции!$O:$O,$F1940)</f>
        <v>0</v>
      </c>
      <c r="M2001" s="277"/>
      <c r="N2001" s="169">
        <f>SUMIFS(операции!$V:$V,операции!$T:$T,"&lt;="&amp;N$9,операции!$X:$X,"",операции!$AB:$AB,"&lt;&gt;"&amp;"",операции!$AB:$AB,"&lt;="&amp;N$9,операции!$O:$O,$F1940)+SUMIFS(операции!$V:$V,операции!$T:$T,"&lt;="&amp;N$9,операции!$X:$X,"&gt;"&amp;N$9,операции!$AB:$AB,"&lt;&gt;"&amp;"",операции!$AB:$AB,"&lt;="&amp;N$9,операции!$O:$O,$F1940)</f>
        <v>5790.3</v>
      </c>
      <c r="O2001" s="170">
        <f>N2001-P2001-Q2001</f>
        <v>0</v>
      </c>
      <c r="P2001" s="169">
        <f>SUMIFS(операции!$V:$V,операции!$T:$T,"&lt;="&amp;N$9,операции!$X:$X,"",операции!$AB:$AB,"&lt;&gt;"&amp;"",операции!$AB:$AB,"&lt;="&amp;N$9,операции!$L:$L,P$9,операции!$O:$O,$F1940)+SUMIFS(операции!$V:$V,операции!$T:$T,"&lt;="&amp;N$9,операции!$X:$X,"&gt;"&amp;N$9,операции!$AB:$AB,"&lt;&gt;"&amp;"",операции!$AB:$AB,"&lt;="&amp;N$9,операции!$L:$L,P$9,операции!$O:$O,$F1940)</f>
        <v>5790.3</v>
      </c>
      <c r="Q2001" s="243">
        <f>SUMIFS(операции!$V:$V,операции!$T:$T,"&lt;="&amp;N$9,операции!$X:$X,"",операции!$AB:$AB,"&lt;&gt;"&amp;"",операции!$AB:$AB,"&lt;="&amp;N$9,операции!$L:$L,Q$9,операции!$O:$O,$F1940)+SUMIFS(операции!$V:$V,операции!$T:$T,"&lt;="&amp;N$9,операции!$X:$X,"&gt;"&amp;N$9,операции!$AB:$AB,"&lt;&gt;"&amp;"",операции!$AB:$AB,"&lt;="&amp;N$9,операции!$L:$L,Q$9,операции!$O:$O,$F1940)</f>
        <v>0</v>
      </c>
      <c r="R2001" s="244"/>
      <c r="S2001" s="169">
        <f>SUMIFS(операции!$V:$V,операции!$T:$T,"&lt;="&amp;S$9,операции!$X:$X,"",операции!$AB:$AB,"&lt;&gt;"&amp;"",операции!$AB:$AB,"&lt;="&amp;S$9,операции!$O:$O,$F1940)+SUMIFS(операции!$V:$V,операции!$T:$T,"&lt;="&amp;S$9,операции!$X:$X,"&gt;"&amp;S$9,операции!$AB:$AB,"&lt;&gt;"&amp;"",операции!$AB:$AB,"&lt;="&amp;S$9,операции!$O:$O,$F1940)</f>
        <v>5009.45</v>
      </c>
      <c r="T2001" s="170">
        <f>S2001-U2001-V2001</f>
        <v>0</v>
      </c>
      <c r="U2001" s="169">
        <f>SUMIFS(операции!$V:$V,операции!$T:$T,"&lt;="&amp;S$9,операции!$X:$X,"",операции!$AB:$AB,"&lt;&gt;"&amp;"",операции!$AB:$AB,"&lt;="&amp;S$9,операции!$L:$L,U$9,операции!$O:$O,$F1940)+SUMIFS(операции!$V:$V,операции!$T:$T,"&lt;="&amp;S$9,операции!$X:$X,"&gt;"&amp;S$9,операции!$AB:$AB,"&lt;&gt;"&amp;"",операции!$AB:$AB,"&lt;="&amp;S$9,операции!$L:$L,U$9,операции!$O:$O,$F1940)</f>
        <v>5009.45</v>
      </c>
      <c r="V2001" s="243">
        <f>SUMIFS(операции!$V:$V,операции!$T:$T,"&lt;="&amp;S$9,операции!$X:$X,"",операции!$AB:$AB,"&lt;&gt;"&amp;"",операции!$AB:$AB,"&lt;="&amp;S$9,операции!$L:$L,V$9,операции!$O:$O,$F1940)+SUMIFS(операции!$V:$V,операции!$T:$T,"&lt;="&amp;S$9,операции!$X:$X,"&gt;"&amp;S$9,операции!$AB:$AB,"&lt;&gt;"&amp;"",операции!$AB:$AB,"&lt;="&amp;S$9,операции!$L:$L,V$9,операции!$O:$O,$F1940)</f>
        <v>0</v>
      </c>
      <c r="W2001" s="244"/>
      <c r="X2001" s="169">
        <f>SUMIFS(операции!$V:$V,операции!$T:$T,"&lt;="&amp;X$9,операции!$X:$X,"",операции!$AB:$AB,"&lt;&gt;"&amp;"",операции!$AB:$AB,"&lt;="&amp;X$9,операции!$O:$O,$F1940)+SUMIFS(операции!$V:$V,операции!$T:$T,"&lt;="&amp;X$9,операции!$X:$X,"&gt;"&amp;X$9,операции!$AB:$AB,"&lt;&gt;"&amp;"",операции!$AB:$AB,"&lt;="&amp;X$9,операции!$O:$O,$F1940)</f>
        <v>892.4</v>
      </c>
      <c r="Y2001" s="170">
        <f>X2001-Z2001-AA2001</f>
        <v>0</v>
      </c>
      <c r="Z2001" s="169">
        <f>SUMIFS(операции!$V:$V,операции!$T:$T,"&lt;="&amp;X$9,операции!$X:$X,"",операции!$AB:$AB,"&lt;&gt;"&amp;"",операции!$AB:$AB,"&lt;="&amp;X$9,операции!$L:$L,Z$9,операции!$O:$O,$F1940)+SUMIFS(операции!$V:$V,операции!$T:$T,"&lt;="&amp;X$9,операции!$X:$X,"&gt;"&amp;X$9,операции!$AB:$AB,"&lt;&gt;"&amp;"",операции!$AB:$AB,"&lt;="&amp;X$9,операции!$L:$L,Z$9,операции!$O:$O,$F1940)</f>
        <v>892.4</v>
      </c>
      <c r="AA2001" s="243">
        <f>SUMIFS(операции!$V:$V,операции!$T:$T,"&lt;="&amp;X$9,операции!$X:$X,"",операции!$AB:$AB,"&lt;&gt;"&amp;"",операции!$AB:$AB,"&lt;="&amp;X$9,операции!$L:$L,AA$9,операции!$O:$O,$F1940)+SUMIFS(операции!$V:$V,операции!$T:$T,"&lt;="&amp;X$9,операции!$X:$X,"&gt;"&amp;X$9,операции!$AB:$AB,"&lt;&gt;"&amp;"",операции!$AB:$AB,"&lt;="&amp;X$9,операции!$L:$L,AA$9,операции!$O:$O,$F1940)</f>
        <v>0</v>
      </c>
      <c r="AB2001" s="266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</row>
    <row r="2002" spans="1:42" s="192" customFormat="1" ht="11.25">
      <c r="A2002" s="37"/>
      <c r="B2002" s="37"/>
      <c r="C2002" s="37"/>
      <c r="D2002" s="191"/>
      <c r="E2002" s="191" t="s">
        <v>255</v>
      </c>
      <c r="F2002" s="191" t="str">
        <f t="shared" si="3460"/>
        <v>ЭлектроФор</v>
      </c>
      <c r="G2002" s="191" t="s">
        <v>262</v>
      </c>
      <c r="H2002" s="315"/>
      <c r="I2002" s="316">
        <f>IF(I2001=0,0,(SUMIFS(операции!$AF:$AF,операции!$T:$T,"&lt;="&amp;I$9,операции!$X:$X,"",операции!$AB:$AB,"&lt;&gt;"&amp;"",операции!$AB:$AB,"&lt;="&amp;I$9,операции!$O:$O,$F1940)+SUMIFS(операции!$AF:$AF,операции!$T:$T,"&lt;="&amp;I$9,операции!$X:$X,"&gt;"&amp;I$9,операции!$AB:$AB,"&lt;&gt;"&amp;"",операции!$AB:$AB,"&lt;="&amp;I$9,операции!$O:$O,$F1940))/I2001)</f>
        <v>42237.125</v>
      </c>
      <c r="J2002" s="317"/>
      <c r="K2002" s="316">
        <f>IF(K2001=0,0,(SUMIFS(операции!$AF:$AF,операции!$T:$T,"&lt;="&amp;I$9,операции!$X:$X,"",операции!$AB:$AB,"&lt;&gt;"&amp;"",операции!$AB:$AB,"&lt;="&amp;I$9,операции!$L:$L,K$9,операции!$O:$O,$F1940)+SUMIFS(операции!$AF:$AF,операции!$T:$T,"&lt;="&amp;I$9,операции!$X:$X,"&gt;"&amp;I$9,операции!$AB:$AB,"&lt;&gt;"&amp;"",операции!$AB:$AB,"&lt;="&amp;I$9,операции!$L:$L,K$9,операции!$O:$O,$F1940))/K2001)</f>
        <v>42237.125</v>
      </c>
      <c r="L2002" s="318">
        <f>IF(L2001=0,0,(SUMIFS(операции!$AF:$AF,операции!$T:$T,"&lt;="&amp;I$9,операции!$X:$X,"",операции!$AB:$AB,"&lt;&gt;"&amp;"",операции!$AB:$AB,"&lt;="&amp;I$9,операции!$L:$L,L$9,операции!$O:$O,$F1940)+SUMIFS(операции!$AF:$AF,операции!$T:$T,"&lt;="&amp;I$9,операции!$X:$X,"&gt;"&amp;I$9,операции!$AB:$AB,"&lt;&gt;"&amp;"",операции!$AB:$AB,"&lt;="&amp;I$9,операции!$L:$L,L$9,операции!$O:$O,$F1940))/L2001)</f>
        <v>0</v>
      </c>
      <c r="M2002" s="274"/>
      <c r="N2002" s="193">
        <f>IF(N2001=0,0,(SUMIFS(операции!$AF:$AF,операции!$T:$T,"&lt;="&amp;N$9,операции!$X:$X,"",операции!$AB:$AB,"&lt;&gt;"&amp;"",операции!$AB:$AB,"&lt;="&amp;N$9,операции!$O:$O,$F1940)+SUMIFS(операции!$AF:$AF,операции!$T:$T,"&lt;="&amp;N$9,операции!$X:$X,"&gt;"&amp;N$9,операции!$AB:$AB,"&lt;&gt;"&amp;"",операции!$AB:$AB,"&lt;="&amp;N$9,операции!$O:$O,$F1940))/N2001)</f>
        <v>42255.101359169646</v>
      </c>
      <c r="O2002" s="196"/>
      <c r="P2002" s="193">
        <f>IF(P2001=0,0,(SUMIFS(операции!$AF:$AF,операции!$T:$T,"&lt;="&amp;N$9,операции!$X:$X,"",операции!$AB:$AB,"&lt;&gt;"&amp;"",операции!$AB:$AB,"&lt;="&amp;N$9,операции!$L:$L,P$9,операции!$O:$O,$F1940)+SUMIFS(операции!$AF:$AF,операции!$T:$T,"&lt;="&amp;N$9,операции!$X:$X,"&gt;"&amp;N$9,операции!$AB:$AB,"&lt;&gt;"&amp;"",операции!$AB:$AB,"&lt;="&amp;N$9,операции!$L:$L,P$9,операции!$O:$O,$F1940))/P2001)</f>
        <v>42255.101359169646</v>
      </c>
      <c r="Q2002" s="237">
        <f>IF(Q2001=0,0,(SUMIFS(операции!$AF:$AF,операции!$T:$T,"&lt;="&amp;N$9,операции!$X:$X,"",операции!$AB:$AB,"&lt;&gt;"&amp;"",операции!$AB:$AB,"&lt;="&amp;N$9,операции!$L:$L,Q$9,операции!$O:$O,$F1940)+SUMIFS(операции!$AF:$AF,операции!$T:$T,"&lt;="&amp;N$9,операции!$X:$X,"&gt;"&amp;N$9,операции!$AB:$AB,"&lt;&gt;"&amp;"",операции!$AB:$AB,"&lt;="&amp;N$9,операции!$L:$L,Q$9,операции!$O:$O,$F1940))/Q2001)</f>
        <v>0</v>
      </c>
      <c r="R2002" s="238"/>
      <c r="S2002" s="193">
        <f>IF(S2001=0,0,(SUMIFS(операции!$AF:$AF,операции!$T:$T,"&lt;="&amp;S$9,операции!$X:$X,"",операции!$AB:$AB,"&lt;&gt;"&amp;"",операции!$AB:$AB,"&lt;="&amp;S$9,операции!$O:$O,$F1940)+SUMIFS(операции!$AF:$AF,операции!$T:$T,"&lt;="&amp;S$9,операции!$X:$X,"&gt;"&amp;S$9,операции!$AB:$AB,"&lt;&gt;"&amp;"",операции!$AB:$AB,"&lt;="&amp;S$9,операции!$O:$O,$F1940))/S2001)</f>
        <v>42258.390541875859</v>
      </c>
      <c r="T2002" s="196"/>
      <c r="U2002" s="193">
        <f>IF(U2001=0,0,(SUMIFS(операции!$AF:$AF,операции!$T:$T,"&lt;="&amp;S$9,операции!$X:$X,"",операции!$AB:$AB,"&lt;&gt;"&amp;"",операции!$AB:$AB,"&lt;="&amp;S$9,операции!$L:$L,U$9,операции!$O:$O,$F1940)+SUMIFS(операции!$AF:$AF,операции!$T:$T,"&lt;="&amp;S$9,операции!$X:$X,"&gt;"&amp;S$9,операции!$AB:$AB,"&lt;&gt;"&amp;"",операции!$AB:$AB,"&lt;="&amp;S$9,операции!$L:$L,U$9,операции!$O:$O,$F1940))/U2001)</f>
        <v>42258.390541875859</v>
      </c>
      <c r="V2002" s="237">
        <f>IF(V2001=0,0,(SUMIFS(операции!$AF:$AF,операции!$T:$T,"&lt;="&amp;S$9,операции!$X:$X,"",операции!$AB:$AB,"&lt;&gt;"&amp;"",операции!$AB:$AB,"&lt;="&amp;S$9,операции!$L:$L,V$9,операции!$O:$O,$F1940)+SUMIFS(операции!$AF:$AF,операции!$T:$T,"&lt;="&amp;S$9,операции!$X:$X,"&gt;"&amp;S$9,операции!$AB:$AB,"&lt;&gt;"&amp;"",операции!$AB:$AB,"&lt;="&amp;S$9,операции!$L:$L,V$9,операции!$O:$O,$F1940))/V2001)</f>
        <v>0</v>
      </c>
      <c r="W2002" s="238"/>
      <c r="X2002" s="193">
        <f>IF(X2001=0,0,(SUMIFS(операции!$AF:$AF,операции!$T:$T,"&lt;="&amp;X$9,операции!$X:$X,"",операции!$AB:$AB,"&lt;&gt;"&amp;"",операции!$AB:$AB,"&lt;="&amp;X$9,операции!$O:$O,$F1940)+SUMIFS(операции!$AF:$AF,операции!$T:$T,"&lt;="&amp;X$9,операции!$X:$X,"&gt;"&amp;X$9,операции!$AB:$AB,"&lt;&gt;"&amp;"",операции!$AB:$AB,"&lt;="&amp;X$9,операции!$O:$O,$F1940))/X2001)</f>
        <v>42237.125</v>
      </c>
      <c r="Y2002" s="196"/>
      <c r="Z2002" s="193">
        <f>IF(Z2001=0,0,(SUMIFS(операции!$AF:$AF,операции!$T:$T,"&lt;="&amp;X$9,операции!$X:$X,"",операции!$AB:$AB,"&lt;&gt;"&amp;"",операции!$AB:$AB,"&lt;="&amp;X$9,операции!$L:$L,Z$9,операции!$O:$O,$F1940)+SUMIFS(операции!$AF:$AF,операции!$T:$T,"&lt;="&amp;X$9,операции!$X:$X,"&gt;"&amp;X$9,операции!$AB:$AB,"&lt;&gt;"&amp;"",операции!$AB:$AB,"&lt;="&amp;X$9,операции!$L:$L,Z$9,операции!$O:$O,$F1940))/Z2001)</f>
        <v>42237.125</v>
      </c>
      <c r="AA2002" s="237">
        <f>IF(AA2001=0,0,(SUMIFS(операции!$AF:$AF,операции!$T:$T,"&lt;="&amp;X$9,операции!$X:$X,"",операции!$AB:$AB,"&lt;&gt;"&amp;"",операции!$AB:$AB,"&lt;="&amp;X$9,операции!$L:$L,AA$9,операции!$O:$O,$F1940)+SUMIFS(операции!$AF:$AF,операции!$T:$T,"&lt;="&amp;X$9,операции!$X:$X,"&gt;"&amp;X$9,операции!$AB:$AB,"&lt;&gt;"&amp;"",операции!$AB:$AB,"&lt;="&amp;X$9,операции!$L:$L,AA$9,операции!$O:$O,$F1940))/AA2001)</f>
        <v>0</v>
      </c>
      <c r="AB2002" s="265"/>
      <c r="AC2002" s="37"/>
      <c r="AD2002" s="37"/>
      <c r="AE2002" s="37"/>
      <c r="AF2002" s="37"/>
      <c r="AG2002" s="37"/>
      <c r="AH2002" s="37"/>
      <c r="AI2002" s="37"/>
      <c r="AJ2002" s="37"/>
      <c r="AK2002" s="37"/>
      <c r="AL2002" s="37"/>
      <c r="AM2002" s="37"/>
      <c r="AN2002" s="37"/>
      <c r="AO2002" s="37"/>
      <c r="AP2002" s="37"/>
    </row>
    <row r="2003" spans="1:42" s="192" customFormat="1" ht="11.25">
      <c r="A2003" s="37"/>
      <c r="B2003" s="37"/>
      <c r="C2003" s="37"/>
      <c r="D2003" s="191"/>
      <c r="E2003" s="191" t="s">
        <v>283</v>
      </c>
      <c r="F2003" s="191" t="str">
        <f t="shared" si="3460"/>
        <v>ЭлектроФор</v>
      </c>
      <c r="G2003" s="191" t="s">
        <v>219</v>
      </c>
      <c r="H2003" s="315"/>
      <c r="I2003" s="329">
        <f>IF(I2001=0,0,I$9-I2002)</f>
        <v>131.875</v>
      </c>
      <c r="J2003" s="317"/>
      <c r="K2003" s="329">
        <f>IF(K2001=0,0,I$9-K2002)</f>
        <v>131.875</v>
      </c>
      <c r="L2003" s="330">
        <f>IF(L2001=0,0,I$9-L2002)</f>
        <v>0</v>
      </c>
      <c r="M2003" s="274"/>
      <c r="N2003" s="156">
        <f>IF(N2001=0,0,N$9-N2002)</f>
        <v>52.898640830353543</v>
      </c>
      <c r="O2003" s="196"/>
      <c r="P2003" s="156">
        <f>IF(P2001=0,0,N$9-P2002)</f>
        <v>52.898640830353543</v>
      </c>
      <c r="Q2003" s="245">
        <f>IF(Q2001=0,0,N$9-Q2002)</f>
        <v>0</v>
      </c>
      <c r="R2003" s="238"/>
      <c r="S2003" s="156">
        <f>IF(S2001=0,0,S$9-S2002)</f>
        <v>79.609458124141383</v>
      </c>
      <c r="T2003" s="196"/>
      <c r="U2003" s="156">
        <f>IF(U2001=0,0,S$9-U2002)</f>
        <v>79.609458124141383</v>
      </c>
      <c r="V2003" s="245">
        <f>IF(V2001=0,0,S$9-V2002)</f>
        <v>0</v>
      </c>
      <c r="W2003" s="238"/>
      <c r="X2003" s="156">
        <f>IF(X2001=0,0,X$9-X2002)</f>
        <v>131.875</v>
      </c>
      <c r="Y2003" s="196"/>
      <c r="Z2003" s="156">
        <f>IF(Z2001=0,0,X$9-Z2002)</f>
        <v>131.875</v>
      </c>
      <c r="AA2003" s="245">
        <f>IF(AA2001=0,0,X$9-AA2002)</f>
        <v>0</v>
      </c>
      <c r="AB2003" s="265"/>
      <c r="AC2003" s="37"/>
      <c r="AD2003" s="37"/>
      <c r="AE2003" s="37"/>
      <c r="AF2003" s="37"/>
      <c r="AG2003" s="37"/>
      <c r="AH2003" s="37"/>
      <c r="AI2003" s="37"/>
      <c r="AJ2003" s="37"/>
      <c r="AK2003" s="37"/>
      <c r="AL2003" s="37"/>
      <c r="AM2003" s="37"/>
      <c r="AN2003" s="37"/>
      <c r="AO2003" s="37"/>
      <c r="AP2003" s="37"/>
    </row>
    <row r="2004" spans="1:42" s="192" customFormat="1" ht="11.25">
      <c r="A2004" s="37"/>
      <c r="B2004" s="37"/>
      <c r="C2004" s="37"/>
      <c r="D2004" s="191"/>
      <c r="E2004" s="191" t="s">
        <v>259</v>
      </c>
      <c r="F2004" s="191" t="str">
        <f t="shared" si="3460"/>
        <v>ЭлектроФор</v>
      </c>
      <c r="G2004" s="191" t="s">
        <v>262</v>
      </c>
      <c r="H2004" s="315"/>
      <c r="I2004" s="316">
        <f>IF(I2001=0,0,(SUMIFS(операции!$AH:$AH,операции!$T:$T,"&lt;="&amp;I$9,операции!$X:$X,"",операции!$AB:$AB,"&lt;&gt;"&amp;"",операции!$AB:$AB,"&lt;="&amp;I$9,операции!$O:$O,$F1940)+SUMIFS(операции!$AH:$AH,операции!$T:$T,"&lt;="&amp;I$9,операции!$X:$X,"&gt;"&amp;I$9,операции!$AB:$AB,"&lt;&gt;"&amp;"",операции!$AB:$AB,"&lt;="&amp;I$9,операции!$O:$O,$F1940))/I2001)</f>
        <v>42255.875</v>
      </c>
      <c r="J2004" s="317"/>
      <c r="K2004" s="316">
        <f>IF(K2001=0,0,(SUMIFS(операции!$AH:$AH,операции!$T:$T,"&lt;="&amp;I$9,операции!$X:$X,"",операции!$AB:$AB,"&lt;&gt;"&amp;"",операции!$AB:$AB,"&lt;="&amp;I$9,операции!$L:$L,K$9,операции!$O:$O,$F1940)+SUMIFS(операции!$AH:$AH,операции!$T:$T,"&lt;="&amp;I$9,операции!$X:$X,"&gt;"&amp;I$9,операции!$AB:$AB,"&lt;&gt;"&amp;"",операции!$AB:$AB,"&lt;="&amp;I$9,операции!$L:$L,K$9,операции!$O:$O,$F1940))/K2001)</f>
        <v>42255.875</v>
      </c>
      <c r="L2004" s="318">
        <f>IF(L2001=0,0,(SUMIFS(операции!$AH:$AH,операции!$T:$T,"&lt;="&amp;I$9,операции!$X:$X,"",операции!$AB:$AB,"&lt;&gt;"&amp;"",операции!$AB:$AB,"&lt;="&amp;I$9,операции!$L:$L,L$9,операции!$O:$O,$F1940)+SUMIFS(операции!$AH:$AH,операции!$T:$T,"&lt;="&amp;I$9,операции!$X:$X,"&gt;"&amp;I$9,операции!$AB:$AB,"&lt;&gt;"&amp;"",операции!$AB:$AB,"&lt;="&amp;I$9,операции!$L:$L,L$9,операции!$O:$O,$F1940))/L2001)</f>
        <v>0</v>
      </c>
      <c r="M2004" s="274"/>
      <c r="N2004" s="193">
        <f>IF(N2001=0,0,(SUMIFS(операции!$AH:$AH,операции!$T:$T,"&lt;="&amp;N$9,операции!$X:$X,"",операции!$AB:$AB,"&lt;&gt;"&amp;"",операции!$AB:$AB,"&lt;="&amp;N$9,операции!$O:$O,$F1940)+SUMIFS(операции!$AH:$AH,операции!$T:$T,"&lt;="&amp;N$9,операции!$X:$X,"&gt;"&amp;N$9,операции!$AB:$AB,"&lt;&gt;"&amp;"",операции!$AB:$AB,"&lt;="&amp;N$9,операции!$O:$O,$F1940))/N2001)</f>
        <v>42282.057492703316</v>
      </c>
      <c r="O2004" s="196"/>
      <c r="P2004" s="193">
        <f>IF(P2001=0,0,(SUMIFS(операции!$AH:$AH,операции!$T:$T,"&lt;="&amp;N$9,операции!$X:$X,"",операции!$AB:$AB,"&lt;&gt;"&amp;"",операции!$AB:$AB,"&lt;="&amp;N$9,операции!$L:$L,P$9,операции!$O:$O,$F1940)+SUMIFS(операции!$AH:$AH,операции!$T:$T,"&lt;="&amp;N$9,операции!$X:$X,"&gt;"&amp;N$9,операции!$AB:$AB,"&lt;&gt;"&amp;"",операции!$AB:$AB,"&lt;="&amp;N$9,операции!$L:$L,P$9,операции!$O:$O,$F1940))/P2001)</f>
        <v>42282.057492703316</v>
      </c>
      <c r="Q2004" s="237">
        <f>IF(Q2001=0,0,(SUMIFS(операции!$AH:$AH,операции!$T:$T,"&lt;="&amp;N$9,операции!$X:$X,"",операции!$AB:$AB,"&lt;&gt;"&amp;"",операции!$AB:$AB,"&lt;="&amp;N$9,операции!$L:$L,Q$9,операции!$O:$O,$F1940)+SUMIFS(операции!$AH:$AH,операции!$T:$T,"&lt;="&amp;N$9,операции!$X:$X,"&gt;"&amp;N$9,операции!$AB:$AB,"&lt;&gt;"&amp;"",операции!$AB:$AB,"&lt;="&amp;N$9,операции!$L:$L,Q$9,операции!$O:$O,$F1940))/Q2001)</f>
        <v>0</v>
      </c>
      <c r="R2004" s="238"/>
      <c r="S2004" s="193">
        <f>IF(S2001=0,0,(SUMIFS(операции!$AH:$AH,операции!$T:$T,"&lt;="&amp;S$9,операции!$X:$X,"",операции!$AB:$AB,"&lt;&gt;"&amp;"",операции!$AB:$AB,"&lt;="&amp;S$9,операции!$O:$O,$F1940)+SUMIFS(операции!$AH:$AH,операции!$T:$T,"&lt;="&amp;S$9,операции!$X:$X,"&gt;"&amp;S$9,операции!$AB:$AB,"&lt;&gt;"&amp;"",операции!$AB:$AB,"&lt;="&amp;S$9,операции!$O:$O,$F1940))/S2001)</f>
        <v>42286.386429647966</v>
      </c>
      <c r="T2004" s="196"/>
      <c r="U2004" s="193">
        <f>IF(U2001=0,0,(SUMIFS(операции!$AH:$AH,операции!$T:$T,"&lt;="&amp;S$9,операции!$X:$X,"",операции!$AB:$AB,"&lt;&gt;"&amp;"",операции!$AB:$AB,"&lt;="&amp;S$9,операции!$L:$L,U$9,операции!$O:$O,$F1940)+SUMIFS(операции!$AH:$AH,операции!$T:$T,"&lt;="&amp;S$9,операции!$X:$X,"&gt;"&amp;S$9,операции!$AB:$AB,"&lt;&gt;"&amp;"",операции!$AB:$AB,"&lt;="&amp;S$9,операции!$L:$L,U$9,операции!$O:$O,$F1940))/U2001)</f>
        <v>42286.386429647966</v>
      </c>
      <c r="V2004" s="237">
        <f>IF(V2001=0,0,(SUMIFS(операции!$AH:$AH,операции!$T:$T,"&lt;="&amp;S$9,операции!$X:$X,"",операции!$AB:$AB,"&lt;&gt;"&amp;"",операции!$AB:$AB,"&lt;="&amp;S$9,операции!$L:$L,V$9,операции!$O:$O,$F1940)+SUMIFS(операции!$AH:$AH,операции!$T:$T,"&lt;="&amp;S$9,операции!$X:$X,"&gt;"&amp;S$9,операции!$AB:$AB,"&lt;&gt;"&amp;"",операции!$AB:$AB,"&lt;="&amp;S$9,операции!$L:$L,V$9,операции!$O:$O,$F1940))/V2001)</f>
        <v>0</v>
      </c>
      <c r="W2004" s="238"/>
      <c r="X2004" s="193">
        <f>IF(X2001=0,0,(SUMIFS(операции!$AH:$AH,операции!$T:$T,"&lt;="&amp;X$9,операции!$X:$X,"",операции!$AB:$AB,"&lt;&gt;"&amp;"",операции!$AB:$AB,"&lt;="&amp;X$9,операции!$O:$O,$F1940)+SUMIFS(операции!$AH:$AH,операции!$T:$T,"&lt;="&amp;X$9,операции!$X:$X,"&gt;"&amp;X$9,операции!$AB:$AB,"&lt;&gt;"&amp;"",операции!$AB:$AB,"&lt;="&amp;X$9,операции!$O:$O,$F1940))/X2001)</f>
        <v>42255.875</v>
      </c>
      <c r="Y2004" s="196"/>
      <c r="Z2004" s="193">
        <f>IF(Z2001=0,0,(SUMIFS(операции!$AH:$AH,операции!$T:$T,"&lt;="&amp;X$9,операции!$X:$X,"",операции!$AB:$AB,"&lt;&gt;"&amp;"",операции!$AB:$AB,"&lt;="&amp;X$9,операции!$L:$L,Z$9,операции!$O:$O,$F1940)+SUMIFS(операции!$AH:$AH,операции!$T:$T,"&lt;="&amp;X$9,операции!$X:$X,"&gt;"&amp;X$9,операции!$AB:$AB,"&lt;&gt;"&amp;"",операции!$AB:$AB,"&lt;="&amp;X$9,операции!$L:$L,Z$9,операции!$O:$O,$F1940))/Z2001)</f>
        <v>42255.875</v>
      </c>
      <c r="AA2004" s="237">
        <f>IF(AA2001=0,0,(SUMIFS(операции!$AH:$AH,операции!$T:$T,"&lt;="&amp;X$9,операции!$X:$X,"",операции!$AB:$AB,"&lt;&gt;"&amp;"",операции!$AB:$AB,"&lt;="&amp;X$9,операции!$L:$L,AA$9,операции!$O:$O,$F1940)+SUMIFS(операции!$AH:$AH,операции!$T:$T,"&lt;="&amp;X$9,операции!$X:$X,"&gt;"&amp;X$9,операции!$AB:$AB,"&lt;&gt;"&amp;"",операции!$AB:$AB,"&lt;="&amp;X$9,операции!$L:$L,AA$9,операции!$O:$O,$F1940))/AA2001)</f>
        <v>0</v>
      </c>
      <c r="AB2004" s="265"/>
      <c r="AC2004" s="37"/>
      <c r="AD2004" s="37"/>
      <c r="AE2004" s="37"/>
      <c r="AF2004" s="37"/>
      <c r="AG2004" s="37"/>
      <c r="AH2004" s="37"/>
      <c r="AI2004" s="37"/>
      <c r="AJ2004" s="37"/>
      <c r="AK2004" s="37"/>
      <c r="AL2004" s="37"/>
      <c r="AM2004" s="37"/>
      <c r="AN2004" s="37"/>
      <c r="AO2004" s="37"/>
      <c r="AP2004" s="37"/>
    </row>
    <row r="2005" spans="1:42" s="192" customFormat="1" ht="11.25">
      <c r="A2005" s="37"/>
      <c r="B2005" s="37"/>
      <c r="C2005" s="37"/>
      <c r="D2005" s="191"/>
      <c r="E2005" s="191" t="s">
        <v>284</v>
      </c>
      <c r="F2005" s="191" t="str">
        <f t="shared" si="3460"/>
        <v>ЭлектроФор</v>
      </c>
      <c r="G2005" s="191" t="s">
        <v>219</v>
      </c>
      <c r="H2005" s="315"/>
      <c r="I2005" s="329">
        <f>I2004-I2002</f>
        <v>18.75</v>
      </c>
      <c r="J2005" s="317"/>
      <c r="K2005" s="329">
        <f>K2004-K2002</f>
        <v>18.75</v>
      </c>
      <c r="L2005" s="330">
        <f>L2004-L2002</f>
        <v>0</v>
      </c>
      <c r="M2005" s="274"/>
      <c r="N2005" s="156">
        <f>N2004-N2002</f>
        <v>26.956133533669345</v>
      </c>
      <c r="O2005" s="196"/>
      <c r="P2005" s="156">
        <f>P2004-P2002</f>
        <v>26.956133533669345</v>
      </c>
      <c r="Q2005" s="245">
        <f>Q2004-Q2002</f>
        <v>0</v>
      </c>
      <c r="R2005" s="238"/>
      <c r="S2005" s="156">
        <f>S2004-S2002</f>
        <v>27.99588777210738</v>
      </c>
      <c r="T2005" s="196"/>
      <c r="U2005" s="156">
        <f>U2004-U2002</f>
        <v>27.99588777210738</v>
      </c>
      <c r="V2005" s="245">
        <f>V2004-V2002</f>
        <v>0</v>
      </c>
      <c r="W2005" s="238"/>
      <c r="X2005" s="156">
        <f>X2004-X2002</f>
        <v>18.75</v>
      </c>
      <c r="Y2005" s="196"/>
      <c r="Z2005" s="156">
        <f>Z2004-Z2002</f>
        <v>18.75</v>
      </c>
      <c r="AA2005" s="245">
        <f>AA2004-AA2002</f>
        <v>0</v>
      </c>
      <c r="AB2005" s="265"/>
      <c r="AC2005" s="37"/>
      <c r="AD2005" s="37"/>
      <c r="AE2005" s="37"/>
      <c r="AF2005" s="37"/>
      <c r="AG2005" s="37"/>
      <c r="AH2005" s="37"/>
      <c r="AI2005" s="37"/>
      <c r="AJ2005" s="37"/>
      <c r="AK2005" s="37"/>
      <c r="AL2005" s="37"/>
      <c r="AM2005" s="37"/>
      <c r="AN2005" s="37"/>
      <c r="AO2005" s="37"/>
      <c r="AP2005" s="37"/>
    </row>
    <row r="2006" spans="1:42" s="192" customFormat="1" ht="11.25">
      <c r="A2006" s="37"/>
      <c r="B2006" s="37"/>
      <c r="C2006" s="37"/>
      <c r="D2006" s="191"/>
      <c r="E2006" s="191" t="s">
        <v>285</v>
      </c>
      <c r="F2006" s="191" t="str">
        <f t="shared" si="3460"/>
        <v>ЭлектроФор</v>
      </c>
      <c r="G2006" s="191" t="s">
        <v>219</v>
      </c>
      <c r="H2006" s="315"/>
      <c r="I2006" s="329">
        <f>I2003-I2005</f>
        <v>113.125</v>
      </c>
      <c r="J2006" s="317"/>
      <c r="K2006" s="329">
        <f>K2003-K2005</f>
        <v>113.125</v>
      </c>
      <c r="L2006" s="330">
        <f>L2003-L2005</f>
        <v>0</v>
      </c>
      <c r="M2006" s="274"/>
      <c r="N2006" s="156">
        <f>N2003-N2005</f>
        <v>25.942507296684198</v>
      </c>
      <c r="O2006" s="196"/>
      <c r="P2006" s="156">
        <f>P2003-P2005</f>
        <v>25.942507296684198</v>
      </c>
      <c r="Q2006" s="245">
        <f>Q2003-Q2005</f>
        <v>0</v>
      </c>
      <c r="R2006" s="238"/>
      <c r="S2006" s="156">
        <f>S2003-S2005</f>
        <v>51.613570352034003</v>
      </c>
      <c r="T2006" s="196"/>
      <c r="U2006" s="156">
        <f>U2003-U2005</f>
        <v>51.613570352034003</v>
      </c>
      <c r="V2006" s="245">
        <f>V2003-V2005</f>
        <v>0</v>
      </c>
      <c r="W2006" s="238"/>
      <c r="X2006" s="156">
        <f>X2003-X2005</f>
        <v>113.125</v>
      </c>
      <c r="Y2006" s="196"/>
      <c r="Z2006" s="156">
        <f>Z2003-Z2005</f>
        <v>113.125</v>
      </c>
      <c r="AA2006" s="245">
        <f>AA2003-AA2005</f>
        <v>0</v>
      </c>
      <c r="AB2006" s="265"/>
      <c r="AC2006" s="37"/>
      <c r="AD2006" s="37"/>
      <c r="AE2006" s="37"/>
      <c r="AF2006" s="37"/>
      <c r="AG2006" s="37"/>
      <c r="AH2006" s="37"/>
      <c r="AI2006" s="37"/>
      <c r="AJ2006" s="37"/>
      <c r="AK2006" s="37"/>
      <c r="AL2006" s="37"/>
      <c r="AM2006" s="37"/>
      <c r="AN2006" s="37"/>
      <c r="AO2006" s="37"/>
      <c r="AP2006" s="37"/>
    </row>
    <row r="2007" spans="1:42" s="5" customFormat="1">
      <c r="A2007" s="1"/>
      <c r="B2007" s="1"/>
      <c r="C2007" s="1"/>
      <c r="D2007" s="168"/>
      <c r="E2007" s="168" t="s">
        <v>286</v>
      </c>
      <c r="F2007" s="168" t="str">
        <f t="shared" si="3460"/>
        <v>ЭлектроФор</v>
      </c>
      <c r="G2007" s="168" t="s">
        <v>261</v>
      </c>
      <c r="H2007" s="326"/>
      <c r="I2007" s="327">
        <f>SUMIFS(операции!$V:$V,операции!$T:$T,"&lt;="&amp;I$9,операции!$X:$X,"",операции!$AB:$AB,"",операции!$O:$O,$F1940)+SUMIFS(операции!$V:$V,операции!$T:$T,"&lt;="&amp;I$9,операции!$X:$X,"&gt;"&amp;I$9,операции!$AB:$AB,"",операции!$O:$O,$F1940)+SUMIFS(операции!$V:$V,операции!$T:$T,"&lt;="&amp;I$9,операции!$X:$X,"",операции!$AB:$AB,"&gt;"&amp;I$9,операции!$O:$O,$F1940)+SUMIFS(операции!$V:$V,операции!$T:$T,"&lt;="&amp;I$9,операции!$X:$X,"&gt;"&amp;I$9,операции!$AB:$AB,"&gt;"&amp;I$9,операции!$O:$O,$F1940)</f>
        <v>4117.05</v>
      </c>
      <c r="J2007" s="313">
        <f>I2007-K2007-L2007</f>
        <v>0</v>
      </c>
      <c r="K2007" s="327">
        <f>SUMIFS(операции!$V:$V,операции!$T:$T,"&lt;="&amp;I$9,операции!$X:$X,"",операции!$AB:$AB,"",операции!$L:$L,K$9,операции!$O:$O,$F1940)+SUMIFS(операции!$V:$V,операции!$T:$T,"&lt;="&amp;I$9,операции!$X:$X,"&gt;"&amp;I$9,операции!$AB:$AB,"",операции!$L:$L,K$9,операции!$O:$O,$F1940)+SUMIFS(операции!$V:$V,операции!$T:$T,"&lt;="&amp;I$9,операции!$X:$X,"",операции!$AB:$AB,"&gt;"&amp;I$9,операции!$L:$L,K$9,операции!$O:$O,$F1940)+SUMIFS(операции!$V:$V,операции!$T:$T,"&lt;="&amp;I$9,операции!$X:$X,"&gt;"&amp;I$9,операции!$AB:$AB,"&gt;"&amp;I$9,операции!$L:$L,K$9,операции!$O:$O,$F1940)</f>
        <v>4117.05</v>
      </c>
      <c r="L2007" s="328">
        <f>SUMIFS(операции!$V:$V,операции!$T:$T,"&lt;="&amp;I$9,операции!$X:$X,"",операции!$AB:$AB,"",операции!$L:$L,L$9,операции!$O:$O,$F1940)+SUMIFS(операции!$V:$V,операции!$T:$T,"&lt;="&amp;I$9,операции!$X:$X,"&gt;"&amp;I$9,операции!$AB:$AB,"",операции!$L:$L,L$9,операции!$O:$O,$F1940)+SUMIFS(операции!$V:$V,операции!$T:$T,"&lt;="&amp;I$9,операции!$X:$X,"",операции!$AB:$AB,"&gt;"&amp;I$9,операции!$L:$L,L$9,операции!$O:$O,$F1940)+SUMIFS(операции!$V:$V,операции!$T:$T,"&lt;="&amp;I$9,операции!$X:$X,"&gt;"&amp;I$9,операции!$AB:$AB,"&gt;"&amp;I$9,операции!$L:$L,L$9,операции!$O:$O,$F1940)</f>
        <v>0</v>
      </c>
      <c r="M2007" s="277"/>
      <c r="N2007" s="169">
        <f>SUMIFS(операции!$V:$V,операции!$T:$T,"&lt;="&amp;N$9,операции!$X:$X,"",операции!$AB:$AB,"",операции!$O:$O,$F1940)+SUMIFS(операции!$V:$V,операции!$T:$T,"&lt;="&amp;N$9,операции!$X:$X,"&gt;"&amp;N$9,операции!$AB:$AB,"",операции!$O:$O,$F1940)+SUMIFS(операции!$V:$V,операции!$T:$T,"&lt;="&amp;N$9,операции!$X:$X,"",операции!$AB:$AB,"&gt;"&amp;N$9,операции!$O:$O,$F1940)+SUMIFS(операции!$V:$V,операции!$T:$T,"&lt;="&amp;N$9,операции!$X:$X,"&gt;"&amp;N$9,операции!$AB:$AB,"&gt;"&amp;N$9,операции!$O:$O,$F1940)</f>
        <v>4228.6000000000004</v>
      </c>
      <c r="O2007" s="170">
        <f>N2007-P2007-Q2007</f>
        <v>0</v>
      </c>
      <c r="P2007" s="169">
        <f>SUMIFS(операции!$V:$V,операции!$T:$T,"&lt;="&amp;N$9,операции!$X:$X,"",операции!$AB:$AB,"",операции!$L:$L,P$9,операции!$O:$O,$F1940)+SUMIFS(операции!$V:$V,операции!$T:$T,"&lt;="&amp;N$9,операции!$X:$X,"&gt;"&amp;N$9,операции!$AB:$AB,"",операции!$L:$L,P$9,операции!$O:$O,$F1940)+SUMIFS(операции!$V:$V,операции!$T:$T,"&lt;="&amp;N$9,операции!$X:$X,"",операции!$AB:$AB,"&gt;"&amp;N$9,операции!$L:$L,P$9,операции!$O:$O,$F1940)+SUMIFS(операции!$V:$V,операции!$T:$T,"&lt;="&amp;N$9,операции!$X:$X,"&gt;"&amp;N$9,операции!$AB:$AB,"&gt;"&amp;N$9,операции!$L:$L,P$9,операции!$O:$O,$F1940)</f>
        <v>4228.6000000000004</v>
      </c>
      <c r="Q2007" s="243">
        <f>SUMIFS(операции!$V:$V,операции!$T:$T,"&lt;="&amp;N$9,операции!$X:$X,"",операции!$AB:$AB,"",операции!$L:$L,Q$9,операции!$O:$O,$F1940)+SUMIFS(операции!$V:$V,операции!$T:$T,"&lt;="&amp;N$9,операции!$X:$X,"&gt;"&amp;N$9,операции!$AB:$AB,"",операции!$L:$L,Q$9,операции!$O:$O,$F1940)+SUMIFS(операции!$V:$V,операции!$T:$T,"&lt;="&amp;N$9,операции!$X:$X,"",операции!$AB:$AB,"&gt;"&amp;N$9,операции!$L:$L,Q$9,операции!$O:$O,$F1940)+SUMIFS(операции!$V:$V,операции!$T:$T,"&lt;="&amp;N$9,операции!$X:$X,"&gt;"&amp;N$9,операции!$AB:$AB,"&gt;"&amp;N$9,операции!$L:$L,Q$9,операции!$O:$O,$F1940)</f>
        <v>0</v>
      </c>
      <c r="R2007" s="244"/>
      <c r="S2007" s="169">
        <f>SUMIFS(операции!$V:$V,операции!$T:$T,"&lt;="&amp;S$9,операции!$X:$X,"",операции!$AB:$AB,"",операции!$O:$O,$F1940)+SUMIFS(операции!$V:$V,операции!$T:$T,"&lt;="&amp;S$9,операции!$X:$X,"&gt;"&amp;S$9,операции!$AB:$AB,"",операции!$O:$O,$F1940)+SUMIFS(операции!$V:$V,операции!$T:$T,"&lt;="&amp;S$9,операции!$X:$X,"",операции!$AB:$AB,"&gt;"&amp;S$9,операции!$O:$O,$F1940)+SUMIFS(операции!$V:$V,операции!$T:$T,"&lt;="&amp;S$9,операции!$X:$X,"&gt;"&amp;S$9,операции!$AB:$AB,"&gt;"&amp;S$9,операции!$O:$O,$F1940)</f>
        <v>20907.05</v>
      </c>
      <c r="T2007" s="170">
        <f>S2007-U2007-V2007</f>
        <v>0</v>
      </c>
      <c r="U2007" s="169">
        <f>SUMIFS(операции!$V:$V,операции!$T:$T,"&lt;="&amp;S$9,операции!$X:$X,"",операции!$AB:$AB,"",операции!$L:$L,U$9,операции!$O:$O,$F1940)+SUMIFS(операции!$V:$V,операции!$T:$T,"&lt;="&amp;S$9,операции!$X:$X,"&gt;"&amp;S$9,операции!$AB:$AB,"",операции!$L:$L,U$9,операции!$O:$O,$F1940)+SUMIFS(операции!$V:$V,операции!$T:$T,"&lt;="&amp;S$9,операции!$X:$X,"",операции!$AB:$AB,"&gt;"&amp;S$9,операции!$L:$L,U$9,операции!$O:$O,$F1940)+SUMIFS(операции!$V:$V,операции!$T:$T,"&lt;="&amp;S$9,операции!$X:$X,"&gt;"&amp;S$9,операции!$AB:$AB,"&gt;"&amp;S$9,операции!$L:$L,U$9,операции!$O:$O,$F1940)</f>
        <v>4117.05</v>
      </c>
      <c r="V2007" s="243">
        <f>SUMIFS(операции!$V:$V,операции!$T:$T,"&lt;="&amp;S$9,операции!$X:$X,"",операции!$AB:$AB,"",операции!$L:$L,V$9,операции!$O:$O,$F1940)+SUMIFS(операции!$V:$V,операции!$T:$T,"&lt;="&amp;S$9,операции!$X:$X,"&gt;"&amp;S$9,операции!$AB:$AB,"",операции!$L:$L,V$9,операции!$O:$O,$F1940)+SUMIFS(операции!$V:$V,операции!$T:$T,"&lt;="&amp;S$9,операции!$X:$X,"",операции!$AB:$AB,"&gt;"&amp;S$9,операции!$L:$L,V$9,операции!$O:$O,$F1940)+SUMIFS(операции!$V:$V,операции!$T:$T,"&lt;="&amp;S$9,операции!$X:$X,"&gt;"&amp;S$9,операции!$AB:$AB,"&gt;"&amp;S$9,операции!$L:$L,V$9,операции!$O:$O,$F1940)</f>
        <v>16790</v>
      </c>
      <c r="W2007" s="244"/>
      <c r="X2007" s="169">
        <f>SUMIFS(операции!$V:$V,операции!$T:$T,"&lt;="&amp;X$9,операции!$X:$X,"",операции!$AB:$AB,"",операции!$O:$O,$F1940)+SUMIFS(операции!$V:$V,операции!$T:$T,"&lt;="&amp;X$9,операции!$X:$X,"&gt;"&amp;X$9,операции!$AB:$AB,"",операции!$O:$O,$F1940)+SUMIFS(операции!$V:$V,операции!$T:$T,"&lt;="&amp;X$9,операции!$X:$X,"",операции!$AB:$AB,"&gt;"&amp;X$9,операции!$O:$O,$F1940)+SUMIFS(операции!$V:$V,операции!$T:$T,"&lt;="&amp;X$9,операции!$X:$X,"&gt;"&amp;X$9,операции!$AB:$AB,"&gt;"&amp;X$9,операции!$O:$O,$F1940)</f>
        <v>4117.05</v>
      </c>
      <c r="Y2007" s="170">
        <f>X2007-Z2007-AA2007</f>
        <v>0</v>
      </c>
      <c r="Z2007" s="169">
        <f>SUMIFS(операции!$V:$V,операции!$T:$T,"&lt;="&amp;X$9,операции!$X:$X,"",операции!$AB:$AB,"",операции!$L:$L,Z$9,операции!$O:$O,$F1940)+SUMIFS(операции!$V:$V,операции!$T:$T,"&lt;="&amp;X$9,операции!$X:$X,"&gt;"&amp;X$9,операции!$AB:$AB,"",операции!$L:$L,Z$9,операции!$O:$O,$F1940)+SUMIFS(операции!$V:$V,операции!$T:$T,"&lt;="&amp;X$9,операции!$X:$X,"",операции!$AB:$AB,"&gt;"&amp;X$9,операции!$L:$L,Z$9,операции!$O:$O,$F1940)+SUMIFS(операции!$V:$V,операции!$T:$T,"&lt;="&amp;X$9,операции!$X:$X,"&gt;"&amp;X$9,операции!$AB:$AB,"&gt;"&amp;X$9,операции!$L:$L,Z$9,операции!$O:$O,$F1940)</f>
        <v>4117.05</v>
      </c>
      <c r="AA2007" s="243">
        <f>SUMIFS(операции!$V:$V,операции!$T:$T,"&lt;="&amp;X$9,операции!$X:$X,"",операции!$AB:$AB,"",операции!$L:$L,AA$9,операции!$O:$O,$F1940)+SUMIFS(операции!$V:$V,операции!$T:$T,"&lt;="&amp;X$9,операции!$X:$X,"&gt;"&amp;X$9,операции!$AB:$AB,"",операции!$L:$L,AA$9,операции!$O:$O,$F1940)+SUMIFS(операции!$V:$V,операции!$T:$T,"&lt;="&amp;X$9,операции!$X:$X,"",операции!$AB:$AB,"&gt;"&amp;X$9,операции!$L:$L,AA$9,операции!$O:$O,$F1940)+SUMIFS(операции!$V:$V,операции!$T:$T,"&lt;="&amp;X$9,операции!$X:$X,"&gt;"&amp;X$9,операции!$AB:$AB,"&gt;"&amp;X$9,операции!$L:$L,AA$9,операции!$O:$O,$F1940)</f>
        <v>0</v>
      </c>
      <c r="AB2007" s="266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</row>
    <row r="2008" spans="1:42" s="192" customFormat="1" ht="11.25">
      <c r="A2008" s="37"/>
      <c r="B2008" s="37"/>
      <c r="C2008" s="37"/>
      <c r="D2008" s="191"/>
      <c r="E2008" s="191" t="s">
        <v>255</v>
      </c>
      <c r="F2008" s="191" t="str">
        <f t="shared" si="3460"/>
        <v>ЭлектроФор</v>
      </c>
      <c r="G2008" s="191" t="s">
        <v>262</v>
      </c>
      <c r="H2008" s="315"/>
      <c r="I2008" s="316">
        <f>IF(I2007=0,0,(SUMIFS(операции!$AF:$AF,операции!$T:$T,"&lt;="&amp;I$9,операции!$X:$X,"",операции!$AB:$AB,"",операции!$O:$O,$F1940)+SUMIFS(операции!$AF:$AF,операции!$T:$T,"&lt;="&amp;I$9,операции!$X:$X,"&gt;"&amp;I$9,операции!$AB:$AB,"",операции!$O:$O,$F1940)+SUMIFS(операции!$AF:$AF,операции!$T:$T,"&lt;="&amp;I$9,операции!$X:$X,"",операции!$AB:$AB,"&gt;"&amp;I$9,операции!$O:$O,$F1940)+SUMIFS(операции!$AF:$AF,операции!$T:$T,"&lt;="&amp;I$9,операции!$X:$X,"&gt;"&amp;I$9,операции!$AB:$AB,"&gt;"&amp;I$9,операции!$O:$O,$F1940))/I2007)</f>
        <v>42263</v>
      </c>
      <c r="J2008" s="317"/>
      <c r="K2008" s="316">
        <f>IF(K2007=0,0,(SUMIFS(операции!$AF:$AF,операции!$T:$T,"&lt;="&amp;I$9,операции!$X:$X,"",операции!$AB:$AB,"",операции!$L:$L,K$9,операции!$O:$O,$F1940)+SUMIFS(операции!$AF:$AF,операции!$T:$T,"&lt;="&amp;I$9,операции!$X:$X,"&gt;"&amp;I$9,операции!$AB:$AB,"",операции!$L:$L,K$9,операции!$O:$O,$F1940)+SUMIFS(операции!$AF:$AF,операции!$T:$T,"&lt;="&amp;I$9,операции!$X:$X,"",операции!$AB:$AB,"&gt;"&amp;I$9,операции!$L:$L,K$9,операции!$O:$O,$F1940)+SUMIFS(операции!$AF:$AF,операции!$T:$T,"&lt;="&amp;I$9,операции!$X:$X,"&gt;"&amp;I$9,операции!$AB:$AB,"&gt;"&amp;I$9,операции!$L:$L,K$9,операции!$O:$O,$F1940))/K2007)</f>
        <v>42263</v>
      </c>
      <c r="L2008" s="318">
        <f>IF(L2007=0,0,(SUMIFS(операции!$AF:$AF,операции!$T:$T,"&lt;="&amp;I$9,операции!$X:$X,"",операции!$AB:$AB,"",операции!$L:$L,L$9,операции!$O:$O,$F1940)+SUMIFS(операции!$AF:$AF,операции!$T:$T,"&lt;="&amp;I$9,операции!$X:$X,"&gt;"&amp;I$9,операции!$AB:$AB,"",операции!$L:$L,L$9,операции!$O:$O,$F1940)+SUMIFS(операции!$AF:$AF,операции!$T:$T,"&lt;="&amp;I$9,операции!$X:$X,"",операции!$AB:$AB,"&gt;"&amp;I$9,операции!$L:$L,L$9,операции!$O:$O,$F1940)+SUMIFS(операции!$AF:$AF,операции!$T:$T,"&lt;="&amp;I$9,операции!$X:$X,"&gt;"&amp;I$9,операции!$AB:$AB,"&gt;"&amp;I$9,операции!$L:$L,L$9,операции!$O:$O,$F1940))/L2007)</f>
        <v>0</v>
      </c>
      <c r="M2008" s="274"/>
      <c r="N2008" s="193">
        <f>IF(N2007=0,0,(SUMIFS(операции!$AF:$AF,операции!$T:$T,"&lt;="&amp;N$9,операции!$X:$X,"",операции!$AB:$AB,"",операции!$O:$O,$F1940)+SUMIFS(операции!$AF:$AF,операции!$T:$T,"&lt;="&amp;N$9,операции!$X:$X,"&gt;"&amp;N$9,операции!$AB:$AB,"",операции!$O:$O,$F1940)+SUMIFS(операции!$AF:$AF,операции!$T:$T,"&lt;="&amp;N$9,операции!$X:$X,"",операции!$AB:$AB,"&gt;"&amp;N$9,операции!$O:$O,$F1940)+SUMIFS(операции!$AF:$AF,операции!$T:$T,"&lt;="&amp;N$9,операции!$X:$X,"&gt;"&amp;N$9,операции!$AB:$AB,"&gt;"&amp;N$9,операции!$O:$O,$F1940))/N2007)</f>
        <v>42262.182223430922</v>
      </c>
      <c r="O2008" s="196"/>
      <c r="P2008" s="193">
        <f>IF(P2007=0,0,(SUMIFS(операции!$AF:$AF,операции!$T:$T,"&lt;="&amp;N$9,операции!$X:$X,"",операции!$AB:$AB,"",операции!$L:$L,P$9,операции!$O:$O,$F1940)+SUMIFS(операции!$AF:$AF,операции!$T:$T,"&lt;="&amp;N$9,операции!$X:$X,"&gt;"&amp;N$9,операции!$AB:$AB,"",операции!$L:$L,P$9,операции!$O:$O,$F1940)+SUMIFS(операции!$AF:$AF,операции!$T:$T,"&lt;="&amp;N$9,операции!$X:$X,"",операции!$AB:$AB,"&gt;"&amp;N$9,операции!$L:$L,P$9,операции!$O:$O,$F1940)+SUMIFS(операции!$AF:$AF,операции!$T:$T,"&lt;="&amp;N$9,операции!$X:$X,"&gt;"&amp;N$9,операции!$AB:$AB,"&gt;"&amp;N$9,операции!$L:$L,P$9,операции!$O:$O,$F1940))/P2007)</f>
        <v>42262.182223430922</v>
      </c>
      <c r="Q2008" s="237">
        <f>IF(Q2007=0,0,(SUMIFS(операции!$AF:$AF,операции!$T:$T,"&lt;="&amp;N$9,операции!$X:$X,"",операции!$AB:$AB,"",операции!$L:$L,Q$9,операции!$O:$O,$F1940)+SUMIFS(операции!$AF:$AF,операции!$T:$T,"&lt;="&amp;N$9,операции!$X:$X,"&gt;"&amp;N$9,операции!$AB:$AB,"",операции!$L:$L,Q$9,операции!$O:$O,$F1940)+SUMIFS(операции!$AF:$AF,операции!$T:$T,"&lt;="&amp;N$9,операции!$X:$X,"",операции!$AB:$AB,"&gt;"&amp;N$9,операции!$L:$L,Q$9,операции!$O:$O,$F1940)+SUMIFS(операции!$AF:$AF,операции!$T:$T,"&lt;="&amp;N$9,операции!$X:$X,"&gt;"&amp;N$9,операции!$AB:$AB,"&gt;"&amp;N$9,операции!$L:$L,Q$9,операции!$O:$O,$F1940))/Q2007)</f>
        <v>0</v>
      </c>
      <c r="R2008" s="238"/>
      <c r="S2008" s="193">
        <f>IF(S2007=0,0,(SUMIFS(операции!$AF:$AF,операции!$T:$T,"&lt;="&amp;S$9,операции!$X:$X,"",операции!$AB:$AB,"",операции!$O:$O,$F1940)+SUMIFS(операции!$AF:$AF,операции!$T:$T,"&lt;="&amp;S$9,операции!$X:$X,"&gt;"&amp;S$9,операции!$AB:$AB,"",операции!$O:$O,$F1940)+SUMIFS(операции!$AF:$AF,операции!$T:$T,"&lt;="&amp;S$9,операции!$X:$X,"",операции!$AB:$AB,"&gt;"&amp;S$9,операции!$O:$O,$F1940)+SUMIFS(операции!$AF:$AF,операции!$T:$T,"&lt;="&amp;S$9,операции!$X:$X,"&gt;"&amp;S$9,операции!$AB:$AB,"&gt;"&amp;S$9,операции!$O:$O,$F1940))/S2007)</f>
        <v>42321.930743457349</v>
      </c>
      <c r="T2008" s="196"/>
      <c r="U2008" s="193">
        <f>IF(U2007=0,0,(SUMIFS(операции!$AF:$AF,операции!$T:$T,"&lt;="&amp;S$9,операции!$X:$X,"",операции!$AB:$AB,"",операции!$L:$L,U$9,операции!$O:$O,$F1940)+SUMIFS(операции!$AF:$AF,операции!$T:$T,"&lt;="&amp;S$9,операции!$X:$X,"&gt;"&amp;S$9,операции!$AB:$AB,"",операции!$L:$L,U$9,операции!$O:$O,$F1940)+SUMIFS(операции!$AF:$AF,операции!$T:$T,"&lt;="&amp;S$9,операции!$X:$X,"",операции!$AB:$AB,"&gt;"&amp;S$9,операции!$L:$L,U$9,операции!$O:$O,$F1940)+SUMIFS(операции!$AF:$AF,операции!$T:$T,"&lt;="&amp;S$9,операции!$X:$X,"&gt;"&amp;S$9,операции!$AB:$AB,"&gt;"&amp;S$9,операции!$L:$L,U$9,операции!$O:$O,$F1940))/U2007)</f>
        <v>42263</v>
      </c>
      <c r="V2008" s="237">
        <f>IF(V2007=0,0,(SUMIFS(операции!$AF:$AF,операции!$T:$T,"&lt;="&amp;S$9,операции!$X:$X,"",операции!$AB:$AB,"",операции!$L:$L,V$9,операции!$O:$O,$F1940)+SUMIFS(операции!$AF:$AF,операции!$T:$T,"&lt;="&amp;S$9,операции!$X:$X,"&gt;"&amp;S$9,операции!$AB:$AB,"",операции!$L:$L,V$9,операции!$O:$O,$F1940)+SUMIFS(операции!$AF:$AF,операции!$T:$T,"&lt;="&amp;S$9,операции!$X:$X,"",операции!$AB:$AB,"&gt;"&amp;S$9,операции!$L:$L,V$9,операции!$O:$O,$F1940)+SUMIFS(операции!$AF:$AF,операции!$T:$T,"&lt;="&amp;S$9,операции!$X:$X,"&gt;"&amp;S$9,операции!$AB:$AB,"&gt;"&amp;S$9,операции!$L:$L,V$9,операции!$O:$O,$F1940))/V2007)</f>
        <v>42336.381060154854</v>
      </c>
      <c r="W2008" s="238"/>
      <c r="X2008" s="193">
        <f>IF(X2007=0,0,(SUMIFS(операции!$AF:$AF,операции!$T:$T,"&lt;="&amp;X$9,операции!$X:$X,"",операции!$AB:$AB,"",операции!$O:$O,$F1940)+SUMIFS(операции!$AF:$AF,операции!$T:$T,"&lt;="&amp;X$9,операции!$X:$X,"&gt;"&amp;X$9,операции!$AB:$AB,"",операции!$O:$O,$F1940)+SUMIFS(операции!$AF:$AF,операции!$T:$T,"&lt;="&amp;X$9,операции!$X:$X,"",операции!$AB:$AB,"&gt;"&amp;X$9,операции!$O:$O,$F1940)+SUMIFS(операции!$AF:$AF,операции!$T:$T,"&lt;="&amp;X$9,операции!$X:$X,"&gt;"&amp;X$9,операции!$AB:$AB,"&gt;"&amp;X$9,операции!$O:$O,$F1940))/X2007)</f>
        <v>42263</v>
      </c>
      <c r="Y2008" s="196"/>
      <c r="Z2008" s="193">
        <f>IF(Z2007=0,0,(SUMIFS(операции!$AF:$AF,операции!$T:$T,"&lt;="&amp;X$9,операции!$X:$X,"",операции!$AB:$AB,"",операции!$L:$L,Z$9,операции!$O:$O,$F1940)+SUMIFS(операции!$AF:$AF,операции!$T:$T,"&lt;="&amp;X$9,операции!$X:$X,"&gt;"&amp;X$9,операции!$AB:$AB,"",операции!$L:$L,Z$9,операции!$O:$O,$F1940)+SUMIFS(операции!$AF:$AF,операции!$T:$T,"&lt;="&amp;X$9,операции!$X:$X,"",операции!$AB:$AB,"&gt;"&amp;X$9,операции!$L:$L,Z$9,операции!$O:$O,$F1940)+SUMIFS(операции!$AF:$AF,операции!$T:$T,"&lt;="&amp;X$9,операции!$X:$X,"&gt;"&amp;X$9,операции!$AB:$AB,"&gt;"&amp;X$9,операции!$L:$L,Z$9,операции!$O:$O,$F1940))/Z2007)</f>
        <v>42263</v>
      </c>
      <c r="AA2008" s="237">
        <f>IF(AA2007=0,0,(SUMIFS(операции!$AF:$AF,операции!$T:$T,"&lt;="&amp;X$9,операции!$X:$X,"",операции!$AB:$AB,"",операции!$L:$L,AA$9,операции!$O:$O,$F1940)+SUMIFS(операции!$AF:$AF,операции!$T:$T,"&lt;="&amp;X$9,операции!$X:$X,"&gt;"&amp;X$9,операции!$AB:$AB,"",операции!$L:$L,AA$9,операции!$O:$O,$F1940)+SUMIFS(операции!$AF:$AF,операции!$T:$T,"&lt;="&amp;X$9,операции!$X:$X,"",операции!$AB:$AB,"&gt;"&amp;X$9,операции!$L:$L,AA$9,операции!$O:$O,$F1940)+SUMIFS(операции!$AF:$AF,операции!$T:$T,"&lt;="&amp;X$9,операции!$X:$X,"&gt;"&amp;X$9,операции!$AB:$AB,"&gt;"&amp;X$9,операции!$L:$L,AA$9,операции!$O:$O,$F1940))/AA2007)</f>
        <v>0</v>
      </c>
      <c r="AB2008" s="265"/>
      <c r="AC2008" s="37"/>
      <c r="AD2008" s="37"/>
      <c r="AE2008" s="37"/>
      <c r="AF2008" s="37"/>
      <c r="AG2008" s="37"/>
      <c r="AH2008" s="37"/>
      <c r="AI2008" s="37"/>
      <c r="AJ2008" s="37"/>
      <c r="AK2008" s="37"/>
      <c r="AL2008" s="37"/>
      <c r="AM2008" s="37"/>
      <c r="AN2008" s="37"/>
      <c r="AO2008" s="37"/>
      <c r="AP2008" s="37"/>
    </row>
    <row r="2009" spans="1:42" s="192" customFormat="1" ht="11.25">
      <c r="A2009" s="37"/>
      <c r="B2009" s="37"/>
      <c r="C2009" s="37"/>
      <c r="D2009" s="191"/>
      <c r="E2009" s="191" t="s">
        <v>287</v>
      </c>
      <c r="F2009" s="191" t="str">
        <f t="shared" ref="F2009:F2012" si="3593">F2008</f>
        <v>ЭлектроФор</v>
      </c>
      <c r="G2009" s="191" t="s">
        <v>219</v>
      </c>
      <c r="H2009" s="315"/>
      <c r="I2009" s="329">
        <f>IF(I2007=0,0,I$9-I2008)</f>
        <v>106</v>
      </c>
      <c r="J2009" s="317"/>
      <c r="K2009" s="329">
        <f>IF(K2007=0,0,I$9-K2008)</f>
        <v>106</v>
      </c>
      <c r="L2009" s="330">
        <f>IF(L2007=0,0,I$9-L2008)</f>
        <v>0</v>
      </c>
      <c r="M2009" s="274"/>
      <c r="N2009" s="156">
        <f>IF(N2007=0,0,N$9-N2008)</f>
        <v>45.817776569077978</v>
      </c>
      <c r="O2009" s="196"/>
      <c r="P2009" s="156">
        <f>IF(P2007=0,0,N$9-P2008)</f>
        <v>45.817776569077978</v>
      </c>
      <c r="Q2009" s="245">
        <f>IF(Q2007=0,0,N$9-Q2008)</f>
        <v>0</v>
      </c>
      <c r="R2009" s="238"/>
      <c r="S2009" s="156">
        <f>IF(S2007=0,0,S$9-S2008)</f>
        <v>16.069256542650692</v>
      </c>
      <c r="T2009" s="196"/>
      <c r="U2009" s="156">
        <f>IF(U2007=0,0,S$9-U2008)</f>
        <v>75</v>
      </c>
      <c r="V2009" s="245">
        <f>IF(V2007=0,0,S$9-V2008)</f>
        <v>1.6189398451460875</v>
      </c>
      <c r="W2009" s="238"/>
      <c r="X2009" s="156">
        <f>IF(X2007=0,0,X$9-X2008)</f>
        <v>106</v>
      </c>
      <c r="Y2009" s="196"/>
      <c r="Z2009" s="156">
        <f>IF(Z2007=0,0,X$9-Z2008)</f>
        <v>106</v>
      </c>
      <c r="AA2009" s="245">
        <f>IF(AA2007=0,0,X$9-AA2008)</f>
        <v>0</v>
      </c>
      <c r="AB2009" s="265"/>
      <c r="AC2009" s="37"/>
      <c r="AD2009" s="37"/>
      <c r="AE2009" s="37"/>
      <c r="AF2009" s="37"/>
      <c r="AG2009" s="37"/>
      <c r="AH2009" s="37"/>
      <c r="AI2009" s="37"/>
      <c r="AJ2009" s="37"/>
      <c r="AK2009" s="37"/>
      <c r="AL2009" s="37"/>
      <c r="AM2009" s="37"/>
      <c r="AN2009" s="37"/>
      <c r="AO2009" s="37"/>
      <c r="AP2009" s="37"/>
    </row>
    <row r="2010" spans="1:42" s="192" customFormat="1" ht="11.25">
      <c r="A2010" s="37"/>
      <c r="B2010" s="37"/>
      <c r="C2010" s="37"/>
      <c r="D2010" s="191"/>
      <c r="E2010" s="191" t="s">
        <v>311</v>
      </c>
      <c r="F2010" s="191" t="str">
        <f t="shared" si="3593"/>
        <v>ЭлектроФор</v>
      </c>
      <c r="G2010" s="191" t="s">
        <v>262</v>
      </c>
      <c r="H2010" s="315"/>
      <c r="I2010" s="316">
        <f>I$9</f>
        <v>42369</v>
      </c>
      <c r="J2010" s="317"/>
      <c r="K2010" s="316">
        <f>I$9</f>
        <v>42369</v>
      </c>
      <c r="L2010" s="318">
        <f>I$9</f>
        <v>42369</v>
      </c>
      <c r="M2010" s="274"/>
      <c r="N2010" s="193">
        <f>N$9</f>
        <v>42308</v>
      </c>
      <c r="O2010" s="196"/>
      <c r="P2010" s="193">
        <f>N$9</f>
        <v>42308</v>
      </c>
      <c r="Q2010" s="237">
        <f>N$9</f>
        <v>42308</v>
      </c>
      <c r="R2010" s="238"/>
      <c r="S2010" s="193">
        <f>S$9</f>
        <v>42338</v>
      </c>
      <c r="T2010" s="196"/>
      <c r="U2010" s="193">
        <f>S$9</f>
        <v>42338</v>
      </c>
      <c r="V2010" s="237">
        <f>S$9</f>
        <v>42338</v>
      </c>
      <c r="W2010" s="238"/>
      <c r="X2010" s="193">
        <f>X$9</f>
        <v>42369</v>
      </c>
      <c r="Y2010" s="196"/>
      <c r="Z2010" s="193">
        <f>X$9</f>
        <v>42369</v>
      </c>
      <c r="AA2010" s="237">
        <f>X$9</f>
        <v>42369</v>
      </c>
      <c r="AB2010" s="265"/>
      <c r="AC2010" s="37"/>
      <c r="AD2010" s="37"/>
      <c r="AE2010" s="37"/>
      <c r="AF2010" s="37"/>
      <c r="AG2010" s="37"/>
      <c r="AH2010" s="37"/>
      <c r="AI2010" s="37"/>
      <c r="AJ2010" s="37"/>
      <c r="AK2010" s="37"/>
      <c r="AL2010" s="37"/>
      <c r="AM2010" s="37"/>
      <c r="AN2010" s="37"/>
      <c r="AO2010" s="37"/>
      <c r="AP2010" s="37"/>
    </row>
    <row r="2011" spans="1:42" s="192" customFormat="1" ht="11.25">
      <c r="A2011" s="37"/>
      <c r="B2011" s="37"/>
      <c r="C2011" s="37"/>
      <c r="D2011" s="191"/>
      <c r="E2011" s="191" t="s">
        <v>288</v>
      </c>
      <c r="F2011" s="191" t="str">
        <f t="shared" si="3593"/>
        <v>ЭлектроФор</v>
      </c>
      <c r="G2011" s="191" t="s">
        <v>219</v>
      </c>
      <c r="H2011" s="315"/>
      <c r="I2011" s="329">
        <f>IF(I2007=0,0,I2010-I2008)</f>
        <v>106</v>
      </c>
      <c r="J2011" s="317"/>
      <c r="K2011" s="329">
        <f>IF(K2007=0,0,K2010-K2008)</f>
        <v>106</v>
      </c>
      <c r="L2011" s="330">
        <f>IF(L2007=0,0,L2010-L2008)</f>
        <v>0</v>
      </c>
      <c r="M2011" s="274"/>
      <c r="N2011" s="156">
        <f>IF(N2007=0,0,N2010-N2008)</f>
        <v>45.817776569077978</v>
      </c>
      <c r="O2011" s="196"/>
      <c r="P2011" s="156">
        <f>IF(P2007=0,0,P2010-P2008)</f>
        <v>45.817776569077978</v>
      </c>
      <c r="Q2011" s="245">
        <f>IF(Q2007=0,0,Q2010-Q2008)</f>
        <v>0</v>
      </c>
      <c r="R2011" s="238"/>
      <c r="S2011" s="156">
        <f>IF(S2007=0,0,S2010-S2008)</f>
        <v>16.069256542650692</v>
      </c>
      <c r="T2011" s="196"/>
      <c r="U2011" s="156">
        <f>IF(U2007=0,0,U2010-U2008)</f>
        <v>75</v>
      </c>
      <c r="V2011" s="245">
        <f>IF(V2007=0,0,V2010-V2008)</f>
        <v>1.6189398451460875</v>
      </c>
      <c r="W2011" s="238"/>
      <c r="X2011" s="156">
        <f>IF(X2007=0,0,X2010-X2008)</f>
        <v>106</v>
      </c>
      <c r="Y2011" s="196"/>
      <c r="Z2011" s="156">
        <f>IF(Z2007=0,0,Z2010-Z2008)</f>
        <v>106</v>
      </c>
      <c r="AA2011" s="245">
        <f>IF(AA2007=0,0,AA2010-AA2008)</f>
        <v>0</v>
      </c>
      <c r="AB2011" s="265"/>
      <c r="AC2011" s="37"/>
      <c r="AD2011" s="37"/>
      <c r="AE2011" s="37"/>
      <c r="AF2011" s="37"/>
      <c r="AG2011" s="37"/>
      <c r="AH2011" s="37"/>
      <c r="AI2011" s="37"/>
      <c r="AJ2011" s="37"/>
      <c r="AK2011" s="37"/>
      <c r="AL2011" s="37"/>
      <c r="AM2011" s="37"/>
      <c r="AN2011" s="37"/>
      <c r="AO2011" s="37"/>
      <c r="AP2011" s="37"/>
    </row>
    <row r="2012" spans="1:42" s="192" customFormat="1" ht="12" thickBot="1">
      <c r="A2012" s="37"/>
      <c r="B2012" s="37"/>
      <c r="C2012" s="37"/>
      <c r="D2012" s="297"/>
      <c r="E2012" s="297" t="s">
        <v>289</v>
      </c>
      <c r="F2012" s="297" t="str">
        <f t="shared" si="3593"/>
        <v>ЭлектроФор</v>
      </c>
      <c r="G2012" s="297" t="s">
        <v>219</v>
      </c>
      <c r="H2012" s="377"/>
      <c r="I2012" s="378">
        <f>I2009-I2011</f>
        <v>0</v>
      </c>
      <c r="J2012" s="379"/>
      <c r="K2012" s="378">
        <f>K2009-K2011</f>
        <v>0</v>
      </c>
      <c r="L2012" s="380">
        <f>L2009-L2011</f>
        <v>0</v>
      </c>
      <c r="M2012" s="300"/>
      <c r="N2012" s="298">
        <f>N2009-N2011</f>
        <v>0</v>
      </c>
      <c r="O2012" s="299"/>
      <c r="P2012" s="298">
        <f>P2009-P2011</f>
        <v>0</v>
      </c>
      <c r="Q2012" s="301">
        <f>Q2009-Q2011</f>
        <v>0</v>
      </c>
      <c r="R2012" s="302"/>
      <c r="S2012" s="298">
        <f>S2009-S2011</f>
        <v>0</v>
      </c>
      <c r="T2012" s="299"/>
      <c r="U2012" s="298">
        <f>U2009-U2011</f>
        <v>0</v>
      </c>
      <c r="V2012" s="301">
        <f>V2009-V2011</f>
        <v>0</v>
      </c>
      <c r="W2012" s="302"/>
      <c r="X2012" s="298">
        <f>X2009-X2011</f>
        <v>0</v>
      </c>
      <c r="Y2012" s="299"/>
      <c r="Z2012" s="298">
        <f>Z2009-Z2011</f>
        <v>0</v>
      </c>
      <c r="AA2012" s="301">
        <f>AA2009-AA2011</f>
        <v>0</v>
      </c>
      <c r="AB2012" s="265"/>
      <c r="AC2012" s="37"/>
      <c r="AD2012" s="37"/>
      <c r="AE2012" s="37"/>
      <c r="AF2012" s="37"/>
      <c r="AG2012" s="37"/>
      <c r="AH2012" s="37"/>
      <c r="AI2012" s="37"/>
      <c r="AJ2012" s="37"/>
      <c r="AK2012" s="37"/>
      <c r="AL2012" s="37"/>
      <c r="AM2012" s="37"/>
      <c r="AN2012" s="37"/>
      <c r="AO2012" s="37"/>
      <c r="AP2012" s="37"/>
    </row>
    <row r="2013" spans="1:42">
      <c r="A2013" s="12"/>
      <c r="B2013" s="12"/>
      <c r="C2013" s="12"/>
      <c r="D2013" s="12"/>
      <c r="E2013" s="12"/>
      <c r="F2013" s="12"/>
      <c r="G2013" s="12"/>
      <c r="H2013" s="385"/>
      <c r="I2013" s="386"/>
      <c r="J2013" s="387"/>
      <c r="K2013" s="388"/>
      <c r="L2013" s="388"/>
      <c r="M2013" s="12"/>
      <c r="N2013" s="90"/>
      <c r="O2013" s="104"/>
      <c r="P2013" s="6"/>
      <c r="Q2013" s="6"/>
      <c r="R2013" s="12"/>
      <c r="S2013" s="90"/>
      <c r="T2013" s="104"/>
      <c r="U2013" s="6"/>
      <c r="V2013" s="6"/>
      <c r="W2013" s="12"/>
      <c r="X2013" s="90"/>
      <c r="Y2013" s="104"/>
      <c r="Z2013" s="6"/>
      <c r="AA2013" s="6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</row>
    <row r="2014" spans="1:42">
      <c r="A2014" s="12"/>
      <c r="B2014" s="12"/>
      <c r="C2014" s="12"/>
      <c r="D2014" s="12"/>
      <c r="E2014" s="12"/>
      <c r="F2014" s="12"/>
      <c r="G2014" s="12"/>
      <c r="H2014" s="12"/>
      <c r="I2014" s="1"/>
      <c r="J2014" s="104"/>
      <c r="K2014" s="6"/>
      <c r="L2014" s="6"/>
      <c r="M2014" s="12"/>
      <c r="N2014" s="1"/>
      <c r="O2014" s="104"/>
      <c r="P2014" s="6"/>
      <c r="Q2014" s="6"/>
      <c r="R2014" s="12"/>
      <c r="S2014" s="1"/>
      <c r="T2014" s="104"/>
      <c r="U2014" s="6"/>
      <c r="V2014" s="6"/>
      <c r="W2014" s="12"/>
      <c r="X2014" s="1"/>
      <c r="Y2014" s="104"/>
      <c r="Z2014" s="6"/>
      <c r="AA2014" s="6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</row>
    <row r="2015" spans="1:42">
      <c r="A2015" s="12"/>
      <c r="B2015" s="12"/>
      <c r="C2015" s="12"/>
      <c r="D2015" s="12"/>
      <c r="E2015" s="12"/>
      <c r="F2015" s="12"/>
      <c r="G2015" s="12"/>
      <c r="H2015" s="12"/>
      <c r="I2015" s="1"/>
      <c r="J2015" s="104"/>
      <c r="K2015" s="6"/>
      <c r="L2015" s="6"/>
      <c r="M2015" s="12"/>
      <c r="N2015" s="1"/>
      <c r="O2015" s="104"/>
      <c r="P2015" s="6"/>
      <c r="Q2015" s="6"/>
      <c r="R2015" s="12"/>
      <c r="S2015" s="1"/>
      <c r="T2015" s="104"/>
      <c r="U2015" s="6"/>
      <c r="V2015" s="6"/>
      <c r="W2015" s="12"/>
      <c r="X2015" s="1"/>
      <c r="Y2015" s="104"/>
      <c r="Z2015" s="6"/>
      <c r="AA2015" s="6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</row>
    <row r="2016" spans="1:42">
      <c r="A2016" s="12"/>
      <c r="B2016" s="12"/>
      <c r="C2016" s="12"/>
      <c r="D2016" s="12"/>
      <c r="E2016" s="12"/>
      <c r="F2016" s="12"/>
      <c r="G2016" s="12"/>
      <c r="H2016" s="12"/>
      <c r="I2016" s="1"/>
      <c r="J2016" s="104"/>
      <c r="K2016" s="6"/>
      <c r="L2016" s="6"/>
      <c r="M2016" s="12"/>
      <c r="N2016" s="1"/>
      <c r="O2016" s="104"/>
      <c r="P2016" s="6"/>
      <c r="Q2016" s="6"/>
      <c r="R2016" s="12"/>
      <c r="S2016" s="1"/>
      <c r="T2016" s="104"/>
      <c r="U2016" s="6"/>
      <c r="V2016" s="6"/>
      <c r="W2016" s="12"/>
      <c r="X2016" s="1"/>
      <c r="Y2016" s="104"/>
      <c r="Z2016" s="6"/>
      <c r="AA2016" s="6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</row>
    <row r="2017" spans="1:42">
      <c r="A2017" s="12"/>
      <c r="B2017" s="12"/>
      <c r="C2017" s="12"/>
      <c r="D2017" s="12"/>
      <c r="E2017" s="12"/>
      <c r="F2017" s="12"/>
      <c r="G2017" s="12"/>
      <c r="H2017" s="12"/>
      <c r="I2017" s="1"/>
      <c r="J2017" s="104"/>
      <c r="K2017" s="6"/>
      <c r="L2017" s="6"/>
      <c r="M2017" s="12"/>
      <c r="N2017" s="1"/>
      <c r="O2017" s="104"/>
      <c r="P2017" s="6"/>
      <c r="Q2017" s="6"/>
      <c r="R2017" s="12"/>
      <c r="S2017" s="1"/>
      <c r="T2017" s="104"/>
      <c r="U2017" s="6"/>
      <c r="V2017" s="6"/>
      <c r="W2017" s="12"/>
      <c r="X2017" s="1"/>
      <c r="Y2017" s="104"/>
      <c r="Z2017" s="6"/>
      <c r="AA2017" s="6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</row>
    <row r="2018" spans="1:42">
      <c r="A2018" s="12"/>
      <c r="B2018" s="12"/>
      <c r="C2018" s="12"/>
      <c r="D2018" s="12"/>
      <c r="E2018" s="12"/>
      <c r="F2018" s="12"/>
      <c r="G2018" s="12"/>
      <c r="H2018" s="12"/>
      <c r="I2018" s="1"/>
      <c r="J2018" s="104"/>
      <c r="K2018" s="6"/>
      <c r="L2018" s="6"/>
      <c r="M2018" s="12"/>
      <c r="N2018" s="1"/>
      <c r="O2018" s="104"/>
      <c r="P2018" s="6"/>
      <c r="Q2018" s="6"/>
      <c r="R2018" s="12"/>
      <c r="S2018" s="1"/>
      <c r="T2018" s="104"/>
      <c r="U2018" s="6"/>
      <c r="V2018" s="6"/>
      <c r="W2018" s="12"/>
      <c r="X2018" s="1"/>
      <c r="Y2018" s="104"/>
      <c r="Z2018" s="6"/>
      <c r="AA2018" s="6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</row>
    <row r="2019" spans="1:42">
      <c r="A2019" s="12"/>
      <c r="B2019" s="12"/>
      <c r="C2019" s="12"/>
      <c r="D2019" s="12"/>
      <c r="E2019" s="12"/>
      <c r="F2019" s="12"/>
      <c r="G2019" s="12"/>
      <c r="H2019" s="12"/>
      <c r="I2019" s="1"/>
      <c r="J2019" s="104"/>
      <c r="K2019" s="6"/>
      <c r="L2019" s="6"/>
      <c r="M2019" s="12"/>
      <c r="N2019" s="1"/>
      <c r="O2019" s="104"/>
      <c r="P2019" s="6"/>
      <c r="Q2019" s="6"/>
      <c r="R2019" s="12"/>
      <c r="S2019" s="1"/>
      <c r="T2019" s="104"/>
      <c r="U2019" s="6"/>
      <c r="V2019" s="6"/>
      <c r="W2019" s="12"/>
      <c r="X2019" s="1"/>
      <c r="Y2019" s="104"/>
      <c r="Z2019" s="6"/>
      <c r="AA2019" s="6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</row>
    <row r="2020" spans="1:42">
      <c r="A2020" s="12"/>
      <c r="B2020" s="12"/>
      <c r="C2020" s="12"/>
      <c r="D2020" s="12"/>
      <c r="E2020" s="12"/>
      <c r="F2020" s="12"/>
      <c r="G2020" s="12"/>
      <c r="H2020" s="12"/>
      <c r="I2020" s="1"/>
      <c r="J2020" s="104"/>
      <c r="K2020" s="6"/>
      <c r="L2020" s="6"/>
      <c r="M2020" s="12"/>
      <c r="N2020" s="1"/>
      <c r="O2020" s="104"/>
      <c r="P2020" s="6"/>
      <c r="Q2020" s="6"/>
      <c r="R2020" s="12"/>
      <c r="S2020" s="1"/>
      <c r="T2020" s="104"/>
      <c r="U2020" s="6"/>
      <c r="V2020" s="6"/>
      <c r="W2020" s="12"/>
      <c r="X2020" s="1"/>
      <c r="Y2020" s="104"/>
      <c r="Z2020" s="6"/>
      <c r="AA2020" s="6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</row>
    <row r="2021" spans="1:42">
      <c r="A2021" s="12"/>
      <c r="B2021" s="12"/>
      <c r="C2021" s="12"/>
      <c r="D2021" s="12"/>
      <c r="E2021" s="12"/>
      <c r="F2021" s="12"/>
      <c r="G2021" s="12"/>
      <c r="H2021" s="12"/>
      <c r="I2021" s="1"/>
      <c r="J2021" s="104"/>
      <c r="K2021" s="6"/>
      <c r="L2021" s="6"/>
      <c r="M2021" s="12"/>
      <c r="N2021" s="1"/>
      <c r="O2021" s="104"/>
      <c r="P2021" s="6"/>
      <c r="Q2021" s="6"/>
      <c r="R2021" s="12"/>
      <c r="S2021" s="1"/>
      <c r="T2021" s="104"/>
      <c r="U2021" s="6"/>
      <c r="V2021" s="6"/>
      <c r="W2021" s="12"/>
      <c r="X2021" s="1"/>
      <c r="Y2021" s="104"/>
      <c r="Z2021" s="6"/>
      <c r="AA2021" s="6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</row>
    <row r="2022" spans="1:42">
      <c r="A2022" s="12"/>
      <c r="B2022" s="12"/>
      <c r="C2022" s="12"/>
      <c r="D2022" s="12"/>
      <c r="E2022" s="12"/>
      <c r="F2022" s="12"/>
      <c r="G2022" s="12"/>
      <c r="H2022" s="12"/>
      <c r="I2022" s="1"/>
      <c r="J2022" s="104"/>
      <c r="K2022" s="6"/>
      <c r="L2022" s="6"/>
      <c r="M2022" s="12"/>
      <c r="N2022" s="1"/>
      <c r="O2022" s="104"/>
      <c r="P2022" s="6"/>
      <c r="Q2022" s="6"/>
      <c r="R2022" s="12"/>
      <c r="S2022" s="1"/>
      <c r="T2022" s="104"/>
      <c r="U2022" s="6"/>
      <c r="V2022" s="6"/>
      <c r="W2022" s="12"/>
      <c r="X2022" s="1"/>
      <c r="Y2022" s="104"/>
      <c r="Z2022" s="6"/>
      <c r="AA2022" s="6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</row>
    <row r="2023" spans="1:42">
      <c r="A2023" s="12"/>
      <c r="B2023" s="12"/>
      <c r="C2023" s="12"/>
      <c r="D2023" s="12"/>
      <c r="E2023" s="12"/>
      <c r="F2023" s="12"/>
      <c r="G2023" s="12"/>
      <c r="H2023" s="12"/>
      <c r="I2023" s="1"/>
      <c r="J2023" s="104"/>
      <c r="K2023" s="6"/>
      <c r="L2023" s="6"/>
      <c r="M2023" s="12"/>
      <c r="N2023" s="1"/>
      <c r="O2023" s="104"/>
      <c r="P2023" s="6"/>
      <c r="Q2023" s="6"/>
      <c r="R2023" s="12"/>
      <c r="S2023" s="1"/>
      <c r="T2023" s="104"/>
      <c r="U2023" s="6"/>
      <c r="V2023" s="6"/>
      <c r="W2023" s="12"/>
      <c r="X2023" s="1"/>
      <c r="Y2023" s="104"/>
      <c r="Z2023" s="6"/>
      <c r="AA2023" s="6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</row>
    <row r="2024" spans="1:42">
      <c r="A2024" s="12"/>
      <c r="B2024" s="12"/>
      <c r="C2024" s="12"/>
      <c r="D2024" s="12"/>
      <c r="E2024" s="12"/>
      <c r="F2024" s="12"/>
      <c r="G2024" s="12"/>
      <c r="H2024" s="12"/>
      <c r="I2024" s="1"/>
      <c r="J2024" s="104"/>
      <c r="K2024" s="6"/>
      <c r="L2024" s="6"/>
      <c r="M2024" s="12"/>
      <c r="N2024" s="1"/>
      <c r="O2024" s="104"/>
      <c r="P2024" s="6"/>
      <c r="Q2024" s="6"/>
      <c r="R2024" s="12"/>
      <c r="S2024" s="1"/>
      <c r="T2024" s="104"/>
      <c r="U2024" s="6"/>
      <c r="V2024" s="6"/>
      <c r="W2024" s="12"/>
      <c r="X2024" s="1"/>
      <c r="Y2024" s="104"/>
      <c r="Z2024" s="6"/>
      <c r="AA2024" s="6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</row>
    <row r="2025" spans="1:42">
      <c r="A2025" s="12"/>
      <c r="B2025" s="12"/>
      <c r="C2025" s="12"/>
      <c r="D2025" s="12"/>
      <c r="E2025" s="12"/>
      <c r="F2025" s="12"/>
      <c r="G2025" s="12"/>
      <c r="H2025" s="12"/>
      <c r="I2025" s="1"/>
      <c r="J2025" s="104"/>
      <c r="K2025" s="6"/>
      <c r="L2025" s="6"/>
      <c r="M2025" s="12"/>
      <c r="N2025" s="1"/>
      <c r="O2025" s="104"/>
      <c r="P2025" s="6"/>
      <c r="Q2025" s="6"/>
      <c r="R2025" s="12"/>
      <c r="S2025" s="1"/>
      <c r="T2025" s="104"/>
      <c r="U2025" s="6"/>
      <c r="V2025" s="6"/>
      <c r="W2025" s="12"/>
      <c r="X2025" s="1"/>
      <c r="Y2025" s="104"/>
      <c r="Z2025" s="6"/>
      <c r="AA2025" s="6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</row>
    <row r="2026" spans="1:42">
      <c r="A2026" s="12"/>
      <c r="B2026" s="12"/>
      <c r="C2026" s="12"/>
      <c r="D2026" s="12"/>
      <c r="E2026" s="12"/>
      <c r="F2026" s="12"/>
      <c r="G2026" s="12"/>
      <c r="H2026" s="12"/>
      <c r="I2026" s="1"/>
      <c r="J2026" s="104"/>
      <c r="K2026" s="6"/>
      <c r="L2026" s="6"/>
      <c r="M2026" s="12"/>
      <c r="N2026" s="1"/>
      <c r="O2026" s="104"/>
      <c r="P2026" s="6"/>
      <c r="Q2026" s="6"/>
      <c r="R2026" s="12"/>
      <c r="S2026" s="1"/>
      <c r="T2026" s="104"/>
      <c r="U2026" s="6"/>
      <c r="V2026" s="6"/>
      <c r="W2026" s="12"/>
      <c r="X2026" s="1"/>
      <c r="Y2026" s="104"/>
      <c r="Z2026" s="6"/>
      <c r="AA2026" s="6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</row>
    <row r="2027" spans="1:42">
      <c r="A2027" s="12"/>
      <c r="B2027" s="12"/>
      <c r="C2027" s="12"/>
      <c r="D2027" s="12"/>
      <c r="E2027" s="12"/>
      <c r="F2027" s="12"/>
      <c r="G2027" s="12"/>
      <c r="H2027" s="12"/>
      <c r="I2027" s="1"/>
      <c r="J2027" s="104"/>
      <c r="K2027" s="6"/>
      <c r="L2027" s="6"/>
      <c r="M2027" s="12"/>
      <c r="N2027" s="1"/>
      <c r="O2027" s="104"/>
      <c r="P2027" s="6"/>
      <c r="Q2027" s="6"/>
      <c r="R2027" s="12"/>
      <c r="S2027" s="1"/>
      <c r="T2027" s="104"/>
      <c r="U2027" s="6"/>
      <c r="V2027" s="6"/>
      <c r="W2027" s="12"/>
      <c r="X2027" s="1"/>
      <c r="Y2027" s="104"/>
      <c r="Z2027" s="6"/>
      <c r="AA2027" s="6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</row>
    <row r="2028" spans="1:42">
      <c r="A2028" s="12"/>
      <c r="B2028" s="12"/>
      <c r="C2028" s="12"/>
      <c r="D2028" s="12"/>
      <c r="E2028" s="12"/>
      <c r="F2028" s="12"/>
      <c r="G2028" s="12"/>
      <c r="H2028" s="12"/>
      <c r="I2028" s="1"/>
      <c r="J2028" s="104"/>
      <c r="K2028" s="6"/>
      <c r="L2028" s="6"/>
      <c r="M2028" s="12"/>
      <c r="N2028" s="1"/>
      <c r="O2028" s="104"/>
      <c r="P2028" s="6"/>
      <c r="Q2028" s="6"/>
      <c r="R2028" s="12"/>
      <c r="S2028" s="1"/>
      <c r="T2028" s="104"/>
      <c r="U2028" s="6"/>
      <c r="V2028" s="6"/>
      <c r="W2028" s="12"/>
      <c r="X2028" s="1"/>
      <c r="Y2028" s="104"/>
      <c r="Z2028" s="6"/>
      <c r="AA2028" s="6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</row>
    <row r="2029" spans="1:42">
      <c r="A2029" s="12"/>
      <c r="B2029" s="12"/>
      <c r="C2029" s="12"/>
      <c r="D2029" s="12"/>
      <c r="E2029" s="12"/>
      <c r="F2029" s="12"/>
      <c r="G2029" s="12"/>
      <c r="H2029" s="12"/>
      <c r="I2029" s="1"/>
      <c r="J2029" s="104"/>
      <c r="K2029" s="6"/>
      <c r="L2029" s="6"/>
      <c r="M2029" s="12"/>
      <c r="N2029" s="1"/>
      <c r="O2029" s="104"/>
      <c r="P2029" s="6"/>
      <c r="Q2029" s="6"/>
      <c r="R2029" s="12"/>
      <c r="S2029" s="1"/>
      <c r="T2029" s="104"/>
      <c r="U2029" s="6"/>
      <c r="V2029" s="6"/>
      <c r="W2029" s="12"/>
      <c r="X2029" s="1"/>
      <c r="Y2029" s="104"/>
      <c r="Z2029" s="6"/>
      <c r="AA2029" s="6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</row>
    <row r="2030" spans="1:42">
      <c r="A2030" s="12"/>
      <c r="B2030" s="12"/>
      <c r="C2030" s="12"/>
      <c r="D2030" s="12"/>
      <c r="E2030" s="12"/>
      <c r="F2030" s="12"/>
      <c r="G2030" s="12"/>
      <c r="H2030" s="12"/>
      <c r="I2030" s="1"/>
      <c r="J2030" s="104"/>
      <c r="K2030" s="6"/>
      <c r="L2030" s="6"/>
      <c r="M2030" s="12"/>
      <c r="N2030" s="1"/>
      <c r="O2030" s="104"/>
      <c r="P2030" s="6"/>
      <c r="Q2030" s="6"/>
      <c r="R2030" s="12"/>
      <c r="S2030" s="1"/>
      <c r="T2030" s="104"/>
      <c r="U2030" s="6"/>
      <c r="V2030" s="6"/>
      <c r="W2030" s="12"/>
      <c r="X2030" s="1"/>
      <c r="Y2030" s="104"/>
      <c r="Z2030" s="6"/>
      <c r="AA2030" s="6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</row>
    <row r="2031" spans="1:42">
      <c r="A2031" s="12"/>
      <c r="B2031" s="12"/>
      <c r="C2031" s="12"/>
      <c r="D2031" s="12"/>
      <c r="E2031" s="12"/>
      <c r="F2031" s="12"/>
      <c r="G2031" s="12"/>
      <c r="H2031" s="12"/>
      <c r="I2031" s="1"/>
      <c r="J2031" s="104"/>
      <c r="K2031" s="6"/>
      <c r="L2031" s="6"/>
      <c r="M2031" s="12"/>
      <c r="N2031" s="1"/>
      <c r="O2031" s="104"/>
      <c r="P2031" s="6"/>
      <c r="Q2031" s="6"/>
      <c r="R2031" s="12"/>
      <c r="S2031" s="1"/>
      <c r="T2031" s="104"/>
      <c r="U2031" s="6"/>
      <c r="V2031" s="6"/>
      <c r="W2031" s="12"/>
      <c r="X2031" s="1"/>
      <c r="Y2031" s="104"/>
      <c r="Z2031" s="6"/>
      <c r="AA2031" s="6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</row>
    <row r="2032" spans="1:42">
      <c r="A2032" s="12"/>
      <c r="B2032" s="12"/>
      <c r="C2032" s="12"/>
      <c r="D2032" s="12"/>
      <c r="E2032" s="12"/>
      <c r="F2032" s="12"/>
      <c r="G2032" s="12"/>
      <c r="H2032" s="12"/>
      <c r="I2032" s="1"/>
      <c r="J2032" s="104"/>
      <c r="K2032" s="6"/>
      <c r="L2032" s="6"/>
      <c r="M2032" s="12"/>
      <c r="N2032" s="1"/>
      <c r="O2032" s="104"/>
      <c r="P2032" s="6"/>
      <c r="Q2032" s="6"/>
      <c r="R2032" s="12"/>
      <c r="S2032" s="1"/>
      <c r="T2032" s="104"/>
      <c r="U2032" s="6"/>
      <c r="V2032" s="6"/>
      <c r="W2032" s="12"/>
      <c r="X2032" s="1"/>
      <c r="Y2032" s="104"/>
      <c r="Z2032" s="6"/>
      <c r="AA2032" s="6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</row>
    <row r="2033" spans="1:42">
      <c r="A2033" s="12"/>
      <c r="B2033" s="12"/>
      <c r="C2033" s="12"/>
      <c r="D2033" s="12"/>
      <c r="E2033" s="12"/>
      <c r="F2033" s="12"/>
      <c r="G2033" s="12"/>
      <c r="H2033" s="12"/>
      <c r="I2033" s="1"/>
      <c r="J2033" s="104"/>
      <c r="K2033" s="6"/>
      <c r="L2033" s="6"/>
      <c r="M2033" s="12"/>
      <c r="N2033" s="1"/>
      <c r="O2033" s="104"/>
      <c r="P2033" s="6"/>
      <c r="Q2033" s="6"/>
      <c r="R2033" s="12"/>
      <c r="S2033" s="1"/>
      <c r="T2033" s="104"/>
      <c r="U2033" s="6"/>
      <c r="V2033" s="6"/>
      <c r="W2033" s="12"/>
      <c r="X2033" s="1"/>
      <c r="Y2033" s="104"/>
      <c r="Z2033" s="6"/>
      <c r="AA2033" s="6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</row>
    <row r="2034" spans="1:42">
      <c r="A2034" s="12"/>
      <c r="B2034" s="12"/>
      <c r="C2034" s="12"/>
      <c r="D2034" s="12"/>
      <c r="E2034" s="12"/>
      <c r="F2034" s="12"/>
      <c r="G2034" s="12"/>
      <c r="H2034" s="12"/>
      <c r="I2034" s="1"/>
      <c r="J2034" s="104"/>
      <c r="K2034" s="6"/>
      <c r="L2034" s="6"/>
      <c r="M2034" s="12"/>
      <c r="N2034" s="1"/>
      <c r="O2034" s="104"/>
      <c r="P2034" s="6"/>
      <c r="Q2034" s="6"/>
      <c r="R2034" s="12"/>
      <c r="S2034" s="1"/>
      <c r="T2034" s="104"/>
      <c r="U2034" s="6"/>
      <c r="V2034" s="6"/>
      <c r="W2034" s="12"/>
      <c r="X2034" s="1"/>
      <c r="Y2034" s="104"/>
      <c r="Z2034" s="6"/>
      <c r="AA2034" s="6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</row>
    <row r="2035" spans="1:42">
      <c r="A2035" s="12"/>
      <c r="B2035" s="12"/>
      <c r="C2035" s="12"/>
      <c r="D2035" s="12"/>
      <c r="E2035" s="12"/>
      <c r="F2035" s="12"/>
      <c r="G2035" s="12"/>
      <c r="H2035" s="12"/>
      <c r="I2035" s="1"/>
      <c r="J2035" s="104"/>
      <c r="K2035" s="6"/>
      <c r="L2035" s="6"/>
      <c r="M2035" s="12"/>
      <c r="N2035" s="1"/>
      <c r="O2035" s="104"/>
      <c r="P2035" s="6"/>
      <c r="Q2035" s="6"/>
      <c r="R2035" s="12"/>
      <c r="S2035" s="1"/>
      <c r="T2035" s="104"/>
      <c r="U2035" s="6"/>
      <c r="V2035" s="6"/>
      <c r="W2035" s="12"/>
      <c r="X2035" s="1"/>
      <c r="Y2035" s="104"/>
      <c r="Z2035" s="6"/>
      <c r="AA2035" s="6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</row>
    <row r="2036" spans="1:42">
      <c r="A2036" s="12"/>
      <c r="B2036" s="12"/>
      <c r="C2036" s="12"/>
      <c r="D2036" s="12"/>
      <c r="E2036" s="12"/>
      <c r="F2036" s="12"/>
      <c r="G2036" s="12"/>
      <c r="H2036" s="12"/>
      <c r="I2036" s="1"/>
      <c r="J2036" s="104"/>
      <c r="K2036" s="6"/>
      <c r="L2036" s="6"/>
      <c r="M2036" s="12"/>
      <c r="N2036" s="1"/>
      <c r="O2036" s="104"/>
      <c r="P2036" s="6"/>
      <c r="Q2036" s="6"/>
      <c r="R2036" s="12"/>
      <c r="S2036" s="1"/>
      <c r="T2036" s="104"/>
      <c r="U2036" s="6"/>
      <c r="V2036" s="6"/>
      <c r="W2036" s="12"/>
      <c r="X2036" s="1"/>
      <c r="Y2036" s="104"/>
      <c r="Z2036" s="6"/>
      <c r="AA2036" s="6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</row>
    <row r="2037" spans="1:42">
      <c r="A2037" s="12"/>
      <c r="B2037" s="12"/>
      <c r="C2037" s="12"/>
      <c r="D2037" s="12"/>
      <c r="E2037" s="12"/>
      <c r="F2037" s="12"/>
      <c r="G2037" s="12"/>
      <c r="H2037" s="12"/>
      <c r="I2037" s="1"/>
      <c r="J2037" s="104"/>
      <c r="K2037" s="6"/>
      <c r="L2037" s="6"/>
      <c r="M2037" s="12"/>
      <c r="N2037" s="1"/>
      <c r="O2037" s="104"/>
      <c r="P2037" s="6"/>
      <c r="Q2037" s="6"/>
      <c r="R2037" s="12"/>
      <c r="S2037" s="1"/>
      <c r="T2037" s="104"/>
      <c r="U2037" s="6"/>
      <c r="V2037" s="6"/>
      <c r="W2037" s="12"/>
      <c r="X2037" s="1"/>
      <c r="Y2037" s="104"/>
      <c r="Z2037" s="6"/>
      <c r="AA2037" s="6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</row>
    <row r="2038" spans="1:42">
      <c r="A2038" s="12"/>
      <c r="B2038" s="12"/>
      <c r="C2038" s="12"/>
      <c r="D2038" s="12"/>
      <c r="E2038" s="12"/>
      <c r="F2038" s="12"/>
      <c r="G2038" s="12"/>
      <c r="H2038" s="12"/>
      <c r="I2038" s="1"/>
      <c r="J2038" s="104"/>
      <c r="K2038" s="6"/>
      <c r="L2038" s="6"/>
      <c r="M2038" s="12"/>
      <c r="N2038" s="1"/>
      <c r="O2038" s="104"/>
      <c r="P2038" s="6"/>
      <c r="Q2038" s="6"/>
      <c r="R2038" s="12"/>
      <c r="S2038" s="1"/>
      <c r="T2038" s="104"/>
      <c r="U2038" s="6"/>
      <c r="V2038" s="6"/>
      <c r="W2038" s="12"/>
      <c r="X2038" s="1"/>
      <c r="Y2038" s="104"/>
      <c r="Z2038" s="6"/>
      <c r="AA2038" s="6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</row>
    <row r="2039" spans="1:42">
      <c r="A2039" s="12"/>
      <c r="B2039" s="12"/>
      <c r="C2039" s="12"/>
      <c r="D2039" s="12"/>
      <c r="E2039" s="12"/>
      <c r="F2039" s="12"/>
      <c r="G2039" s="12"/>
      <c r="H2039" s="12"/>
      <c r="I2039" s="1"/>
      <c r="J2039" s="104"/>
      <c r="K2039" s="6"/>
      <c r="L2039" s="6"/>
      <c r="M2039" s="12"/>
      <c r="N2039" s="1"/>
      <c r="O2039" s="104"/>
      <c r="P2039" s="6"/>
      <c r="Q2039" s="6"/>
      <c r="R2039" s="12"/>
      <c r="S2039" s="1"/>
      <c r="T2039" s="104"/>
      <c r="U2039" s="6"/>
      <c r="V2039" s="6"/>
      <c r="W2039" s="12"/>
      <c r="X2039" s="1"/>
      <c r="Y2039" s="104"/>
      <c r="Z2039" s="6"/>
      <c r="AA2039" s="6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</row>
    <row r="2040" spans="1:42">
      <c r="A2040" s="12"/>
      <c r="B2040" s="12"/>
      <c r="C2040" s="12"/>
      <c r="D2040" s="12"/>
      <c r="E2040" s="12"/>
      <c r="F2040" s="12"/>
      <c r="G2040" s="12"/>
      <c r="H2040" s="12"/>
      <c r="I2040" s="1"/>
      <c r="J2040" s="104"/>
      <c r="K2040" s="6"/>
      <c r="L2040" s="6"/>
      <c r="M2040" s="12"/>
      <c r="N2040" s="1"/>
      <c r="O2040" s="104"/>
      <c r="P2040" s="6"/>
      <c r="Q2040" s="6"/>
      <c r="R2040" s="12"/>
      <c r="S2040" s="1"/>
      <c r="T2040" s="104"/>
      <c r="U2040" s="6"/>
      <c r="V2040" s="6"/>
      <c r="W2040" s="12"/>
      <c r="X2040" s="1"/>
      <c r="Y2040" s="104"/>
      <c r="Z2040" s="6"/>
      <c r="AA2040" s="6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</row>
    <row r="2041" spans="1:42">
      <c r="A2041" s="12"/>
      <c r="B2041" s="12"/>
      <c r="C2041" s="12"/>
      <c r="D2041" s="12"/>
      <c r="E2041" s="12"/>
      <c r="F2041" s="12"/>
      <c r="G2041" s="12"/>
      <c r="H2041" s="12"/>
      <c r="I2041" s="1"/>
      <c r="J2041" s="104"/>
      <c r="K2041" s="6"/>
      <c r="L2041" s="6"/>
      <c r="M2041" s="12"/>
      <c r="N2041" s="1"/>
      <c r="O2041" s="104"/>
      <c r="P2041" s="6"/>
      <c r="Q2041" s="6"/>
      <c r="R2041" s="12"/>
      <c r="S2041" s="1"/>
      <c r="T2041" s="104"/>
      <c r="U2041" s="6"/>
      <c r="V2041" s="6"/>
      <c r="W2041" s="12"/>
      <c r="X2041" s="1"/>
      <c r="Y2041" s="104"/>
      <c r="Z2041" s="6"/>
      <c r="AA2041" s="6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</row>
    <row r="2042" spans="1:42">
      <c r="A2042" s="12"/>
      <c r="B2042" s="12"/>
      <c r="C2042" s="12"/>
      <c r="D2042" s="12"/>
      <c r="E2042" s="12"/>
      <c r="F2042" s="12"/>
      <c r="G2042" s="12"/>
      <c r="H2042" s="12"/>
      <c r="I2042" s="1"/>
      <c r="J2042" s="104"/>
      <c r="K2042" s="6"/>
      <c r="L2042" s="6"/>
      <c r="M2042" s="12"/>
      <c r="N2042" s="1"/>
      <c r="O2042" s="104"/>
      <c r="P2042" s="6"/>
      <c r="Q2042" s="6"/>
      <c r="R2042" s="12"/>
      <c r="S2042" s="1"/>
      <c r="T2042" s="104"/>
      <c r="U2042" s="6"/>
      <c r="V2042" s="6"/>
      <c r="W2042" s="12"/>
      <c r="X2042" s="1"/>
      <c r="Y2042" s="104"/>
      <c r="Z2042" s="6"/>
      <c r="AA2042" s="6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</row>
    <row r="2043" spans="1:42">
      <c r="A2043" s="12"/>
      <c r="B2043" s="12"/>
      <c r="C2043" s="12"/>
      <c r="D2043" s="12"/>
      <c r="E2043" s="12"/>
      <c r="F2043" s="12"/>
      <c r="G2043" s="12"/>
      <c r="H2043" s="12"/>
      <c r="I2043" s="1"/>
      <c r="J2043" s="104"/>
      <c r="K2043" s="6"/>
      <c r="L2043" s="6"/>
      <c r="M2043" s="12"/>
      <c r="N2043" s="1"/>
      <c r="O2043" s="104"/>
      <c r="P2043" s="6"/>
      <c r="Q2043" s="6"/>
      <c r="R2043" s="12"/>
      <c r="S2043" s="1"/>
      <c r="T2043" s="104"/>
      <c r="U2043" s="6"/>
      <c r="V2043" s="6"/>
      <c r="W2043" s="12"/>
      <c r="X2043" s="1"/>
      <c r="Y2043" s="104"/>
      <c r="Z2043" s="6"/>
      <c r="AA2043" s="6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</row>
    <row r="2044" spans="1:42">
      <c r="A2044" s="12"/>
      <c r="B2044" s="12"/>
      <c r="C2044" s="12"/>
      <c r="D2044" s="12"/>
      <c r="E2044" s="12"/>
      <c r="F2044" s="12"/>
      <c r="G2044" s="12"/>
      <c r="H2044" s="12"/>
      <c r="I2044" s="1"/>
      <c r="J2044" s="104"/>
      <c r="K2044" s="6"/>
      <c r="L2044" s="6"/>
      <c r="M2044" s="12"/>
      <c r="N2044" s="1"/>
      <c r="O2044" s="104"/>
      <c r="P2044" s="6"/>
      <c r="Q2044" s="6"/>
      <c r="R2044" s="12"/>
      <c r="S2044" s="1"/>
      <c r="T2044" s="104"/>
      <c r="U2044" s="6"/>
      <c r="V2044" s="6"/>
      <c r="W2044" s="12"/>
      <c r="X2044" s="1"/>
      <c r="Y2044" s="104"/>
      <c r="Z2044" s="6"/>
      <c r="AA2044" s="6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</row>
    <row r="2045" spans="1:42">
      <c r="A2045" s="12"/>
      <c r="B2045" s="12"/>
      <c r="C2045" s="12"/>
      <c r="D2045" s="12"/>
      <c r="E2045" s="12"/>
      <c r="F2045" s="12"/>
      <c r="G2045" s="12"/>
      <c r="H2045" s="12"/>
      <c r="I2045" s="1"/>
      <c r="J2045" s="104"/>
      <c r="K2045" s="6"/>
      <c r="L2045" s="6"/>
      <c r="M2045" s="12"/>
      <c r="N2045" s="1"/>
      <c r="O2045" s="104"/>
      <c r="P2045" s="6"/>
      <c r="Q2045" s="6"/>
      <c r="R2045" s="12"/>
      <c r="S2045" s="1"/>
      <c r="T2045" s="104"/>
      <c r="U2045" s="6"/>
      <c r="V2045" s="6"/>
      <c r="W2045" s="12"/>
      <c r="X2045" s="1"/>
      <c r="Y2045" s="104"/>
      <c r="Z2045" s="6"/>
      <c r="AA2045" s="6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</row>
    <row r="2046" spans="1:42">
      <c r="A2046" s="12"/>
      <c r="B2046" s="12"/>
      <c r="C2046" s="12"/>
      <c r="D2046" s="12"/>
      <c r="E2046" s="12"/>
      <c r="F2046" s="12"/>
      <c r="G2046" s="12"/>
      <c r="H2046" s="12"/>
      <c r="I2046" s="1"/>
      <c r="J2046" s="104"/>
      <c r="K2046" s="6"/>
      <c r="L2046" s="6"/>
      <c r="M2046" s="12"/>
      <c r="N2046" s="1"/>
      <c r="O2046" s="104"/>
      <c r="P2046" s="6"/>
      <c r="Q2046" s="6"/>
      <c r="R2046" s="12"/>
      <c r="S2046" s="1"/>
      <c r="T2046" s="104"/>
      <c r="U2046" s="6"/>
      <c r="V2046" s="6"/>
      <c r="W2046" s="12"/>
      <c r="X2046" s="1"/>
      <c r="Y2046" s="104"/>
      <c r="Z2046" s="6"/>
      <c r="AA2046" s="6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</row>
    <row r="2047" spans="1:42">
      <c r="A2047" s="12"/>
      <c r="B2047" s="12"/>
      <c r="C2047" s="12"/>
      <c r="D2047" s="12"/>
      <c r="E2047" s="12"/>
      <c r="F2047" s="12"/>
      <c r="G2047" s="12"/>
      <c r="H2047" s="12"/>
      <c r="I2047" s="1"/>
      <c r="J2047" s="104"/>
      <c r="K2047" s="6"/>
      <c r="L2047" s="6"/>
      <c r="M2047" s="12"/>
      <c r="N2047" s="1"/>
      <c r="O2047" s="104"/>
      <c r="P2047" s="6"/>
      <c r="Q2047" s="6"/>
      <c r="R2047" s="12"/>
      <c r="S2047" s="1"/>
      <c r="T2047" s="104"/>
      <c r="U2047" s="6"/>
      <c r="V2047" s="6"/>
      <c r="W2047" s="12"/>
      <c r="X2047" s="1"/>
      <c r="Y2047" s="104"/>
      <c r="Z2047" s="6"/>
      <c r="AA2047" s="6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</row>
    <row r="2048" spans="1:42">
      <c r="A2048" s="12"/>
      <c r="B2048" s="12"/>
      <c r="C2048" s="12"/>
      <c r="D2048" s="12"/>
      <c r="E2048" s="12"/>
      <c r="F2048" s="12"/>
      <c r="G2048" s="12"/>
      <c r="H2048" s="12"/>
      <c r="I2048" s="1"/>
      <c r="J2048" s="104"/>
      <c r="K2048" s="6"/>
      <c r="L2048" s="6"/>
      <c r="M2048" s="12"/>
      <c r="N2048" s="1"/>
      <c r="O2048" s="104"/>
      <c r="P2048" s="6"/>
      <c r="Q2048" s="6"/>
      <c r="R2048" s="12"/>
      <c r="S2048" s="1"/>
      <c r="T2048" s="104"/>
      <c r="U2048" s="6"/>
      <c r="V2048" s="6"/>
      <c r="W2048" s="12"/>
      <c r="X2048" s="1"/>
      <c r="Y2048" s="104"/>
      <c r="Z2048" s="6"/>
      <c r="AA2048" s="6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</row>
    <row r="2049" spans="1:42">
      <c r="A2049" s="12"/>
      <c r="B2049" s="12"/>
      <c r="C2049" s="12"/>
      <c r="D2049" s="12"/>
      <c r="E2049" s="12"/>
      <c r="F2049" s="12"/>
      <c r="G2049" s="12"/>
      <c r="H2049" s="12"/>
      <c r="I2049" s="1"/>
      <c r="J2049" s="104"/>
      <c r="K2049" s="6"/>
      <c r="L2049" s="6"/>
      <c r="M2049" s="12"/>
      <c r="N2049" s="1"/>
      <c r="O2049" s="104"/>
      <c r="P2049" s="6"/>
      <c r="Q2049" s="6"/>
      <c r="R2049" s="12"/>
      <c r="S2049" s="1"/>
      <c r="T2049" s="104"/>
      <c r="U2049" s="6"/>
      <c r="V2049" s="6"/>
      <c r="W2049" s="12"/>
      <c r="X2049" s="1"/>
      <c r="Y2049" s="104"/>
      <c r="Z2049" s="6"/>
      <c r="AA2049" s="6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</row>
    <row r="2050" spans="1:42">
      <c r="A2050" s="12"/>
      <c r="B2050" s="12"/>
      <c r="C2050" s="12"/>
      <c r="D2050" s="12"/>
      <c r="E2050" s="12"/>
      <c r="F2050" s="12"/>
      <c r="G2050" s="12"/>
      <c r="H2050" s="12"/>
      <c r="I2050" s="1"/>
      <c r="J2050" s="104"/>
      <c r="K2050" s="6"/>
      <c r="L2050" s="6"/>
      <c r="M2050" s="12"/>
      <c r="N2050" s="1"/>
      <c r="O2050" s="104"/>
      <c r="P2050" s="6"/>
      <c r="Q2050" s="6"/>
      <c r="R2050" s="12"/>
      <c r="S2050" s="1"/>
      <c r="T2050" s="104"/>
      <c r="U2050" s="6"/>
      <c r="V2050" s="6"/>
      <c r="W2050" s="12"/>
      <c r="X2050" s="1"/>
      <c r="Y2050" s="104"/>
      <c r="Z2050" s="6"/>
      <c r="AA2050" s="6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</row>
    <row r="2051" spans="1:42">
      <c r="A2051" s="12"/>
      <c r="B2051" s="12"/>
      <c r="C2051" s="12"/>
      <c r="D2051" s="12"/>
      <c r="E2051" s="12"/>
      <c r="F2051" s="12"/>
      <c r="G2051" s="12"/>
      <c r="H2051" s="12"/>
      <c r="I2051" s="1"/>
      <c r="J2051" s="104"/>
      <c r="K2051" s="6"/>
      <c r="L2051" s="6"/>
      <c r="M2051" s="12"/>
      <c r="N2051" s="1"/>
      <c r="O2051" s="104"/>
      <c r="P2051" s="6"/>
      <c r="Q2051" s="6"/>
      <c r="R2051" s="12"/>
      <c r="S2051" s="1"/>
      <c r="T2051" s="104"/>
      <c r="U2051" s="6"/>
      <c r="V2051" s="6"/>
      <c r="W2051" s="12"/>
      <c r="X2051" s="1"/>
      <c r="Y2051" s="104"/>
      <c r="Z2051" s="6"/>
      <c r="AA2051" s="6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</row>
    <row r="2052" spans="1:42">
      <c r="A2052" s="12"/>
      <c r="B2052" s="12"/>
      <c r="C2052" s="12"/>
      <c r="D2052" s="12"/>
      <c r="E2052" s="12"/>
      <c r="F2052" s="12"/>
      <c r="G2052" s="12"/>
      <c r="H2052" s="12"/>
      <c r="I2052" s="1"/>
      <c r="J2052" s="104"/>
      <c r="K2052" s="6"/>
      <c r="L2052" s="6"/>
      <c r="M2052" s="12"/>
      <c r="N2052" s="1"/>
      <c r="O2052" s="104"/>
      <c r="P2052" s="6"/>
      <c r="Q2052" s="6"/>
      <c r="R2052" s="12"/>
      <c r="S2052" s="1"/>
      <c r="T2052" s="104"/>
      <c r="U2052" s="6"/>
      <c r="V2052" s="6"/>
      <c r="W2052" s="12"/>
      <c r="X2052" s="1"/>
      <c r="Y2052" s="104"/>
      <c r="Z2052" s="6"/>
      <c r="AA2052" s="6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</row>
    <row r="2053" spans="1:42">
      <c r="A2053" s="12"/>
      <c r="B2053" s="12"/>
      <c r="C2053" s="12"/>
      <c r="D2053" s="12"/>
      <c r="E2053" s="12"/>
      <c r="F2053" s="12"/>
      <c r="G2053" s="12"/>
      <c r="H2053" s="12"/>
      <c r="I2053" s="1"/>
      <c r="J2053" s="104"/>
      <c r="K2053" s="6"/>
      <c r="L2053" s="6"/>
      <c r="M2053" s="12"/>
      <c r="N2053" s="1"/>
      <c r="O2053" s="104"/>
      <c r="P2053" s="6"/>
      <c r="Q2053" s="6"/>
      <c r="R2053" s="12"/>
      <c r="S2053" s="1"/>
      <c r="T2053" s="104"/>
      <c r="U2053" s="6"/>
      <c r="V2053" s="6"/>
      <c r="W2053" s="12"/>
      <c r="X2053" s="1"/>
      <c r="Y2053" s="104"/>
      <c r="Z2053" s="6"/>
      <c r="AA2053" s="6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</row>
    <row r="2054" spans="1:42">
      <c r="A2054" s="12"/>
      <c r="B2054" s="12"/>
      <c r="C2054" s="12"/>
      <c r="D2054" s="12"/>
      <c r="E2054" s="12"/>
      <c r="F2054" s="12"/>
      <c r="G2054" s="12"/>
      <c r="H2054" s="12"/>
      <c r="I2054" s="1"/>
      <c r="J2054" s="104"/>
      <c r="K2054" s="6"/>
      <c r="L2054" s="6"/>
      <c r="M2054" s="12"/>
      <c r="N2054" s="1"/>
      <c r="O2054" s="104"/>
      <c r="P2054" s="6"/>
      <c r="Q2054" s="6"/>
      <c r="R2054" s="12"/>
      <c r="S2054" s="1"/>
      <c r="T2054" s="104"/>
      <c r="U2054" s="6"/>
      <c r="V2054" s="6"/>
      <c r="W2054" s="12"/>
      <c r="X2054" s="1"/>
      <c r="Y2054" s="104"/>
      <c r="Z2054" s="6"/>
      <c r="AA2054" s="6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</row>
    <row r="2055" spans="1:42">
      <c r="A2055" s="12"/>
      <c r="B2055" s="12"/>
      <c r="C2055" s="12"/>
      <c r="D2055" s="12"/>
      <c r="E2055" s="12"/>
      <c r="F2055" s="12"/>
      <c r="G2055" s="12"/>
      <c r="H2055" s="12"/>
      <c r="I2055" s="1"/>
      <c r="J2055" s="104"/>
      <c r="K2055" s="6"/>
      <c r="L2055" s="6"/>
      <c r="M2055" s="12"/>
      <c r="N2055" s="1"/>
      <c r="O2055" s="104"/>
      <c r="P2055" s="6"/>
      <c r="Q2055" s="6"/>
      <c r="R2055" s="12"/>
      <c r="S2055" s="1"/>
      <c r="T2055" s="104"/>
      <c r="U2055" s="6"/>
      <c r="V2055" s="6"/>
      <c r="W2055" s="12"/>
      <c r="X2055" s="1"/>
      <c r="Y2055" s="104"/>
      <c r="Z2055" s="6"/>
      <c r="AA2055" s="6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</row>
    <row r="2056" spans="1:42">
      <c r="A2056" s="12"/>
      <c r="B2056" s="12"/>
      <c r="C2056" s="12"/>
      <c r="D2056" s="12"/>
      <c r="E2056" s="12"/>
      <c r="F2056" s="12"/>
      <c r="G2056" s="12"/>
      <c r="H2056" s="12"/>
      <c r="I2056" s="1"/>
      <c r="J2056" s="104"/>
      <c r="K2056" s="6"/>
      <c r="L2056" s="6"/>
      <c r="M2056" s="12"/>
      <c r="N2056" s="1"/>
      <c r="O2056" s="104"/>
      <c r="P2056" s="6"/>
      <c r="Q2056" s="6"/>
      <c r="R2056" s="12"/>
      <c r="S2056" s="1"/>
      <c r="T2056" s="104"/>
      <c r="U2056" s="6"/>
      <c r="V2056" s="6"/>
      <c r="W2056" s="12"/>
      <c r="X2056" s="1"/>
      <c r="Y2056" s="104"/>
      <c r="Z2056" s="6"/>
      <c r="AA2056" s="6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</row>
    <row r="2057" spans="1:42">
      <c r="A2057" s="12"/>
      <c r="B2057" s="12"/>
      <c r="C2057" s="12"/>
      <c r="D2057" s="12"/>
      <c r="E2057" s="12"/>
      <c r="F2057" s="12"/>
      <c r="G2057" s="12"/>
      <c r="H2057" s="12"/>
      <c r="I2057" s="1"/>
      <c r="J2057" s="104"/>
      <c r="K2057" s="6"/>
      <c r="L2057" s="6"/>
      <c r="M2057" s="12"/>
      <c r="N2057" s="1"/>
      <c r="O2057" s="104"/>
      <c r="P2057" s="6"/>
      <c r="Q2057" s="6"/>
      <c r="R2057" s="12"/>
      <c r="S2057" s="1"/>
      <c r="T2057" s="104"/>
      <c r="U2057" s="6"/>
      <c r="V2057" s="6"/>
      <c r="W2057" s="12"/>
      <c r="X2057" s="1"/>
      <c r="Y2057" s="104"/>
      <c r="Z2057" s="6"/>
      <c r="AA2057" s="6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</row>
    <row r="2058" spans="1:42">
      <c r="A2058" s="12"/>
      <c r="B2058" s="12"/>
      <c r="C2058" s="12"/>
      <c r="D2058" s="12"/>
      <c r="E2058" s="12"/>
      <c r="F2058" s="12"/>
      <c r="G2058" s="12"/>
      <c r="H2058" s="12"/>
      <c r="I2058" s="1"/>
      <c r="J2058" s="104"/>
      <c r="K2058" s="6"/>
      <c r="L2058" s="6"/>
      <c r="M2058" s="12"/>
      <c r="N2058" s="1"/>
      <c r="O2058" s="104"/>
      <c r="P2058" s="6"/>
      <c r="Q2058" s="6"/>
      <c r="R2058" s="12"/>
      <c r="S2058" s="1"/>
      <c r="T2058" s="104"/>
      <c r="U2058" s="6"/>
      <c r="V2058" s="6"/>
      <c r="W2058" s="12"/>
      <c r="X2058" s="1"/>
      <c r="Y2058" s="104"/>
      <c r="Z2058" s="6"/>
      <c r="AA2058" s="6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</row>
    <row r="2059" spans="1:42">
      <c r="A2059" s="12"/>
      <c r="B2059" s="12"/>
      <c r="C2059" s="12"/>
      <c r="D2059" s="12"/>
      <c r="E2059" s="12"/>
      <c r="F2059" s="12"/>
      <c r="G2059" s="12"/>
      <c r="H2059" s="12"/>
      <c r="I2059" s="1"/>
      <c r="J2059" s="104"/>
      <c r="K2059" s="6"/>
      <c r="L2059" s="6"/>
      <c r="M2059" s="12"/>
      <c r="N2059" s="1"/>
      <c r="O2059" s="104"/>
      <c r="P2059" s="6"/>
      <c r="Q2059" s="6"/>
      <c r="R2059" s="12"/>
      <c r="S2059" s="1"/>
      <c r="T2059" s="104"/>
      <c r="U2059" s="6"/>
      <c r="V2059" s="6"/>
      <c r="W2059" s="12"/>
      <c r="X2059" s="1"/>
      <c r="Y2059" s="104"/>
      <c r="Z2059" s="6"/>
      <c r="AA2059" s="6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</row>
    <row r="2060" spans="1:42">
      <c r="A2060" s="12"/>
      <c r="B2060" s="12"/>
      <c r="C2060" s="12"/>
      <c r="D2060" s="12"/>
      <c r="E2060" s="12"/>
      <c r="F2060" s="12"/>
      <c r="G2060" s="12"/>
      <c r="H2060" s="12"/>
      <c r="I2060" s="1"/>
      <c r="J2060" s="104"/>
      <c r="K2060" s="6"/>
      <c r="L2060" s="6"/>
      <c r="M2060" s="12"/>
      <c r="N2060" s="1"/>
      <c r="O2060" s="104"/>
      <c r="P2060" s="6"/>
      <c r="Q2060" s="6"/>
      <c r="R2060" s="12"/>
      <c r="S2060" s="1"/>
      <c r="T2060" s="104"/>
      <c r="U2060" s="6"/>
      <c r="V2060" s="6"/>
      <c r="W2060" s="12"/>
      <c r="X2060" s="1"/>
      <c r="Y2060" s="104"/>
      <c r="Z2060" s="6"/>
      <c r="AA2060" s="6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</row>
    <row r="2061" spans="1:42">
      <c r="A2061" s="12"/>
      <c r="B2061" s="12"/>
      <c r="C2061" s="12"/>
      <c r="D2061" s="12"/>
      <c r="E2061" s="12"/>
      <c r="F2061" s="12"/>
      <c r="G2061" s="12"/>
      <c r="H2061" s="12"/>
      <c r="I2061" s="1"/>
      <c r="J2061" s="104"/>
      <c r="K2061" s="6"/>
      <c r="L2061" s="6"/>
      <c r="M2061" s="12"/>
      <c r="N2061" s="1"/>
      <c r="O2061" s="104"/>
      <c r="P2061" s="6"/>
      <c r="Q2061" s="6"/>
      <c r="R2061" s="12"/>
      <c r="S2061" s="1"/>
      <c r="T2061" s="104"/>
      <c r="U2061" s="6"/>
      <c r="V2061" s="6"/>
      <c r="W2061" s="12"/>
      <c r="X2061" s="1"/>
      <c r="Y2061" s="104"/>
      <c r="Z2061" s="6"/>
      <c r="AA2061" s="6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</row>
    <row r="2062" spans="1:42">
      <c r="A2062" s="12"/>
      <c r="B2062" s="12"/>
      <c r="C2062" s="12"/>
      <c r="D2062" s="12"/>
      <c r="E2062" s="12"/>
      <c r="F2062" s="12"/>
      <c r="G2062" s="12"/>
      <c r="H2062" s="12"/>
      <c r="I2062" s="1"/>
      <c r="J2062" s="104"/>
      <c r="K2062" s="6"/>
      <c r="L2062" s="6"/>
      <c r="M2062" s="12"/>
      <c r="N2062" s="1"/>
      <c r="O2062" s="104"/>
      <c r="P2062" s="6"/>
      <c r="Q2062" s="6"/>
      <c r="R2062" s="12"/>
      <c r="S2062" s="1"/>
      <c r="T2062" s="104"/>
      <c r="U2062" s="6"/>
      <c r="V2062" s="6"/>
      <c r="W2062" s="12"/>
      <c r="X2062" s="1"/>
      <c r="Y2062" s="104"/>
      <c r="Z2062" s="6"/>
      <c r="AA2062" s="6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</row>
    <row r="2063" spans="1:42">
      <c r="A2063" s="12"/>
      <c r="B2063" s="12"/>
      <c r="C2063" s="12"/>
      <c r="D2063" s="12"/>
      <c r="E2063" s="12"/>
      <c r="F2063" s="12"/>
      <c r="G2063" s="12"/>
      <c r="H2063" s="12"/>
      <c r="I2063" s="1"/>
      <c r="J2063" s="104"/>
      <c r="K2063" s="6"/>
      <c r="L2063" s="6"/>
      <c r="M2063" s="12"/>
      <c r="N2063" s="1"/>
      <c r="O2063" s="104"/>
      <c r="P2063" s="6"/>
      <c r="Q2063" s="6"/>
      <c r="R2063" s="12"/>
      <c r="S2063" s="1"/>
      <c r="T2063" s="104"/>
      <c r="U2063" s="6"/>
      <c r="V2063" s="6"/>
      <c r="W2063" s="12"/>
      <c r="X2063" s="1"/>
      <c r="Y2063" s="104"/>
      <c r="Z2063" s="6"/>
      <c r="AA2063" s="6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</row>
    <row r="2064" spans="1:42">
      <c r="A2064" s="12"/>
      <c r="B2064" s="12"/>
      <c r="C2064" s="12"/>
      <c r="D2064" s="12"/>
      <c r="E2064" s="12"/>
      <c r="F2064" s="12"/>
      <c r="G2064" s="12"/>
      <c r="H2064" s="12"/>
      <c r="I2064" s="1"/>
      <c r="J2064" s="104"/>
      <c r="K2064" s="6"/>
      <c r="L2064" s="6"/>
      <c r="M2064" s="12"/>
      <c r="N2064" s="1"/>
      <c r="O2064" s="104"/>
      <c r="P2064" s="6"/>
      <c r="Q2064" s="6"/>
      <c r="R2064" s="12"/>
      <c r="S2064" s="1"/>
      <c r="T2064" s="104"/>
      <c r="U2064" s="6"/>
      <c r="V2064" s="6"/>
      <c r="W2064" s="12"/>
      <c r="X2064" s="1"/>
      <c r="Y2064" s="104"/>
      <c r="Z2064" s="6"/>
      <c r="AA2064" s="6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</row>
    <row r="2065" spans="1:42">
      <c r="A2065" s="12"/>
      <c r="B2065" s="12"/>
      <c r="C2065" s="12"/>
      <c r="D2065" s="12"/>
      <c r="E2065" s="12"/>
      <c r="F2065" s="12"/>
      <c r="G2065" s="12"/>
      <c r="H2065" s="12"/>
      <c r="I2065" s="1"/>
      <c r="J2065" s="104"/>
      <c r="K2065" s="6"/>
      <c r="L2065" s="6"/>
      <c r="M2065" s="12"/>
      <c r="N2065" s="1"/>
      <c r="O2065" s="104"/>
      <c r="P2065" s="6"/>
      <c r="Q2065" s="6"/>
      <c r="R2065" s="12"/>
      <c r="S2065" s="1"/>
      <c r="T2065" s="104"/>
      <c r="U2065" s="6"/>
      <c r="V2065" s="6"/>
      <c r="W2065" s="12"/>
      <c r="X2065" s="1"/>
      <c r="Y2065" s="104"/>
      <c r="Z2065" s="6"/>
      <c r="AA2065" s="6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</row>
    <row r="2066" spans="1:42">
      <c r="A2066" s="12"/>
      <c r="B2066" s="12"/>
      <c r="C2066" s="12"/>
      <c r="D2066" s="12"/>
      <c r="E2066" s="12"/>
      <c r="F2066" s="12"/>
      <c r="G2066" s="12"/>
      <c r="H2066" s="12"/>
      <c r="I2066" s="1"/>
      <c r="J2066" s="104"/>
      <c r="K2066" s="6"/>
      <c r="L2066" s="6"/>
      <c r="M2066" s="12"/>
      <c r="N2066" s="1"/>
      <c r="O2066" s="104"/>
      <c r="P2066" s="6"/>
      <c r="Q2066" s="6"/>
      <c r="R2066" s="12"/>
      <c r="S2066" s="1"/>
      <c r="T2066" s="104"/>
      <c r="U2066" s="6"/>
      <c r="V2066" s="6"/>
      <c r="W2066" s="12"/>
      <c r="X2066" s="1"/>
      <c r="Y2066" s="104"/>
      <c r="Z2066" s="6"/>
      <c r="AA2066" s="6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</row>
    <row r="2067" spans="1:42">
      <c r="A2067" s="12"/>
      <c r="B2067" s="12"/>
      <c r="C2067" s="12"/>
      <c r="D2067" s="12"/>
      <c r="E2067" s="12"/>
      <c r="F2067" s="12"/>
      <c r="G2067" s="12"/>
      <c r="H2067" s="12"/>
      <c r="I2067" s="1"/>
      <c r="J2067" s="104"/>
      <c r="K2067" s="6"/>
      <c r="L2067" s="6"/>
      <c r="M2067" s="12"/>
      <c r="N2067" s="1"/>
      <c r="O2067" s="104"/>
      <c r="P2067" s="6"/>
      <c r="Q2067" s="6"/>
      <c r="R2067" s="12"/>
      <c r="S2067" s="1"/>
      <c r="T2067" s="104"/>
      <c r="U2067" s="6"/>
      <c r="V2067" s="6"/>
      <c r="W2067" s="12"/>
      <c r="X2067" s="1"/>
      <c r="Y2067" s="104"/>
      <c r="Z2067" s="6"/>
      <c r="AA2067" s="6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</row>
    <row r="2068" spans="1:42">
      <c r="A2068" s="12"/>
      <c r="B2068" s="12"/>
      <c r="C2068" s="12"/>
      <c r="D2068" s="12"/>
      <c r="E2068" s="12"/>
      <c r="F2068" s="12"/>
      <c r="G2068" s="12"/>
      <c r="H2068" s="12"/>
      <c r="I2068" s="1"/>
      <c r="J2068" s="104"/>
      <c r="K2068" s="6"/>
      <c r="L2068" s="6"/>
      <c r="M2068" s="12"/>
      <c r="N2068" s="1"/>
      <c r="O2068" s="104"/>
      <c r="P2068" s="6"/>
      <c r="Q2068" s="6"/>
      <c r="R2068" s="12"/>
      <c r="S2068" s="1"/>
      <c r="T2068" s="104"/>
      <c r="U2068" s="6"/>
      <c r="V2068" s="6"/>
      <c r="W2068" s="12"/>
      <c r="X2068" s="1"/>
      <c r="Y2068" s="104"/>
      <c r="Z2068" s="6"/>
      <c r="AA2068" s="6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</row>
    <row r="2069" spans="1:42">
      <c r="A2069" s="12"/>
      <c r="B2069" s="12"/>
      <c r="C2069" s="12"/>
      <c r="D2069" s="12"/>
      <c r="E2069" s="12"/>
      <c r="F2069" s="12"/>
      <c r="G2069" s="12"/>
      <c r="H2069" s="12"/>
      <c r="I2069" s="1"/>
      <c r="J2069" s="104"/>
      <c r="K2069" s="6"/>
      <c r="L2069" s="6"/>
      <c r="M2069" s="12"/>
      <c r="N2069" s="1"/>
      <c r="O2069" s="104"/>
      <c r="P2069" s="6"/>
      <c r="Q2069" s="6"/>
      <c r="R2069" s="12"/>
      <c r="S2069" s="1"/>
      <c r="T2069" s="104"/>
      <c r="U2069" s="6"/>
      <c r="V2069" s="6"/>
      <c r="W2069" s="12"/>
      <c r="X2069" s="1"/>
      <c r="Y2069" s="104"/>
      <c r="Z2069" s="6"/>
      <c r="AA2069" s="6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</row>
    <row r="2070" spans="1:42">
      <c r="A2070" s="12"/>
      <c r="B2070" s="12"/>
      <c r="C2070" s="12"/>
      <c r="D2070" s="12"/>
      <c r="E2070" s="12"/>
      <c r="F2070" s="12"/>
      <c r="G2070" s="12"/>
      <c r="H2070" s="12"/>
      <c r="I2070" s="1"/>
      <c r="J2070" s="104"/>
      <c r="K2070" s="6"/>
      <c r="L2070" s="6"/>
      <c r="M2070" s="12"/>
      <c r="N2070" s="1"/>
      <c r="O2070" s="104"/>
      <c r="P2070" s="6"/>
      <c r="Q2070" s="6"/>
      <c r="R2070" s="12"/>
      <c r="S2070" s="1"/>
      <c r="T2070" s="104"/>
      <c r="U2070" s="6"/>
      <c r="V2070" s="6"/>
      <c r="W2070" s="12"/>
      <c r="X2070" s="1"/>
      <c r="Y2070" s="104"/>
      <c r="Z2070" s="6"/>
      <c r="AA2070" s="6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</row>
    <row r="2071" spans="1:42">
      <c r="A2071" s="12"/>
      <c r="B2071" s="12"/>
      <c r="C2071" s="12"/>
      <c r="D2071" s="12"/>
      <c r="E2071" s="12"/>
      <c r="F2071" s="12"/>
      <c r="G2071" s="12"/>
      <c r="H2071" s="12"/>
      <c r="I2071" s="1"/>
      <c r="J2071" s="104"/>
      <c r="K2071" s="6"/>
      <c r="L2071" s="6"/>
      <c r="M2071" s="12"/>
      <c r="N2071" s="1"/>
      <c r="O2071" s="104"/>
      <c r="P2071" s="6"/>
      <c r="Q2071" s="6"/>
      <c r="R2071" s="12"/>
      <c r="S2071" s="1"/>
      <c r="T2071" s="104"/>
      <c r="U2071" s="6"/>
      <c r="V2071" s="6"/>
      <c r="W2071" s="12"/>
      <c r="X2071" s="1"/>
      <c r="Y2071" s="104"/>
      <c r="Z2071" s="6"/>
      <c r="AA2071" s="6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</row>
    <row r="2072" spans="1:42">
      <c r="A2072" s="12"/>
      <c r="B2072" s="12"/>
      <c r="C2072" s="12"/>
      <c r="D2072" s="12"/>
      <c r="E2072" s="12"/>
      <c r="F2072" s="12"/>
      <c r="G2072" s="12"/>
      <c r="H2072" s="12"/>
      <c r="I2072" s="1"/>
      <c r="J2072" s="104"/>
      <c r="K2072" s="6"/>
      <c r="L2072" s="6"/>
      <c r="M2072" s="12"/>
      <c r="N2072" s="1"/>
      <c r="O2072" s="104"/>
      <c r="P2072" s="6"/>
      <c r="Q2072" s="6"/>
      <c r="R2072" s="12"/>
      <c r="S2072" s="1"/>
      <c r="T2072" s="104"/>
      <c r="U2072" s="6"/>
      <c r="V2072" s="6"/>
      <c r="W2072" s="12"/>
      <c r="X2072" s="1"/>
      <c r="Y2072" s="104"/>
      <c r="Z2072" s="6"/>
      <c r="AA2072" s="6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</row>
    <row r="2073" spans="1:42">
      <c r="A2073" s="12"/>
      <c r="B2073" s="12"/>
      <c r="C2073" s="12"/>
      <c r="D2073" s="12"/>
      <c r="E2073" s="12"/>
      <c r="F2073" s="12"/>
      <c r="G2073" s="12"/>
      <c r="H2073" s="12"/>
      <c r="I2073" s="1"/>
      <c r="J2073" s="104"/>
      <c r="K2073" s="6"/>
      <c r="L2073" s="6"/>
      <c r="M2073" s="12"/>
      <c r="N2073" s="1"/>
      <c r="O2073" s="104"/>
      <c r="P2073" s="6"/>
      <c r="Q2073" s="6"/>
      <c r="R2073" s="12"/>
      <c r="S2073" s="1"/>
      <c r="T2073" s="104"/>
      <c r="U2073" s="6"/>
      <c r="V2073" s="6"/>
      <c r="W2073" s="12"/>
      <c r="X2073" s="1"/>
      <c r="Y2073" s="104"/>
      <c r="Z2073" s="6"/>
      <c r="AA2073" s="6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</row>
    <row r="2074" spans="1:42">
      <c r="A2074" s="12"/>
      <c r="B2074" s="12"/>
      <c r="C2074" s="12"/>
      <c r="D2074" s="12"/>
      <c r="E2074" s="12"/>
      <c r="F2074" s="12"/>
      <c r="G2074" s="12"/>
      <c r="H2074" s="12"/>
      <c r="I2074" s="1"/>
      <c r="J2074" s="104"/>
      <c r="K2074" s="6"/>
      <c r="L2074" s="6"/>
      <c r="M2074" s="12"/>
      <c r="N2074" s="1"/>
      <c r="O2074" s="104"/>
      <c r="P2074" s="6"/>
      <c r="Q2074" s="6"/>
      <c r="R2074" s="12"/>
      <c r="S2074" s="1"/>
      <c r="T2074" s="104"/>
      <c r="U2074" s="6"/>
      <c r="V2074" s="6"/>
      <c r="W2074" s="12"/>
      <c r="X2074" s="1"/>
      <c r="Y2074" s="104"/>
      <c r="Z2074" s="6"/>
      <c r="AA2074" s="6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</row>
    <row r="2075" spans="1:42">
      <c r="A2075" s="12"/>
      <c r="B2075" s="12"/>
      <c r="C2075" s="12"/>
      <c r="D2075" s="12"/>
      <c r="E2075" s="12"/>
      <c r="F2075" s="12"/>
      <c r="G2075" s="12"/>
      <c r="H2075" s="12"/>
      <c r="I2075" s="1"/>
      <c r="J2075" s="104"/>
      <c r="K2075" s="6"/>
      <c r="L2075" s="6"/>
      <c r="M2075" s="12"/>
      <c r="N2075" s="1"/>
      <c r="O2075" s="104"/>
      <c r="P2075" s="6"/>
      <c r="Q2075" s="6"/>
      <c r="R2075" s="12"/>
      <c r="S2075" s="1"/>
      <c r="T2075" s="104"/>
      <c r="U2075" s="6"/>
      <c r="V2075" s="6"/>
      <c r="W2075" s="12"/>
      <c r="X2075" s="1"/>
      <c r="Y2075" s="104"/>
      <c r="Z2075" s="6"/>
      <c r="AA2075" s="6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</row>
    <row r="2076" spans="1:42">
      <c r="A2076" s="12"/>
      <c r="B2076" s="12"/>
      <c r="C2076" s="12"/>
      <c r="D2076" s="12"/>
      <c r="E2076" s="12"/>
      <c r="F2076" s="12"/>
      <c r="G2076" s="12"/>
      <c r="H2076" s="12"/>
      <c r="I2076" s="1"/>
      <c r="J2076" s="104"/>
      <c r="K2076" s="6"/>
      <c r="L2076" s="6"/>
      <c r="M2076" s="12"/>
      <c r="N2076" s="1"/>
      <c r="O2076" s="104"/>
      <c r="P2076" s="6"/>
      <c r="Q2076" s="6"/>
      <c r="R2076" s="12"/>
      <c r="S2076" s="1"/>
      <c r="T2076" s="104"/>
      <c r="U2076" s="6"/>
      <c r="V2076" s="6"/>
      <c r="W2076" s="12"/>
      <c r="X2076" s="1"/>
      <c r="Y2076" s="104"/>
      <c r="Z2076" s="6"/>
      <c r="AA2076" s="6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</row>
    <row r="2077" spans="1:42">
      <c r="A2077" s="12"/>
      <c r="B2077" s="12"/>
      <c r="C2077" s="12"/>
      <c r="D2077" s="12"/>
      <c r="E2077" s="12"/>
      <c r="F2077" s="12"/>
      <c r="G2077" s="12"/>
      <c r="H2077" s="12"/>
      <c r="I2077" s="1"/>
      <c r="J2077" s="104"/>
      <c r="K2077" s="6"/>
      <c r="L2077" s="6"/>
      <c r="M2077" s="12"/>
      <c r="N2077" s="1"/>
      <c r="O2077" s="104"/>
      <c r="P2077" s="6"/>
      <c r="Q2077" s="6"/>
      <c r="R2077" s="12"/>
      <c r="S2077" s="1"/>
      <c r="T2077" s="104"/>
      <c r="U2077" s="6"/>
      <c r="V2077" s="6"/>
      <c r="W2077" s="12"/>
      <c r="X2077" s="1"/>
      <c r="Y2077" s="104"/>
      <c r="Z2077" s="6"/>
      <c r="AA2077" s="6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</row>
    <row r="2078" spans="1:42">
      <c r="A2078" s="12"/>
      <c r="B2078" s="12"/>
      <c r="C2078" s="12"/>
      <c r="D2078" s="12"/>
      <c r="E2078" s="12"/>
      <c r="F2078" s="12"/>
      <c r="G2078" s="12"/>
      <c r="H2078" s="12"/>
      <c r="I2078" s="1"/>
      <c r="J2078" s="104"/>
      <c r="K2078" s="6"/>
      <c r="L2078" s="6"/>
      <c r="M2078" s="12"/>
      <c r="N2078" s="1"/>
      <c r="O2078" s="104"/>
      <c r="P2078" s="6"/>
      <c r="Q2078" s="6"/>
      <c r="R2078" s="12"/>
      <c r="S2078" s="1"/>
      <c r="T2078" s="104"/>
      <c r="U2078" s="6"/>
      <c r="V2078" s="6"/>
      <c r="W2078" s="12"/>
      <c r="X2078" s="1"/>
      <c r="Y2078" s="104"/>
      <c r="Z2078" s="6"/>
      <c r="AA2078" s="6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</row>
    <row r="2079" spans="1:42">
      <c r="A2079" s="12"/>
      <c r="B2079" s="12"/>
      <c r="C2079" s="12"/>
      <c r="D2079" s="12"/>
      <c r="E2079" s="12"/>
      <c r="F2079" s="12"/>
      <c r="G2079" s="12"/>
      <c r="H2079" s="12"/>
      <c r="I2079" s="1"/>
      <c r="J2079" s="104"/>
      <c r="K2079" s="6"/>
      <c r="L2079" s="6"/>
      <c r="M2079" s="12"/>
      <c r="N2079" s="1"/>
      <c r="O2079" s="104"/>
      <c r="P2079" s="6"/>
      <c r="Q2079" s="6"/>
      <c r="R2079" s="12"/>
      <c r="S2079" s="1"/>
      <c r="T2079" s="104"/>
      <c r="U2079" s="6"/>
      <c r="V2079" s="6"/>
      <c r="W2079" s="12"/>
      <c r="X2079" s="1"/>
      <c r="Y2079" s="104"/>
      <c r="Z2079" s="6"/>
      <c r="AA2079" s="6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</row>
    <row r="2080" spans="1:42">
      <c r="A2080" s="12"/>
      <c r="B2080" s="12"/>
      <c r="C2080" s="12"/>
      <c r="D2080" s="12"/>
      <c r="E2080" s="12"/>
      <c r="F2080" s="12"/>
      <c r="G2080" s="12"/>
      <c r="H2080" s="12"/>
      <c r="I2080" s="1"/>
      <c r="J2080" s="104"/>
      <c r="K2080" s="6"/>
      <c r="L2080" s="6"/>
      <c r="M2080" s="12"/>
      <c r="N2080" s="1"/>
      <c r="O2080" s="104"/>
      <c r="P2080" s="6"/>
      <c r="Q2080" s="6"/>
      <c r="R2080" s="12"/>
      <c r="S2080" s="1"/>
      <c r="T2080" s="104"/>
      <c r="U2080" s="6"/>
      <c r="V2080" s="6"/>
      <c r="W2080" s="12"/>
      <c r="X2080" s="1"/>
      <c r="Y2080" s="104"/>
      <c r="Z2080" s="6"/>
      <c r="AA2080" s="6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</row>
    <row r="2081" spans="1:42">
      <c r="A2081" s="12"/>
      <c r="B2081" s="12"/>
      <c r="C2081" s="12"/>
      <c r="D2081" s="12"/>
      <c r="E2081" s="12"/>
      <c r="F2081" s="12"/>
      <c r="G2081" s="12"/>
      <c r="H2081" s="12"/>
      <c r="I2081" s="1"/>
      <c r="J2081" s="104"/>
      <c r="K2081" s="6"/>
      <c r="L2081" s="6"/>
      <c r="M2081" s="12"/>
      <c r="N2081" s="1"/>
      <c r="O2081" s="104"/>
      <c r="P2081" s="6"/>
      <c r="Q2081" s="6"/>
      <c r="R2081" s="12"/>
      <c r="S2081" s="1"/>
      <c r="T2081" s="104"/>
      <c r="U2081" s="6"/>
      <c r="V2081" s="6"/>
      <c r="W2081" s="12"/>
      <c r="X2081" s="1"/>
      <c r="Y2081" s="104"/>
      <c r="Z2081" s="6"/>
      <c r="AA2081" s="6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</row>
    <row r="2082" spans="1:42">
      <c r="A2082" s="12"/>
      <c r="B2082" s="12"/>
      <c r="C2082" s="12"/>
      <c r="D2082" s="12"/>
      <c r="E2082" s="12"/>
      <c r="F2082" s="12"/>
      <c r="G2082" s="12"/>
      <c r="H2082" s="12"/>
      <c r="I2082" s="1"/>
      <c r="J2082" s="104"/>
      <c r="K2082" s="6"/>
      <c r="L2082" s="6"/>
      <c r="M2082" s="12"/>
      <c r="N2082" s="1"/>
      <c r="O2082" s="104"/>
      <c r="P2082" s="6"/>
      <c r="Q2082" s="6"/>
      <c r="R2082" s="12"/>
      <c r="S2082" s="1"/>
      <c r="T2082" s="104"/>
      <c r="U2082" s="6"/>
      <c r="V2082" s="6"/>
      <c r="W2082" s="12"/>
      <c r="X2082" s="1"/>
      <c r="Y2082" s="104"/>
      <c r="Z2082" s="6"/>
      <c r="AA2082" s="6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</row>
    <row r="2083" spans="1:42">
      <c r="A2083" s="12"/>
      <c r="B2083" s="12"/>
      <c r="C2083" s="12"/>
      <c r="D2083" s="12"/>
      <c r="E2083" s="12"/>
      <c r="F2083" s="12"/>
      <c r="G2083" s="12"/>
      <c r="H2083" s="12"/>
      <c r="I2083" s="1"/>
      <c r="J2083" s="104"/>
      <c r="K2083" s="6"/>
      <c r="L2083" s="6"/>
      <c r="M2083" s="12"/>
      <c r="N2083" s="1"/>
      <c r="O2083" s="104"/>
      <c r="P2083" s="6"/>
      <c r="Q2083" s="6"/>
      <c r="R2083" s="12"/>
      <c r="S2083" s="1"/>
      <c r="T2083" s="104"/>
      <c r="U2083" s="6"/>
      <c r="V2083" s="6"/>
      <c r="W2083" s="12"/>
      <c r="X2083" s="1"/>
      <c r="Y2083" s="104"/>
      <c r="Z2083" s="6"/>
      <c r="AA2083" s="6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</row>
    <row r="2084" spans="1:42">
      <c r="A2084" s="12"/>
      <c r="B2084" s="12"/>
      <c r="C2084" s="12"/>
      <c r="D2084" s="12"/>
      <c r="E2084" s="12"/>
      <c r="F2084" s="12"/>
      <c r="G2084" s="12"/>
      <c r="H2084" s="12"/>
      <c r="I2084" s="1"/>
      <c r="J2084" s="104"/>
      <c r="K2084" s="6"/>
      <c r="L2084" s="6"/>
      <c r="M2084" s="12"/>
      <c r="N2084" s="1"/>
      <c r="O2084" s="104"/>
      <c r="P2084" s="6"/>
      <c r="Q2084" s="6"/>
      <c r="R2084" s="12"/>
      <c r="S2084" s="1"/>
      <c r="T2084" s="104"/>
      <c r="U2084" s="6"/>
      <c r="V2084" s="6"/>
      <c r="W2084" s="12"/>
      <c r="X2084" s="1"/>
      <c r="Y2084" s="104"/>
      <c r="Z2084" s="6"/>
      <c r="AA2084" s="6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</row>
    <row r="2085" spans="1:42">
      <c r="A2085" s="12"/>
      <c r="B2085" s="12"/>
      <c r="C2085" s="12"/>
      <c r="D2085" s="12"/>
      <c r="E2085" s="12"/>
      <c r="F2085" s="12"/>
      <c r="G2085" s="12"/>
      <c r="H2085" s="12"/>
      <c r="I2085" s="1"/>
      <c r="J2085" s="104"/>
      <c r="K2085" s="6"/>
      <c r="L2085" s="6"/>
      <c r="M2085" s="12"/>
      <c r="N2085" s="1"/>
      <c r="O2085" s="104"/>
      <c r="P2085" s="6"/>
      <c r="Q2085" s="6"/>
      <c r="R2085" s="12"/>
      <c r="S2085" s="1"/>
      <c r="T2085" s="104"/>
      <c r="U2085" s="6"/>
      <c r="V2085" s="6"/>
      <c r="W2085" s="12"/>
      <c r="X2085" s="1"/>
      <c r="Y2085" s="104"/>
      <c r="Z2085" s="6"/>
      <c r="AA2085" s="6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</row>
    <row r="2086" spans="1:42">
      <c r="A2086" s="12"/>
      <c r="B2086" s="12"/>
      <c r="C2086" s="12"/>
      <c r="D2086" s="12"/>
      <c r="E2086" s="12"/>
      <c r="F2086" s="12"/>
      <c r="G2086" s="12"/>
      <c r="H2086" s="12"/>
      <c r="I2086" s="1"/>
      <c r="J2086" s="104"/>
      <c r="K2086" s="6"/>
      <c r="L2086" s="6"/>
      <c r="M2086" s="12"/>
      <c r="N2086" s="1"/>
      <c r="O2086" s="104"/>
      <c r="P2086" s="6"/>
      <c r="Q2086" s="6"/>
      <c r="R2086" s="12"/>
      <c r="S2086" s="1"/>
      <c r="T2086" s="104"/>
      <c r="U2086" s="6"/>
      <c r="V2086" s="6"/>
      <c r="W2086" s="12"/>
      <c r="X2086" s="1"/>
      <c r="Y2086" s="104"/>
      <c r="Z2086" s="6"/>
      <c r="AA2086" s="6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</row>
    <row r="2087" spans="1:42">
      <c r="A2087" s="12"/>
      <c r="B2087" s="12"/>
      <c r="C2087" s="12"/>
      <c r="D2087" s="12"/>
      <c r="E2087" s="12"/>
      <c r="F2087" s="12"/>
      <c r="G2087" s="12"/>
      <c r="H2087" s="12"/>
      <c r="I2087" s="1"/>
      <c r="J2087" s="104"/>
      <c r="K2087" s="6"/>
      <c r="L2087" s="6"/>
      <c r="M2087" s="12"/>
      <c r="N2087" s="1"/>
      <c r="O2087" s="104"/>
      <c r="P2087" s="6"/>
      <c r="Q2087" s="6"/>
      <c r="R2087" s="12"/>
      <c r="S2087" s="1"/>
      <c r="T2087" s="104"/>
      <c r="U2087" s="6"/>
      <c r="V2087" s="6"/>
      <c r="W2087" s="12"/>
      <c r="X2087" s="1"/>
      <c r="Y2087" s="104"/>
      <c r="Z2087" s="6"/>
      <c r="AA2087" s="6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</row>
    <row r="2088" spans="1:42">
      <c r="A2088" s="12"/>
      <c r="B2088" s="12"/>
      <c r="C2088" s="12"/>
      <c r="D2088" s="12"/>
      <c r="E2088" s="12"/>
      <c r="F2088" s="12"/>
      <c r="G2088" s="12"/>
      <c r="H2088" s="12"/>
      <c r="I2088" s="1"/>
      <c r="J2088" s="104"/>
      <c r="K2088" s="6"/>
      <c r="L2088" s="6"/>
      <c r="M2088" s="12"/>
      <c r="N2088" s="1"/>
      <c r="O2088" s="104"/>
      <c r="P2088" s="6"/>
      <c r="Q2088" s="6"/>
      <c r="R2088" s="12"/>
      <c r="S2088" s="1"/>
      <c r="T2088" s="104"/>
      <c r="U2088" s="6"/>
      <c r="V2088" s="6"/>
      <c r="W2088" s="12"/>
      <c r="X2088" s="1"/>
      <c r="Y2088" s="104"/>
      <c r="Z2088" s="6"/>
      <c r="AA2088" s="6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</row>
    <row r="2089" spans="1:42">
      <c r="A2089" s="12"/>
      <c r="B2089" s="12"/>
      <c r="C2089" s="12"/>
      <c r="D2089" s="12"/>
      <c r="E2089" s="12"/>
      <c r="F2089" s="12"/>
      <c r="G2089" s="12"/>
      <c r="H2089" s="12"/>
      <c r="I2089" s="1"/>
      <c r="J2089" s="104"/>
      <c r="K2089" s="6"/>
      <c r="L2089" s="6"/>
      <c r="M2089" s="12"/>
      <c r="N2089" s="1"/>
      <c r="O2089" s="104"/>
      <c r="P2089" s="6"/>
      <c r="Q2089" s="6"/>
      <c r="R2089" s="12"/>
      <c r="S2089" s="1"/>
      <c r="T2089" s="104"/>
      <c r="U2089" s="6"/>
      <c r="V2089" s="6"/>
      <c r="W2089" s="12"/>
      <c r="X2089" s="1"/>
      <c r="Y2089" s="104"/>
      <c r="Z2089" s="6"/>
      <c r="AA2089" s="6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</row>
    <row r="2090" spans="1:42">
      <c r="A2090" s="12"/>
      <c r="B2090" s="12"/>
      <c r="C2090" s="12"/>
      <c r="D2090" s="12"/>
      <c r="E2090" s="12"/>
      <c r="F2090" s="12"/>
      <c r="G2090" s="12"/>
      <c r="H2090" s="12"/>
      <c r="I2090" s="1"/>
      <c r="J2090" s="104"/>
      <c r="K2090" s="6"/>
      <c r="L2090" s="6"/>
      <c r="M2090" s="12"/>
      <c r="N2090" s="1"/>
      <c r="O2090" s="104"/>
      <c r="P2090" s="6"/>
      <c r="Q2090" s="6"/>
      <c r="R2090" s="12"/>
      <c r="S2090" s="1"/>
      <c r="T2090" s="104"/>
      <c r="U2090" s="6"/>
      <c r="V2090" s="6"/>
      <c r="W2090" s="12"/>
      <c r="X2090" s="1"/>
      <c r="Y2090" s="104"/>
      <c r="Z2090" s="6"/>
      <c r="AA2090" s="6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</row>
    <row r="2091" spans="1:42">
      <c r="A2091" s="12"/>
      <c r="B2091" s="12"/>
      <c r="C2091" s="12"/>
      <c r="D2091" s="12"/>
      <c r="E2091" s="12"/>
      <c r="F2091" s="12"/>
      <c r="G2091" s="12"/>
      <c r="H2091" s="12"/>
      <c r="I2091" s="1"/>
      <c r="J2091" s="104"/>
      <c r="K2091" s="6"/>
      <c r="L2091" s="6"/>
      <c r="M2091" s="12"/>
      <c r="N2091" s="1"/>
      <c r="O2091" s="104"/>
      <c r="P2091" s="6"/>
      <c r="Q2091" s="6"/>
      <c r="R2091" s="12"/>
      <c r="S2091" s="1"/>
      <c r="T2091" s="104"/>
      <c r="U2091" s="6"/>
      <c r="V2091" s="6"/>
      <c r="W2091" s="12"/>
      <c r="X2091" s="1"/>
      <c r="Y2091" s="104"/>
      <c r="Z2091" s="6"/>
      <c r="AA2091" s="6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</row>
  </sheetData>
  <hyperlinks>
    <hyperlink ref="A1:F1" location="оглавление!A1" tooltip="в оглавление" display="в оглавление"/>
    <hyperlink ref="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1:AR1271"/>
  <sheetViews>
    <sheetView workbookViewId="0">
      <pane xSplit="7" ySplit="7" topLeftCell="M8" activePane="bottomRight" state="frozen"/>
      <selection pane="topRight" activeCell="H1" sqref="H1"/>
      <selection pane="bottomLeft" activeCell="A7" sqref="A7"/>
      <selection pane="bottomRight"/>
    </sheetView>
  </sheetViews>
  <sheetFormatPr defaultRowHeight="12.75"/>
  <cols>
    <col min="1" max="2" width="2.7109375" style="9" customWidth="1"/>
    <col min="3" max="5" width="9.140625" style="9"/>
    <col min="6" max="6" width="2.7109375" style="9" customWidth="1"/>
    <col min="7" max="7" width="1.28515625" style="9" customWidth="1"/>
    <col min="8" max="10" width="9.140625" style="9"/>
    <col min="11" max="11" width="2.7109375" style="9" customWidth="1"/>
    <col min="12" max="12" width="16.85546875" style="9" bestFit="1" customWidth="1"/>
    <col min="13" max="15" width="15.5703125" style="9" bestFit="1" customWidth="1"/>
    <col min="16" max="16" width="27.140625" style="9" bestFit="1" customWidth="1"/>
    <col min="17" max="17" width="22.140625" style="9" bestFit="1" customWidth="1"/>
    <col min="18" max="18" width="19.140625" style="26" bestFit="1" customWidth="1"/>
    <col min="19" max="19" width="18.7109375" style="29" bestFit="1" customWidth="1"/>
    <col min="20" max="20" width="18.5703125" style="29" bestFit="1" customWidth="1"/>
    <col min="21" max="21" width="14.140625" style="34" bestFit="1" customWidth="1"/>
    <col min="22" max="22" width="15.42578125" style="34" bestFit="1" customWidth="1"/>
    <col min="23" max="23" width="19.7109375" style="29" bestFit="1" customWidth="1"/>
    <col min="24" max="24" width="19.5703125" style="29" bestFit="1" customWidth="1"/>
    <col min="25" max="25" width="15" style="34" bestFit="1" customWidth="1"/>
    <col min="26" max="26" width="16.28515625" style="34" bestFit="1" customWidth="1"/>
    <col min="27" max="27" width="18.7109375" style="29" bestFit="1" customWidth="1"/>
    <col min="28" max="28" width="18.5703125" style="29" bestFit="1" customWidth="1"/>
    <col min="29" max="29" width="15.42578125" style="34" bestFit="1" customWidth="1"/>
    <col min="30" max="31" width="9.140625" style="9"/>
    <col min="32" max="32" width="18.5703125" style="26" bestFit="1" customWidth="1"/>
    <col min="33" max="33" width="19.42578125" style="26" bestFit="1" customWidth="1"/>
    <col min="34" max="34" width="18.5703125" style="26" bestFit="1" customWidth="1"/>
    <col min="35" max="16384" width="9.140625" style="9"/>
  </cols>
  <sheetData>
    <row r="1" spans="1:44" s="139" customFormat="1" ht="12">
      <c r="A1" s="145" t="s">
        <v>235</v>
      </c>
      <c r="B1" s="145"/>
      <c r="C1" s="145"/>
      <c r="D1" s="145"/>
      <c r="E1" s="146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</row>
    <row r="2" spans="1:44" s="5" customFormat="1">
      <c r="A2" s="1"/>
      <c r="B2" s="1"/>
      <c r="C2" s="1"/>
      <c r="D2" s="1"/>
      <c r="E2" s="1"/>
      <c r="F2" s="1"/>
      <c r="G2" s="10"/>
      <c r="H2" s="1"/>
      <c r="I2" s="1"/>
      <c r="J2" s="2" t="s">
        <v>16</v>
      </c>
      <c r="K2" s="3"/>
      <c r="L2" s="18" t="s">
        <v>8</v>
      </c>
      <c r="M2" s="19" t="s">
        <v>9</v>
      </c>
      <c r="N2" s="19" t="s">
        <v>10</v>
      </c>
      <c r="O2" s="19" t="s">
        <v>11</v>
      </c>
      <c r="P2" s="20" t="s">
        <v>12</v>
      </c>
      <c r="Q2" s="72" t="s">
        <v>5</v>
      </c>
      <c r="R2" s="75" t="s">
        <v>2</v>
      </c>
      <c r="S2" s="76" t="s">
        <v>23</v>
      </c>
      <c r="T2" s="77" t="s">
        <v>24</v>
      </c>
      <c r="U2" s="78" t="s">
        <v>3</v>
      </c>
      <c r="V2" s="79" t="s">
        <v>0</v>
      </c>
      <c r="W2" s="76" t="s">
        <v>25</v>
      </c>
      <c r="X2" s="77" t="s">
        <v>26</v>
      </c>
      <c r="Y2" s="78" t="s">
        <v>4</v>
      </c>
      <c r="Z2" s="183" t="s">
        <v>1</v>
      </c>
      <c r="AA2" s="184" t="s">
        <v>250</v>
      </c>
      <c r="AB2" s="77" t="s">
        <v>251</v>
      </c>
      <c r="AC2" s="79" t="s">
        <v>252</v>
      </c>
      <c r="AD2" s="4"/>
      <c r="AE2" s="1" t="s">
        <v>161</v>
      </c>
      <c r="AF2" s="80" t="s">
        <v>162</v>
      </c>
      <c r="AG2" s="75" t="s">
        <v>163</v>
      </c>
      <c r="AH2" s="80" t="s">
        <v>253</v>
      </c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s="5" customFormat="1">
      <c r="A3" s="1"/>
      <c r="B3" s="1"/>
      <c r="C3" s="1" t="s">
        <v>13</v>
      </c>
      <c r="D3" s="1"/>
      <c r="E3" s="1"/>
      <c r="F3" s="1"/>
      <c r="G3" s="10"/>
      <c r="H3" s="37"/>
      <c r="I3" s="37"/>
      <c r="J3" s="38" t="s">
        <v>17</v>
      </c>
      <c r="K3" s="39"/>
      <c r="L3" s="40" t="s">
        <v>18</v>
      </c>
      <c r="M3" s="41" t="s">
        <v>18</v>
      </c>
      <c r="N3" s="41" t="s">
        <v>18</v>
      </c>
      <c r="O3" s="41" t="s">
        <v>18</v>
      </c>
      <c r="P3" s="42" t="s">
        <v>18</v>
      </c>
      <c r="Q3" s="40" t="s">
        <v>18</v>
      </c>
      <c r="R3" s="43" t="s">
        <v>19</v>
      </c>
      <c r="S3" s="44" t="s">
        <v>20</v>
      </c>
      <c r="T3" s="45" t="s">
        <v>20</v>
      </c>
      <c r="U3" s="46" t="s">
        <v>21</v>
      </c>
      <c r="V3" s="47" t="s">
        <v>21</v>
      </c>
      <c r="W3" s="44" t="s">
        <v>20</v>
      </c>
      <c r="X3" s="45" t="s">
        <v>20</v>
      </c>
      <c r="Y3" s="46" t="s">
        <v>21</v>
      </c>
      <c r="Z3" s="185" t="s">
        <v>21</v>
      </c>
      <c r="AA3" s="186" t="s">
        <v>20</v>
      </c>
      <c r="AB3" s="45" t="s">
        <v>20</v>
      </c>
      <c r="AC3" s="47" t="s">
        <v>21</v>
      </c>
      <c r="AD3" s="4"/>
      <c r="AE3" s="1"/>
      <c r="AF3" s="51"/>
      <c r="AG3" s="24"/>
      <c r="AH3" s="5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s="5" customFormat="1">
      <c r="A4" s="1"/>
      <c r="B4" s="1"/>
      <c r="C4" s="1" t="s">
        <v>14</v>
      </c>
      <c r="D4" s="1"/>
      <c r="E4" s="1"/>
      <c r="F4" s="1"/>
      <c r="G4" s="10"/>
      <c r="H4" s="37"/>
      <c r="I4" s="37"/>
      <c r="J4" s="38" t="s">
        <v>22</v>
      </c>
      <c r="K4" s="39"/>
      <c r="L4" s="40" t="s">
        <v>29</v>
      </c>
      <c r="M4" s="41" t="s">
        <v>29</v>
      </c>
      <c r="N4" s="41" t="s">
        <v>29</v>
      </c>
      <c r="O4" s="41" t="s">
        <v>29</v>
      </c>
      <c r="P4" s="42" t="s">
        <v>29</v>
      </c>
      <c r="Q4" s="40" t="s">
        <v>29</v>
      </c>
      <c r="R4" s="43" t="s">
        <v>29</v>
      </c>
      <c r="S4" s="44" t="s">
        <v>29</v>
      </c>
      <c r="T4" s="45" t="s">
        <v>29</v>
      </c>
      <c r="U4" s="46" t="s">
        <v>29</v>
      </c>
      <c r="V4" s="47" t="s">
        <v>27</v>
      </c>
      <c r="W4" s="44" t="s">
        <v>29</v>
      </c>
      <c r="X4" s="45" t="s">
        <v>29</v>
      </c>
      <c r="Y4" s="46" t="s">
        <v>29</v>
      </c>
      <c r="Z4" s="185" t="s">
        <v>27</v>
      </c>
      <c r="AA4" s="186" t="s">
        <v>29</v>
      </c>
      <c r="AB4" s="45" t="s">
        <v>29</v>
      </c>
      <c r="AC4" s="47" t="s">
        <v>27</v>
      </c>
      <c r="AD4" s="4"/>
      <c r="AE4" s="1"/>
      <c r="AF4" s="85" t="s">
        <v>27</v>
      </c>
      <c r="AG4" s="43" t="s">
        <v>27</v>
      </c>
      <c r="AH4" s="85" t="s">
        <v>27</v>
      </c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s="5" customFormat="1">
      <c r="A5" s="1"/>
      <c r="B5" s="1"/>
      <c r="C5" s="1" t="s">
        <v>15</v>
      </c>
      <c r="D5" s="1"/>
      <c r="E5" s="1"/>
      <c r="F5" s="1"/>
      <c r="G5" s="10"/>
      <c r="H5" s="1"/>
      <c r="I5" s="1"/>
      <c r="J5" s="2" t="s">
        <v>28</v>
      </c>
      <c r="K5" s="3"/>
      <c r="L5" s="72" t="str">
        <f>INDEX(микс!$G:$G,SUMIFS(микс!$E:$E,микс!$F:$F,операции!L$2))</f>
        <v>бизнес-модель</v>
      </c>
      <c r="M5" s="73" t="str">
        <f>INDEX(микс!$G:$G,SUMIFS(микс!$E:$E,микс!$F:$F,операции!M$2))</f>
        <v>детализация_2</v>
      </c>
      <c r="N5" s="73" t="str">
        <f>INDEX(микс!$G:$G,SUMIFS(микс!$E:$E,микс!$F:$F,операции!N$2))</f>
        <v>детализация_3</v>
      </c>
      <c r="O5" s="73" t="str">
        <f>INDEX(микс!$G:$G,SUMIFS(микс!$E:$E,микс!$F:$F,операции!O$2))</f>
        <v>поставщик</v>
      </c>
      <c r="P5" s="74" t="str">
        <f>INDEX(микс!$G:$G,SUMIFS(микс!$E:$E,микс!$F:$F,операции!P$2))</f>
        <v>категория товара</v>
      </c>
      <c r="Q5" s="18"/>
      <c r="R5" s="24"/>
      <c r="S5" s="27"/>
      <c r="T5" s="30"/>
      <c r="U5" s="32"/>
      <c r="V5" s="35"/>
      <c r="W5" s="27"/>
      <c r="X5" s="30"/>
      <c r="Y5" s="32"/>
      <c r="Z5" s="187"/>
      <c r="AA5" s="188"/>
      <c r="AB5" s="30"/>
      <c r="AC5" s="35"/>
      <c r="AD5" s="4"/>
      <c r="AE5" s="1"/>
      <c r="AF5" s="51"/>
      <c r="AG5" s="24"/>
      <c r="AH5" s="5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>
      <c r="A6" s="6"/>
      <c r="B6" s="6"/>
      <c r="C6" s="6"/>
      <c r="D6" s="6"/>
      <c r="E6" s="6"/>
      <c r="F6" s="6"/>
      <c r="G6" s="11"/>
      <c r="H6" s="6"/>
      <c r="I6" s="6"/>
      <c r="J6" s="6"/>
      <c r="K6" s="7"/>
      <c r="L6" s="21"/>
      <c r="M6" s="22"/>
      <c r="N6" s="22"/>
      <c r="O6" s="22"/>
      <c r="P6" s="23"/>
      <c r="Q6" s="21"/>
      <c r="R6" s="25"/>
      <c r="S6" s="28"/>
      <c r="T6" s="31"/>
      <c r="U6" s="33"/>
      <c r="V6" s="36"/>
      <c r="W6" s="28"/>
      <c r="X6" s="31"/>
      <c r="Y6" s="33"/>
      <c r="Z6" s="189"/>
      <c r="AA6" s="190"/>
      <c r="AB6" s="31"/>
      <c r="AC6" s="36"/>
      <c r="AD6" s="8"/>
      <c r="AE6" s="6"/>
      <c r="AF6" s="52"/>
      <c r="AG6" s="25"/>
      <c r="AH6" s="52"/>
      <c r="AI6" s="6"/>
      <c r="AJ6" s="6"/>
      <c r="AK6" s="6"/>
      <c r="AL6" s="6"/>
      <c r="AM6" s="6"/>
      <c r="AN6" s="6"/>
      <c r="AO6" s="6"/>
      <c r="AP6" s="6"/>
      <c r="AQ6" s="6"/>
      <c r="AR6" s="6"/>
    </row>
    <row r="7" spans="1:44">
      <c r="A7" s="6"/>
      <c r="B7" s="6"/>
      <c r="C7" s="6"/>
      <c r="D7" s="6"/>
      <c r="E7" s="6"/>
      <c r="F7" s="6"/>
      <c r="G7" s="11"/>
      <c r="H7" s="6"/>
      <c r="I7" s="6"/>
      <c r="J7" s="6"/>
      <c r="K7" s="7"/>
      <c r="L7" s="21"/>
      <c r="M7" s="22"/>
      <c r="N7" s="22"/>
      <c r="O7" s="22"/>
      <c r="P7" s="23"/>
      <c r="Q7" s="21"/>
      <c r="R7" s="25"/>
      <c r="S7" s="28"/>
      <c r="T7" s="31"/>
      <c r="U7" s="33"/>
      <c r="V7" s="36"/>
      <c r="W7" s="28"/>
      <c r="X7" s="31"/>
      <c r="Y7" s="33"/>
      <c r="Z7" s="189"/>
      <c r="AA7" s="190"/>
      <c r="AB7" s="31"/>
      <c r="AC7" s="36"/>
      <c r="AD7" s="8"/>
      <c r="AE7" s="6"/>
      <c r="AF7" s="52"/>
      <c r="AG7" s="25"/>
      <c r="AH7" s="52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>
      <c r="A8" s="6"/>
      <c r="B8" s="6"/>
      <c r="C8" s="6"/>
      <c r="D8" s="6"/>
      <c r="E8" s="6"/>
      <c r="F8" s="6"/>
      <c r="G8" s="11"/>
      <c r="H8" s="6"/>
      <c r="I8" s="6"/>
      <c r="J8" s="6"/>
      <c r="K8" s="7"/>
      <c r="L8" s="21"/>
      <c r="M8" s="22"/>
      <c r="N8" s="22"/>
      <c r="O8" s="22"/>
      <c r="P8" s="23"/>
      <c r="Q8" s="21"/>
      <c r="R8" s="25"/>
      <c r="S8" s="28"/>
      <c r="T8" s="31"/>
      <c r="U8" s="33"/>
      <c r="V8" s="36"/>
      <c r="W8" s="28"/>
      <c r="X8" s="31"/>
      <c r="Y8" s="33"/>
      <c r="Z8" s="189"/>
      <c r="AA8" s="190"/>
      <c r="AB8" s="31"/>
      <c r="AC8" s="36"/>
      <c r="AD8" s="8"/>
      <c r="AE8" s="6"/>
      <c r="AF8" s="52"/>
      <c r="AG8" s="25"/>
      <c r="AH8" s="52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44">
      <c r="A9" s="6"/>
      <c r="B9" s="6"/>
      <c r="C9" s="6"/>
      <c r="D9" s="6"/>
      <c r="E9" s="6"/>
      <c r="F9" s="6"/>
      <c r="G9" s="11"/>
      <c r="H9" s="6"/>
      <c r="I9" s="6"/>
      <c r="J9" s="6"/>
      <c r="K9" s="7"/>
      <c r="L9" s="21" t="str">
        <f>микс!$H$10</f>
        <v>продажа со склада</v>
      </c>
      <c r="M9" s="22"/>
      <c r="N9" s="22"/>
      <c r="O9" s="22" t="s">
        <v>145</v>
      </c>
      <c r="P9" s="23" t="str">
        <f>микс!$H$46</f>
        <v>Электроника и бытовая техника</v>
      </c>
      <c r="Q9" s="21" t="s">
        <v>58</v>
      </c>
      <c r="R9" s="25">
        <v>1</v>
      </c>
      <c r="S9" s="28"/>
      <c r="T9" s="31">
        <v>42281</v>
      </c>
      <c r="U9" s="33">
        <v>5244</v>
      </c>
      <c r="V9" s="36">
        <f>$R9*U9</f>
        <v>5244</v>
      </c>
      <c r="W9" s="28"/>
      <c r="X9" s="31">
        <v>42315</v>
      </c>
      <c r="Y9" s="33">
        <v>5250</v>
      </c>
      <c r="Z9" s="189">
        <f>$R9*Y9</f>
        <v>5250</v>
      </c>
      <c r="AA9" s="190"/>
      <c r="AB9" s="31">
        <v>42291</v>
      </c>
      <c r="AC9" s="36">
        <v>5244</v>
      </c>
      <c r="AD9" s="8"/>
      <c r="AE9" s="6"/>
      <c r="AF9" s="52">
        <f t="shared" ref="AF9:AF72" si="0">T9*V9</f>
        <v>221721564</v>
      </c>
      <c r="AG9" s="25">
        <f t="shared" ref="AG9:AG72" si="1">X9*Z9</f>
        <v>222153750</v>
      </c>
      <c r="AH9" s="52">
        <f>AB9*AC9</f>
        <v>221774004</v>
      </c>
      <c r="AI9" s="6"/>
      <c r="AJ9" s="6"/>
      <c r="AK9" s="6"/>
      <c r="AL9" s="6"/>
      <c r="AM9" s="6"/>
      <c r="AN9" s="6"/>
      <c r="AO9" s="6"/>
      <c r="AP9" s="6"/>
      <c r="AQ9" s="6"/>
      <c r="AR9" s="6"/>
    </row>
    <row r="10" spans="1:44">
      <c r="A10" s="6"/>
      <c r="B10" s="6"/>
      <c r="C10" s="6"/>
      <c r="D10" s="6"/>
      <c r="E10" s="6"/>
      <c r="F10" s="6"/>
      <c r="G10" s="11"/>
      <c r="H10" s="6"/>
      <c r="I10" s="6"/>
      <c r="J10" s="6"/>
      <c r="K10" s="7"/>
      <c r="L10" s="21" t="str">
        <f>микс!$H$10</f>
        <v>продажа со склада</v>
      </c>
      <c r="M10" s="22"/>
      <c r="N10" s="22"/>
      <c r="O10" s="22" t="s">
        <v>145</v>
      </c>
      <c r="P10" s="23" t="str">
        <f>микс!$H$46</f>
        <v>Электроника и бытовая техника</v>
      </c>
      <c r="Q10" s="21" t="s">
        <v>58</v>
      </c>
      <c r="R10" s="25">
        <v>1</v>
      </c>
      <c r="S10" s="28"/>
      <c r="T10" s="31">
        <v>42295</v>
      </c>
      <c r="U10" s="33">
        <v>3251.08</v>
      </c>
      <c r="V10" s="36">
        <f t="shared" ref="V10:V73" si="2">$R10*U10</f>
        <v>3251.08</v>
      </c>
      <c r="W10" s="28"/>
      <c r="X10" s="31">
        <v>42326</v>
      </c>
      <c r="Y10" s="33">
        <v>5462</v>
      </c>
      <c r="Z10" s="189">
        <f t="shared" ref="Z10:Z73" si="3">$R10*Y10</f>
        <v>5462</v>
      </c>
      <c r="AA10" s="190"/>
      <c r="AB10" s="31">
        <v>42325</v>
      </c>
      <c r="AC10" s="36">
        <v>3251.08</v>
      </c>
      <c r="AD10" s="8"/>
      <c r="AE10" s="6"/>
      <c r="AF10" s="52">
        <f t="shared" si="0"/>
        <v>137504428.59999999</v>
      </c>
      <c r="AG10" s="25">
        <f t="shared" si="1"/>
        <v>231184612</v>
      </c>
      <c r="AH10" s="52">
        <f t="shared" ref="AH10:AH73" si="4">AB10*AC10</f>
        <v>137601961</v>
      </c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spans="1:44">
      <c r="A11" s="6"/>
      <c r="B11" s="6"/>
      <c r="C11" s="6"/>
      <c r="D11" s="6"/>
      <c r="E11" s="6"/>
      <c r="F11" s="6"/>
      <c r="G11" s="11"/>
      <c r="H11" s="6"/>
      <c r="I11" s="6"/>
      <c r="J11" s="6"/>
      <c r="K11" s="7"/>
      <c r="L11" s="21" t="str">
        <f>микс!$H$11</f>
        <v>продажа под заказ</v>
      </c>
      <c r="M11" s="22"/>
      <c r="N11" s="22"/>
      <c r="O11" s="22" t="s">
        <v>134</v>
      </c>
      <c r="P11" s="23" t="str">
        <f>микс!$H$49</f>
        <v>Товары для детей</v>
      </c>
      <c r="Q11" s="21" t="s">
        <v>59</v>
      </c>
      <c r="R11" s="25">
        <v>1</v>
      </c>
      <c r="S11" s="28"/>
      <c r="T11" s="31">
        <v>42325</v>
      </c>
      <c r="U11" s="33">
        <v>4037.08</v>
      </c>
      <c r="V11" s="36">
        <f t="shared" si="2"/>
        <v>4037.08</v>
      </c>
      <c r="W11" s="28"/>
      <c r="X11" s="31">
        <v>42332</v>
      </c>
      <c r="Y11" s="33">
        <v>4356</v>
      </c>
      <c r="Z11" s="189">
        <f t="shared" si="3"/>
        <v>4356</v>
      </c>
      <c r="AA11" s="190"/>
      <c r="AB11" s="31">
        <v>42346</v>
      </c>
      <c r="AC11" s="36">
        <v>4037.08</v>
      </c>
      <c r="AD11" s="8"/>
      <c r="AE11" s="6"/>
      <c r="AF11" s="52">
        <f t="shared" si="0"/>
        <v>170869411</v>
      </c>
      <c r="AG11" s="25">
        <f t="shared" si="1"/>
        <v>184398192</v>
      </c>
      <c r="AH11" s="52">
        <f t="shared" si="4"/>
        <v>170954189.68000001</v>
      </c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spans="1:44">
      <c r="A12" s="6"/>
      <c r="B12" s="6"/>
      <c r="C12" s="6"/>
      <c r="D12" s="6"/>
      <c r="E12" s="6"/>
      <c r="F12" s="6"/>
      <c r="G12" s="11"/>
      <c r="H12" s="6"/>
      <c r="I12" s="6"/>
      <c r="J12" s="6"/>
      <c r="K12" s="7"/>
      <c r="L12" s="21" t="str">
        <f>микс!$H$11</f>
        <v>продажа под заказ</v>
      </c>
      <c r="M12" s="22"/>
      <c r="N12" s="22"/>
      <c r="O12" s="22" t="s">
        <v>134</v>
      </c>
      <c r="P12" s="23" t="str">
        <f>микс!$H$49</f>
        <v>Товары для детей</v>
      </c>
      <c r="Q12" s="21" t="s">
        <v>59</v>
      </c>
      <c r="R12" s="25">
        <v>1</v>
      </c>
      <c r="S12" s="28"/>
      <c r="T12" s="31">
        <v>42319</v>
      </c>
      <c r="U12" s="33">
        <v>3880.91</v>
      </c>
      <c r="V12" s="36">
        <f t="shared" si="2"/>
        <v>3880.91</v>
      </c>
      <c r="W12" s="28"/>
      <c r="X12" s="31">
        <v>42334</v>
      </c>
      <c r="Y12" s="33">
        <v>4531</v>
      </c>
      <c r="Z12" s="189">
        <f t="shared" si="3"/>
        <v>4531</v>
      </c>
      <c r="AA12" s="190"/>
      <c r="AB12" s="31"/>
      <c r="AC12" s="36"/>
      <c r="AD12" s="8"/>
      <c r="AE12" s="6"/>
      <c r="AF12" s="52">
        <f t="shared" si="0"/>
        <v>164236230.28999999</v>
      </c>
      <c r="AG12" s="25">
        <f t="shared" si="1"/>
        <v>191815354</v>
      </c>
      <c r="AH12" s="52">
        <f t="shared" si="4"/>
        <v>0</v>
      </c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>
      <c r="A13" s="6"/>
      <c r="B13" s="6"/>
      <c r="C13" s="6"/>
      <c r="D13" s="6"/>
      <c r="E13" s="6"/>
      <c r="F13" s="6"/>
      <c r="G13" s="11"/>
      <c r="H13" s="6"/>
      <c r="I13" s="6"/>
      <c r="J13" s="6"/>
      <c r="K13" s="7"/>
      <c r="L13" s="21" t="str">
        <f>микс!$H$10</f>
        <v>продажа со склада</v>
      </c>
      <c r="M13" s="22"/>
      <c r="N13" s="22"/>
      <c r="O13" s="22" t="s">
        <v>134</v>
      </c>
      <c r="P13" s="23" t="str">
        <f>микс!$H$49</f>
        <v>Товары для детей</v>
      </c>
      <c r="Q13" s="21" t="s">
        <v>59</v>
      </c>
      <c r="R13" s="25">
        <v>1</v>
      </c>
      <c r="S13" s="28"/>
      <c r="T13" s="31">
        <v>42284</v>
      </c>
      <c r="U13" s="33">
        <v>4006</v>
      </c>
      <c r="V13" s="36">
        <f t="shared" si="2"/>
        <v>4006</v>
      </c>
      <c r="W13" s="28"/>
      <c r="X13" s="31">
        <v>42325</v>
      </c>
      <c r="Y13" s="33">
        <v>4362</v>
      </c>
      <c r="Z13" s="189">
        <f t="shared" si="3"/>
        <v>4362</v>
      </c>
      <c r="AA13" s="190"/>
      <c r="AB13" s="31">
        <v>42314</v>
      </c>
      <c r="AC13" s="36">
        <v>4006</v>
      </c>
      <c r="AD13" s="8"/>
      <c r="AE13" s="6"/>
      <c r="AF13" s="52">
        <f t="shared" si="0"/>
        <v>169389704</v>
      </c>
      <c r="AG13" s="25">
        <f t="shared" si="1"/>
        <v>184621650</v>
      </c>
      <c r="AH13" s="52">
        <f t="shared" si="4"/>
        <v>169509884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spans="1:44">
      <c r="A14" s="6"/>
      <c r="B14" s="6"/>
      <c r="C14" s="6"/>
      <c r="D14" s="6"/>
      <c r="E14" s="6"/>
      <c r="F14" s="6"/>
      <c r="G14" s="11"/>
      <c r="H14" s="6"/>
      <c r="I14" s="6"/>
      <c r="J14" s="6"/>
      <c r="K14" s="7"/>
      <c r="L14" s="21" t="str">
        <f>микс!$H$11</f>
        <v>продажа под заказ</v>
      </c>
      <c r="M14" s="22"/>
      <c r="N14" s="22"/>
      <c r="O14" s="22" t="s">
        <v>134</v>
      </c>
      <c r="P14" s="23" t="str">
        <f>микс!$H$49</f>
        <v>Товары для детей</v>
      </c>
      <c r="Q14" s="21" t="s">
        <v>59</v>
      </c>
      <c r="R14" s="25">
        <v>1</v>
      </c>
      <c r="S14" s="28"/>
      <c r="T14" s="31">
        <v>42293</v>
      </c>
      <c r="U14" s="33">
        <v>4006</v>
      </c>
      <c r="V14" s="36">
        <f t="shared" si="2"/>
        <v>4006</v>
      </c>
      <c r="W14" s="28"/>
      <c r="X14" s="31">
        <v>42297</v>
      </c>
      <c r="Y14" s="33">
        <v>4235</v>
      </c>
      <c r="Z14" s="189">
        <f t="shared" si="3"/>
        <v>4235</v>
      </c>
      <c r="AA14" s="190"/>
      <c r="AB14" s="31">
        <v>42308</v>
      </c>
      <c r="AC14" s="36">
        <v>4006</v>
      </c>
      <c r="AD14" s="8"/>
      <c r="AE14" s="6"/>
      <c r="AF14" s="52">
        <f t="shared" si="0"/>
        <v>169425758</v>
      </c>
      <c r="AG14" s="25">
        <f t="shared" si="1"/>
        <v>179127795</v>
      </c>
      <c r="AH14" s="52">
        <f t="shared" si="4"/>
        <v>169485848</v>
      </c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spans="1:44">
      <c r="A15" s="6"/>
      <c r="B15" s="6"/>
      <c r="C15" s="6"/>
      <c r="D15" s="6"/>
      <c r="E15" s="6"/>
      <c r="F15" s="6"/>
      <c r="G15" s="11"/>
      <c r="H15" s="6"/>
      <c r="I15" s="6"/>
      <c r="J15" s="6"/>
      <c r="K15" s="7"/>
      <c r="L15" s="21" t="str">
        <f>микс!$H$10</f>
        <v>продажа со склада</v>
      </c>
      <c r="M15" s="22"/>
      <c r="N15" s="22"/>
      <c r="O15" s="22" t="s">
        <v>134</v>
      </c>
      <c r="P15" s="23" t="str">
        <f>микс!$H$49</f>
        <v>Товары для детей</v>
      </c>
      <c r="Q15" s="21" t="s">
        <v>59</v>
      </c>
      <c r="R15" s="25">
        <v>1</v>
      </c>
      <c r="S15" s="28"/>
      <c r="T15" s="31">
        <v>42268</v>
      </c>
      <c r="U15" s="33">
        <v>4037.08</v>
      </c>
      <c r="V15" s="36">
        <f t="shared" si="2"/>
        <v>4037.08</v>
      </c>
      <c r="W15" s="28"/>
      <c r="X15" s="31">
        <v>42299</v>
      </c>
      <c r="Y15" s="33">
        <v>4235</v>
      </c>
      <c r="Z15" s="189">
        <f t="shared" si="3"/>
        <v>4235</v>
      </c>
      <c r="AA15" s="190"/>
      <c r="AB15" s="31">
        <v>42290</v>
      </c>
      <c r="AC15" s="36">
        <v>4037.08</v>
      </c>
      <c r="AD15" s="8"/>
      <c r="AE15" s="6"/>
      <c r="AF15" s="52">
        <f t="shared" si="0"/>
        <v>170639297.44</v>
      </c>
      <c r="AG15" s="25">
        <f t="shared" si="1"/>
        <v>179136265</v>
      </c>
      <c r="AH15" s="52">
        <f t="shared" si="4"/>
        <v>170728113.19999999</v>
      </c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spans="1:44">
      <c r="A16" s="6"/>
      <c r="B16" s="6"/>
      <c r="C16" s="6"/>
      <c r="D16" s="6"/>
      <c r="E16" s="6"/>
      <c r="F16" s="6"/>
      <c r="G16" s="11"/>
      <c r="H16" s="6"/>
      <c r="I16" s="6"/>
      <c r="J16" s="6"/>
      <c r="K16" s="7"/>
      <c r="L16" s="21" t="str">
        <f>микс!$H$11</f>
        <v>продажа под заказ</v>
      </c>
      <c r="M16" s="22"/>
      <c r="N16" s="22"/>
      <c r="O16" s="22" t="s">
        <v>134</v>
      </c>
      <c r="P16" s="23" t="str">
        <f>микс!$H$49</f>
        <v>Товары для детей</v>
      </c>
      <c r="Q16" s="21" t="s">
        <v>59</v>
      </c>
      <c r="R16" s="25">
        <v>1</v>
      </c>
      <c r="S16" s="28"/>
      <c r="T16" s="31">
        <v>42302</v>
      </c>
      <c r="U16" s="33">
        <v>4037.08</v>
      </c>
      <c r="V16" s="36">
        <f t="shared" si="2"/>
        <v>4037.08</v>
      </c>
      <c r="W16" s="28"/>
      <c r="X16" s="31">
        <v>42306</v>
      </c>
      <c r="Y16" s="33">
        <v>4235</v>
      </c>
      <c r="Z16" s="189">
        <f t="shared" si="3"/>
        <v>4235</v>
      </c>
      <c r="AA16" s="190"/>
      <c r="AB16" s="31">
        <v>42362</v>
      </c>
      <c r="AC16" s="36">
        <v>4037.08</v>
      </c>
      <c r="AD16" s="8"/>
      <c r="AE16" s="6"/>
      <c r="AF16" s="52">
        <f t="shared" si="0"/>
        <v>170776558.16</v>
      </c>
      <c r="AG16" s="25">
        <f t="shared" si="1"/>
        <v>179165910</v>
      </c>
      <c r="AH16" s="52">
        <f t="shared" si="4"/>
        <v>171018782.96000001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spans="1:44">
      <c r="A17" s="6"/>
      <c r="B17" s="6"/>
      <c r="C17" s="6"/>
      <c r="D17" s="6"/>
      <c r="E17" s="6"/>
      <c r="F17" s="6"/>
      <c r="G17" s="11"/>
      <c r="H17" s="6"/>
      <c r="I17" s="6"/>
      <c r="J17" s="6"/>
      <c r="K17" s="7"/>
      <c r="L17" s="21" t="str">
        <f>микс!$H$11</f>
        <v>продажа под заказ</v>
      </c>
      <c r="M17" s="22"/>
      <c r="N17" s="22"/>
      <c r="O17" s="22" t="s">
        <v>134</v>
      </c>
      <c r="P17" s="23" t="str">
        <f>микс!$H$49</f>
        <v>Товары для детей</v>
      </c>
      <c r="Q17" s="21" t="s">
        <v>59</v>
      </c>
      <c r="R17" s="25">
        <v>1</v>
      </c>
      <c r="S17" s="28"/>
      <c r="T17" s="31">
        <v>42302</v>
      </c>
      <c r="U17" s="33">
        <v>4037.08</v>
      </c>
      <c r="V17" s="36">
        <f t="shared" si="2"/>
        <v>4037.08</v>
      </c>
      <c r="W17" s="28"/>
      <c r="X17" s="31">
        <v>42306</v>
      </c>
      <c r="Y17" s="33">
        <v>4235</v>
      </c>
      <c r="Z17" s="189">
        <f t="shared" si="3"/>
        <v>4235</v>
      </c>
      <c r="AA17" s="190"/>
      <c r="AB17" s="31">
        <v>42307</v>
      </c>
      <c r="AC17" s="36">
        <v>4037.08</v>
      </c>
      <c r="AD17" s="8"/>
      <c r="AE17" s="6"/>
      <c r="AF17" s="52">
        <f t="shared" si="0"/>
        <v>170776558.16</v>
      </c>
      <c r="AG17" s="25">
        <f t="shared" si="1"/>
        <v>179165910</v>
      </c>
      <c r="AH17" s="52">
        <f t="shared" si="4"/>
        <v>170796743.56</v>
      </c>
      <c r="AI17" s="6"/>
      <c r="AJ17" s="6"/>
      <c r="AK17" s="6"/>
      <c r="AL17" s="6"/>
      <c r="AM17" s="6"/>
      <c r="AN17" s="6"/>
      <c r="AO17" s="6"/>
      <c r="AP17" s="6"/>
      <c r="AQ17" s="6"/>
      <c r="AR17" s="6"/>
    </row>
    <row r="18" spans="1:44">
      <c r="A18" s="6"/>
      <c r="B18" s="6"/>
      <c r="C18" s="6"/>
      <c r="D18" s="6"/>
      <c r="E18" s="6"/>
      <c r="F18" s="6"/>
      <c r="G18" s="11"/>
      <c r="H18" s="6"/>
      <c r="I18" s="6"/>
      <c r="J18" s="6"/>
      <c r="K18" s="7"/>
      <c r="L18" s="21" t="str">
        <f>микс!$H$11</f>
        <v>продажа под заказ</v>
      </c>
      <c r="M18" s="22"/>
      <c r="N18" s="22"/>
      <c r="O18" s="22" t="s">
        <v>134</v>
      </c>
      <c r="P18" s="23" t="str">
        <f>микс!$H$49</f>
        <v>Товары для детей</v>
      </c>
      <c r="Q18" s="21" t="s">
        <v>59</v>
      </c>
      <c r="R18" s="25">
        <v>1</v>
      </c>
      <c r="S18" s="28"/>
      <c r="T18" s="31">
        <v>42304</v>
      </c>
      <c r="U18" s="33">
        <v>4006</v>
      </c>
      <c r="V18" s="36">
        <f t="shared" si="2"/>
        <v>4006</v>
      </c>
      <c r="W18" s="28"/>
      <c r="X18" s="31">
        <v>42311</v>
      </c>
      <c r="Y18" s="33">
        <v>4362</v>
      </c>
      <c r="Z18" s="189">
        <f t="shared" si="3"/>
        <v>4362</v>
      </c>
      <c r="AA18" s="190"/>
      <c r="AB18" s="31">
        <v>42344</v>
      </c>
      <c r="AC18" s="36">
        <v>4006</v>
      </c>
      <c r="AD18" s="8"/>
      <c r="AE18" s="6"/>
      <c r="AF18" s="52">
        <f t="shared" si="0"/>
        <v>169469824</v>
      </c>
      <c r="AG18" s="25">
        <f t="shared" si="1"/>
        <v>184560582</v>
      </c>
      <c r="AH18" s="52">
        <f t="shared" si="4"/>
        <v>169630064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</row>
    <row r="19" spans="1:44">
      <c r="A19" s="6"/>
      <c r="B19" s="6"/>
      <c r="C19" s="6"/>
      <c r="D19" s="6"/>
      <c r="E19" s="6"/>
      <c r="F19" s="6"/>
      <c r="G19" s="11"/>
      <c r="H19" s="6"/>
      <c r="I19" s="6"/>
      <c r="J19" s="6"/>
      <c r="K19" s="7"/>
      <c r="L19" s="21" t="str">
        <f>микс!$H$10</f>
        <v>продажа со склада</v>
      </c>
      <c r="M19" s="22"/>
      <c r="N19" s="22"/>
      <c r="O19" s="22" t="s">
        <v>134</v>
      </c>
      <c r="P19" s="23" t="str">
        <f>микс!$H$49</f>
        <v>Товары для детей</v>
      </c>
      <c r="Q19" s="21" t="s">
        <v>59</v>
      </c>
      <c r="R19" s="25">
        <v>1</v>
      </c>
      <c r="S19" s="28"/>
      <c r="T19" s="31">
        <v>42262</v>
      </c>
      <c r="U19" s="33">
        <v>4037.08</v>
      </c>
      <c r="V19" s="36">
        <f t="shared" si="2"/>
        <v>4037.08</v>
      </c>
      <c r="W19" s="28"/>
      <c r="X19" s="31">
        <v>42308</v>
      </c>
      <c r="Y19" s="33">
        <v>4235</v>
      </c>
      <c r="Z19" s="189">
        <f t="shared" si="3"/>
        <v>4235</v>
      </c>
      <c r="AA19" s="190"/>
      <c r="AB19" s="31"/>
      <c r="AC19" s="36"/>
      <c r="AD19" s="8"/>
      <c r="AE19" s="6"/>
      <c r="AF19" s="52">
        <f t="shared" si="0"/>
        <v>170615074.96000001</v>
      </c>
      <c r="AG19" s="25">
        <f t="shared" si="1"/>
        <v>179174380</v>
      </c>
      <c r="AH19" s="52">
        <f t="shared" si="4"/>
        <v>0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</row>
    <row r="20" spans="1:44">
      <c r="A20" s="6"/>
      <c r="B20" s="6"/>
      <c r="C20" s="6"/>
      <c r="D20" s="6"/>
      <c r="E20" s="6"/>
      <c r="F20" s="6"/>
      <c r="G20" s="11"/>
      <c r="H20" s="6"/>
      <c r="I20" s="6"/>
      <c r="J20" s="6"/>
      <c r="K20" s="7"/>
      <c r="L20" s="21" t="str">
        <f>микс!$H$10</f>
        <v>продажа со склада</v>
      </c>
      <c r="M20" s="22"/>
      <c r="N20" s="22"/>
      <c r="O20" s="22" t="s">
        <v>134</v>
      </c>
      <c r="P20" s="23" t="str">
        <f>микс!$H$49</f>
        <v>Товары для детей</v>
      </c>
      <c r="Q20" s="21" t="s">
        <v>59</v>
      </c>
      <c r="R20" s="25">
        <v>1</v>
      </c>
      <c r="S20" s="28"/>
      <c r="T20" s="31">
        <v>42288</v>
      </c>
      <c r="U20" s="33">
        <v>3880.91</v>
      </c>
      <c r="V20" s="36">
        <f t="shared" si="2"/>
        <v>3880.91</v>
      </c>
      <c r="W20" s="28"/>
      <c r="X20" s="31">
        <v>42335</v>
      </c>
      <c r="Y20" s="33">
        <v>3984</v>
      </c>
      <c r="Z20" s="189">
        <f t="shared" si="3"/>
        <v>3984</v>
      </c>
      <c r="AA20" s="190"/>
      <c r="AB20" s="31">
        <v>42303</v>
      </c>
      <c r="AC20" s="36">
        <v>3880.91</v>
      </c>
      <c r="AD20" s="8"/>
      <c r="AE20" s="6"/>
      <c r="AF20" s="52">
        <f t="shared" si="0"/>
        <v>164115922.07999998</v>
      </c>
      <c r="AG20" s="25">
        <f t="shared" si="1"/>
        <v>168662640</v>
      </c>
      <c r="AH20" s="52">
        <f t="shared" si="4"/>
        <v>164174135.72999999</v>
      </c>
      <c r="AI20" s="6"/>
      <c r="AJ20" s="6"/>
      <c r="AK20" s="6"/>
      <c r="AL20" s="6"/>
      <c r="AM20" s="6"/>
      <c r="AN20" s="6"/>
      <c r="AO20" s="6"/>
      <c r="AP20" s="6"/>
      <c r="AQ20" s="6"/>
      <c r="AR20" s="6"/>
    </row>
    <row r="21" spans="1:44">
      <c r="A21" s="6"/>
      <c r="B21" s="6"/>
      <c r="C21" s="6"/>
      <c r="D21" s="6"/>
      <c r="E21" s="6"/>
      <c r="F21" s="6"/>
      <c r="G21" s="11"/>
      <c r="H21" s="6"/>
      <c r="I21" s="6"/>
      <c r="J21" s="6"/>
      <c r="K21" s="7"/>
      <c r="L21" s="21" t="str">
        <f>микс!$H$10</f>
        <v>продажа со склада</v>
      </c>
      <c r="M21" s="22"/>
      <c r="N21" s="22"/>
      <c r="O21" s="22" t="s">
        <v>134</v>
      </c>
      <c r="P21" s="23" t="str">
        <f>микс!$H$49</f>
        <v>Товары для детей</v>
      </c>
      <c r="Q21" s="21" t="s">
        <v>59</v>
      </c>
      <c r="R21" s="25">
        <v>1</v>
      </c>
      <c r="S21" s="28"/>
      <c r="T21" s="31">
        <v>42288</v>
      </c>
      <c r="U21" s="33">
        <v>3880.91</v>
      </c>
      <c r="V21" s="36">
        <f t="shared" si="2"/>
        <v>3880.91</v>
      </c>
      <c r="W21" s="28"/>
      <c r="X21" s="31">
        <v>42335</v>
      </c>
      <c r="Y21" s="33">
        <v>3984</v>
      </c>
      <c r="Z21" s="189">
        <f t="shared" si="3"/>
        <v>3984</v>
      </c>
      <c r="AA21" s="190"/>
      <c r="AB21" s="31">
        <v>42338</v>
      </c>
      <c r="AC21" s="36">
        <v>3880.91</v>
      </c>
      <c r="AD21" s="8"/>
      <c r="AE21" s="6"/>
      <c r="AF21" s="52">
        <f t="shared" si="0"/>
        <v>164115922.07999998</v>
      </c>
      <c r="AG21" s="25">
        <f t="shared" si="1"/>
        <v>168662640</v>
      </c>
      <c r="AH21" s="52">
        <f t="shared" si="4"/>
        <v>164309967.57999998</v>
      </c>
      <c r="AI21" s="6"/>
      <c r="AJ21" s="6"/>
      <c r="AK21" s="6"/>
      <c r="AL21" s="6"/>
      <c r="AM21" s="6"/>
      <c r="AN21" s="6"/>
      <c r="AO21" s="6"/>
      <c r="AP21" s="6"/>
      <c r="AQ21" s="6"/>
      <c r="AR21" s="6"/>
    </row>
    <row r="22" spans="1:44">
      <c r="A22" s="6"/>
      <c r="B22" s="6"/>
      <c r="C22" s="6"/>
      <c r="D22" s="6"/>
      <c r="E22" s="6"/>
      <c r="F22" s="6"/>
      <c r="G22" s="11"/>
      <c r="H22" s="6"/>
      <c r="I22" s="6"/>
      <c r="J22" s="6"/>
      <c r="K22" s="7"/>
      <c r="L22" s="21" t="str">
        <f>микс!$H$10</f>
        <v>продажа со склада</v>
      </c>
      <c r="M22" s="22"/>
      <c r="N22" s="22"/>
      <c r="O22" s="22" t="s">
        <v>134</v>
      </c>
      <c r="P22" s="23" t="str">
        <f>микс!$H$49</f>
        <v>Товары для детей</v>
      </c>
      <c r="Q22" s="21" t="s">
        <v>59</v>
      </c>
      <c r="R22" s="25">
        <v>1</v>
      </c>
      <c r="S22" s="28"/>
      <c r="T22" s="31">
        <v>42286</v>
      </c>
      <c r="U22" s="33">
        <v>3880.91</v>
      </c>
      <c r="V22" s="36">
        <f t="shared" si="2"/>
        <v>3880.91</v>
      </c>
      <c r="W22" s="28"/>
      <c r="X22" s="31">
        <v>42339</v>
      </c>
      <c r="Y22" s="33">
        <v>4228</v>
      </c>
      <c r="Z22" s="189">
        <f t="shared" si="3"/>
        <v>4228</v>
      </c>
      <c r="AA22" s="190"/>
      <c r="AB22" s="31">
        <v>42306</v>
      </c>
      <c r="AC22" s="36">
        <v>3880.91</v>
      </c>
      <c r="AD22" s="8"/>
      <c r="AE22" s="6"/>
      <c r="AF22" s="52">
        <f t="shared" si="0"/>
        <v>164108160.25999999</v>
      </c>
      <c r="AG22" s="25">
        <f t="shared" si="1"/>
        <v>179009292</v>
      </c>
      <c r="AH22" s="52">
        <f t="shared" si="4"/>
        <v>164185778.46000001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</row>
    <row r="23" spans="1:44">
      <c r="A23" s="6"/>
      <c r="B23" s="6"/>
      <c r="C23" s="6"/>
      <c r="D23" s="6"/>
      <c r="E23" s="6"/>
      <c r="F23" s="6"/>
      <c r="G23" s="11"/>
      <c r="H23" s="6"/>
      <c r="I23" s="6"/>
      <c r="J23" s="6"/>
      <c r="K23" s="7"/>
      <c r="L23" s="21" t="str">
        <f>микс!$H$10</f>
        <v>продажа со склада</v>
      </c>
      <c r="M23" s="22"/>
      <c r="N23" s="22"/>
      <c r="O23" s="22" t="s">
        <v>134</v>
      </c>
      <c r="P23" s="23" t="str">
        <f>микс!$H$49</f>
        <v>Товары для детей</v>
      </c>
      <c r="Q23" s="21" t="s">
        <v>59</v>
      </c>
      <c r="R23" s="25">
        <v>1</v>
      </c>
      <c r="S23" s="28"/>
      <c r="T23" s="31">
        <v>42237</v>
      </c>
      <c r="U23" s="33">
        <v>3256</v>
      </c>
      <c r="V23" s="36">
        <f t="shared" si="2"/>
        <v>3256</v>
      </c>
      <c r="W23" s="28"/>
      <c r="X23" s="31">
        <v>42298</v>
      </c>
      <c r="Y23" s="33">
        <v>3261</v>
      </c>
      <c r="Z23" s="189">
        <f t="shared" si="3"/>
        <v>3261</v>
      </c>
      <c r="AA23" s="190"/>
      <c r="AB23" s="31">
        <v>42267</v>
      </c>
      <c r="AC23" s="36">
        <v>3256</v>
      </c>
      <c r="AD23" s="8"/>
      <c r="AE23" s="6"/>
      <c r="AF23" s="52">
        <f t="shared" si="0"/>
        <v>137523672</v>
      </c>
      <c r="AG23" s="25">
        <f t="shared" si="1"/>
        <v>137933778</v>
      </c>
      <c r="AH23" s="52">
        <f t="shared" si="4"/>
        <v>137621352</v>
      </c>
      <c r="AI23" s="6"/>
      <c r="AJ23" s="6"/>
      <c r="AK23" s="6"/>
      <c r="AL23" s="6"/>
      <c r="AM23" s="6"/>
      <c r="AN23" s="6"/>
      <c r="AO23" s="6"/>
      <c r="AP23" s="6"/>
      <c r="AQ23" s="6"/>
      <c r="AR23" s="6"/>
    </row>
    <row r="24" spans="1:44">
      <c r="A24" s="6"/>
      <c r="B24" s="6"/>
      <c r="C24" s="6"/>
      <c r="D24" s="6"/>
      <c r="E24" s="6"/>
      <c r="F24" s="6"/>
      <c r="G24" s="11"/>
      <c r="H24" s="6"/>
      <c r="I24" s="6"/>
      <c r="J24" s="6"/>
      <c r="K24" s="7"/>
      <c r="L24" s="21" t="str">
        <f>микс!$H$10</f>
        <v>продажа со склада</v>
      </c>
      <c r="M24" s="22"/>
      <c r="N24" s="22"/>
      <c r="O24" s="22" t="s">
        <v>134</v>
      </c>
      <c r="P24" s="23" t="str">
        <f>микс!$H$49</f>
        <v>Товары для детей</v>
      </c>
      <c r="Q24" s="21" t="s">
        <v>59</v>
      </c>
      <c r="R24" s="25">
        <v>1</v>
      </c>
      <c r="S24" s="28"/>
      <c r="T24" s="31">
        <v>42235</v>
      </c>
      <c r="U24" s="33">
        <v>3030.85</v>
      </c>
      <c r="V24" s="36">
        <f t="shared" si="2"/>
        <v>3030.85</v>
      </c>
      <c r="W24" s="28"/>
      <c r="X24" s="31">
        <v>42296</v>
      </c>
      <c r="Y24" s="33">
        <v>3261</v>
      </c>
      <c r="Z24" s="189">
        <f t="shared" si="3"/>
        <v>3261</v>
      </c>
      <c r="AA24" s="190"/>
      <c r="AB24" s="31">
        <v>42260</v>
      </c>
      <c r="AC24" s="36">
        <v>3030.85</v>
      </c>
      <c r="AD24" s="8"/>
      <c r="AE24" s="6"/>
      <c r="AF24" s="52">
        <f t="shared" si="0"/>
        <v>128007949.75</v>
      </c>
      <c r="AG24" s="25">
        <f t="shared" si="1"/>
        <v>137927256</v>
      </c>
      <c r="AH24" s="52">
        <f t="shared" si="4"/>
        <v>128083721</v>
      </c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spans="1:44">
      <c r="A25" s="6"/>
      <c r="B25" s="6"/>
      <c r="C25" s="6"/>
      <c r="D25" s="6"/>
      <c r="E25" s="6"/>
      <c r="F25" s="6"/>
      <c r="G25" s="11"/>
      <c r="H25" s="6"/>
      <c r="I25" s="6"/>
      <c r="J25" s="6"/>
      <c r="K25" s="7"/>
      <c r="L25" s="21" t="str">
        <f>микс!$H$11</f>
        <v>продажа под заказ</v>
      </c>
      <c r="M25" s="22"/>
      <c r="N25" s="22"/>
      <c r="O25" s="22" t="s">
        <v>134</v>
      </c>
      <c r="P25" s="23" t="str">
        <f>микс!$H$49</f>
        <v>Товары для детей</v>
      </c>
      <c r="Q25" s="21" t="s">
        <v>59</v>
      </c>
      <c r="R25" s="25">
        <v>1</v>
      </c>
      <c r="S25" s="28"/>
      <c r="T25" s="31">
        <v>42320</v>
      </c>
      <c r="U25" s="33">
        <v>3511</v>
      </c>
      <c r="V25" s="36">
        <f t="shared" si="2"/>
        <v>3511</v>
      </c>
      <c r="W25" s="28"/>
      <c r="X25" s="31">
        <v>42329</v>
      </c>
      <c r="Y25" s="33">
        <v>3811</v>
      </c>
      <c r="Z25" s="189">
        <f t="shared" si="3"/>
        <v>3811</v>
      </c>
      <c r="AA25" s="190"/>
      <c r="AB25" s="31">
        <v>42330</v>
      </c>
      <c r="AC25" s="36">
        <v>3511</v>
      </c>
      <c r="AD25" s="8"/>
      <c r="AE25" s="6"/>
      <c r="AF25" s="52">
        <f t="shared" si="0"/>
        <v>148585520</v>
      </c>
      <c r="AG25" s="25">
        <f t="shared" si="1"/>
        <v>161315819</v>
      </c>
      <c r="AH25" s="52">
        <f t="shared" si="4"/>
        <v>148620630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spans="1:44">
      <c r="A26" s="6"/>
      <c r="B26" s="6"/>
      <c r="C26" s="6"/>
      <c r="D26" s="6"/>
      <c r="E26" s="6"/>
      <c r="F26" s="6"/>
      <c r="G26" s="11"/>
      <c r="H26" s="6"/>
      <c r="I26" s="6"/>
      <c r="J26" s="6"/>
      <c r="K26" s="7"/>
      <c r="L26" s="21" t="str">
        <f>микс!$H$11</f>
        <v>продажа под заказ</v>
      </c>
      <c r="M26" s="22"/>
      <c r="N26" s="22"/>
      <c r="O26" s="22" t="s">
        <v>148</v>
      </c>
      <c r="P26" s="23" t="str">
        <f>микс!$H$49</f>
        <v>Товары для детей</v>
      </c>
      <c r="Q26" s="21" t="s">
        <v>60</v>
      </c>
      <c r="R26" s="25">
        <v>1</v>
      </c>
      <c r="S26" s="28"/>
      <c r="T26" s="31">
        <v>42321</v>
      </c>
      <c r="U26" s="33">
        <v>4661.7</v>
      </c>
      <c r="V26" s="36">
        <f t="shared" si="2"/>
        <v>4661.7</v>
      </c>
      <c r="W26" s="28"/>
      <c r="X26" s="31">
        <v>42323</v>
      </c>
      <c r="Y26" s="33">
        <v>4990</v>
      </c>
      <c r="Z26" s="189">
        <f t="shared" si="3"/>
        <v>4990</v>
      </c>
      <c r="AA26" s="190"/>
      <c r="AB26" s="31">
        <v>42328</v>
      </c>
      <c r="AC26" s="36">
        <v>4661.7</v>
      </c>
      <c r="AD26" s="8"/>
      <c r="AE26" s="6"/>
      <c r="AF26" s="52">
        <f t="shared" si="0"/>
        <v>197287805.69999999</v>
      </c>
      <c r="AG26" s="25">
        <f t="shared" si="1"/>
        <v>211191770</v>
      </c>
      <c r="AH26" s="52">
        <f t="shared" si="4"/>
        <v>197320437.59999999</v>
      </c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spans="1:44">
      <c r="A27" s="6"/>
      <c r="B27" s="6"/>
      <c r="C27" s="6"/>
      <c r="D27" s="6"/>
      <c r="E27" s="6"/>
      <c r="F27" s="6"/>
      <c r="G27" s="11"/>
      <c r="H27" s="6"/>
      <c r="I27" s="6"/>
      <c r="J27" s="6"/>
      <c r="K27" s="7"/>
      <c r="L27" s="21" t="str">
        <f>микс!$H$11</f>
        <v>продажа под заказ</v>
      </c>
      <c r="M27" s="22"/>
      <c r="N27" s="22"/>
      <c r="O27" s="22" t="s">
        <v>148</v>
      </c>
      <c r="P27" s="23" t="str">
        <f>микс!$H$49</f>
        <v>Товары для детей</v>
      </c>
      <c r="Q27" s="21" t="s">
        <v>60</v>
      </c>
      <c r="R27" s="25">
        <v>1</v>
      </c>
      <c r="S27" s="28"/>
      <c r="T27" s="31">
        <v>42321</v>
      </c>
      <c r="U27" s="33">
        <v>4589</v>
      </c>
      <c r="V27" s="36">
        <f t="shared" si="2"/>
        <v>4589</v>
      </c>
      <c r="W27" s="28"/>
      <c r="X27" s="31">
        <v>42326</v>
      </c>
      <c r="Y27" s="33">
        <v>4990</v>
      </c>
      <c r="Z27" s="189">
        <f t="shared" si="3"/>
        <v>4990</v>
      </c>
      <c r="AA27" s="190"/>
      <c r="AB27" s="31">
        <v>42343</v>
      </c>
      <c r="AC27" s="36">
        <v>4589</v>
      </c>
      <c r="AD27" s="8"/>
      <c r="AE27" s="6"/>
      <c r="AF27" s="52">
        <f t="shared" si="0"/>
        <v>194211069</v>
      </c>
      <c r="AG27" s="25">
        <f t="shared" si="1"/>
        <v>211206740</v>
      </c>
      <c r="AH27" s="52">
        <f t="shared" si="4"/>
        <v>194312027</v>
      </c>
      <c r="AI27" s="6"/>
      <c r="AJ27" s="6"/>
      <c r="AK27" s="6"/>
      <c r="AL27" s="6"/>
      <c r="AM27" s="6"/>
      <c r="AN27" s="6"/>
      <c r="AO27" s="6"/>
      <c r="AP27" s="6"/>
      <c r="AQ27" s="6"/>
      <c r="AR27" s="6"/>
    </row>
    <row r="28" spans="1:44">
      <c r="A28" s="6"/>
      <c r="B28" s="6"/>
      <c r="C28" s="6"/>
      <c r="D28" s="6"/>
      <c r="E28" s="6"/>
      <c r="F28" s="6"/>
      <c r="G28" s="11"/>
      <c r="H28" s="6"/>
      <c r="I28" s="6"/>
      <c r="J28" s="6"/>
      <c r="K28" s="7"/>
      <c r="L28" s="21" t="str">
        <f>микс!$H$10</f>
        <v>продажа со склада</v>
      </c>
      <c r="M28" s="22"/>
      <c r="N28" s="22"/>
      <c r="O28" s="22" t="s">
        <v>148</v>
      </c>
      <c r="P28" s="23" t="str">
        <f>микс!$H$49</f>
        <v>Товары для детей</v>
      </c>
      <c r="Q28" s="21" t="s">
        <v>60</v>
      </c>
      <c r="R28" s="25">
        <v>1</v>
      </c>
      <c r="S28" s="28"/>
      <c r="T28" s="31">
        <v>42260</v>
      </c>
      <c r="U28" s="33">
        <v>4661.7</v>
      </c>
      <c r="V28" s="36">
        <f t="shared" si="2"/>
        <v>4661.7</v>
      </c>
      <c r="W28" s="28"/>
      <c r="X28" s="31">
        <v>42321</v>
      </c>
      <c r="Y28" s="33">
        <v>4990</v>
      </c>
      <c r="Z28" s="189">
        <f t="shared" si="3"/>
        <v>4990</v>
      </c>
      <c r="AA28" s="190"/>
      <c r="AB28" s="31">
        <v>42292</v>
      </c>
      <c r="AC28" s="36">
        <v>4661.7</v>
      </c>
      <c r="AD28" s="8"/>
      <c r="AE28" s="6"/>
      <c r="AF28" s="52">
        <f t="shared" si="0"/>
        <v>197003442</v>
      </c>
      <c r="AG28" s="25">
        <f t="shared" si="1"/>
        <v>211181790</v>
      </c>
      <c r="AH28" s="52">
        <f t="shared" si="4"/>
        <v>197152616.40000001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</row>
    <row r="29" spans="1:44">
      <c r="A29" s="6"/>
      <c r="B29" s="6"/>
      <c r="C29" s="6"/>
      <c r="D29" s="6"/>
      <c r="E29" s="6"/>
      <c r="F29" s="6"/>
      <c r="G29" s="11"/>
      <c r="H29" s="6"/>
      <c r="I29" s="6"/>
      <c r="J29" s="6"/>
      <c r="K29" s="7"/>
      <c r="L29" s="21" t="str">
        <f>микс!$H$11</f>
        <v>продажа под заказ</v>
      </c>
      <c r="M29" s="22"/>
      <c r="N29" s="22"/>
      <c r="O29" s="22" t="s">
        <v>148</v>
      </c>
      <c r="P29" s="23" t="str">
        <f>микс!$H$49</f>
        <v>Товары для детей</v>
      </c>
      <c r="Q29" s="21" t="s">
        <v>60</v>
      </c>
      <c r="R29" s="25">
        <v>1</v>
      </c>
      <c r="S29" s="28"/>
      <c r="T29" s="31">
        <v>42326</v>
      </c>
      <c r="U29" s="33">
        <v>4661.7</v>
      </c>
      <c r="V29" s="36">
        <f t="shared" si="2"/>
        <v>4661.7</v>
      </c>
      <c r="W29" s="28"/>
      <c r="X29" s="31">
        <v>42332</v>
      </c>
      <c r="Y29" s="33">
        <v>4990</v>
      </c>
      <c r="Z29" s="189">
        <f t="shared" si="3"/>
        <v>4990</v>
      </c>
      <c r="AA29" s="190"/>
      <c r="AB29" s="31"/>
      <c r="AC29" s="36"/>
      <c r="AD29" s="8"/>
      <c r="AE29" s="6"/>
      <c r="AF29" s="52">
        <f t="shared" si="0"/>
        <v>197311114.19999999</v>
      </c>
      <c r="AG29" s="25">
        <f t="shared" si="1"/>
        <v>211236680</v>
      </c>
      <c r="AH29" s="52">
        <f t="shared" si="4"/>
        <v>0</v>
      </c>
      <c r="AI29" s="6"/>
      <c r="AJ29" s="6"/>
      <c r="AK29" s="6"/>
      <c r="AL29" s="6"/>
      <c r="AM29" s="6"/>
      <c r="AN29" s="6"/>
      <c r="AO29" s="6"/>
      <c r="AP29" s="6"/>
      <c r="AQ29" s="6"/>
      <c r="AR29" s="6"/>
    </row>
    <row r="30" spans="1:44">
      <c r="A30" s="6"/>
      <c r="B30" s="6"/>
      <c r="C30" s="6"/>
      <c r="D30" s="6"/>
      <c r="E30" s="6"/>
      <c r="F30" s="6"/>
      <c r="G30" s="11"/>
      <c r="H30" s="6"/>
      <c r="I30" s="6"/>
      <c r="J30" s="6"/>
      <c r="K30" s="7"/>
      <c r="L30" s="21" t="str">
        <f>микс!$H$11</f>
        <v>продажа под заказ</v>
      </c>
      <c r="M30" s="22"/>
      <c r="N30" s="22"/>
      <c r="O30" s="22" t="s">
        <v>148</v>
      </c>
      <c r="P30" s="23" t="str">
        <f>микс!$H$49</f>
        <v>Товары для детей</v>
      </c>
      <c r="Q30" s="21" t="s">
        <v>60</v>
      </c>
      <c r="R30" s="25">
        <v>1</v>
      </c>
      <c r="S30" s="28"/>
      <c r="T30" s="31">
        <v>42322</v>
      </c>
      <c r="U30" s="33">
        <v>4661.7</v>
      </c>
      <c r="V30" s="36">
        <f t="shared" si="2"/>
        <v>4661.7</v>
      </c>
      <c r="W30" s="28"/>
      <c r="X30" s="31">
        <v>42332</v>
      </c>
      <c r="Y30" s="33">
        <v>4990</v>
      </c>
      <c r="Z30" s="189">
        <f t="shared" si="3"/>
        <v>4990</v>
      </c>
      <c r="AA30" s="190"/>
      <c r="AB30" s="31">
        <v>42360</v>
      </c>
      <c r="AC30" s="36">
        <v>4661.7</v>
      </c>
      <c r="AD30" s="8"/>
      <c r="AE30" s="6"/>
      <c r="AF30" s="52">
        <f t="shared" si="0"/>
        <v>197292467.40000001</v>
      </c>
      <c r="AG30" s="25">
        <f t="shared" si="1"/>
        <v>211236680</v>
      </c>
      <c r="AH30" s="52">
        <f t="shared" si="4"/>
        <v>197469612</v>
      </c>
      <c r="AI30" s="6"/>
      <c r="AJ30" s="6"/>
      <c r="AK30" s="6"/>
      <c r="AL30" s="6"/>
      <c r="AM30" s="6"/>
      <c r="AN30" s="6"/>
      <c r="AO30" s="6"/>
      <c r="AP30" s="6"/>
      <c r="AQ30" s="6"/>
      <c r="AR30" s="6"/>
    </row>
    <row r="31" spans="1:44">
      <c r="A31" s="6"/>
      <c r="B31" s="6"/>
      <c r="C31" s="6"/>
      <c r="D31" s="6"/>
      <c r="E31" s="6"/>
      <c r="F31" s="6"/>
      <c r="G31" s="11"/>
      <c r="H31" s="6"/>
      <c r="I31" s="6"/>
      <c r="J31" s="6"/>
      <c r="K31" s="7"/>
      <c r="L31" s="21" t="str">
        <f>микс!$H$10</f>
        <v>продажа со склада</v>
      </c>
      <c r="M31" s="22"/>
      <c r="N31" s="22"/>
      <c r="O31" s="22" t="s">
        <v>148</v>
      </c>
      <c r="P31" s="23" t="str">
        <f>микс!$H$49</f>
        <v>Товары для детей</v>
      </c>
      <c r="Q31" s="21" t="s">
        <v>60</v>
      </c>
      <c r="R31" s="25">
        <v>1</v>
      </c>
      <c r="S31" s="28"/>
      <c r="T31" s="31">
        <v>42258</v>
      </c>
      <c r="U31" s="33">
        <v>4589</v>
      </c>
      <c r="V31" s="36">
        <f t="shared" si="2"/>
        <v>4589</v>
      </c>
      <c r="W31" s="28"/>
      <c r="X31" s="31">
        <v>42321</v>
      </c>
      <c r="Y31" s="33">
        <v>4900</v>
      </c>
      <c r="Z31" s="189">
        <f t="shared" si="3"/>
        <v>4900</v>
      </c>
      <c r="AA31" s="190"/>
      <c r="AB31" s="31">
        <v>42270</v>
      </c>
      <c r="AC31" s="36">
        <v>4589</v>
      </c>
      <c r="AD31" s="8"/>
      <c r="AE31" s="6"/>
      <c r="AF31" s="52">
        <f t="shared" si="0"/>
        <v>193921962</v>
      </c>
      <c r="AG31" s="25">
        <f t="shared" si="1"/>
        <v>207372900</v>
      </c>
      <c r="AH31" s="52">
        <f t="shared" si="4"/>
        <v>193977030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</row>
    <row r="32" spans="1:44">
      <c r="A32" s="6"/>
      <c r="B32" s="6"/>
      <c r="C32" s="6"/>
      <c r="D32" s="6"/>
      <c r="E32" s="6"/>
      <c r="F32" s="6"/>
      <c r="G32" s="11"/>
      <c r="H32" s="6"/>
      <c r="I32" s="6"/>
      <c r="J32" s="6"/>
      <c r="K32" s="7"/>
      <c r="L32" s="21" t="str">
        <f>микс!$H$10</f>
        <v>продажа со склада</v>
      </c>
      <c r="M32" s="22"/>
      <c r="N32" s="22"/>
      <c r="O32" s="22" t="s">
        <v>148</v>
      </c>
      <c r="P32" s="23" t="str">
        <f>микс!$H$49</f>
        <v>Товары для детей</v>
      </c>
      <c r="Q32" s="21" t="s">
        <v>60</v>
      </c>
      <c r="R32" s="25">
        <v>1</v>
      </c>
      <c r="S32" s="28"/>
      <c r="T32" s="31">
        <v>42260</v>
      </c>
      <c r="U32" s="33">
        <v>4588.5</v>
      </c>
      <c r="V32" s="36">
        <f t="shared" si="2"/>
        <v>4588.5</v>
      </c>
      <c r="W32" s="28"/>
      <c r="X32" s="31">
        <v>42321</v>
      </c>
      <c r="Y32" s="33">
        <v>4990</v>
      </c>
      <c r="Z32" s="189">
        <f t="shared" si="3"/>
        <v>4990</v>
      </c>
      <c r="AA32" s="190"/>
      <c r="AB32" s="31">
        <v>42270</v>
      </c>
      <c r="AC32" s="36">
        <v>4588.5</v>
      </c>
      <c r="AD32" s="8"/>
      <c r="AE32" s="6"/>
      <c r="AF32" s="52">
        <f t="shared" si="0"/>
        <v>193910010</v>
      </c>
      <c r="AG32" s="25">
        <f t="shared" si="1"/>
        <v>211181790</v>
      </c>
      <c r="AH32" s="52">
        <f t="shared" si="4"/>
        <v>193955895</v>
      </c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spans="1:44">
      <c r="A33" s="6"/>
      <c r="B33" s="6"/>
      <c r="C33" s="6"/>
      <c r="D33" s="6"/>
      <c r="E33" s="6"/>
      <c r="F33" s="6"/>
      <c r="G33" s="11"/>
      <c r="H33" s="6"/>
      <c r="I33" s="6"/>
      <c r="J33" s="6"/>
      <c r="K33" s="7"/>
      <c r="L33" s="21" t="str">
        <f>микс!$H$10</f>
        <v>продажа со склада</v>
      </c>
      <c r="M33" s="22"/>
      <c r="N33" s="22"/>
      <c r="O33" s="22" t="s">
        <v>148</v>
      </c>
      <c r="P33" s="23" t="str">
        <f>микс!$H$49</f>
        <v>Товары для детей</v>
      </c>
      <c r="Q33" s="21" t="s">
        <v>60</v>
      </c>
      <c r="R33" s="25">
        <v>1</v>
      </c>
      <c r="S33" s="28"/>
      <c r="T33" s="31">
        <v>42266</v>
      </c>
      <c r="U33" s="33">
        <v>4589</v>
      </c>
      <c r="V33" s="36">
        <f t="shared" si="2"/>
        <v>4589</v>
      </c>
      <c r="W33" s="28"/>
      <c r="X33" s="31">
        <v>42332</v>
      </c>
      <c r="Y33" s="33">
        <v>4990</v>
      </c>
      <c r="Z33" s="189">
        <f t="shared" si="3"/>
        <v>4990</v>
      </c>
      <c r="AA33" s="190"/>
      <c r="AB33" s="31">
        <v>42286</v>
      </c>
      <c r="AC33" s="36">
        <v>4589</v>
      </c>
      <c r="AD33" s="8"/>
      <c r="AE33" s="6"/>
      <c r="AF33" s="52">
        <f t="shared" si="0"/>
        <v>193958674</v>
      </c>
      <c r="AG33" s="25">
        <f t="shared" si="1"/>
        <v>211236680</v>
      </c>
      <c r="AH33" s="52">
        <f t="shared" si="4"/>
        <v>194050454</v>
      </c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spans="1:44">
      <c r="A34" s="6"/>
      <c r="B34" s="6"/>
      <c r="C34" s="6"/>
      <c r="D34" s="6"/>
      <c r="E34" s="6"/>
      <c r="F34" s="6"/>
      <c r="G34" s="11"/>
      <c r="H34" s="6"/>
      <c r="I34" s="6"/>
      <c r="J34" s="6"/>
      <c r="K34" s="7"/>
      <c r="L34" s="21" t="str">
        <f>микс!$H$10</f>
        <v>продажа со склада</v>
      </c>
      <c r="M34" s="22"/>
      <c r="N34" s="22"/>
      <c r="O34" s="22" t="s">
        <v>148</v>
      </c>
      <c r="P34" s="23" t="str">
        <f>микс!$H$49</f>
        <v>Товары для детей</v>
      </c>
      <c r="Q34" s="21" t="s">
        <v>60</v>
      </c>
      <c r="R34" s="25">
        <v>1</v>
      </c>
      <c r="S34" s="28"/>
      <c r="T34" s="31">
        <v>42266</v>
      </c>
      <c r="U34" s="33">
        <v>4661.7</v>
      </c>
      <c r="V34" s="36">
        <f t="shared" si="2"/>
        <v>4661.7</v>
      </c>
      <c r="W34" s="28"/>
      <c r="X34" s="31">
        <v>42337</v>
      </c>
      <c r="Y34" s="33">
        <v>4990</v>
      </c>
      <c r="Z34" s="189">
        <f t="shared" si="3"/>
        <v>4990</v>
      </c>
      <c r="AA34" s="190"/>
      <c r="AB34" s="31">
        <v>42296</v>
      </c>
      <c r="AC34" s="36">
        <v>4661.7</v>
      </c>
      <c r="AD34" s="8"/>
      <c r="AE34" s="6"/>
      <c r="AF34" s="52">
        <f t="shared" si="0"/>
        <v>197031412.19999999</v>
      </c>
      <c r="AG34" s="25">
        <f t="shared" si="1"/>
        <v>211261630</v>
      </c>
      <c r="AH34" s="52">
        <f t="shared" si="4"/>
        <v>197171263.19999999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spans="1:44">
      <c r="A35" s="6"/>
      <c r="B35" s="6"/>
      <c r="C35" s="6"/>
      <c r="D35" s="6"/>
      <c r="E35" s="6"/>
      <c r="F35" s="6"/>
      <c r="G35" s="11"/>
      <c r="H35" s="6"/>
      <c r="I35" s="6"/>
      <c r="J35" s="6"/>
      <c r="K35" s="7"/>
      <c r="L35" s="21" t="str">
        <f>микс!$H$11</f>
        <v>продажа под заказ</v>
      </c>
      <c r="M35" s="22"/>
      <c r="N35" s="22"/>
      <c r="O35" s="22" t="s">
        <v>148</v>
      </c>
      <c r="P35" s="23" t="str">
        <f>микс!$H$49</f>
        <v>Товары для детей</v>
      </c>
      <c r="Q35" s="21" t="s">
        <v>60</v>
      </c>
      <c r="R35" s="25">
        <v>1</v>
      </c>
      <c r="S35" s="28"/>
      <c r="T35" s="31">
        <v>42325</v>
      </c>
      <c r="U35" s="33">
        <v>4589</v>
      </c>
      <c r="V35" s="36">
        <f t="shared" si="2"/>
        <v>4589</v>
      </c>
      <c r="W35" s="28"/>
      <c r="X35" s="31">
        <v>42332</v>
      </c>
      <c r="Y35" s="33">
        <v>4990</v>
      </c>
      <c r="Z35" s="189">
        <f t="shared" si="3"/>
        <v>4990</v>
      </c>
      <c r="AA35" s="190"/>
      <c r="AB35" s="31">
        <v>42355</v>
      </c>
      <c r="AC35" s="36">
        <v>4589</v>
      </c>
      <c r="AD35" s="8"/>
      <c r="AE35" s="6"/>
      <c r="AF35" s="52">
        <f t="shared" si="0"/>
        <v>194229425</v>
      </c>
      <c r="AG35" s="25">
        <f t="shared" si="1"/>
        <v>211236680</v>
      </c>
      <c r="AH35" s="52">
        <f t="shared" si="4"/>
        <v>194367095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1:44">
      <c r="A36" s="6"/>
      <c r="B36" s="6"/>
      <c r="C36" s="6"/>
      <c r="D36" s="6"/>
      <c r="E36" s="6"/>
      <c r="F36" s="6"/>
      <c r="G36" s="11"/>
      <c r="H36" s="6"/>
      <c r="I36" s="6"/>
      <c r="J36" s="6"/>
      <c r="K36" s="7"/>
      <c r="L36" s="21" t="str">
        <f>микс!$H$10</f>
        <v>продажа со склада</v>
      </c>
      <c r="M36" s="22"/>
      <c r="N36" s="22"/>
      <c r="O36" s="22" t="s">
        <v>148</v>
      </c>
      <c r="P36" s="23" t="str">
        <f>микс!$H$49</f>
        <v>Товары для детей</v>
      </c>
      <c r="Q36" s="21" t="s">
        <v>60</v>
      </c>
      <c r="R36" s="25">
        <v>1</v>
      </c>
      <c r="S36" s="28"/>
      <c r="T36" s="31">
        <v>42265</v>
      </c>
      <c r="U36" s="33">
        <v>4661.7</v>
      </c>
      <c r="V36" s="36">
        <f t="shared" si="2"/>
        <v>4661.7</v>
      </c>
      <c r="W36" s="28"/>
      <c r="X36" s="31">
        <v>42335</v>
      </c>
      <c r="Y36" s="33">
        <v>4990</v>
      </c>
      <c r="Z36" s="189">
        <f t="shared" si="3"/>
        <v>4990</v>
      </c>
      <c r="AA36" s="190"/>
      <c r="AB36" s="31">
        <v>42310</v>
      </c>
      <c r="AC36" s="36">
        <v>4661.7</v>
      </c>
      <c r="AD36" s="8"/>
      <c r="AE36" s="6"/>
      <c r="AF36" s="52">
        <f t="shared" si="0"/>
        <v>197026750.5</v>
      </c>
      <c r="AG36" s="25">
        <f t="shared" si="1"/>
        <v>211251650</v>
      </c>
      <c r="AH36" s="52">
        <f t="shared" si="4"/>
        <v>197236527</v>
      </c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1:44">
      <c r="A37" s="6"/>
      <c r="B37" s="6"/>
      <c r="C37" s="6"/>
      <c r="D37" s="6"/>
      <c r="E37" s="6"/>
      <c r="F37" s="6"/>
      <c r="G37" s="11"/>
      <c r="H37" s="6"/>
      <c r="I37" s="6"/>
      <c r="J37" s="6"/>
      <c r="K37" s="7"/>
      <c r="L37" s="21" t="str">
        <f>микс!$H$11</f>
        <v>продажа под заказ</v>
      </c>
      <c r="M37" s="22"/>
      <c r="N37" s="22"/>
      <c r="O37" s="22" t="s">
        <v>148</v>
      </c>
      <c r="P37" s="23" t="str">
        <f>микс!$H$49</f>
        <v>Товары для детей</v>
      </c>
      <c r="Q37" s="21" t="s">
        <v>60</v>
      </c>
      <c r="R37" s="25">
        <v>1</v>
      </c>
      <c r="S37" s="28"/>
      <c r="T37" s="31">
        <v>42325</v>
      </c>
      <c r="U37" s="33">
        <v>4103.78</v>
      </c>
      <c r="V37" s="36">
        <f t="shared" si="2"/>
        <v>4103.78</v>
      </c>
      <c r="W37" s="28"/>
      <c r="X37" s="31">
        <v>42329</v>
      </c>
      <c r="Y37" s="33">
        <v>4990</v>
      </c>
      <c r="Z37" s="189">
        <f t="shared" si="3"/>
        <v>4990</v>
      </c>
      <c r="AA37" s="190"/>
      <c r="AB37" s="31"/>
      <c r="AC37" s="36"/>
      <c r="AD37" s="8"/>
      <c r="AE37" s="6"/>
      <c r="AF37" s="52">
        <f t="shared" si="0"/>
        <v>173692488.5</v>
      </c>
      <c r="AG37" s="25">
        <f t="shared" si="1"/>
        <v>211221710</v>
      </c>
      <c r="AH37" s="52">
        <f t="shared" si="4"/>
        <v>0</v>
      </c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1:44">
      <c r="A38" s="6"/>
      <c r="B38" s="6"/>
      <c r="C38" s="6"/>
      <c r="D38" s="6"/>
      <c r="E38" s="6"/>
      <c r="F38" s="6"/>
      <c r="G38" s="11"/>
      <c r="H38" s="6"/>
      <c r="I38" s="6"/>
      <c r="J38" s="6"/>
      <c r="K38" s="7"/>
      <c r="L38" s="21" t="str">
        <f>микс!$H$11</f>
        <v>продажа под заказ</v>
      </c>
      <c r="M38" s="22"/>
      <c r="N38" s="22"/>
      <c r="O38" s="22" t="s">
        <v>148</v>
      </c>
      <c r="P38" s="23" t="str">
        <f>микс!$H$49</f>
        <v>Товары для детей</v>
      </c>
      <c r="Q38" s="21" t="s">
        <v>60</v>
      </c>
      <c r="R38" s="25">
        <v>1</v>
      </c>
      <c r="S38" s="28"/>
      <c r="T38" s="31">
        <v>42325</v>
      </c>
      <c r="U38" s="33">
        <v>4103.78</v>
      </c>
      <c r="V38" s="36">
        <f t="shared" si="2"/>
        <v>4103.78</v>
      </c>
      <c r="W38" s="28"/>
      <c r="X38" s="31">
        <v>42332</v>
      </c>
      <c r="Y38" s="33">
        <v>4990</v>
      </c>
      <c r="Z38" s="189">
        <f t="shared" si="3"/>
        <v>4990</v>
      </c>
      <c r="AA38" s="190"/>
      <c r="AB38" s="31"/>
      <c r="AC38" s="36"/>
      <c r="AD38" s="8"/>
      <c r="AE38" s="6"/>
      <c r="AF38" s="52">
        <f t="shared" si="0"/>
        <v>173692488.5</v>
      </c>
      <c r="AG38" s="25">
        <f t="shared" si="1"/>
        <v>211236680</v>
      </c>
      <c r="AH38" s="52">
        <f t="shared" si="4"/>
        <v>0</v>
      </c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1:44">
      <c r="A39" s="6"/>
      <c r="B39" s="6"/>
      <c r="C39" s="6"/>
      <c r="D39" s="6"/>
      <c r="E39" s="6"/>
      <c r="F39" s="6"/>
      <c r="G39" s="11"/>
      <c r="H39" s="6"/>
      <c r="I39" s="6"/>
      <c r="J39" s="6"/>
      <c r="K39" s="7"/>
      <c r="L39" s="21" t="str">
        <f>микс!$H$11</f>
        <v>продажа под заказ</v>
      </c>
      <c r="M39" s="22"/>
      <c r="N39" s="22"/>
      <c r="O39" s="22" t="s">
        <v>148</v>
      </c>
      <c r="P39" s="23" t="str">
        <f>микс!$H$49</f>
        <v>Товары для детей</v>
      </c>
      <c r="Q39" s="21" t="s">
        <v>60</v>
      </c>
      <c r="R39" s="25">
        <v>1</v>
      </c>
      <c r="S39" s="28"/>
      <c r="T39" s="31">
        <v>42325</v>
      </c>
      <c r="U39" s="33">
        <v>4589</v>
      </c>
      <c r="V39" s="36">
        <f t="shared" si="2"/>
        <v>4589</v>
      </c>
      <c r="W39" s="28"/>
      <c r="X39" s="31">
        <v>42327</v>
      </c>
      <c r="Y39" s="33">
        <v>4990</v>
      </c>
      <c r="Z39" s="189">
        <f t="shared" si="3"/>
        <v>4990</v>
      </c>
      <c r="AA39" s="190"/>
      <c r="AB39" s="31"/>
      <c r="AC39" s="36"/>
      <c r="AD39" s="8"/>
      <c r="AE39" s="6"/>
      <c r="AF39" s="52">
        <f t="shared" si="0"/>
        <v>194229425</v>
      </c>
      <c r="AG39" s="25">
        <f t="shared" si="1"/>
        <v>211211730</v>
      </c>
      <c r="AH39" s="52">
        <f t="shared" si="4"/>
        <v>0</v>
      </c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spans="1:44">
      <c r="A40" s="6"/>
      <c r="B40" s="6"/>
      <c r="C40" s="6"/>
      <c r="D40" s="6"/>
      <c r="E40" s="6"/>
      <c r="F40" s="6"/>
      <c r="G40" s="11"/>
      <c r="H40" s="6"/>
      <c r="I40" s="6"/>
      <c r="J40" s="6"/>
      <c r="K40" s="7"/>
      <c r="L40" s="21" t="str">
        <f>микс!$H$11</f>
        <v>продажа под заказ</v>
      </c>
      <c r="M40" s="22"/>
      <c r="N40" s="22"/>
      <c r="O40" s="22" t="s">
        <v>148</v>
      </c>
      <c r="P40" s="23" t="str">
        <f>микс!$H$49</f>
        <v>Товары для детей</v>
      </c>
      <c r="Q40" s="21" t="s">
        <v>60</v>
      </c>
      <c r="R40" s="25">
        <v>1</v>
      </c>
      <c r="S40" s="28"/>
      <c r="T40" s="31">
        <v>42327</v>
      </c>
      <c r="U40" s="33">
        <v>4661.7</v>
      </c>
      <c r="V40" s="36">
        <f t="shared" si="2"/>
        <v>4661.7</v>
      </c>
      <c r="W40" s="28"/>
      <c r="X40" s="31">
        <v>42330</v>
      </c>
      <c r="Y40" s="33">
        <v>4990</v>
      </c>
      <c r="Z40" s="189">
        <f t="shared" si="3"/>
        <v>4990</v>
      </c>
      <c r="AA40" s="190"/>
      <c r="AB40" s="31">
        <v>42357</v>
      </c>
      <c r="AC40" s="36">
        <v>4661.7</v>
      </c>
      <c r="AD40" s="8"/>
      <c r="AE40" s="6"/>
      <c r="AF40" s="52">
        <f t="shared" si="0"/>
        <v>197315775.90000001</v>
      </c>
      <c r="AG40" s="25">
        <f t="shared" si="1"/>
        <v>211226700</v>
      </c>
      <c r="AH40" s="52">
        <f t="shared" si="4"/>
        <v>197455626.90000001</v>
      </c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spans="1:44">
      <c r="A41" s="6"/>
      <c r="B41" s="6"/>
      <c r="C41" s="6"/>
      <c r="D41" s="6"/>
      <c r="E41" s="6"/>
      <c r="F41" s="6"/>
      <c r="G41" s="11"/>
      <c r="H41" s="6"/>
      <c r="I41" s="6"/>
      <c r="J41" s="6"/>
      <c r="K41" s="7"/>
      <c r="L41" s="21" t="str">
        <f>микс!$H$11</f>
        <v>продажа под заказ</v>
      </c>
      <c r="M41" s="22"/>
      <c r="N41" s="22"/>
      <c r="O41" s="22" t="s">
        <v>148</v>
      </c>
      <c r="P41" s="23" t="str">
        <f>микс!$H$49</f>
        <v>Товары для детей</v>
      </c>
      <c r="Q41" s="21" t="s">
        <v>60</v>
      </c>
      <c r="R41" s="25">
        <v>1</v>
      </c>
      <c r="S41" s="28"/>
      <c r="T41" s="31">
        <v>42327</v>
      </c>
      <c r="U41" s="33">
        <v>4589</v>
      </c>
      <c r="V41" s="36">
        <f t="shared" si="2"/>
        <v>4589</v>
      </c>
      <c r="W41" s="28"/>
      <c r="X41" s="31">
        <v>42332</v>
      </c>
      <c r="Y41" s="33">
        <v>4990</v>
      </c>
      <c r="Z41" s="189">
        <f t="shared" si="3"/>
        <v>4990</v>
      </c>
      <c r="AA41" s="190"/>
      <c r="AB41" s="31">
        <v>42347</v>
      </c>
      <c r="AC41" s="36">
        <v>4589</v>
      </c>
      <c r="AD41" s="8"/>
      <c r="AE41" s="6"/>
      <c r="AF41" s="52">
        <f t="shared" si="0"/>
        <v>194238603</v>
      </c>
      <c r="AG41" s="25">
        <f t="shared" si="1"/>
        <v>211236680</v>
      </c>
      <c r="AH41" s="52">
        <f t="shared" si="4"/>
        <v>194330383</v>
      </c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spans="1:44">
      <c r="A42" s="6"/>
      <c r="B42" s="6"/>
      <c r="C42" s="6"/>
      <c r="D42" s="6"/>
      <c r="E42" s="6"/>
      <c r="F42" s="6"/>
      <c r="G42" s="11"/>
      <c r="H42" s="6"/>
      <c r="I42" s="6"/>
      <c r="J42" s="6"/>
      <c r="K42" s="7"/>
      <c r="L42" s="21" t="str">
        <f>микс!$H$11</f>
        <v>продажа под заказ</v>
      </c>
      <c r="M42" s="22"/>
      <c r="N42" s="22"/>
      <c r="O42" s="22" t="s">
        <v>148</v>
      </c>
      <c r="P42" s="23" t="str">
        <f>микс!$H$49</f>
        <v>Товары для детей</v>
      </c>
      <c r="Q42" s="21" t="s">
        <v>60</v>
      </c>
      <c r="R42" s="25">
        <v>1</v>
      </c>
      <c r="S42" s="28"/>
      <c r="T42" s="31">
        <v>42327</v>
      </c>
      <c r="U42" s="33">
        <v>4589</v>
      </c>
      <c r="V42" s="36">
        <f t="shared" si="2"/>
        <v>4589</v>
      </c>
      <c r="W42" s="28"/>
      <c r="X42" s="31">
        <v>42338</v>
      </c>
      <c r="Y42" s="33">
        <v>4990</v>
      </c>
      <c r="Z42" s="189">
        <f t="shared" si="3"/>
        <v>4990</v>
      </c>
      <c r="AA42" s="190"/>
      <c r="AB42" s="31">
        <v>42337</v>
      </c>
      <c r="AC42" s="36">
        <v>4589</v>
      </c>
      <c r="AD42" s="8"/>
      <c r="AE42" s="6"/>
      <c r="AF42" s="52">
        <f t="shared" si="0"/>
        <v>194238603</v>
      </c>
      <c r="AG42" s="25">
        <f t="shared" si="1"/>
        <v>211266620</v>
      </c>
      <c r="AH42" s="52">
        <f t="shared" si="4"/>
        <v>194284493</v>
      </c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spans="1:44">
      <c r="A43" s="6"/>
      <c r="B43" s="6"/>
      <c r="C43" s="6"/>
      <c r="D43" s="6"/>
      <c r="E43" s="6"/>
      <c r="F43" s="6"/>
      <c r="G43" s="11"/>
      <c r="H43" s="6"/>
      <c r="I43" s="6"/>
      <c r="J43" s="6"/>
      <c r="K43" s="7"/>
      <c r="L43" s="21" t="str">
        <f>микс!$H$11</f>
        <v>продажа под заказ</v>
      </c>
      <c r="M43" s="22"/>
      <c r="N43" s="22"/>
      <c r="O43" s="22" t="s">
        <v>148</v>
      </c>
      <c r="P43" s="23" t="str">
        <f>микс!$H$49</f>
        <v>Товары для детей</v>
      </c>
      <c r="Q43" s="21" t="s">
        <v>60</v>
      </c>
      <c r="R43" s="25">
        <v>1</v>
      </c>
      <c r="S43" s="28"/>
      <c r="T43" s="31">
        <v>42331</v>
      </c>
      <c r="U43" s="33">
        <v>4661.7</v>
      </c>
      <c r="V43" s="36">
        <f t="shared" si="2"/>
        <v>4661.7</v>
      </c>
      <c r="W43" s="28"/>
      <c r="X43" s="31">
        <v>42334</v>
      </c>
      <c r="Y43" s="33">
        <v>4890</v>
      </c>
      <c r="Z43" s="189">
        <f t="shared" si="3"/>
        <v>4890</v>
      </c>
      <c r="AA43" s="190"/>
      <c r="AB43" s="31"/>
      <c r="AC43" s="36"/>
      <c r="AD43" s="8"/>
      <c r="AE43" s="6"/>
      <c r="AF43" s="52">
        <f t="shared" si="0"/>
        <v>197334422.69999999</v>
      </c>
      <c r="AG43" s="25">
        <f t="shared" si="1"/>
        <v>207013260</v>
      </c>
      <c r="AH43" s="52">
        <f t="shared" si="4"/>
        <v>0</v>
      </c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spans="1:44">
      <c r="A44" s="6"/>
      <c r="B44" s="6"/>
      <c r="C44" s="6"/>
      <c r="D44" s="6"/>
      <c r="E44" s="6"/>
      <c r="F44" s="6"/>
      <c r="G44" s="11"/>
      <c r="H44" s="6"/>
      <c r="I44" s="6"/>
      <c r="J44" s="6"/>
      <c r="K44" s="7"/>
      <c r="L44" s="21" t="str">
        <f>микс!$H$11</f>
        <v>продажа под заказ</v>
      </c>
      <c r="M44" s="22"/>
      <c r="N44" s="22"/>
      <c r="O44" s="22" t="s">
        <v>148</v>
      </c>
      <c r="P44" s="23" t="str">
        <f>микс!$H$49</f>
        <v>Товары для детей</v>
      </c>
      <c r="Q44" s="21" t="s">
        <v>60</v>
      </c>
      <c r="R44" s="25">
        <v>1</v>
      </c>
      <c r="S44" s="28"/>
      <c r="T44" s="31">
        <v>42331</v>
      </c>
      <c r="U44" s="33">
        <v>4589</v>
      </c>
      <c r="V44" s="36">
        <f t="shared" si="2"/>
        <v>4589</v>
      </c>
      <c r="W44" s="28"/>
      <c r="X44" s="31">
        <v>42342</v>
      </c>
      <c r="Y44" s="33">
        <v>4890</v>
      </c>
      <c r="Z44" s="189">
        <f t="shared" si="3"/>
        <v>4890</v>
      </c>
      <c r="AA44" s="190"/>
      <c r="AB44" s="31">
        <v>42361</v>
      </c>
      <c r="AC44" s="36">
        <v>4589</v>
      </c>
      <c r="AD44" s="8"/>
      <c r="AE44" s="6"/>
      <c r="AF44" s="52">
        <f t="shared" si="0"/>
        <v>194256959</v>
      </c>
      <c r="AG44" s="25">
        <f t="shared" si="1"/>
        <v>207052380</v>
      </c>
      <c r="AH44" s="52">
        <f t="shared" si="4"/>
        <v>194394629</v>
      </c>
      <c r="AI44" s="6"/>
      <c r="AJ44" s="6"/>
      <c r="AK44" s="6"/>
      <c r="AL44" s="6"/>
      <c r="AM44" s="6"/>
      <c r="AN44" s="6"/>
      <c r="AO44" s="6"/>
      <c r="AP44" s="6"/>
      <c r="AQ44" s="6"/>
      <c r="AR44" s="6"/>
    </row>
    <row r="45" spans="1:44">
      <c r="A45" s="6"/>
      <c r="B45" s="6"/>
      <c r="C45" s="6"/>
      <c r="D45" s="6"/>
      <c r="E45" s="6"/>
      <c r="F45" s="6"/>
      <c r="G45" s="11"/>
      <c r="H45" s="6"/>
      <c r="I45" s="6"/>
      <c r="J45" s="6"/>
      <c r="K45" s="7"/>
      <c r="L45" s="21" t="str">
        <f>микс!$H$10</f>
        <v>продажа со склада</v>
      </c>
      <c r="M45" s="22"/>
      <c r="N45" s="22"/>
      <c r="O45" s="22" t="s">
        <v>148</v>
      </c>
      <c r="P45" s="23" t="str">
        <f>микс!$H$49</f>
        <v>Товары для детей</v>
      </c>
      <c r="Q45" s="21" t="s">
        <v>60</v>
      </c>
      <c r="R45" s="25">
        <v>1</v>
      </c>
      <c r="S45" s="28"/>
      <c r="T45" s="31">
        <v>42229</v>
      </c>
      <c r="U45" s="33">
        <v>4103.78</v>
      </c>
      <c r="V45" s="36">
        <f t="shared" si="2"/>
        <v>4103.78</v>
      </c>
      <c r="W45" s="28"/>
      <c r="X45" s="31">
        <v>42300</v>
      </c>
      <c r="Y45" s="33">
        <v>4500</v>
      </c>
      <c r="Z45" s="189">
        <f t="shared" si="3"/>
        <v>4500</v>
      </c>
      <c r="AA45" s="190"/>
      <c r="AB45" s="31">
        <v>42250</v>
      </c>
      <c r="AC45" s="36">
        <v>4103.78</v>
      </c>
      <c r="AD45" s="8"/>
      <c r="AE45" s="6"/>
      <c r="AF45" s="52">
        <f t="shared" si="0"/>
        <v>173298525.61999997</v>
      </c>
      <c r="AG45" s="25">
        <f t="shared" si="1"/>
        <v>190350000</v>
      </c>
      <c r="AH45" s="52">
        <f t="shared" si="4"/>
        <v>173384705</v>
      </c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spans="1:44">
      <c r="A46" s="6"/>
      <c r="B46" s="6"/>
      <c r="C46" s="6"/>
      <c r="D46" s="6"/>
      <c r="E46" s="6"/>
      <c r="F46" s="6"/>
      <c r="G46" s="11"/>
      <c r="H46" s="6"/>
      <c r="I46" s="6"/>
      <c r="J46" s="6"/>
      <c r="K46" s="7"/>
      <c r="L46" s="21" t="str">
        <f>микс!$H$11</f>
        <v>продажа под заказ</v>
      </c>
      <c r="M46" s="22"/>
      <c r="N46" s="22"/>
      <c r="O46" s="22" t="s">
        <v>148</v>
      </c>
      <c r="P46" s="23" t="str">
        <f>микс!$H$49</f>
        <v>Товары для детей</v>
      </c>
      <c r="Q46" s="21" t="s">
        <v>60</v>
      </c>
      <c r="R46" s="25">
        <v>1</v>
      </c>
      <c r="S46" s="28"/>
      <c r="T46" s="31">
        <v>42307</v>
      </c>
      <c r="U46" s="33">
        <v>4661.7</v>
      </c>
      <c r="V46" s="36">
        <f t="shared" si="2"/>
        <v>4661.7</v>
      </c>
      <c r="W46" s="28"/>
      <c r="X46" s="31">
        <v>42309</v>
      </c>
      <c r="Y46" s="33">
        <v>4900</v>
      </c>
      <c r="Z46" s="189">
        <f t="shared" si="3"/>
        <v>4900</v>
      </c>
      <c r="AA46" s="190"/>
      <c r="AB46" s="31">
        <v>42352</v>
      </c>
      <c r="AC46" s="36">
        <v>4661.7</v>
      </c>
      <c r="AD46" s="8"/>
      <c r="AE46" s="6"/>
      <c r="AF46" s="52">
        <f t="shared" si="0"/>
        <v>197222541.90000001</v>
      </c>
      <c r="AG46" s="25">
        <f t="shared" si="1"/>
        <v>207314100</v>
      </c>
      <c r="AH46" s="52">
        <f t="shared" si="4"/>
        <v>197432318.40000001</v>
      </c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44">
      <c r="A47" s="6"/>
      <c r="B47" s="6"/>
      <c r="C47" s="6"/>
      <c r="D47" s="6"/>
      <c r="E47" s="6"/>
      <c r="F47" s="6"/>
      <c r="G47" s="11"/>
      <c r="H47" s="6"/>
      <c r="I47" s="6"/>
      <c r="J47" s="6"/>
      <c r="K47" s="7"/>
      <c r="L47" s="21" t="str">
        <f>микс!$H$11</f>
        <v>продажа под заказ</v>
      </c>
      <c r="M47" s="22"/>
      <c r="N47" s="22"/>
      <c r="O47" s="22" t="s">
        <v>148</v>
      </c>
      <c r="P47" s="23" t="str">
        <f>микс!$H$49</f>
        <v>Товары для детей</v>
      </c>
      <c r="Q47" s="21" t="s">
        <v>60</v>
      </c>
      <c r="R47" s="25">
        <v>1</v>
      </c>
      <c r="S47" s="28"/>
      <c r="T47" s="31">
        <v>42309</v>
      </c>
      <c r="U47" s="33">
        <v>4661.7</v>
      </c>
      <c r="V47" s="36">
        <f t="shared" si="2"/>
        <v>4661.7</v>
      </c>
      <c r="W47" s="28"/>
      <c r="X47" s="31">
        <v>42326</v>
      </c>
      <c r="Y47" s="33">
        <v>4850</v>
      </c>
      <c r="Z47" s="189">
        <f t="shared" si="3"/>
        <v>4850</v>
      </c>
      <c r="AA47" s="190"/>
      <c r="AB47" s="31">
        <v>42339</v>
      </c>
      <c r="AC47" s="36">
        <v>4661.7</v>
      </c>
      <c r="AD47" s="8"/>
      <c r="AE47" s="6"/>
      <c r="AF47" s="52">
        <f t="shared" si="0"/>
        <v>197231865.29999998</v>
      </c>
      <c r="AG47" s="25">
        <f t="shared" si="1"/>
        <v>205281100</v>
      </c>
      <c r="AH47" s="52">
        <f t="shared" si="4"/>
        <v>197371716.29999998</v>
      </c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44">
      <c r="A48" s="6"/>
      <c r="B48" s="6"/>
      <c r="C48" s="6"/>
      <c r="D48" s="6"/>
      <c r="E48" s="6"/>
      <c r="F48" s="6"/>
      <c r="G48" s="11"/>
      <c r="H48" s="6"/>
      <c r="I48" s="6"/>
      <c r="J48" s="6"/>
      <c r="K48" s="7"/>
      <c r="L48" s="21" t="str">
        <f>микс!$H$10</f>
        <v>продажа со склада</v>
      </c>
      <c r="M48" s="22"/>
      <c r="N48" s="22"/>
      <c r="O48" s="22" t="s">
        <v>148</v>
      </c>
      <c r="P48" s="23" t="str">
        <f>микс!$H$49</f>
        <v>Товары для детей</v>
      </c>
      <c r="Q48" s="21" t="s">
        <v>60</v>
      </c>
      <c r="R48" s="25">
        <v>1</v>
      </c>
      <c r="S48" s="28"/>
      <c r="T48" s="31">
        <v>42228</v>
      </c>
      <c r="U48" s="33">
        <v>4103.78</v>
      </c>
      <c r="V48" s="36">
        <f t="shared" si="2"/>
        <v>4103.78</v>
      </c>
      <c r="W48" s="28"/>
      <c r="X48" s="31">
        <v>42323</v>
      </c>
      <c r="Y48" s="33">
        <v>4500</v>
      </c>
      <c r="Z48" s="189">
        <f t="shared" si="3"/>
        <v>4500</v>
      </c>
      <c r="AA48" s="190"/>
      <c r="AB48" s="31"/>
      <c r="AC48" s="36"/>
      <c r="AD48" s="8"/>
      <c r="AE48" s="6"/>
      <c r="AF48" s="52">
        <f t="shared" si="0"/>
        <v>173294421.84</v>
      </c>
      <c r="AG48" s="25">
        <f t="shared" si="1"/>
        <v>190453500</v>
      </c>
      <c r="AH48" s="52">
        <f t="shared" si="4"/>
        <v>0</v>
      </c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44">
      <c r="A49" s="6"/>
      <c r="B49" s="6"/>
      <c r="C49" s="6"/>
      <c r="D49" s="6"/>
      <c r="E49" s="6"/>
      <c r="F49" s="6"/>
      <c r="G49" s="11"/>
      <c r="H49" s="6"/>
      <c r="I49" s="6"/>
      <c r="J49" s="6"/>
      <c r="K49" s="7"/>
      <c r="L49" s="21" t="str">
        <f>микс!$H$10</f>
        <v>продажа со склада</v>
      </c>
      <c r="M49" s="22"/>
      <c r="N49" s="22"/>
      <c r="O49" s="22" t="s">
        <v>148</v>
      </c>
      <c r="P49" s="23" t="str">
        <f>микс!$H$49</f>
        <v>Товары для детей</v>
      </c>
      <c r="Q49" s="21" t="s">
        <v>60</v>
      </c>
      <c r="R49" s="25">
        <v>1</v>
      </c>
      <c r="S49" s="28"/>
      <c r="T49" s="31">
        <v>42226</v>
      </c>
      <c r="U49" s="33">
        <v>4103.7700000000004</v>
      </c>
      <c r="V49" s="36">
        <f t="shared" si="2"/>
        <v>4103.7700000000004</v>
      </c>
      <c r="W49" s="28"/>
      <c r="X49" s="31">
        <v>42298</v>
      </c>
      <c r="Y49" s="33">
        <v>4500</v>
      </c>
      <c r="Z49" s="189">
        <f t="shared" si="3"/>
        <v>4500</v>
      </c>
      <c r="AA49" s="190"/>
      <c r="AB49" s="31">
        <v>42248</v>
      </c>
      <c r="AC49" s="36">
        <v>4103.7700000000004</v>
      </c>
      <c r="AD49" s="8"/>
      <c r="AE49" s="6"/>
      <c r="AF49" s="52">
        <f t="shared" si="0"/>
        <v>173285792.02000001</v>
      </c>
      <c r="AG49" s="25">
        <f t="shared" si="1"/>
        <v>190341000</v>
      </c>
      <c r="AH49" s="52">
        <f t="shared" si="4"/>
        <v>173376074.96000001</v>
      </c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44">
      <c r="A50" s="6"/>
      <c r="B50" s="6"/>
      <c r="C50" s="6"/>
      <c r="D50" s="6"/>
      <c r="E50" s="6"/>
      <c r="F50" s="6"/>
      <c r="G50" s="11"/>
      <c r="H50" s="6"/>
      <c r="I50" s="6"/>
      <c r="J50" s="6"/>
      <c r="K50" s="7"/>
      <c r="L50" s="21" t="str">
        <f>микс!$H$11</f>
        <v>продажа под заказ</v>
      </c>
      <c r="M50" s="22"/>
      <c r="N50" s="22"/>
      <c r="O50" s="22" t="s">
        <v>148</v>
      </c>
      <c r="P50" s="23" t="str">
        <f>микс!$H$49</f>
        <v>Товары для детей</v>
      </c>
      <c r="Q50" s="21" t="s">
        <v>60</v>
      </c>
      <c r="R50" s="25">
        <v>1</v>
      </c>
      <c r="S50" s="28"/>
      <c r="T50" s="31">
        <v>42309</v>
      </c>
      <c r="U50" s="33">
        <v>4589</v>
      </c>
      <c r="V50" s="36">
        <f t="shared" si="2"/>
        <v>4589</v>
      </c>
      <c r="W50" s="28"/>
      <c r="X50" s="31">
        <v>42314</v>
      </c>
      <c r="Y50" s="33">
        <v>4850</v>
      </c>
      <c r="Z50" s="189">
        <f t="shared" si="3"/>
        <v>4850</v>
      </c>
      <c r="AA50" s="190"/>
      <c r="AB50" s="31">
        <v>42369</v>
      </c>
      <c r="AC50" s="36">
        <v>4589</v>
      </c>
      <c r="AD50" s="8"/>
      <c r="AE50" s="6"/>
      <c r="AF50" s="52">
        <f t="shared" si="0"/>
        <v>194156001</v>
      </c>
      <c r="AG50" s="25">
        <f t="shared" si="1"/>
        <v>205222900</v>
      </c>
      <c r="AH50" s="52">
        <f t="shared" si="4"/>
        <v>194431341</v>
      </c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44">
      <c r="A51" s="6"/>
      <c r="B51" s="6"/>
      <c r="C51" s="6"/>
      <c r="D51" s="6"/>
      <c r="E51" s="6"/>
      <c r="F51" s="6"/>
      <c r="G51" s="11"/>
      <c r="H51" s="6"/>
      <c r="I51" s="6"/>
      <c r="J51" s="6"/>
      <c r="K51" s="7"/>
      <c r="L51" s="21" t="str">
        <f>микс!$H$10</f>
        <v>продажа со склада</v>
      </c>
      <c r="M51" s="22"/>
      <c r="N51" s="22"/>
      <c r="O51" s="22" t="s">
        <v>148</v>
      </c>
      <c r="P51" s="23" t="str">
        <f>микс!$H$49</f>
        <v>Товары для детей</v>
      </c>
      <c r="Q51" s="21" t="s">
        <v>60</v>
      </c>
      <c r="R51" s="25">
        <v>1</v>
      </c>
      <c r="S51" s="28"/>
      <c r="T51" s="31">
        <v>42231</v>
      </c>
      <c r="U51" s="33">
        <v>4103.78</v>
      </c>
      <c r="V51" s="36">
        <f t="shared" si="2"/>
        <v>4103.78</v>
      </c>
      <c r="W51" s="28"/>
      <c r="X51" s="31">
        <v>42308</v>
      </c>
      <c r="Y51" s="33">
        <v>4500</v>
      </c>
      <c r="Z51" s="189">
        <f t="shared" si="3"/>
        <v>4500</v>
      </c>
      <c r="AA51" s="190"/>
      <c r="AB51" s="31">
        <v>42236</v>
      </c>
      <c r="AC51" s="36">
        <v>4103.78</v>
      </c>
      <c r="AD51" s="8"/>
      <c r="AE51" s="6"/>
      <c r="AF51" s="52">
        <f t="shared" si="0"/>
        <v>173306733.17999998</v>
      </c>
      <c r="AG51" s="25">
        <f t="shared" si="1"/>
        <v>190386000</v>
      </c>
      <c r="AH51" s="52">
        <f t="shared" si="4"/>
        <v>173327252.07999998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spans="1:44">
      <c r="A52" s="6"/>
      <c r="B52" s="6"/>
      <c r="C52" s="6"/>
      <c r="D52" s="6"/>
      <c r="E52" s="6"/>
      <c r="F52" s="6"/>
      <c r="G52" s="11"/>
      <c r="H52" s="6"/>
      <c r="I52" s="6"/>
      <c r="J52" s="6"/>
      <c r="K52" s="7"/>
      <c r="L52" s="21" t="str">
        <f>микс!$H$10</f>
        <v>продажа со склада</v>
      </c>
      <c r="M52" s="22"/>
      <c r="N52" s="22"/>
      <c r="O52" s="22" t="s">
        <v>148</v>
      </c>
      <c r="P52" s="23" t="str">
        <f>микс!$H$49</f>
        <v>Товары для детей</v>
      </c>
      <c r="Q52" s="21" t="s">
        <v>60</v>
      </c>
      <c r="R52" s="25">
        <v>1</v>
      </c>
      <c r="S52" s="28"/>
      <c r="T52" s="31">
        <v>42231</v>
      </c>
      <c r="U52" s="33">
        <v>4103.78</v>
      </c>
      <c r="V52" s="36">
        <f t="shared" si="2"/>
        <v>4103.78</v>
      </c>
      <c r="W52" s="28"/>
      <c r="X52" s="31">
        <v>42306</v>
      </c>
      <c r="Y52" s="33">
        <v>4500</v>
      </c>
      <c r="Z52" s="189">
        <f t="shared" si="3"/>
        <v>4500</v>
      </c>
      <c r="AA52" s="190"/>
      <c r="AB52" s="31">
        <v>42271</v>
      </c>
      <c r="AC52" s="36">
        <v>4103.78</v>
      </c>
      <c r="AD52" s="8"/>
      <c r="AE52" s="6"/>
      <c r="AF52" s="52">
        <f t="shared" si="0"/>
        <v>173306733.17999998</v>
      </c>
      <c r="AG52" s="25">
        <f t="shared" si="1"/>
        <v>190377000</v>
      </c>
      <c r="AH52" s="52">
        <f t="shared" si="4"/>
        <v>173470884.38</v>
      </c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spans="1:44">
      <c r="A53" s="6"/>
      <c r="B53" s="6"/>
      <c r="C53" s="6"/>
      <c r="D53" s="6"/>
      <c r="E53" s="6"/>
      <c r="F53" s="6"/>
      <c r="G53" s="11"/>
      <c r="H53" s="6"/>
      <c r="I53" s="6"/>
      <c r="J53" s="6"/>
      <c r="K53" s="7"/>
      <c r="L53" s="21" t="str">
        <f>микс!$H$11</f>
        <v>продажа под заказ</v>
      </c>
      <c r="M53" s="22"/>
      <c r="N53" s="22"/>
      <c r="O53" s="22" t="s">
        <v>148</v>
      </c>
      <c r="P53" s="23" t="str">
        <f>микс!$H$49</f>
        <v>Товары для детей</v>
      </c>
      <c r="Q53" s="21" t="s">
        <v>60</v>
      </c>
      <c r="R53" s="25">
        <v>1</v>
      </c>
      <c r="S53" s="28"/>
      <c r="T53" s="31">
        <v>42310</v>
      </c>
      <c r="U53" s="33">
        <v>4589</v>
      </c>
      <c r="V53" s="36">
        <f t="shared" si="2"/>
        <v>4589</v>
      </c>
      <c r="W53" s="28"/>
      <c r="X53" s="31">
        <v>42320</v>
      </c>
      <c r="Y53" s="33">
        <v>4850</v>
      </c>
      <c r="Z53" s="189">
        <f t="shared" si="3"/>
        <v>4850</v>
      </c>
      <c r="AA53" s="190"/>
      <c r="AB53" s="31">
        <v>42345</v>
      </c>
      <c r="AC53" s="36">
        <v>4589</v>
      </c>
      <c r="AD53" s="8"/>
      <c r="AE53" s="6"/>
      <c r="AF53" s="52">
        <f t="shared" si="0"/>
        <v>194160590</v>
      </c>
      <c r="AG53" s="25">
        <f t="shared" si="1"/>
        <v>205252000</v>
      </c>
      <c r="AH53" s="52">
        <f t="shared" si="4"/>
        <v>194321205</v>
      </c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spans="1:44">
      <c r="A54" s="6"/>
      <c r="B54" s="6"/>
      <c r="C54" s="6"/>
      <c r="D54" s="6"/>
      <c r="E54" s="6"/>
      <c r="F54" s="6"/>
      <c r="G54" s="11"/>
      <c r="H54" s="6"/>
      <c r="I54" s="6"/>
      <c r="J54" s="6"/>
      <c r="K54" s="7"/>
      <c r="L54" s="21" t="str">
        <f>микс!$H$10</f>
        <v>продажа со склада</v>
      </c>
      <c r="M54" s="22"/>
      <c r="N54" s="22"/>
      <c r="O54" s="22" t="s">
        <v>148</v>
      </c>
      <c r="P54" s="23" t="str">
        <f>микс!$H$49</f>
        <v>Товары для детей</v>
      </c>
      <c r="Q54" s="21" t="s">
        <v>60</v>
      </c>
      <c r="R54" s="25">
        <v>1</v>
      </c>
      <c r="S54" s="28"/>
      <c r="T54" s="31">
        <v>42233</v>
      </c>
      <c r="U54" s="33">
        <v>4103.78</v>
      </c>
      <c r="V54" s="36">
        <f t="shared" si="2"/>
        <v>4103.78</v>
      </c>
      <c r="W54" s="28"/>
      <c r="X54" s="31">
        <v>42309</v>
      </c>
      <c r="Y54" s="33">
        <v>4500</v>
      </c>
      <c r="Z54" s="189">
        <f t="shared" si="3"/>
        <v>4500</v>
      </c>
      <c r="AA54" s="190"/>
      <c r="AB54" s="31"/>
      <c r="AC54" s="36"/>
      <c r="AD54" s="8"/>
      <c r="AE54" s="6"/>
      <c r="AF54" s="52">
        <f t="shared" si="0"/>
        <v>173314940.73999998</v>
      </c>
      <c r="AG54" s="25">
        <f t="shared" si="1"/>
        <v>190390500</v>
      </c>
      <c r="AH54" s="52">
        <f t="shared" si="4"/>
        <v>0</v>
      </c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spans="1:44">
      <c r="A55" s="6"/>
      <c r="B55" s="6"/>
      <c r="C55" s="6"/>
      <c r="D55" s="6"/>
      <c r="E55" s="6"/>
      <c r="F55" s="6"/>
      <c r="G55" s="11"/>
      <c r="H55" s="6"/>
      <c r="I55" s="6"/>
      <c r="J55" s="6"/>
      <c r="K55" s="7"/>
      <c r="L55" s="21" t="str">
        <f>микс!$H$10</f>
        <v>продажа со склада</v>
      </c>
      <c r="M55" s="22"/>
      <c r="N55" s="22"/>
      <c r="O55" s="22" t="s">
        <v>148</v>
      </c>
      <c r="P55" s="23" t="str">
        <f>микс!$H$49</f>
        <v>Товары для детей</v>
      </c>
      <c r="Q55" s="21" t="s">
        <v>60</v>
      </c>
      <c r="R55" s="25">
        <v>1</v>
      </c>
      <c r="S55" s="28"/>
      <c r="T55" s="31">
        <v>42213</v>
      </c>
      <c r="U55" s="33">
        <v>4103.7700000000004</v>
      </c>
      <c r="V55" s="36">
        <f t="shared" si="2"/>
        <v>4103.7700000000004</v>
      </c>
      <c r="W55" s="28"/>
      <c r="X55" s="31">
        <v>42294</v>
      </c>
      <c r="Y55" s="33">
        <v>4500</v>
      </c>
      <c r="Z55" s="189">
        <f t="shared" si="3"/>
        <v>4500</v>
      </c>
      <c r="AA55" s="190"/>
      <c r="AB55" s="31">
        <v>42263</v>
      </c>
      <c r="AC55" s="36">
        <v>4103.7700000000004</v>
      </c>
      <c r="AD55" s="8"/>
      <c r="AE55" s="6"/>
      <c r="AF55" s="52">
        <f t="shared" si="0"/>
        <v>173232443.01000002</v>
      </c>
      <c r="AG55" s="25">
        <f t="shared" si="1"/>
        <v>190323000</v>
      </c>
      <c r="AH55" s="52">
        <f t="shared" si="4"/>
        <v>173437631.51000002</v>
      </c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44">
      <c r="A56" s="6"/>
      <c r="B56" s="6"/>
      <c r="C56" s="6"/>
      <c r="D56" s="6"/>
      <c r="E56" s="6"/>
      <c r="F56" s="6"/>
      <c r="G56" s="11"/>
      <c r="H56" s="6"/>
      <c r="I56" s="6"/>
      <c r="J56" s="6"/>
      <c r="K56" s="7"/>
      <c r="L56" s="21" t="str">
        <f>микс!$H$11</f>
        <v>продажа под заказ</v>
      </c>
      <c r="M56" s="22"/>
      <c r="N56" s="22"/>
      <c r="O56" s="22" t="s">
        <v>148</v>
      </c>
      <c r="P56" s="23" t="str">
        <f>микс!$H$49</f>
        <v>Товары для детей</v>
      </c>
      <c r="Q56" s="21" t="s">
        <v>60</v>
      </c>
      <c r="R56" s="25">
        <v>1</v>
      </c>
      <c r="S56" s="28"/>
      <c r="T56" s="31">
        <v>42308</v>
      </c>
      <c r="U56" s="33">
        <v>4589</v>
      </c>
      <c r="V56" s="36">
        <f t="shared" si="2"/>
        <v>4589</v>
      </c>
      <c r="W56" s="28"/>
      <c r="X56" s="31">
        <v>42315</v>
      </c>
      <c r="Y56" s="33">
        <v>4850</v>
      </c>
      <c r="Z56" s="189">
        <f t="shared" si="3"/>
        <v>4850</v>
      </c>
      <c r="AA56" s="190"/>
      <c r="AB56" s="31"/>
      <c r="AC56" s="36"/>
      <c r="AD56" s="8"/>
      <c r="AE56" s="6"/>
      <c r="AF56" s="52">
        <f t="shared" si="0"/>
        <v>194151412</v>
      </c>
      <c r="AG56" s="25">
        <f t="shared" si="1"/>
        <v>205227750</v>
      </c>
      <c r="AH56" s="52">
        <f t="shared" si="4"/>
        <v>0</v>
      </c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spans="1:44">
      <c r="A57" s="6"/>
      <c r="B57" s="6"/>
      <c r="C57" s="6"/>
      <c r="D57" s="6"/>
      <c r="E57" s="6"/>
      <c r="F57" s="6"/>
      <c r="G57" s="11"/>
      <c r="H57" s="6"/>
      <c r="I57" s="6"/>
      <c r="J57" s="6"/>
      <c r="K57" s="7"/>
      <c r="L57" s="21" t="str">
        <f>микс!$H$11</f>
        <v>продажа под заказ</v>
      </c>
      <c r="M57" s="22"/>
      <c r="N57" s="22"/>
      <c r="O57" s="22" t="s">
        <v>148</v>
      </c>
      <c r="P57" s="23" t="str">
        <f>микс!$H$49</f>
        <v>Товары для детей</v>
      </c>
      <c r="Q57" s="21" t="s">
        <v>60</v>
      </c>
      <c r="R57" s="25">
        <v>2</v>
      </c>
      <c r="S57" s="28"/>
      <c r="T57" s="31">
        <v>42312</v>
      </c>
      <c r="U57" s="33">
        <v>4588.5</v>
      </c>
      <c r="V57" s="36">
        <f t="shared" si="2"/>
        <v>9177</v>
      </c>
      <c r="W57" s="28"/>
      <c r="X57" s="31">
        <v>42315</v>
      </c>
      <c r="Y57" s="33">
        <v>4850</v>
      </c>
      <c r="Z57" s="189">
        <f t="shared" si="3"/>
        <v>9700</v>
      </c>
      <c r="AA57" s="190"/>
      <c r="AB57" s="31">
        <v>42342</v>
      </c>
      <c r="AC57" s="36">
        <v>9177</v>
      </c>
      <c r="AD57" s="8"/>
      <c r="AE57" s="6"/>
      <c r="AF57" s="52">
        <f t="shared" si="0"/>
        <v>388297224</v>
      </c>
      <c r="AG57" s="25">
        <f t="shared" si="1"/>
        <v>410455500</v>
      </c>
      <c r="AH57" s="52">
        <f t="shared" si="4"/>
        <v>388572534</v>
      </c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44">
      <c r="A58" s="6"/>
      <c r="B58" s="6"/>
      <c r="C58" s="6"/>
      <c r="D58" s="6"/>
      <c r="E58" s="6"/>
      <c r="F58" s="6"/>
      <c r="G58" s="11"/>
      <c r="H58" s="6"/>
      <c r="I58" s="6"/>
      <c r="J58" s="6"/>
      <c r="K58" s="7"/>
      <c r="L58" s="21" t="str">
        <f>микс!$H$11</f>
        <v>продажа под заказ</v>
      </c>
      <c r="M58" s="22"/>
      <c r="N58" s="22"/>
      <c r="O58" s="22" t="s">
        <v>148</v>
      </c>
      <c r="P58" s="23" t="str">
        <f>микс!$H$49</f>
        <v>Товары для детей</v>
      </c>
      <c r="Q58" s="21" t="s">
        <v>60</v>
      </c>
      <c r="R58" s="25">
        <v>1</v>
      </c>
      <c r="S58" s="28"/>
      <c r="T58" s="31">
        <v>42310</v>
      </c>
      <c r="U58" s="33">
        <v>4103.78</v>
      </c>
      <c r="V58" s="36">
        <f t="shared" si="2"/>
        <v>4103.78</v>
      </c>
      <c r="W58" s="28"/>
      <c r="X58" s="31">
        <v>42323</v>
      </c>
      <c r="Y58" s="33">
        <v>4850</v>
      </c>
      <c r="Z58" s="189">
        <f t="shared" si="3"/>
        <v>4850</v>
      </c>
      <c r="AA58" s="190"/>
      <c r="AB58" s="31">
        <v>42335</v>
      </c>
      <c r="AC58" s="36">
        <v>4103.78</v>
      </c>
      <c r="AD58" s="8"/>
      <c r="AE58" s="6"/>
      <c r="AF58" s="52">
        <f t="shared" si="0"/>
        <v>173630931.79999998</v>
      </c>
      <c r="AG58" s="25">
        <f t="shared" si="1"/>
        <v>205266550</v>
      </c>
      <c r="AH58" s="52">
        <f t="shared" si="4"/>
        <v>173733526.29999998</v>
      </c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spans="1:44">
      <c r="A59" s="6"/>
      <c r="B59" s="6"/>
      <c r="C59" s="6"/>
      <c r="D59" s="6"/>
      <c r="E59" s="6"/>
      <c r="F59" s="6"/>
      <c r="G59" s="11"/>
      <c r="H59" s="6"/>
      <c r="I59" s="6"/>
      <c r="J59" s="6"/>
      <c r="K59" s="7"/>
      <c r="L59" s="21" t="str">
        <f>микс!$H$10</f>
        <v>продажа со склада</v>
      </c>
      <c r="M59" s="22"/>
      <c r="N59" s="22"/>
      <c r="O59" s="22" t="s">
        <v>148</v>
      </c>
      <c r="P59" s="23" t="str">
        <f>микс!$H$49</f>
        <v>Товары для детей</v>
      </c>
      <c r="Q59" s="21" t="s">
        <v>60</v>
      </c>
      <c r="R59" s="25">
        <v>1</v>
      </c>
      <c r="S59" s="28"/>
      <c r="T59" s="31">
        <v>42242</v>
      </c>
      <c r="U59" s="33">
        <v>4588.5</v>
      </c>
      <c r="V59" s="36">
        <f t="shared" si="2"/>
        <v>4588.5</v>
      </c>
      <c r="W59" s="28"/>
      <c r="X59" s="31">
        <v>42325</v>
      </c>
      <c r="Y59" s="33">
        <v>4850</v>
      </c>
      <c r="Z59" s="189">
        <f t="shared" si="3"/>
        <v>4850</v>
      </c>
      <c r="AA59" s="190"/>
      <c r="AB59" s="31">
        <v>42252</v>
      </c>
      <c r="AC59" s="36">
        <v>4588.5</v>
      </c>
      <c r="AD59" s="8"/>
      <c r="AE59" s="6"/>
      <c r="AF59" s="52">
        <f t="shared" si="0"/>
        <v>193827417</v>
      </c>
      <c r="AG59" s="25">
        <f t="shared" si="1"/>
        <v>205276250</v>
      </c>
      <c r="AH59" s="52">
        <f t="shared" si="4"/>
        <v>193873302</v>
      </c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spans="1:44">
      <c r="A60" s="6"/>
      <c r="B60" s="6"/>
      <c r="C60" s="6"/>
      <c r="D60" s="6"/>
      <c r="E60" s="6"/>
      <c r="F60" s="6"/>
      <c r="G60" s="11"/>
      <c r="H60" s="6"/>
      <c r="I60" s="6"/>
      <c r="J60" s="6"/>
      <c r="K60" s="7"/>
      <c r="L60" s="21" t="str">
        <f>микс!$H$11</f>
        <v>продажа под заказ</v>
      </c>
      <c r="M60" s="22"/>
      <c r="N60" s="22"/>
      <c r="O60" s="22" t="s">
        <v>148</v>
      </c>
      <c r="P60" s="23" t="str">
        <f>микс!$H$49</f>
        <v>Товары для детей</v>
      </c>
      <c r="Q60" s="21" t="s">
        <v>60</v>
      </c>
      <c r="R60" s="25">
        <v>1</v>
      </c>
      <c r="S60" s="28"/>
      <c r="T60" s="31">
        <v>42313</v>
      </c>
      <c r="U60" s="33">
        <v>4589</v>
      </c>
      <c r="V60" s="36">
        <f t="shared" si="2"/>
        <v>4589</v>
      </c>
      <c r="W60" s="28"/>
      <c r="X60" s="31">
        <v>42321</v>
      </c>
      <c r="Y60" s="33">
        <v>5047</v>
      </c>
      <c r="Z60" s="189">
        <f t="shared" si="3"/>
        <v>5047</v>
      </c>
      <c r="AA60" s="190"/>
      <c r="AB60" s="31">
        <v>42320</v>
      </c>
      <c r="AC60" s="36">
        <v>4589</v>
      </c>
      <c r="AD60" s="8"/>
      <c r="AE60" s="6"/>
      <c r="AF60" s="52">
        <f t="shared" si="0"/>
        <v>194174357</v>
      </c>
      <c r="AG60" s="25">
        <f t="shared" si="1"/>
        <v>213594087</v>
      </c>
      <c r="AH60" s="52">
        <f t="shared" si="4"/>
        <v>194206480</v>
      </c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spans="1:44">
      <c r="A61" s="6"/>
      <c r="B61" s="6"/>
      <c r="C61" s="6"/>
      <c r="D61" s="6"/>
      <c r="E61" s="6"/>
      <c r="F61" s="6"/>
      <c r="G61" s="11"/>
      <c r="H61" s="6"/>
      <c r="I61" s="6"/>
      <c r="J61" s="6"/>
      <c r="K61" s="7"/>
      <c r="L61" s="21" t="str">
        <f>микс!$H$11</f>
        <v>продажа под заказ</v>
      </c>
      <c r="M61" s="22"/>
      <c r="N61" s="22"/>
      <c r="O61" s="22" t="s">
        <v>148</v>
      </c>
      <c r="P61" s="23" t="str">
        <f>микс!$H$49</f>
        <v>Товары для детей</v>
      </c>
      <c r="Q61" s="21" t="s">
        <v>60</v>
      </c>
      <c r="R61" s="25">
        <v>1</v>
      </c>
      <c r="S61" s="28"/>
      <c r="T61" s="31">
        <v>42333</v>
      </c>
      <c r="U61" s="33">
        <v>4612.8900000000003</v>
      </c>
      <c r="V61" s="36">
        <f t="shared" si="2"/>
        <v>4612.8900000000003</v>
      </c>
      <c r="W61" s="28"/>
      <c r="X61" s="31">
        <v>42339</v>
      </c>
      <c r="Y61" s="33">
        <v>4890</v>
      </c>
      <c r="Z61" s="189">
        <f t="shared" si="3"/>
        <v>4890</v>
      </c>
      <c r="AA61" s="190"/>
      <c r="AB61" s="31">
        <v>42355</v>
      </c>
      <c r="AC61" s="36">
        <v>4612.8900000000003</v>
      </c>
      <c r="AD61" s="8"/>
      <c r="AE61" s="6"/>
      <c r="AF61" s="52">
        <f t="shared" si="0"/>
        <v>195277472.37</v>
      </c>
      <c r="AG61" s="25">
        <f t="shared" si="1"/>
        <v>207037710</v>
      </c>
      <c r="AH61" s="52">
        <f t="shared" si="4"/>
        <v>195378955.95000002</v>
      </c>
      <c r="AI61" s="6"/>
      <c r="AJ61" s="6"/>
      <c r="AK61" s="6"/>
      <c r="AL61" s="6"/>
      <c r="AM61" s="6"/>
      <c r="AN61" s="6"/>
      <c r="AO61" s="6"/>
      <c r="AP61" s="6"/>
      <c r="AQ61" s="6"/>
      <c r="AR61" s="6"/>
    </row>
    <row r="62" spans="1:44">
      <c r="A62" s="6"/>
      <c r="B62" s="6"/>
      <c r="C62" s="6"/>
      <c r="D62" s="6"/>
      <c r="E62" s="6"/>
      <c r="F62" s="6"/>
      <c r="G62" s="11"/>
      <c r="H62" s="6"/>
      <c r="I62" s="6"/>
      <c r="J62" s="6"/>
      <c r="K62" s="7"/>
      <c r="L62" s="21" t="str">
        <f>микс!$H$10</f>
        <v>продажа со склада</v>
      </c>
      <c r="M62" s="22"/>
      <c r="N62" s="22"/>
      <c r="O62" s="22" t="s">
        <v>148</v>
      </c>
      <c r="P62" s="23" t="str">
        <f>микс!$H$49</f>
        <v>Товары для детей</v>
      </c>
      <c r="Q62" s="21" t="s">
        <v>60</v>
      </c>
      <c r="R62" s="25">
        <v>1</v>
      </c>
      <c r="S62" s="28"/>
      <c r="T62" s="31">
        <v>42260</v>
      </c>
      <c r="U62" s="33">
        <v>4589</v>
      </c>
      <c r="V62" s="36">
        <f t="shared" si="2"/>
        <v>4589</v>
      </c>
      <c r="W62" s="28"/>
      <c r="X62" s="31">
        <v>42340</v>
      </c>
      <c r="Y62" s="33">
        <v>4890</v>
      </c>
      <c r="Z62" s="189">
        <f t="shared" si="3"/>
        <v>4890</v>
      </c>
      <c r="AA62" s="190"/>
      <c r="AB62" s="31">
        <v>42292</v>
      </c>
      <c r="AC62" s="36">
        <v>4589</v>
      </c>
      <c r="AD62" s="8"/>
      <c r="AE62" s="6"/>
      <c r="AF62" s="52">
        <f t="shared" si="0"/>
        <v>193931140</v>
      </c>
      <c r="AG62" s="25">
        <f t="shared" si="1"/>
        <v>207042600</v>
      </c>
      <c r="AH62" s="52">
        <f t="shared" si="4"/>
        <v>194077988</v>
      </c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spans="1:44">
      <c r="A63" s="6"/>
      <c r="B63" s="6"/>
      <c r="C63" s="6"/>
      <c r="D63" s="6"/>
      <c r="E63" s="6"/>
      <c r="F63" s="6"/>
      <c r="G63" s="11"/>
      <c r="H63" s="6"/>
      <c r="I63" s="6"/>
      <c r="J63" s="6"/>
      <c r="K63" s="7"/>
      <c r="L63" s="21" t="str">
        <f>микс!$H$11</f>
        <v>продажа под заказ</v>
      </c>
      <c r="M63" s="22"/>
      <c r="N63" s="22"/>
      <c r="O63" s="22" t="s">
        <v>148</v>
      </c>
      <c r="P63" s="23" t="str">
        <f>микс!$H$49</f>
        <v>Товары для детей</v>
      </c>
      <c r="Q63" s="21" t="s">
        <v>60</v>
      </c>
      <c r="R63" s="25">
        <v>1</v>
      </c>
      <c r="S63" s="28"/>
      <c r="T63" s="31">
        <v>42333</v>
      </c>
      <c r="U63" s="33">
        <v>4661.7</v>
      </c>
      <c r="V63" s="36">
        <f t="shared" si="2"/>
        <v>4661.7</v>
      </c>
      <c r="W63" s="28"/>
      <c r="X63" s="31">
        <v>42336</v>
      </c>
      <c r="Y63" s="33">
        <v>4890</v>
      </c>
      <c r="Z63" s="189">
        <f t="shared" si="3"/>
        <v>4890</v>
      </c>
      <c r="AA63" s="190"/>
      <c r="AB63" s="31"/>
      <c r="AC63" s="36"/>
      <c r="AD63" s="8"/>
      <c r="AE63" s="6"/>
      <c r="AF63" s="52">
        <f t="shared" si="0"/>
        <v>197343746.09999999</v>
      </c>
      <c r="AG63" s="25">
        <f t="shared" si="1"/>
        <v>207023040</v>
      </c>
      <c r="AH63" s="52">
        <f t="shared" si="4"/>
        <v>0</v>
      </c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spans="1:44">
      <c r="A64" s="6"/>
      <c r="B64" s="6"/>
      <c r="C64" s="6"/>
      <c r="D64" s="6"/>
      <c r="E64" s="6"/>
      <c r="F64" s="6"/>
      <c r="G64" s="11"/>
      <c r="H64" s="6"/>
      <c r="I64" s="6"/>
      <c r="J64" s="6"/>
      <c r="K64" s="7"/>
      <c r="L64" s="21" t="str">
        <f>микс!$H$11</f>
        <v>продажа под заказ</v>
      </c>
      <c r="M64" s="22"/>
      <c r="N64" s="22"/>
      <c r="O64" s="22" t="s">
        <v>148</v>
      </c>
      <c r="P64" s="23" t="str">
        <f>микс!$H$49</f>
        <v>Товары для детей</v>
      </c>
      <c r="Q64" s="21" t="s">
        <v>60</v>
      </c>
      <c r="R64" s="25">
        <v>1</v>
      </c>
      <c r="S64" s="28"/>
      <c r="T64" s="31">
        <v>42335</v>
      </c>
      <c r="U64" s="33">
        <v>4661.7</v>
      </c>
      <c r="V64" s="36">
        <f t="shared" si="2"/>
        <v>4661.7</v>
      </c>
      <c r="W64" s="28"/>
      <c r="X64" s="31">
        <v>42338</v>
      </c>
      <c r="Y64" s="33">
        <v>4849</v>
      </c>
      <c r="Z64" s="189">
        <f t="shared" si="3"/>
        <v>4849</v>
      </c>
      <c r="AA64" s="190"/>
      <c r="AB64" s="31"/>
      <c r="AC64" s="36"/>
      <c r="AD64" s="8"/>
      <c r="AE64" s="6"/>
      <c r="AF64" s="52">
        <f t="shared" si="0"/>
        <v>197353069.5</v>
      </c>
      <c r="AG64" s="25">
        <f t="shared" si="1"/>
        <v>205296962</v>
      </c>
      <c r="AH64" s="52">
        <f t="shared" si="4"/>
        <v>0</v>
      </c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spans="1:44">
      <c r="A65" s="6"/>
      <c r="B65" s="6"/>
      <c r="C65" s="6"/>
      <c r="D65" s="6"/>
      <c r="E65" s="6"/>
      <c r="F65" s="6"/>
      <c r="G65" s="11"/>
      <c r="H65" s="6"/>
      <c r="I65" s="6"/>
      <c r="J65" s="6"/>
      <c r="K65" s="7"/>
      <c r="L65" s="21" t="str">
        <f>микс!$H$10</f>
        <v>продажа со склада</v>
      </c>
      <c r="M65" s="22"/>
      <c r="N65" s="22"/>
      <c r="O65" s="22" t="s">
        <v>148</v>
      </c>
      <c r="P65" s="23" t="str">
        <f>микс!$H$49</f>
        <v>Товары для детей</v>
      </c>
      <c r="Q65" s="21" t="s">
        <v>60</v>
      </c>
      <c r="R65" s="25">
        <v>1</v>
      </c>
      <c r="S65" s="28"/>
      <c r="T65" s="31">
        <v>42262</v>
      </c>
      <c r="U65" s="33">
        <v>4661.7</v>
      </c>
      <c r="V65" s="36">
        <f t="shared" si="2"/>
        <v>4661.7</v>
      </c>
      <c r="W65" s="28"/>
      <c r="X65" s="31">
        <v>42336</v>
      </c>
      <c r="Y65" s="33">
        <v>4890</v>
      </c>
      <c r="Z65" s="189">
        <f t="shared" si="3"/>
        <v>4890</v>
      </c>
      <c r="AA65" s="190"/>
      <c r="AB65" s="31">
        <v>42274</v>
      </c>
      <c r="AC65" s="36">
        <v>4661.7</v>
      </c>
      <c r="AD65" s="8"/>
      <c r="AE65" s="6"/>
      <c r="AF65" s="52">
        <f t="shared" si="0"/>
        <v>197012765.40000001</v>
      </c>
      <c r="AG65" s="25">
        <f t="shared" si="1"/>
        <v>207023040</v>
      </c>
      <c r="AH65" s="52">
        <f t="shared" si="4"/>
        <v>197068705.79999998</v>
      </c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spans="1:44">
      <c r="A66" s="6"/>
      <c r="B66" s="6"/>
      <c r="C66" s="6"/>
      <c r="D66" s="6"/>
      <c r="E66" s="6"/>
      <c r="F66" s="6"/>
      <c r="G66" s="11"/>
      <c r="H66" s="6"/>
      <c r="I66" s="6"/>
      <c r="J66" s="6"/>
      <c r="K66" s="7"/>
      <c r="L66" s="21" t="str">
        <f>микс!$H$10</f>
        <v>продажа со склада</v>
      </c>
      <c r="M66" s="22"/>
      <c r="N66" s="22"/>
      <c r="O66" s="22" t="s">
        <v>148</v>
      </c>
      <c r="P66" s="23" t="str">
        <f>микс!$H$49</f>
        <v>Товары для детей</v>
      </c>
      <c r="Q66" s="21" t="s">
        <v>60</v>
      </c>
      <c r="R66" s="25">
        <v>1</v>
      </c>
      <c r="S66" s="28"/>
      <c r="T66" s="31">
        <v>42260</v>
      </c>
      <c r="U66" s="33">
        <v>4661.7</v>
      </c>
      <c r="V66" s="36">
        <f t="shared" si="2"/>
        <v>4661.7</v>
      </c>
      <c r="W66" s="28"/>
      <c r="X66" s="31">
        <v>42334</v>
      </c>
      <c r="Y66" s="33">
        <v>4890</v>
      </c>
      <c r="Z66" s="189">
        <f t="shared" si="3"/>
        <v>4890</v>
      </c>
      <c r="AA66" s="190"/>
      <c r="AB66" s="31">
        <v>42270</v>
      </c>
      <c r="AC66" s="36">
        <v>4661.7</v>
      </c>
      <c r="AD66" s="8"/>
      <c r="AE66" s="6"/>
      <c r="AF66" s="52">
        <f t="shared" si="0"/>
        <v>197003442</v>
      </c>
      <c r="AG66" s="25">
        <f t="shared" si="1"/>
        <v>207013260</v>
      </c>
      <c r="AH66" s="52">
        <f t="shared" si="4"/>
        <v>197050059</v>
      </c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spans="1:44">
      <c r="A67" s="6"/>
      <c r="B67" s="6"/>
      <c r="C67" s="6"/>
      <c r="D67" s="6"/>
      <c r="E67" s="6"/>
      <c r="F67" s="6"/>
      <c r="G67" s="11"/>
      <c r="H67" s="6"/>
      <c r="I67" s="6"/>
      <c r="J67" s="6"/>
      <c r="K67" s="7"/>
      <c r="L67" s="21" t="str">
        <f>микс!$H$10</f>
        <v>продажа со склада</v>
      </c>
      <c r="M67" s="22"/>
      <c r="N67" s="22"/>
      <c r="O67" s="22" t="s">
        <v>148</v>
      </c>
      <c r="P67" s="23" t="str">
        <f>микс!$H$49</f>
        <v>Товары для детей</v>
      </c>
      <c r="Q67" s="21" t="s">
        <v>60</v>
      </c>
      <c r="R67" s="25">
        <v>1</v>
      </c>
      <c r="S67" s="28"/>
      <c r="T67" s="31">
        <v>42260</v>
      </c>
      <c r="U67" s="33">
        <v>4661.7</v>
      </c>
      <c r="V67" s="36">
        <f t="shared" si="2"/>
        <v>4661.7</v>
      </c>
      <c r="W67" s="28"/>
      <c r="X67" s="31">
        <v>42332</v>
      </c>
      <c r="Y67" s="33">
        <v>4890</v>
      </c>
      <c r="Z67" s="189">
        <f t="shared" si="3"/>
        <v>4890</v>
      </c>
      <c r="AA67" s="190"/>
      <c r="AB67" s="31"/>
      <c r="AC67" s="36"/>
      <c r="AD67" s="8"/>
      <c r="AE67" s="6"/>
      <c r="AF67" s="52">
        <f t="shared" si="0"/>
        <v>197003442</v>
      </c>
      <c r="AG67" s="25">
        <f t="shared" si="1"/>
        <v>207003480</v>
      </c>
      <c r="AH67" s="52">
        <f t="shared" si="4"/>
        <v>0</v>
      </c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44">
      <c r="A68" s="6"/>
      <c r="B68" s="6"/>
      <c r="C68" s="6"/>
      <c r="D68" s="6"/>
      <c r="E68" s="6"/>
      <c r="F68" s="6"/>
      <c r="G68" s="11"/>
      <c r="H68" s="6"/>
      <c r="I68" s="6"/>
      <c r="J68" s="6"/>
      <c r="K68" s="7"/>
      <c r="L68" s="21" t="str">
        <f>микс!$H$11</f>
        <v>продажа под заказ</v>
      </c>
      <c r="M68" s="22"/>
      <c r="N68" s="22"/>
      <c r="O68" s="22" t="s">
        <v>148</v>
      </c>
      <c r="P68" s="23" t="str">
        <f>микс!$H$49</f>
        <v>Товары для детей</v>
      </c>
      <c r="Q68" s="21" t="s">
        <v>60</v>
      </c>
      <c r="R68" s="25">
        <v>1</v>
      </c>
      <c r="S68" s="28"/>
      <c r="T68" s="31">
        <v>42337</v>
      </c>
      <c r="U68" s="33">
        <v>4589</v>
      </c>
      <c r="V68" s="36">
        <f t="shared" si="2"/>
        <v>4589</v>
      </c>
      <c r="W68" s="28"/>
      <c r="X68" s="31">
        <v>42350</v>
      </c>
      <c r="Y68" s="33">
        <v>4849</v>
      </c>
      <c r="Z68" s="189">
        <f t="shared" si="3"/>
        <v>4849</v>
      </c>
      <c r="AA68" s="190"/>
      <c r="AB68" s="31">
        <v>42367</v>
      </c>
      <c r="AC68" s="36">
        <v>4589</v>
      </c>
      <c r="AD68" s="8"/>
      <c r="AE68" s="6"/>
      <c r="AF68" s="52">
        <f t="shared" si="0"/>
        <v>194284493</v>
      </c>
      <c r="AG68" s="25">
        <f t="shared" si="1"/>
        <v>205355150</v>
      </c>
      <c r="AH68" s="52">
        <f t="shared" si="4"/>
        <v>194422163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44">
      <c r="A69" s="6"/>
      <c r="B69" s="6"/>
      <c r="C69" s="6"/>
      <c r="D69" s="6"/>
      <c r="E69" s="6"/>
      <c r="F69" s="6"/>
      <c r="G69" s="11"/>
      <c r="H69" s="6"/>
      <c r="I69" s="6"/>
      <c r="J69" s="6"/>
      <c r="K69" s="7"/>
      <c r="L69" s="21" t="str">
        <f>микс!$H$11</f>
        <v>продажа под заказ</v>
      </c>
      <c r="M69" s="22"/>
      <c r="N69" s="22"/>
      <c r="O69" s="22" t="s">
        <v>148</v>
      </c>
      <c r="P69" s="23" t="str">
        <f>микс!$H$49</f>
        <v>Товары для детей</v>
      </c>
      <c r="Q69" s="21" t="s">
        <v>60</v>
      </c>
      <c r="R69" s="25">
        <v>1</v>
      </c>
      <c r="S69" s="28"/>
      <c r="T69" s="31">
        <v>42336</v>
      </c>
      <c r="U69" s="33">
        <v>4589</v>
      </c>
      <c r="V69" s="36">
        <f t="shared" si="2"/>
        <v>4589</v>
      </c>
      <c r="W69" s="28"/>
      <c r="X69" s="31">
        <v>42341</v>
      </c>
      <c r="Y69" s="33">
        <v>4849</v>
      </c>
      <c r="Z69" s="189">
        <f t="shared" si="3"/>
        <v>4849</v>
      </c>
      <c r="AA69" s="190"/>
      <c r="AB69" s="31">
        <v>42366</v>
      </c>
      <c r="AC69" s="36">
        <v>4589</v>
      </c>
      <c r="AD69" s="8"/>
      <c r="AE69" s="6"/>
      <c r="AF69" s="52">
        <f t="shared" si="0"/>
        <v>194279904</v>
      </c>
      <c r="AG69" s="25">
        <f t="shared" si="1"/>
        <v>205311509</v>
      </c>
      <c r="AH69" s="52">
        <f t="shared" si="4"/>
        <v>194417574</v>
      </c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44">
      <c r="A70" s="6"/>
      <c r="B70" s="6"/>
      <c r="C70" s="6"/>
      <c r="D70" s="6"/>
      <c r="E70" s="6"/>
      <c r="F70" s="6"/>
      <c r="G70" s="11"/>
      <c r="H70" s="6"/>
      <c r="I70" s="6"/>
      <c r="J70" s="6"/>
      <c r="K70" s="7"/>
      <c r="L70" s="21" t="str">
        <f>микс!$H$11</f>
        <v>продажа под заказ</v>
      </c>
      <c r="M70" s="22"/>
      <c r="N70" s="22"/>
      <c r="O70" s="22" t="s">
        <v>148</v>
      </c>
      <c r="P70" s="23" t="str">
        <f>микс!$H$49</f>
        <v>Товары для детей</v>
      </c>
      <c r="Q70" s="21" t="s">
        <v>60</v>
      </c>
      <c r="R70" s="25">
        <v>2</v>
      </c>
      <c r="S70" s="28"/>
      <c r="T70" s="31">
        <v>42336</v>
      </c>
      <c r="U70" s="33">
        <v>4589</v>
      </c>
      <c r="V70" s="36">
        <f t="shared" si="2"/>
        <v>9178</v>
      </c>
      <c r="W70" s="28"/>
      <c r="X70" s="31">
        <v>42346</v>
      </c>
      <c r="Y70" s="33">
        <v>4849</v>
      </c>
      <c r="Z70" s="189">
        <f t="shared" si="3"/>
        <v>9698</v>
      </c>
      <c r="AA70" s="190"/>
      <c r="AB70" s="31"/>
      <c r="AC70" s="36"/>
      <c r="AD70" s="8"/>
      <c r="AE70" s="6"/>
      <c r="AF70" s="52">
        <f t="shared" si="0"/>
        <v>388559808</v>
      </c>
      <c r="AG70" s="25">
        <f t="shared" si="1"/>
        <v>410671508</v>
      </c>
      <c r="AH70" s="52">
        <f t="shared" si="4"/>
        <v>0</v>
      </c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44">
      <c r="A71" s="6"/>
      <c r="B71" s="6"/>
      <c r="C71" s="6"/>
      <c r="D71" s="6"/>
      <c r="E71" s="6"/>
      <c r="F71" s="6"/>
      <c r="G71" s="11"/>
      <c r="H71" s="6"/>
      <c r="I71" s="6"/>
      <c r="J71" s="6"/>
      <c r="K71" s="7"/>
      <c r="L71" s="21" t="str">
        <f>микс!$H$11</f>
        <v>продажа под заказ</v>
      </c>
      <c r="M71" s="22"/>
      <c r="N71" s="22"/>
      <c r="O71" s="22" t="s">
        <v>148</v>
      </c>
      <c r="P71" s="23" t="str">
        <f>микс!$H$49</f>
        <v>Товары для детей</v>
      </c>
      <c r="Q71" s="21" t="s">
        <v>60</v>
      </c>
      <c r="R71" s="25">
        <v>1</v>
      </c>
      <c r="S71" s="28"/>
      <c r="T71" s="31">
        <v>42336</v>
      </c>
      <c r="U71" s="33">
        <v>4589</v>
      </c>
      <c r="V71" s="36">
        <f t="shared" si="2"/>
        <v>4589</v>
      </c>
      <c r="W71" s="28"/>
      <c r="X71" s="31">
        <v>42341</v>
      </c>
      <c r="Y71" s="33">
        <v>4849</v>
      </c>
      <c r="Z71" s="189">
        <f t="shared" si="3"/>
        <v>4849</v>
      </c>
      <c r="AA71" s="190"/>
      <c r="AB71" s="31"/>
      <c r="AC71" s="36"/>
      <c r="AD71" s="8"/>
      <c r="AE71" s="6"/>
      <c r="AF71" s="52">
        <f t="shared" si="0"/>
        <v>194279904</v>
      </c>
      <c r="AG71" s="25">
        <f t="shared" si="1"/>
        <v>205311509</v>
      </c>
      <c r="AH71" s="52">
        <f t="shared" si="4"/>
        <v>0</v>
      </c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44">
      <c r="A72" s="6"/>
      <c r="B72" s="6"/>
      <c r="C72" s="6"/>
      <c r="D72" s="6"/>
      <c r="E72" s="6"/>
      <c r="F72" s="6"/>
      <c r="G72" s="11"/>
      <c r="H72" s="6"/>
      <c r="I72" s="6"/>
      <c r="J72" s="6"/>
      <c r="K72" s="7"/>
      <c r="L72" s="21" t="str">
        <f>микс!$H$11</f>
        <v>продажа под заказ</v>
      </c>
      <c r="M72" s="22"/>
      <c r="N72" s="22"/>
      <c r="O72" s="22" t="s">
        <v>148</v>
      </c>
      <c r="P72" s="23" t="str">
        <f>микс!$H$49</f>
        <v>Товары для детей</v>
      </c>
      <c r="Q72" s="21" t="s">
        <v>60</v>
      </c>
      <c r="R72" s="25">
        <v>1</v>
      </c>
      <c r="S72" s="28"/>
      <c r="T72" s="31">
        <v>42336</v>
      </c>
      <c r="U72" s="33">
        <v>4589</v>
      </c>
      <c r="V72" s="36">
        <f t="shared" si="2"/>
        <v>4589</v>
      </c>
      <c r="W72" s="28"/>
      <c r="X72" s="31">
        <v>42341</v>
      </c>
      <c r="Y72" s="33">
        <v>4849</v>
      </c>
      <c r="Z72" s="189">
        <f t="shared" si="3"/>
        <v>4849</v>
      </c>
      <c r="AA72" s="190"/>
      <c r="AB72" s="31"/>
      <c r="AC72" s="36"/>
      <c r="AD72" s="8"/>
      <c r="AE72" s="6"/>
      <c r="AF72" s="52">
        <f t="shared" si="0"/>
        <v>194279904</v>
      </c>
      <c r="AG72" s="25">
        <f t="shared" si="1"/>
        <v>205311509</v>
      </c>
      <c r="AH72" s="52">
        <f t="shared" si="4"/>
        <v>0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44">
      <c r="A73" s="6"/>
      <c r="B73" s="6"/>
      <c r="C73" s="6"/>
      <c r="D73" s="6"/>
      <c r="E73" s="6"/>
      <c r="F73" s="6"/>
      <c r="G73" s="11"/>
      <c r="H73" s="6"/>
      <c r="I73" s="6"/>
      <c r="J73" s="6"/>
      <c r="K73" s="7"/>
      <c r="L73" s="21" t="str">
        <f>микс!$H$11</f>
        <v>продажа под заказ</v>
      </c>
      <c r="M73" s="22"/>
      <c r="N73" s="22"/>
      <c r="O73" s="22" t="s">
        <v>148</v>
      </c>
      <c r="P73" s="23" t="str">
        <f>микс!$H$49</f>
        <v>Товары для детей</v>
      </c>
      <c r="Q73" s="21" t="s">
        <v>60</v>
      </c>
      <c r="R73" s="25">
        <v>1</v>
      </c>
      <c r="S73" s="28"/>
      <c r="T73" s="31">
        <v>42336</v>
      </c>
      <c r="U73" s="33">
        <v>4589</v>
      </c>
      <c r="V73" s="36">
        <f t="shared" si="2"/>
        <v>4589</v>
      </c>
      <c r="W73" s="28"/>
      <c r="X73" s="31">
        <v>42341</v>
      </c>
      <c r="Y73" s="33">
        <v>4849</v>
      </c>
      <c r="Z73" s="189">
        <f t="shared" si="3"/>
        <v>4849</v>
      </c>
      <c r="AA73" s="190"/>
      <c r="AB73" s="31"/>
      <c r="AC73" s="36"/>
      <c r="AD73" s="8"/>
      <c r="AE73" s="6"/>
      <c r="AF73" s="52">
        <f t="shared" ref="AF73:AF136" si="5">T73*V73</f>
        <v>194279904</v>
      </c>
      <c r="AG73" s="25">
        <f t="shared" ref="AG73:AG136" si="6">X73*Z73</f>
        <v>205311509</v>
      </c>
      <c r="AH73" s="52">
        <f t="shared" si="4"/>
        <v>0</v>
      </c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44">
      <c r="A74" s="6"/>
      <c r="B74" s="6"/>
      <c r="C74" s="6"/>
      <c r="D74" s="6"/>
      <c r="E74" s="6"/>
      <c r="F74" s="6"/>
      <c r="G74" s="11"/>
      <c r="H74" s="6"/>
      <c r="I74" s="6"/>
      <c r="J74" s="6"/>
      <c r="K74" s="7"/>
      <c r="L74" s="21" t="str">
        <f>микс!$H$11</f>
        <v>продажа под заказ</v>
      </c>
      <c r="M74" s="22"/>
      <c r="N74" s="22"/>
      <c r="O74" s="22" t="s">
        <v>148</v>
      </c>
      <c r="P74" s="23" t="str">
        <f>микс!$H$49</f>
        <v>Товары для детей</v>
      </c>
      <c r="Q74" s="21" t="s">
        <v>60</v>
      </c>
      <c r="R74" s="25">
        <v>1</v>
      </c>
      <c r="S74" s="28"/>
      <c r="T74" s="31">
        <v>42337</v>
      </c>
      <c r="U74" s="33">
        <v>4589</v>
      </c>
      <c r="V74" s="36">
        <f t="shared" ref="V74:V137" si="7">$R74*U74</f>
        <v>4589</v>
      </c>
      <c r="W74" s="28"/>
      <c r="X74" s="31">
        <v>42341</v>
      </c>
      <c r="Y74" s="33">
        <v>4849</v>
      </c>
      <c r="Z74" s="189">
        <f t="shared" ref="Z74:Z137" si="8">$R74*Y74</f>
        <v>4849</v>
      </c>
      <c r="AA74" s="190"/>
      <c r="AB74" s="31">
        <v>42367</v>
      </c>
      <c r="AC74" s="36">
        <v>4589</v>
      </c>
      <c r="AD74" s="8"/>
      <c r="AE74" s="6"/>
      <c r="AF74" s="52">
        <f t="shared" si="5"/>
        <v>194284493</v>
      </c>
      <c r="AG74" s="25">
        <f t="shared" si="6"/>
        <v>205311509</v>
      </c>
      <c r="AH74" s="52">
        <f t="shared" ref="AH74:AH137" si="9">AB74*AC74</f>
        <v>194422163</v>
      </c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44">
      <c r="A75" s="6"/>
      <c r="B75" s="6"/>
      <c r="C75" s="6"/>
      <c r="D75" s="6"/>
      <c r="E75" s="6"/>
      <c r="F75" s="6"/>
      <c r="G75" s="11"/>
      <c r="H75" s="6"/>
      <c r="I75" s="6"/>
      <c r="J75" s="6"/>
      <c r="K75" s="7"/>
      <c r="L75" s="21" t="str">
        <f>микс!$H$11</f>
        <v>продажа под заказ</v>
      </c>
      <c r="M75" s="22"/>
      <c r="N75" s="22"/>
      <c r="O75" s="22" t="s">
        <v>148</v>
      </c>
      <c r="P75" s="23" t="str">
        <f>микс!$H$49</f>
        <v>Товары для детей</v>
      </c>
      <c r="Q75" s="21" t="s">
        <v>60</v>
      </c>
      <c r="R75" s="25">
        <v>1</v>
      </c>
      <c r="S75" s="28"/>
      <c r="T75" s="31">
        <v>42337</v>
      </c>
      <c r="U75" s="33">
        <v>4589</v>
      </c>
      <c r="V75" s="36">
        <f t="shared" si="7"/>
        <v>4589</v>
      </c>
      <c r="W75" s="28"/>
      <c r="X75" s="31">
        <v>42341</v>
      </c>
      <c r="Y75" s="33">
        <v>4849</v>
      </c>
      <c r="Z75" s="189">
        <f t="shared" si="8"/>
        <v>4849</v>
      </c>
      <c r="AA75" s="190"/>
      <c r="AB75" s="31">
        <v>42357</v>
      </c>
      <c r="AC75" s="36">
        <v>4589</v>
      </c>
      <c r="AD75" s="8"/>
      <c r="AE75" s="6"/>
      <c r="AF75" s="52">
        <f t="shared" si="5"/>
        <v>194284493</v>
      </c>
      <c r="AG75" s="25">
        <f t="shared" si="6"/>
        <v>205311509</v>
      </c>
      <c r="AH75" s="52">
        <f t="shared" si="9"/>
        <v>194376273</v>
      </c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spans="1:44">
      <c r="A76" s="6"/>
      <c r="B76" s="6"/>
      <c r="C76" s="6"/>
      <c r="D76" s="6"/>
      <c r="E76" s="6"/>
      <c r="F76" s="6"/>
      <c r="G76" s="11"/>
      <c r="H76" s="6"/>
      <c r="I76" s="6"/>
      <c r="J76" s="6"/>
      <c r="K76" s="7"/>
      <c r="L76" s="21" t="str">
        <f>микс!$H$11</f>
        <v>продажа под заказ</v>
      </c>
      <c r="M76" s="22"/>
      <c r="N76" s="22"/>
      <c r="O76" s="22" t="s">
        <v>148</v>
      </c>
      <c r="P76" s="23" t="str">
        <f>микс!$H$49</f>
        <v>Товары для детей</v>
      </c>
      <c r="Q76" s="21" t="s">
        <v>60</v>
      </c>
      <c r="R76" s="25">
        <v>1</v>
      </c>
      <c r="S76" s="28"/>
      <c r="T76" s="31">
        <v>42337</v>
      </c>
      <c r="U76" s="33">
        <v>4589</v>
      </c>
      <c r="V76" s="36">
        <f t="shared" si="7"/>
        <v>4589</v>
      </c>
      <c r="W76" s="28"/>
      <c r="X76" s="31">
        <v>42347</v>
      </c>
      <c r="Y76" s="33">
        <v>4849</v>
      </c>
      <c r="Z76" s="189">
        <f t="shared" si="8"/>
        <v>4849</v>
      </c>
      <c r="AA76" s="190"/>
      <c r="AB76" s="31"/>
      <c r="AC76" s="36"/>
      <c r="AD76" s="8"/>
      <c r="AE76" s="6"/>
      <c r="AF76" s="52">
        <f t="shared" si="5"/>
        <v>194284493</v>
      </c>
      <c r="AG76" s="25">
        <f t="shared" si="6"/>
        <v>205340603</v>
      </c>
      <c r="AH76" s="52">
        <f t="shared" si="9"/>
        <v>0</v>
      </c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spans="1:44">
      <c r="A77" s="6"/>
      <c r="B77" s="6"/>
      <c r="C77" s="6"/>
      <c r="D77" s="6"/>
      <c r="E77" s="6"/>
      <c r="F77" s="6"/>
      <c r="G77" s="11"/>
      <c r="H77" s="6"/>
      <c r="I77" s="6"/>
      <c r="J77" s="6"/>
      <c r="K77" s="7"/>
      <c r="L77" s="21" t="str">
        <f>микс!$H$11</f>
        <v>продажа под заказ</v>
      </c>
      <c r="M77" s="22"/>
      <c r="N77" s="22"/>
      <c r="O77" s="22" t="s">
        <v>148</v>
      </c>
      <c r="P77" s="23" t="str">
        <f>микс!$H$49</f>
        <v>Товары для детей</v>
      </c>
      <c r="Q77" s="21" t="s">
        <v>60</v>
      </c>
      <c r="R77" s="25">
        <v>1</v>
      </c>
      <c r="S77" s="28"/>
      <c r="T77" s="31">
        <v>42338</v>
      </c>
      <c r="U77" s="33">
        <v>4589</v>
      </c>
      <c r="V77" s="36">
        <f t="shared" si="7"/>
        <v>4589</v>
      </c>
      <c r="W77" s="28"/>
      <c r="X77" s="31">
        <v>42341</v>
      </c>
      <c r="Y77" s="33">
        <v>4849</v>
      </c>
      <c r="Z77" s="189">
        <f t="shared" si="8"/>
        <v>4849</v>
      </c>
      <c r="AA77" s="190"/>
      <c r="AB77" s="31">
        <v>42348</v>
      </c>
      <c r="AC77" s="36">
        <v>4589</v>
      </c>
      <c r="AD77" s="8"/>
      <c r="AE77" s="6"/>
      <c r="AF77" s="52">
        <f t="shared" si="5"/>
        <v>194289082</v>
      </c>
      <c r="AG77" s="25">
        <f t="shared" si="6"/>
        <v>205311509</v>
      </c>
      <c r="AH77" s="52">
        <f t="shared" si="9"/>
        <v>194334972</v>
      </c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spans="1:44">
      <c r="A78" s="6"/>
      <c r="B78" s="6"/>
      <c r="C78" s="6"/>
      <c r="D78" s="6"/>
      <c r="E78" s="6"/>
      <c r="F78" s="6"/>
      <c r="G78" s="11"/>
      <c r="H78" s="6"/>
      <c r="I78" s="6"/>
      <c r="J78" s="6"/>
      <c r="K78" s="7"/>
      <c r="L78" s="21" t="str">
        <f>микс!$H$11</f>
        <v>продажа под заказ</v>
      </c>
      <c r="M78" s="22"/>
      <c r="N78" s="22"/>
      <c r="O78" s="22" t="s">
        <v>148</v>
      </c>
      <c r="P78" s="23" t="str">
        <f>микс!$H$49</f>
        <v>Товары для детей</v>
      </c>
      <c r="Q78" s="21" t="s">
        <v>60</v>
      </c>
      <c r="R78" s="25">
        <v>1</v>
      </c>
      <c r="S78" s="28"/>
      <c r="T78" s="31">
        <v>42338</v>
      </c>
      <c r="U78" s="33">
        <v>4589</v>
      </c>
      <c r="V78" s="36">
        <f t="shared" si="7"/>
        <v>4589</v>
      </c>
      <c r="W78" s="28"/>
      <c r="X78" s="31">
        <v>42341</v>
      </c>
      <c r="Y78" s="33">
        <v>4849</v>
      </c>
      <c r="Z78" s="189">
        <f t="shared" si="8"/>
        <v>4849</v>
      </c>
      <c r="AA78" s="190"/>
      <c r="AB78" s="31">
        <v>42368</v>
      </c>
      <c r="AC78" s="36">
        <v>4589</v>
      </c>
      <c r="AD78" s="8"/>
      <c r="AE78" s="6"/>
      <c r="AF78" s="52">
        <f t="shared" si="5"/>
        <v>194289082</v>
      </c>
      <c r="AG78" s="25">
        <f t="shared" si="6"/>
        <v>205311509</v>
      </c>
      <c r="AH78" s="52">
        <f t="shared" si="9"/>
        <v>194426752</v>
      </c>
      <c r="AI78" s="6"/>
      <c r="AJ78" s="6"/>
      <c r="AK78" s="6"/>
      <c r="AL78" s="6"/>
      <c r="AM78" s="6"/>
      <c r="AN78" s="6"/>
      <c r="AO78" s="6"/>
      <c r="AP78" s="6"/>
      <c r="AQ78" s="6"/>
      <c r="AR78" s="6"/>
    </row>
    <row r="79" spans="1:44">
      <c r="A79" s="6"/>
      <c r="B79" s="6"/>
      <c r="C79" s="6"/>
      <c r="D79" s="6"/>
      <c r="E79" s="6"/>
      <c r="F79" s="6"/>
      <c r="G79" s="11"/>
      <c r="H79" s="6"/>
      <c r="I79" s="6"/>
      <c r="J79" s="6"/>
      <c r="K79" s="7"/>
      <c r="L79" s="21" t="str">
        <f>микс!$H$11</f>
        <v>продажа под заказ</v>
      </c>
      <c r="M79" s="22"/>
      <c r="N79" s="22"/>
      <c r="O79" s="22" t="s">
        <v>145</v>
      </c>
      <c r="P79" s="23" t="str">
        <f>микс!$H$46</f>
        <v>Электроника и бытовая техника</v>
      </c>
      <c r="Q79" s="21" t="s">
        <v>58</v>
      </c>
      <c r="R79" s="25">
        <v>1</v>
      </c>
      <c r="S79" s="28"/>
      <c r="T79" s="31">
        <v>42305</v>
      </c>
      <c r="U79" s="33">
        <v>5617</v>
      </c>
      <c r="V79" s="36">
        <f t="shared" si="7"/>
        <v>5617</v>
      </c>
      <c r="W79" s="28"/>
      <c r="X79" s="31">
        <v>42308</v>
      </c>
      <c r="Y79" s="33">
        <v>6350</v>
      </c>
      <c r="Z79" s="189">
        <f t="shared" si="8"/>
        <v>6350</v>
      </c>
      <c r="AA79" s="190"/>
      <c r="AB79" s="31">
        <v>42326</v>
      </c>
      <c r="AC79" s="36">
        <v>5617</v>
      </c>
      <c r="AD79" s="8"/>
      <c r="AE79" s="6"/>
      <c r="AF79" s="52">
        <f t="shared" si="5"/>
        <v>237627185</v>
      </c>
      <c r="AG79" s="25">
        <f t="shared" si="6"/>
        <v>268655800</v>
      </c>
      <c r="AH79" s="52">
        <f t="shared" si="9"/>
        <v>237745142</v>
      </c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spans="1:44">
      <c r="A80" s="6"/>
      <c r="B80" s="6"/>
      <c r="C80" s="6"/>
      <c r="D80" s="6"/>
      <c r="E80" s="6"/>
      <c r="F80" s="6"/>
      <c r="G80" s="11"/>
      <c r="H80" s="6"/>
      <c r="I80" s="6"/>
      <c r="J80" s="6"/>
      <c r="K80" s="7"/>
      <c r="L80" s="21" t="str">
        <f>микс!$H$11</f>
        <v>продажа под заказ</v>
      </c>
      <c r="M80" s="22"/>
      <c r="N80" s="22"/>
      <c r="O80" s="22" t="s">
        <v>145</v>
      </c>
      <c r="P80" s="23" t="str">
        <f>микс!$H$46</f>
        <v>Электроника и бытовая техника</v>
      </c>
      <c r="Q80" s="21" t="s">
        <v>58</v>
      </c>
      <c r="R80" s="25">
        <v>1</v>
      </c>
      <c r="S80" s="28"/>
      <c r="T80" s="31">
        <v>42336</v>
      </c>
      <c r="U80" s="33">
        <v>1932</v>
      </c>
      <c r="V80" s="36">
        <f t="shared" si="7"/>
        <v>1932</v>
      </c>
      <c r="W80" s="28"/>
      <c r="X80" s="31">
        <v>42341</v>
      </c>
      <c r="Y80" s="33">
        <v>2100</v>
      </c>
      <c r="Z80" s="189">
        <f t="shared" si="8"/>
        <v>2100</v>
      </c>
      <c r="AA80" s="190"/>
      <c r="AB80" s="31"/>
      <c r="AC80" s="36"/>
      <c r="AD80" s="8"/>
      <c r="AE80" s="6"/>
      <c r="AF80" s="52">
        <f t="shared" si="5"/>
        <v>81793152</v>
      </c>
      <c r="AG80" s="25">
        <f t="shared" si="6"/>
        <v>88916100</v>
      </c>
      <c r="AH80" s="52">
        <f t="shared" si="9"/>
        <v>0</v>
      </c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spans="1:44">
      <c r="A81" s="6"/>
      <c r="B81" s="6"/>
      <c r="C81" s="6"/>
      <c r="D81" s="6"/>
      <c r="E81" s="6"/>
      <c r="F81" s="6"/>
      <c r="G81" s="11"/>
      <c r="H81" s="6"/>
      <c r="I81" s="6"/>
      <c r="J81" s="6"/>
      <c r="K81" s="7"/>
      <c r="L81" s="21" t="str">
        <f>микс!$H$11</f>
        <v>продажа под заказ</v>
      </c>
      <c r="M81" s="22"/>
      <c r="N81" s="22"/>
      <c r="O81" s="22" t="s">
        <v>134</v>
      </c>
      <c r="P81" s="23" t="str">
        <f>микс!$H$49</f>
        <v>Товары для детей</v>
      </c>
      <c r="Q81" s="21" t="s">
        <v>61</v>
      </c>
      <c r="R81" s="25">
        <v>1</v>
      </c>
      <c r="S81" s="28"/>
      <c r="T81" s="31">
        <v>42336</v>
      </c>
      <c r="U81" s="33">
        <v>3570</v>
      </c>
      <c r="V81" s="36">
        <f t="shared" si="7"/>
        <v>3570</v>
      </c>
      <c r="W81" s="28"/>
      <c r="X81" s="31">
        <v>42342</v>
      </c>
      <c r="Y81" s="33">
        <v>3694</v>
      </c>
      <c r="Z81" s="189">
        <f t="shared" si="8"/>
        <v>3694</v>
      </c>
      <c r="AA81" s="190"/>
      <c r="AB81" s="31">
        <v>42366</v>
      </c>
      <c r="AC81" s="36">
        <v>3570</v>
      </c>
      <c r="AD81" s="8"/>
      <c r="AE81" s="6"/>
      <c r="AF81" s="52">
        <f t="shared" si="5"/>
        <v>151139520</v>
      </c>
      <c r="AG81" s="25">
        <f t="shared" si="6"/>
        <v>156411348</v>
      </c>
      <c r="AH81" s="52">
        <f t="shared" si="9"/>
        <v>151246620</v>
      </c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spans="1:44">
      <c r="A82" s="6"/>
      <c r="B82" s="6"/>
      <c r="C82" s="6"/>
      <c r="D82" s="6"/>
      <c r="E82" s="6"/>
      <c r="F82" s="6"/>
      <c r="G82" s="11"/>
      <c r="H82" s="6"/>
      <c r="I82" s="6"/>
      <c r="J82" s="6"/>
      <c r="K82" s="7"/>
      <c r="L82" s="21" t="str">
        <f>микс!$H$11</f>
        <v>продажа под заказ</v>
      </c>
      <c r="M82" s="22"/>
      <c r="N82" s="22"/>
      <c r="O82" s="22" t="s">
        <v>134</v>
      </c>
      <c r="P82" s="23" t="str">
        <f>микс!$H$49</f>
        <v>Товары для детей</v>
      </c>
      <c r="Q82" s="21" t="s">
        <v>61</v>
      </c>
      <c r="R82" s="25">
        <v>1</v>
      </c>
      <c r="S82" s="28"/>
      <c r="T82" s="31">
        <v>42337</v>
      </c>
      <c r="U82" s="33">
        <v>3570</v>
      </c>
      <c r="V82" s="36">
        <f t="shared" si="7"/>
        <v>3570</v>
      </c>
      <c r="W82" s="28"/>
      <c r="X82" s="31">
        <v>42350</v>
      </c>
      <c r="Y82" s="33">
        <v>3694</v>
      </c>
      <c r="Z82" s="189">
        <f t="shared" si="8"/>
        <v>3694</v>
      </c>
      <c r="AA82" s="190"/>
      <c r="AB82" s="31">
        <v>42352</v>
      </c>
      <c r="AC82" s="36">
        <v>3570</v>
      </c>
      <c r="AD82" s="8"/>
      <c r="AE82" s="6"/>
      <c r="AF82" s="52">
        <f t="shared" si="5"/>
        <v>151143090</v>
      </c>
      <c r="AG82" s="25">
        <f t="shared" si="6"/>
        <v>156440900</v>
      </c>
      <c r="AH82" s="52">
        <f t="shared" si="9"/>
        <v>151196640</v>
      </c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spans="1:44">
      <c r="A83" s="6"/>
      <c r="B83" s="6"/>
      <c r="C83" s="6"/>
      <c r="D83" s="6"/>
      <c r="E83" s="6"/>
      <c r="F83" s="6"/>
      <c r="G83" s="11"/>
      <c r="H83" s="6"/>
      <c r="I83" s="6"/>
      <c r="J83" s="6"/>
      <c r="K83" s="7"/>
      <c r="L83" s="21" t="str">
        <f>микс!$H$10</f>
        <v>продажа со склада</v>
      </c>
      <c r="M83" s="22"/>
      <c r="N83" s="22"/>
      <c r="O83" s="22" t="s">
        <v>134</v>
      </c>
      <c r="P83" s="23" t="str">
        <f>микс!$H$49</f>
        <v>Товары для детей</v>
      </c>
      <c r="Q83" s="21" t="s">
        <v>61</v>
      </c>
      <c r="R83" s="25">
        <v>1</v>
      </c>
      <c r="S83" s="28"/>
      <c r="T83" s="31">
        <v>42266</v>
      </c>
      <c r="U83" s="33">
        <v>3570</v>
      </c>
      <c r="V83" s="36">
        <f t="shared" si="7"/>
        <v>3570</v>
      </c>
      <c r="W83" s="28"/>
      <c r="X83" s="31">
        <v>42346</v>
      </c>
      <c r="Y83" s="33">
        <v>3694</v>
      </c>
      <c r="Z83" s="189">
        <f t="shared" si="8"/>
        <v>3694</v>
      </c>
      <c r="AA83" s="190"/>
      <c r="AB83" s="31">
        <v>42288</v>
      </c>
      <c r="AC83" s="36">
        <v>3570</v>
      </c>
      <c r="AD83" s="8"/>
      <c r="AE83" s="6"/>
      <c r="AF83" s="52">
        <f t="shared" si="5"/>
        <v>150889620</v>
      </c>
      <c r="AG83" s="25">
        <f t="shared" si="6"/>
        <v>156426124</v>
      </c>
      <c r="AH83" s="52">
        <f t="shared" si="9"/>
        <v>150968160</v>
      </c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spans="1:44">
      <c r="A84" s="6"/>
      <c r="B84" s="6"/>
      <c r="C84" s="6"/>
      <c r="D84" s="6"/>
      <c r="E84" s="6"/>
      <c r="F84" s="6"/>
      <c r="G84" s="11"/>
      <c r="H84" s="6"/>
      <c r="I84" s="6"/>
      <c r="J84" s="6"/>
      <c r="K84" s="7"/>
      <c r="L84" s="21" t="str">
        <f>микс!$H$11</f>
        <v>продажа под заказ</v>
      </c>
      <c r="M84" s="22"/>
      <c r="N84" s="22"/>
      <c r="O84" s="22" t="s">
        <v>134</v>
      </c>
      <c r="P84" s="23" t="str">
        <f>микс!$H$49</f>
        <v>Товары для детей</v>
      </c>
      <c r="Q84" s="21" t="s">
        <v>61</v>
      </c>
      <c r="R84" s="25">
        <v>1</v>
      </c>
      <c r="S84" s="28"/>
      <c r="T84" s="31">
        <v>42336</v>
      </c>
      <c r="U84" s="33">
        <v>3570</v>
      </c>
      <c r="V84" s="36">
        <f t="shared" si="7"/>
        <v>3570</v>
      </c>
      <c r="W84" s="28"/>
      <c r="X84" s="31">
        <v>42342</v>
      </c>
      <c r="Y84" s="33">
        <v>3694</v>
      </c>
      <c r="Z84" s="189">
        <f t="shared" si="8"/>
        <v>3694</v>
      </c>
      <c r="AA84" s="190"/>
      <c r="AB84" s="31"/>
      <c r="AC84" s="36"/>
      <c r="AD84" s="8"/>
      <c r="AE84" s="6"/>
      <c r="AF84" s="52">
        <f t="shared" si="5"/>
        <v>151139520</v>
      </c>
      <c r="AG84" s="25">
        <f t="shared" si="6"/>
        <v>156411348</v>
      </c>
      <c r="AH84" s="52">
        <f t="shared" si="9"/>
        <v>0</v>
      </c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spans="1:44">
      <c r="A85" s="6"/>
      <c r="B85" s="6"/>
      <c r="C85" s="6"/>
      <c r="D85" s="6"/>
      <c r="E85" s="6"/>
      <c r="F85" s="6"/>
      <c r="G85" s="11"/>
      <c r="H85" s="6"/>
      <c r="I85" s="6"/>
      <c r="J85" s="6"/>
      <c r="K85" s="7"/>
      <c r="L85" s="21" t="str">
        <f>микс!$H$11</f>
        <v>продажа под заказ</v>
      </c>
      <c r="M85" s="22"/>
      <c r="N85" s="22"/>
      <c r="O85" s="22" t="s">
        <v>134</v>
      </c>
      <c r="P85" s="23" t="str">
        <f>микс!$H$49</f>
        <v>Товары для детей</v>
      </c>
      <c r="Q85" s="21" t="s">
        <v>61</v>
      </c>
      <c r="R85" s="25">
        <v>1</v>
      </c>
      <c r="S85" s="28"/>
      <c r="T85" s="31">
        <v>42336</v>
      </c>
      <c r="U85" s="33">
        <v>3570</v>
      </c>
      <c r="V85" s="36">
        <f t="shared" si="7"/>
        <v>3570</v>
      </c>
      <c r="W85" s="28"/>
      <c r="X85" s="31">
        <v>42341</v>
      </c>
      <c r="Y85" s="33">
        <v>3694</v>
      </c>
      <c r="Z85" s="189">
        <f t="shared" si="8"/>
        <v>3694</v>
      </c>
      <c r="AA85" s="190"/>
      <c r="AB85" s="31">
        <v>42341</v>
      </c>
      <c r="AC85" s="36">
        <v>3570</v>
      </c>
      <c r="AD85" s="8"/>
      <c r="AE85" s="6"/>
      <c r="AF85" s="52">
        <f t="shared" si="5"/>
        <v>151139520</v>
      </c>
      <c r="AG85" s="25">
        <f t="shared" si="6"/>
        <v>156407654</v>
      </c>
      <c r="AH85" s="52">
        <f t="shared" si="9"/>
        <v>151157370</v>
      </c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spans="1:44">
      <c r="A86" s="6"/>
      <c r="B86" s="6"/>
      <c r="C86" s="6"/>
      <c r="D86" s="6"/>
      <c r="E86" s="6"/>
      <c r="F86" s="6"/>
      <c r="G86" s="11"/>
      <c r="H86" s="6"/>
      <c r="I86" s="6"/>
      <c r="J86" s="6"/>
      <c r="K86" s="7"/>
      <c r="L86" s="21" t="str">
        <f>микс!$H$10</f>
        <v>продажа со склада</v>
      </c>
      <c r="M86" s="22"/>
      <c r="N86" s="22"/>
      <c r="O86" s="22" t="s">
        <v>134</v>
      </c>
      <c r="P86" s="23" t="str">
        <f>микс!$H$49</f>
        <v>Товары для детей</v>
      </c>
      <c r="Q86" s="21" t="s">
        <v>61</v>
      </c>
      <c r="R86" s="25">
        <v>1</v>
      </c>
      <c r="S86" s="28"/>
      <c r="T86" s="31">
        <v>42265</v>
      </c>
      <c r="U86" s="33">
        <v>3570</v>
      </c>
      <c r="V86" s="36">
        <f t="shared" si="7"/>
        <v>3570</v>
      </c>
      <c r="W86" s="28"/>
      <c r="X86" s="31">
        <v>42338</v>
      </c>
      <c r="Y86" s="33">
        <v>3694</v>
      </c>
      <c r="Z86" s="189">
        <f t="shared" si="8"/>
        <v>3694</v>
      </c>
      <c r="AA86" s="190"/>
      <c r="AB86" s="31">
        <v>42305</v>
      </c>
      <c r="AC86" s="36">
        <v>3570</v>
      </c>
      <c r="AD86" s="8"/>
      <c r="AE86" s="6"/>
      <c r="AF86" s="52">
        <f t="shared" si="5"/>
        <v>150886050</v>
      </c>
      <c r="AG86" s="25">
        <f t="shared" si="6"/>
        <v>156396572</v>
      </c>
      <c r="AH86" s="52">
        <f t="shared" si="9"/>
        <v>151028850</v>
      </c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spans="1:44">
      <c r="A87" s="6"/>
      <c r="B87" s="6"/>
      <c r="C87" s="6"/>
      <c r="D87" s="6"/>
      <c r="E87" s="6"/>
      <c r="F87" s="6"/>
      <c r="G87" s="11"/>
      <c r="H87" s="6"/>
      <c r="I87" s="6"/>
      <c r="J87" s="6"/>
      <c r="K87" s="7"/>
      <c r="L87" s="21" t="str">
        <f>микс!$H$10</f>
        <v>продажа со склада</v>
      </c>
      <c r="M87" s="22"/>
      <c r="N87" s="22"/>
      <c r="O87" s="22" t="s">
        <v>134</v>
      </c>
      <c r="P87" s="23" t="str">
        <f>микс!$H$49</f>
        <v>Товары для детей</v>
      </c>
      <c r="Q87" s="21" t="s">
        <v>61</v>
      </c>
      <c r="R87" s="25">
        <v>1</v>
      </c>
      <c r="S87" s="28"/>
      <c r="T87" s="31">
        <v>42226</v>
      </c>
      <c r="U87" s="33">
        <v>3423.03</v>
      </c>
      <c r="V87" s="36">
        <f t="shared" si="7"/>
        <v>3423.03</v>
      </c>
      <c r="W87" s="28"/>
      <c r="X87" s="31">
        <v>42298</v>
      </c>
      <c r="Y87" s="33">
        <v>3434</v>
      </c>
      <c r="Z87" s="189">
        <f t="shared" si="8"/>
        <v>3434</v>
      </c>
      <c r="AA87" s="190"/>
      <c r="AB87" s="31">
        <v>42261</v>
      </c>
      <c r="AC87" s="36">
        <v>3423.03</v>
      </c>
      <c r="AD87" s="8"/>
      <c r="AE87" s="6"/>
      <c r="AF87" s="52">
        <f t="shared" si="5"/>
        <v>144540864.78</v>
      </c>
      <c r="AG87" s="25">
        <f t="shared" si="6"/>
        <v>145251332</v>
      </c>
      <c r="AH87" s="52">
        <f t="shared" si="9"/>
        <v>144660670.83000001</v>
      </c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44">
      <c r="A88" s="6"/>
      <c r="B88" s="6"/>
      <c r="C88" s="6"/>
      <c r="D88" s="6"/>
      <c r="E88" s="6"/>
      <c r="F88" s="6"/>
      <c r="G88" s="11"/>
      <c r="H88" s="6"/>
      <c r="I88" s="6"/>
      <c r="J88" s="6"/>
      <c r="K88" s="7"/>
      <c r="L88" s="21" t="str">
        <f>микс!$H$11</f>
        <v>продажа под заказ</v>
      </c>
      <c r="M88" s="22"/>
      <c r="N88" s="22"/>
      <c r="O88" s="22" t="s">
        <v>134</v>
      </c>
      <c r="P88" s="23" t="str">
        <f>микс!$H$49</f>
        <v>Товары для детей</v>
      </c>
      <c r="Q88" s="21" t="s">
        <v>61</v>
      </c>
      <c r="R88" s="25">
        <v>1</v>
      </c>
      <c r="S88" s="28"/>
      <c r="T88" s="31">
        <v>42311</v>
      </c>
      <c r="U88" s="33">
        <v>3570</v>
      </c>
      <c r="V88" s="36">
        <f t="shared" si="7"/>
        <v>3570</v>
      </c>
      <c r="W88" s="28"/>
      <c r="X88" s="31">
        <v>42315</v>
      </c>
      <c r="Y88" s="33">
        <v>3770</v>
      </c>
      <c r="Z88" s="189">
        <f t="shared" si="8"/>
        <v>3770</v>
      </c>
      <c r="AA88" s="190"/>
      <c r="AB88" s="31">
        <v>42326</v>
      </c>
      <c r="AC88" s="36">
        <v>3570</v>
      </c>
      <c r="AD88" s="8"/>
      <c r="AE88" s="6"/>
      <c r="AF88" s="52">
        <f t="shared" si="5"/>
        <v>151050270</v>
      </c>
      <c r="AG88" s="25">
        <f t="shared" si="6"/>
        <v>159527550</v>
      </c>
      <c r="AH88" s="52">
        <f t="shared" si="9"/>
        <v>151103820</v>
      </c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44">
      <c r="A89" s="6"/>
      <c r="B89" s="6"/>
      <c r="C89" s="6"/>
      <c r="D89" s="6"/>
      <c r="E89" s="6"/>
      <c r="F89" s="6"/>
      <c r="G89" s="11"/>
      <c r="H89" s="6"/>
      <c r="I89" s="6"/>
      <c r="J89" s="6"/>
      <c r="K89" s="7"/>
      <c r="L89" s="21" t="str">
        <f>микс!$H$11</f>
        <v>продажа под заказ</v>
      </c>
      <c r="M89" s="22"/>
      <c r="N89" s="22"/>
      <c r="O89" s="22" t="s">
        <v>134</v>
      </c>
      <c r="P89" s="23" t="str">
        <f>микс!$H$49</f>
        <v>Товары для детей</v>
      </c>
      <c r="Q89" s="21" t="s">
        <v>61</v>
      </c>
      <c r="R89" s="25">
        <v>1</v>
      </c>
      <c r="S89" s="28"/>
      <c r="T89" s="31">
        <v>42310</v>
      </c>
      <c r="U89" s="33">
        <v>3570</v>
      </c>
      <c r="V89" s="36">
        <f t="shared" si="7"/>
        <v>3570</v>
      </c>
      <c r="W89" s="28"/>
      <c r="X89" s="31">
        <v>42325</v>
      </c>
      <c r="Y89" s="33">
        <v>3883</v>
      </c>
      <c r="Z89" s="189">
        <f t="shared" si="8"/>
        <v>3883</v>
      </c>
      <c r="AA89" s="190"/>
      <c r="AB89" s="31">
        <v>42360</v>
      </c>
      <c r="AC89" s="36">
        <v>3570</v>
      </c>
      <c r="AD89" s="8"/>
      <c r="AE89" s="6"/>
      <c r="AF89" s="52">
        <f t="shared" si="5"/>
        <v>151046700</v>
      </c>
      <c r="AG89" s="25">
        <f t="shared" si="6"/>
        <v>164347975</v>
      </c>
      <c r="AH89" s="52">
        <f t="shared" si="9"/>
        <v>151225200</v>
      </c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44">
      <c r="A90" s="6"/>
      <c r="B90" s="6"/>
      <c r="C90" s="6"/>
      <c r="D90" s="6"/>
      <c r="E90" s="6"/>
      <c r="F90" s="6"/>
      <c r="G90" s="11"/>
      <c r="H90" s="6"/>
      <c r="I90" s="6"/>
      <c r="J90" s="6"/>
      <c r="K90" s="7"/>
      <c r="L90" s="21" t="str">
        <f>микс!$H$11</f>
        <v>продажа под заказ</v>
      </c>
      <c r="M90" s="22"/>
      <c r="N90" s="22"/>
      <c r="O90" s="22" t="s">
        <v>134</v>
      </c>
      <c r="P90" s="23" t="str">
        <f>микс!$H$49</f>
        <v>Товары для детей</v>
      </c>
      <c r="Q90" s="21" t="s">
        <v>61</v>
      </c>
      <c r="R90" s="25">
        <v>1</v>
      </c>
      <c r="S90" s="28"/>
      <c r="T90" s="31">
        <v>42321</v>
      </c>
      <c r="U90" s="33">
        <v>3570</v>
      </c>
      <c r="V90" s="36">
        <f t="shared" si="7"/>
        <v>3570</v>
      </c>
      <c r="W90" s="28"/>
      <c r="X90" s="31">
        <v>42332</v>
      </c>
      <c r="Y90" s="33">
        <v>3883</v>
      </c>
      <c r="Z90" s="189">
        <f t="shared" si="8"/>
        <v>3883</v>
      </c>
      <c r="AA90" s="190"/>
      <c r="AB90" s="31">
        <v>42341</v>
      </c>
      <c r="AC90" s="36">
        <v>3570</v>
      </c>
      <c r="AD90" s="8"/>
      <c r="AE90" s="6"/>
      <c r="AF90" s="52">
        <f t="shared" si="5"/>
        <v>151085970</v>
      </c>
      <c r="AG90" s="25">
        <f t="shared" si="6"/>
        <v>164375156</v>
      </c>
      <c r="AH90" s="52">
        <f t="shared" si="9"/>
        <v>151157370</v>
      </c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44">
      <c r="A91" s="6"/>
      <c r="B91" s="6"/>
      <c r="C91" s="6"/>
      <c r="D91" s="6"/>
      <c r="E91" s="6"/>
      <c r="F91" s="6"/>
      <c r="G91" s="11"/>
      <c r="H91" s="6"/>
      <c r="I91" s="6"/>
      <c r="J91" s="6"/>
      <c r="K91" s="7"/>
      <c r="L91" s="21" t="str">
        <f>микс!$H$11</f>
        <v>продажа под заказ</v>
      </c>
      <c r="M91" s="22"/>
      <c r="N91" s="22"/>
      <c r="O91" s="22" t="s">
        <v>134</v>
      </c>
      <c r="P91" s="23" t="str">
        <f>микс!$H$49</f>
        <v>Товары для детей</v>
      </c>
      <c r="Q91" s="21" t="s">
        <v>61</v>
      </c>
      <c r="R91" s="25">
        <v>1</v>
      </c>
      <c r="S91" s="28"/>
      <c r="T91" s="31">
        <v>42322</v>
      </c>
      <c r="U91" s="33">
        <v>3477.6</v>
      </c>
      <c r="V91" s="36">
        <f t="shared" si="7"/>
        <v>3477.6</v>
      </c>
      <c r="W91" s="28"/>
      <c r="X91" s="31">
        <v>42327</v>
      </c>
      <c r="Y91" s="33">
        <v>3770</v>
      </c>
      <c r="Z91" s="189">
        <f t="shared" si="8"/>
        <v>3770</v>
      </c>
      <c r="AA91" s="190"/>
      <c r="AB91" s="31">
        <v>42352</v>
      </c>
      <c r="AC91" s="36">
        <v>3477.6</v>
      </c>
      <c r="AD91" s="8"/>
      <c r="AE91" s="6"/>
      <c r="AF91" s="52">
        <f t="shared" si="5"/>
        <v>147178987.19999999</v>
      </c>
      <c r="AG91" s="25">
        <f t="shared" si="6"/>
        <v>159572790</v>
      </c>
      <c r="AH91" s="52">
        <f t="shared" si="9"/>
        <v>147283315.19999999</v>
      </c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44">
      <c r="A92" s="6"/>
      <c r="B92" s="6"/>
      <c r="C92" s="6"/>
      <c r="D92" s="6"/>
      <c r="E92" s="6"/>
      <c r="F92" s="6"/>
      <c r="G92" s="11"/>
      <c r="H92" s="6"/>
      <c r="I92" s="6"/>
      <c r="J92" s="6"/>
      <c r="K92" s="7"/>
      <c r="L92" s="21" t="str">
        <f>микс!$H$11</f>
        <v>продажа под заказ</v>
      </c>
      <c r="M92" s="22"/>
      <c r="N92" s="22"/>
      <c r="O92" s="22" t="s">
        <v>145</v>
      </c>
      <c r="P92" s="23" t="str">
        <f>микс!$H$46</f>
        <v>Электроника и бытовая техника</v>
      </c>
      <c r="Q92" s="21" t="s">
        <v>58</v>
      </c>
      <c r="R92" s="25">
        <v>3</v>
      </c>
      <c r="S92" s="28"/>
      <c r="T92" s="31">
        <v>42336</v>
      </c>
      <c r="U92" s="33">
        <v>2394</v>
      </c>
      <c r="V92" s="36">
        <f t="shared" si="7"/>
        <v>7182</v>
      </c>
      <c r="W92" s="28"/>
      <c r="X92" s="31">
        <v>42342</v>
      </c>
      <c r="Y92" s="33">
        <v>2535</v>
      </c>
      <c r="Z92" s="189">
        <f t="shared" si="8"/>
        <v>7605</v>
      </c>
      <c r="AA92" s="190"/>
      <c r="AB92" s="31">
        <v>42361</v>
      </c>
      <c r="AC92" s="36">
        <v>7182</v>
      </c>
      <c r="AD92" s="8"/>
      <c r="AE92" s="6"/>
      <c r="AF92" s="52">
        <f t="shared" si="5"/>
        <v>304057152</v>
      </c>
      <c r="AG92" s="25">
        <f t="shared" si="6"/>
        <v>322010910</v>
      </c>
      <c r="AH92" s="52">
        <f t="shared" si="9"/>
        <v>304236702</v>
      </c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44">
      <c r="A93" s="6"/>
      <c r="B93" s="6"/>
      <c r="C93" s="6"/>
      <c r="D93" s="6"/>
      <c r="E93" s="6"/>
      <c r="F93" s="6"/>
      <c r="G93" s="11"/>
      <c r="H93" s="6"/>
      <c r="I93" s="6"/>
      <c r="J93" s="6"/>
      <c r="K93" s="7"/>
      <c r="L93" s="21" t="str">
        <f>микс!$H$10</f>
        <v>продажа со склада</v>
      </c>
      <c r="M93" s="22"/>
      <c r="N93" s="22"/>
      <c r="O93" s="22" t="s">
        <v>137</v>
      </c>
      <c r="P93" s="23" t="str">
        <f>микс!$H$46</f>
        <v>Электроника и бытовая техника</v>
      </c>
      <c r="Q93" s="21" t="s">
        <v>62</v>
      </c>
      <c r="R93" s="25">
        <v>1</v>
      </c>
      <c r="S93" s="28"/>
      <c r="T93" s="31">
        <v>42122</v>
      </c>
      <c r="U93" s="33">
        <v>7987.51</v>
      </c>
      <c r="V93" s="36">
        <f t="shared" si="7"/>
        <v>7987.51</v>
      </c>
      <c r="W93" s="28"/>
      <c r="X93" s="31">
        <v>42325</v>
      </c>
      <c r="Y93" s="33">
        <v>8299</v>
      </c>
      <c r="Z93" s="189">
        <f t="shared" si="8"/>
        <v>8299</v>
      </c>
      <c r="AA93" s="190"/>
      <c r="AB93" s="31"/>
      <c r="AC93" s="36"/>
      <c r="AD93" s="8"/>
      <c r="AE93" s="6"/>
      <c r="AF93" s="52">
        <f t="shared" si="5"/>
        <v>336449896.22000003</v>
      </c>
      <c r="AG93" s="25">
        <f t="shared" si="6"/>
        <v>351255175</v>
      </c>
      <c r="AH93" s="52">
        <f t="shared" si="9"/>
        <v>0</v>
      </c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44">
      <c r="A94" s="6"/>
      <c r="B94" s="6"/>
      <c r="C94" s="6"/>
      <c r="D94" s="6"/>
      <c r="E94" s="6"/>
      <c r="F94" s="6"/>
      <c r="G94" s="11"/>
      <c r="H94" s="6"/>
      <c r="I94" s="6"/>
      <c r="J94" s="6"/>
      <c r="K94" s="7"/>
      <c r="L94" s="21" t="str">
        <f>микс!$H$10</f>
        <v>продажа со склада</v>
      </c>
      <c r="M94" s="22"/>
      <c r="N94" s="22"/>
      <c r="O94" s="22" t="s">
        <v>134</v>
      </c>
      <c r="P94" s="23" t="str">
        <f>микс!$H$49</f>
        <v>Товары для детей</v>
      </c>
      <c r="Q94" s="21" t="s">
        <v>63</v>
      </c>
      <c r="R94" s="25">
        <v>1</v>
      </c>
      <c r="S94" s="28"/>
      <c r="T94" s="31">
        <v>42129</v>
      </c>
      <c r="U94" s="33">
        <v>1940.23</v>
      </c>
      <c r="V94" s="36">
        <f t="shared" si="7"/>
        <v>1940.23</v>
      </c>
      <c r="W94" s="28"/>
      <c r="X94" s="31">
        <v>42332</v>
      </c>
      <c r="Y94" s="33">
        <v>2238</v>
      </c>
      <c r="Z94" s="189">
        <f t="shared" si="8"/>
        <v>2238</v>
      </c>
      <c r="AA94" s="190"/>
      <c r="AB94" s="31"/>
      <c r="AC94" s="36"/>
      <c r="AD94" s="8"/>
      <c r="AE94" s="6"/>
      <c r="AF94" s="52">
        <f t="shared" si="5"/>
        <v>81739949.670000002</v>
      </c>
      <c r="AG94" s="25">
        <f t="shared" si="6"/>
        <v>94739016</v>
      </c>
      <c r="AH94" s="52">
        <f t="shared" si="9"/>
        <v>0</v>
      </c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44">
      <c r="A95" s="6"/>
      <c r="B95" s="6"/>
      <c r="C95" s="6"/>
      <c r="D95" s="6"/>
      <c r="E95" s="6"/>
      <c r="F95" s="6"/>
      <c r="G95" s="11"/>
      <c r="H95" s="6"/>
      <c r="I95" s="6"/>
      <c r="J95" s="6"/>
      <c r="K95" s="7"/>
      <c r="L95" s="21" t="str">
        <f>микс!$H$11</f>
        <v>продажа под заказ</v>
      </c>
      <c r="M95" s="22"/>
      <c r="N95" s="22"/>
      <c r="O95" s="22" t="s">
        <v>134</v>
      </c>
      <c r="P95" s="23" t="str">
        <f>микс!$H$49</f>
        <v>Товары для детей</v>
      </c>
      <c r="Q95" s="21" t="s">
        <v>63</v>
      </c>
      <c r="R95" s="25">
        <v>1</v>
      </c>
      <c r="S95" s="28"/>
      <c r="T95" s="31">
        <v>42333</v>
      </c>
      <c r="U95" s="33">
        <v>1930</v>
      </c>
      <c r="V95" s="36">
        <f t="shared" si="7"/>
        <v>1930</v>
      </c>
      <c r="W95" s="28"/>
      <c r="X95" s="31">
        <v>42337</v>
      </c>
      <c r="Y95" s="33">
        <v>2240</v>
      </c>
      <c r="Z95" s="189">
        <f t="shared" si="8"/>
        <v>2240</v>
      </c>
      <c r="AA95" s="190"/>
      <c r="AB95" s="31"/>
      <c r="AC95" s="36"/>
      <c r="AD95" s="8"/>
      <c r="AE95" s="6"/>
      <c r="AF95" s="52">
        <f t="shared" si="5"/>
        <v>81702690</v>
      </c>
      <c r="AG95" s="25">
        <f t="shared" si="6"/>
        <v>94834880</v>
      </c>
      <c r="AH95" s="52">
        <f t="shared" si="9"/>
        <v>0</v>
      </c>
      <c r="AI95" s="6"/>
      <c r="AJ95" s="6"/>
      <c r="AK95" s="6"/>
      <c r="AL95" s="6"/>
      <c r="AM95" s="6"/>
      <c r="AN95" s="6"/>
      <c r="AO95" s="6"/>
      <c r="AP95" s="6"/>
      <c r="AQ95" s="6"/>
      <c r="AR95" s="6"/>
    </row>
    <row r="96" spans="1:44">
      <c r="A96" s="6"/>
      <c r="B96" s="6"/>
      <c r="C96" s="6"/>
      <c r="D96" s="6"/>
      <c r="E96" s="6"/>
      <c r="F96" s="6"/>
      <c r="G96" s="11"/>
      <c r="H96" s="6"/>
      <c r="I96" s="6"/>
      <c r="J96" s="6"/>
      <c r="K96" s="7"/>
      <c r="L96" s="21" t="str">
        <f>микс!$H$10</f>
        <v>продажа со склада</v>
      </c>
      <c r="M96" s="22"/>
      <c r="N96" s="22"/>
      <c r="O96" s="22" t="s">
        <v>134</v>
      </c>
      <c r="P96" s="23" t="str">
        <f>микс!$H$49</f>
        <v>Товары для детей</v>
      </c>
      <c r="Q96" s="21" t="s">
        <v>63</v>
      </c>
      <c r="R96" s="25">
        <v>1</v>
      </c>
      <c r="S96" s="28"/>
      <c r="T96" s="31">
        <v>42095</v>
      </c>
      <c r="U96" s="33">
        <v>1970</v>
      </c>
      <c r="V96" s="36">
        <f t="shared" si="7"/>
        <v>1970</v>
      </c>
      <c r="W96" s="28"/>
      <c r="X96" s="31">
        <v>42296</v>
      </c>
      <c r="Y96" s="33">
        <v>2249</v>
      </c>
      <c r="Z96" s="189">
        <f t="shared" si="8"/>
        <v>2249</v>
      </c>
      <c r="AA96" s="190"/>
      <c r="AB96" s="31"/>
      <c r="AC96" s="36"/>
      <c r="AD96" s="8"/>
      <c r="AE96" s="6"/>
      <c r="AF96" s="52">
        <f t="shared" si="5"/>
        <v>82927150</v>
      </c>
      <c r="AG96" s="25">
        <f t="shared" si="6"/>
        <v>95123704</v>
      </c>
      <c r="AH96" s="52">
        <f t="shared" si="9"/>
        <v>0</v>
      </c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44">
      <c r="A97" s="6"/>
      <c r="B97" s="6"/>
      <c r="C97" s="6"/>
      <c r="D97" s="6"/>
      <c r="E97" s="6"/>
      <c r="F97" s="6"/>
      <c r="G97" s="11"/>
      <c r="H97" s="6"/>
      <c r="I97" s="6"/>
      <c r="J97" s="6"/>
      <c r="K97" s="7"/>
      <c r="L97" s="21" t="str">
        <f>микс!$H$10</f>
        <v>продажа со склада</v>
      </c>
      <c r="M97" s="22"/>
      <c r="N97" s="22"/>
      <c r="O97" s="22" t="s">
        <v>134</v>
      </c>
      <c r="P97" s="23" t="str">
        <f>микс!$H$49</f>
        <v>Товары для детей</v>
      </c>
      <c r="Q97" s="21" t="s">
        <v>63</v>
      </c>
      <c r="R97" s="25">
        <v>1</v>
      </c>
      <c r="S97" s="28"/>
      <c r="T97" s="31">
        <v>42098</v>
      </c>
      <c r="U97" s="33">
        <v>1950.15</v>
      </c>
      <c r="V97" s="36">
        <f t="shared" si="7"/>
        <v>1950.15</v>
      </c>
      <c r="W97" s="28"/>
      <c r="X97" s="31">
        <v>42300</v>
      </c>
      <c r="Y97" s="33">
        <v>2249</v>
      </c>
      <c r="Z97" s="189">
        <f t="shared" si="8"/>
        <v>2249</v>
      </c>
      <c r="AA97" s="190"/>
      <c r="AB97" s="31"/>
      <c r="AC97" s="36"/>
      <c r="AD97" s="8"/>
      <c r="AE97" s="6"/>
      <c r="AF97" s="52">
        <f t="shared" si="5"/>
        <v>82097414.700000003</v>
      </c>
      <c r="AG97" s="25">
        <f t="shared" si="6"/>
        <v>95132700</v>
      </c>
      <c r="AH97" s="52">
        <f t="shared" si="9"/>
        <v>0</v>
      </c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44">
      <c r="A98" s="6"/>
      <c r="B98" s="6"/>
      <c r="C98" s="6"/>
      <c r="D98" s="6"/>
      <c r="E98" s="6"/>
      <c r="F98" s="6"/>
      <c r="G98" s="11"/>
      <c r="H98" s="6"/>
      <c r="I98" s="6"/>
      <c r="J98" s="6"/>
      <c r="K98" s="7"/>
      <c r="L98" s="21" t="str">
        <f>микс!$H$11</f>
        <v>продажа под заказ</v>
      </c>
      <c r="M98" s="22"/>
      <c r="N98" s="22"/>
      <c r="O98" s="22" t="s">
        <v>134</v>
      </c>
      <c r="P98" s="23" t="str">
        <f>микс!$H$49</f>
        <v>Товары для детей</v>
      </c>
      <c r="Q98" s="21" t="s">
        <v>63</v>
      </c>
      <c r="R98" s="25">
        <v>1</v>
      </c>
      <c r="S98" s="28"/>
      <c r="T98" s="31">
        <v>42307</v>
      </c>
      <c r="U98" s="33">
        <v>1940.23</v>
      </c>
      <c r="V98" s="36">
        <f t="shared" si="7"/>
        <v>1940.23</v>
      </c>
      <c r="W98" s="28"/>
      <c r="X98" s="31">
        <v>42309</v>
      </c>
      <c r="Y98" s="33">
        <v>2650</v>
      </c>
      <c r="Z98" s="189">
        <f t="shared" si="8"/>
        <v>2650</v>
      </c>
      <c r="AA98" s="190"/>
      <c r="AB98" s="31">
        <v>42345</v>
      </c>
      <c r="AC98" s="36">
        <v>1940.23</v>
      </c>
      <c r="AD98" s="8"/>
      <c r="AE98" s="6"/>
      <c r="AF98" s="52">
        <f t="shared" si="5"/>
        <v>82085310.609999999</v>
      </c>
      <c r="AG98" s="25">
        <f t="shared" si="6"/>
        <v>112118850</v>
      </c>
      <c r="AH98" s="52">
        <f t="shared" si="9"/>
        <v>82159039.349999994</v>
      </c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1:44">
      <c r="A99" s="6"/>
      <c r="B99" s="6"/>
      <c r="C99" s="6"/>
      <c r="D99" s="6"/>
      <c r="E99" s="6"/>
      <c r="F99" s="6"/>
      <c r="G99" s="11"/>
      <c r="H99" s="6"/>
      <c r="I99" s="6"/>
      <c r="J99" s="6"/>
      <c r="K99" s="7"/>
      <c r="L99" s="21" t="str">
        <f>микс!$H$11</f>
        <v>продажа под заказ</v>
      </c>
      <c r="M99" s="22"/>
      <c r="N99" s="22"/>
      <c r="O99" s="22" t="s">
        <v>134</v>
      </c>
      <c r="P99" s="23" t="str">
        <f>микс!$H$49</f>
        <v>Товары для детей</v>
      </c>
      <c r="Q99" s="21" t="s">
        <v>63</v>
      </c>
      <c r="R99" s="25">
        <v>1</v>
      </c>
      <c r="S99" s="28"/>
      <c r="T99" s="31">
        <v>42309</v>
      </c>
      <c r="U99" s="33">
        <v>1930</v>
      </c>
      <c r="V99" s="36">
        <f t="shared" si="7"/>
        <v>1930</v>
      </c>
      <c r="W99" s="28"/>
      <c r="X99" s="31">
        <v>42315</v>
      </c>
      <c r="Y99" s="33">
        <v>2148</v>
      </c>
      <c r="Z99" s="189">
        <f t="shared" si="8"/>
        <v>2148</v>
      </c>
      <c r="AA99" s="190"/>
      <c r="AB99" s="31">
        <v>42321</v>
      </c>
      <c r="AC99" s="36">
        <v>1930</v>
      </c>
      <c r="AD99" s="8"/>
      <c r="AE99" s="6"/>
      <c r="AF99" s="52">
        <f t="shared" si="5"/>
        <v>81656370</v>
      </c>
      <c r="AG99" s="25">
        <f t="shared" si="6"/>
        <v>90892620</v>
      </c>
      <c r="AH99" s="52">
        <f t="shared" si="9"/>
        <v>81679530</v>
      </c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1:44">
      <c r="A100" s="6"/>
      <c r="B100" s="6"/>
      <c r="C100" s="6"/>
      <c r="D100" s="6"/>
      <c r="E100" s="6"/>
      <c r="F100" s="6"/>
      <c r="G100" s="11"/>
      <c r="H100" s="6"/>
      <c r="I100" s="6"/>
      <c r="J100" s="6"/>
      <c r="K100" s="7"/>
      <c r="L100" s="21" t="str">
        <f>микс!$H$11</f>
        <v>продажа под заказ</v>
      </c>
      <c r="M100" s="22"/>
      <c r="N100" s="22"/>
      <c r="O100" s="22" t="s">
        <v>134</v>
      </c>
      <c r="P100" s="23" t="str">
        <f>микс!$H$49</f>
        <v>Товары для детей</v>
      </c>
      <c r="Q100" s="21" t="s">
        <v>63</v>
      </c>
      <c r="R100" s="25">
        <v>1</v>
      </c>
      <c r="S100" s="28"/>
      <c r="T100" s="31">
        <v>42301</v>
      </c>
      <c r="U100" s="33">
        <v>1930.3</v>
      </c>
      <c r="V100" s="36">
        <f t="shared" si="7"/>
        <v>1930.3</v>
      </c>
      <c r="W100" s="28"/>
      <c r="X100" s="31">
        <v>42306</v>
      </c>
      <c r="Y100" s="33">
        <v>2240</v>
      </c>
      <c r="Z100" s="189">
        <f t="shared" si="8"/>
        <v>2240</v>
      </c>
      <c r="AA100" s="190"/>
      <c r="AB100" s="31">
        <v>42311</v>
      </c>
      <c r="AC100" s="36">
        <v>1930.3</v>
      </c>
      <c r="AD100" s="8"/>
      <c r="AE100" s="6"/>
      <c r="AF100" s="52">
        <f t="shared" si="5"/>
        <v>81653620.299999997</v>
      </c>
      <c r="AG100" s="25">
        <f t="shared" si="6"/>
        <v>94765440</v>
      </c>
      <c r="AH100" s="52">
        <f t="shared" si="9"/>
        <v>81672923.299999997</v>
      </c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1:44">
      <c r="A101" s="6"/>
      <c r="B101" s="6"/>
      <c r="C101" s="6"/>
      <c r="D101" s="6"/>
      <c r="E101" s="6"/>
      <c r="F101" s="6"/>
      <c r="G101" s="11"/>
      <c r="H101" s="6"/>
      <c r="I101" s="6"/>
      <c r="J101" s="6"/>
      <c r="K101" s="7"/>
      <c r="L101" s="21" t="str">
        <f>микс!$H$11</f>
        <v>продажа под заказ</v>
      </c>
      <c r="M101" s="22"/>
      <c r="N101" s="22"/>
      <c r="O101" s="22" t="s">
        <v>134</v>
      </c>
      <c r="P101" s="23" t="str">
        <f>микс!$H$49</f>
        <v>Товары для детей</v>
      </c>
      <c r="Q101" s="21" t="s">
        <v>63</v>
      </c>
      <c r="R101" s="25">
        <v>1</v>
      </c>
      <c r="S101" s="28"/>
      <c r="T101" s="31">
        <v>42335</v>
      </c>
      <c r="U101" s="33">
        <v>1930</v>
      </c>
      <c r="V101" s="36">
        <f t="shared" si="7"/>
        <v>1930</v>
      </c>
      <c r="W101" s="28"/>
      <c r="X101" s="31">
        <v>42344</v>
      </c>
      <c r="Y101" s="33">
        <v>2181</v>
      </c>
      <c r="Z101" s="189">
        <f t="shared" si="8"/>
        <v>2181</v>
      </c>
      <c r="AA101" s="190"/>
      <c r="AB101" s="31"/>
      <c r="AC101" s="36"/>
      <c r="AD101" s="8"/>
      <c r="AE101" s="6"/>
      <c r="AF101" s="52">
        <f t="shared" si="5"/>
        <v>81706550</v>
      </c>
      <c r="AG101" s="25">
        <f t="shared" si="6"/>
        <v>92352264</v>
      </c>
      <c r="AH101" s="52">
        <f t="shared" si="9"/>
        <v>0</v>
      </c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1:44">
      <c r="A102" s="6"/>
      <c r="B102" s="6"/>
      <c r="C102" s="6"/>
      <c r="D102" s="6"/>
      <c r="E102" s="6"/>
      <c r="F102" s="6"/>
      <c r="G102" s="11"/>
      <c r="H102" s="6"/>
      <c r="I102" s="6"/>
      <c r="J102" s="6"/>
      <c r="K102" s="7"/>
      <c r="L102" s="21" t="str">
        <f>микс!$H$11</f>
        <v>продажа под заказ</v>
      </c>
      <c r="M102" s="22"/>
      <c r="N102" s="22"/>
      <c r="O102" s="22" t="s">
        <v>148</v>
      </c>
      <c r="P102" s="23" t="str">
        <f>микс!$H$49</f>
        <v>Товары для детей</v>
      </c>
      <c r="Q102" s="21" t="s">
        <v>60</v>
      </c>
      <c r="R102" s="25">
        <v>1</v>
      </c>
      <c r="S102" s="28"/>
      <c r="T102" s="31">
        <v>42337</v>
      </c>
      <c r="U102" s="33">
        <v>4494</v>
      </c>
      <c r="V102" s="36">
        <f t="shared" si="7"/>
        <v>4494</v>
      </c>
      <c r="W102" s="28"/>
      <c r="X102" s="31">
        <v>42344</v>
      </c>
      <c r="Y102" s="33">
        <v>4626</v>
      </c>
      <c r="Z102" s="189">
        <f t="shared" si="8"/>
        <v>4626</v>
      </c>
      <c r="AA102" s="190"/>
      <c r="AB102" s="31">
        <v>42367</v>
      </c>
      <c r="AC102" s="36">
        <v>4494</v>
      </c>
      <c r="AD102" s="8"/>
      <c r="AE102" s="6"/>
      <c r="AF102" s="52">
        <f t="shared" si="5"/>
        <v>190262478</v>
      </c>
      <c r="AG102" s="25">
        <f t="shared" si="6"/>
        <v>195883344</v>
      </c>
      <c r="AH102" s="52">
        <f t="shared" si="9"/>
        <v>190397298</v>
      </c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1:44">
      <c r="A103" s="6"/>
      <c r="B103" s="6"/>
      <c r="C103" s="6"/>
      <c r="D103" s="6"/>
      <c r="E103" s="6"/>
      <c r="F103" s="6"/>
      <c r="G103" s="11"/>
      <c r="H103" s="6"/>
      <c r="I103" s="6"/>
      <c r="J103" s="6"/>
      <c r="K103" s="7"/>
      <c r="L103" s="21" t="str">
        <f>микс!$H$11</f>
        <v>продажа под заказ</v>
      </c>
      <c r="M103" s="22"/>
      <c r="N103" s="22"/>
      <c r="O103" s="22" t="s">
        <v>148</v>
      </c>
      <c r="P103" s="23" t="str">
        <f>микс!$H$49</f>
        <v>Товары для детей</v>
      </c>
      <c r="Q103" s="21" t="s">
        <v>60</v>
      </c>
      <c r="R103" s="25">
        <v>1</v>
      </c>
      <c r="S103" s="28"/>
      <c r="T103" s="31">
        <v>42336</v>
      </c>
      <c r="U103" s="33">
        <v>4494</v>
      </c>
      <c r="V103" s="36">
        <f t="shared" si="7"/>
        <v>4494</v>
      </c>
      <c r="W103" s="28"/>
      <c r="X103" s="31">
        <v>42341</v>
      </c>
      <c r="Y103" s="33">
        <v>4626</v>
      </c>
      <c r="Z103" s="189">
        <f t="shared" si="8"/>
        <v>4626</v>
      </c>
      <c r="AA103" s="190"/>
      <c r="AB103" s="31">
        <v>42366</v>
      </c>
      <c r="AC103" s="36">
        <v>4494</v>
      </c>
      <c r="AD103" s="8"/>
      <c r="AE103" s="6"/>
      <c r="AF103" s="52">
        <f t="shared" si="5"/>
        <v>190257984</v>
      </c>
      <c r="AG103" s="25">
        <f t="shared" si="6"/>
        <v>195869466</v>
      </c>
      <c r="AH103" s="52">
        <f t="shared" si="9"/>
        <v>190392804</v>
      </c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44">
      <c r="A104" s="6"/>
      <c r="B104" s="6"/>
      <c r="C104" s="6"/>
      <c r="D104" s="6"/>
      <c r="E104" s="6"/>
      <c r="F104" s="6"/>
      <c r="G104" s="11"/>
      <c r="H104" s="6"/>
      <c r="I104" s="6"/>
      <c r="J104" s="6"/>
      <c r="K104" s="7"/>
      <c r="L104" s="21" t="str">
        <f>микс!$H$11</f>
        <v>продажа под заказ</v>
      </c>
      <c r="M104" s="22"/>
      <c r="N104" s="22"/>
      <c r="O104" s="22" t="s">
        <v>148</v>
      </c>
      <c r="P104" s="23" t="str">
        <f>микс!$H$49</f>
        <v>Товары для детей</v>
      </c>
      <c r="Q104" s="21" t="s">
        <v>60</v>
      </c>
      <c r="R104" s="25">
        <v>1</v>
      </c>
      <c r="S104" s="28"/>
      <c r="T104" s="31">
        <v>42297</v>
      </c>
      <c r="U104" s="33">
        <v>4493.5</v>
      </c>
      <c r="V104" s="36">
        <f t="shared" si="7"/>
        <v>4493.5</v>
      </c>
      <c r="W104" s="28"/>
      <c r="X104" s="31">
        <v>42300</v>
      </c>
      <c r="Y104" s="33">
        <v>4832</v>
      </c>
      <c r="Z104" s="189">
        <f t="shared" si="8"/>
        <v>4832</v>
      </c>
      <c r="AA104" s="190"/>
      <c r="AB104" s="31">
        <v>42342</v>
      </c>
      <c r="AC104" s="36">
        <v>4493.5</v>
      </c>
      <c r="AD104" s="8"/>
      <c r="AE104" s="6"/>
      <c r="AF104" s="52">
        <f t="shared" si="5"/>
        <v>190061569.5</v>
      </c>
      <c r="AG104" s="25">
        <f t="shared" si="6"/>
        <v>204393600</v>
      </c>
      <c r="AH104" s="52">
        <f t="shared" si="9"/>
        <v>190263777</v>
      </c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44">
      <c r="A105" s="6"/>
      <c r="B105" s="6"/>
      <c r="C105" s="6"/>
      <c r="D105" s="6"/>
      <c r="E105" s="6"/>
      <c r="F105" s="6"/>
      <c r="G105" s="11"/>
      <c r="H105" s="6"/>
      <c r="I105" s="6"/>
      <c r="J105" s="6"/>
      <c r="K105" s="7"/>
      <c r="L105" s="21" t="str">
        <f>микс!$H$11</f>
        <v>продажа под заказ</v>
      </c>
      <c r="M105" s="22"/>
      <c r="N105" s="22"/>
      <c r="O105" s="22" t="s">
        <v>148</v>
      </c>
      <c r="P105" s="23" t="str">
        <f>микс!$H$49</f>
        <v>Товары для детей</v>
      </c>
      <c r="Q105" s="21" t="s">
        <v>60</v>
      </c>
      <c r="R105" s="25">
        <v>1</v>
      </c>
      <c r="S105" s="28"/>
      <c r="T105" s="31">
        <v>42300</v>
      </c>
      <c r="U105" s="33">
        <v>3644.61</v>
      </c>
      <c r="V105" s="36">
        <f t="shared" si="7"/>
        <v>3644.61</v>
      </c>
      <c r="W105" s="28"/>
      <c r="X105" s="31">
        <v>42305</v>
      </c>
      <c r="Y105" s="33">
        <v>5190</v>
      </c>
      <c r="Z105" s="189">
        <f t="shared" si="8"/>
        <v>5190</v>
      </c>
      <c r="AA105" s="190"/>
      <c r="AB105" s="31">
        <v>42360</v>
      </c>
      <c r="AC105" s="36">
        <v>3644.61</v>
      </c>
      <c r="AD105" s="8"/>
      <c r="AE105" s="6"/>
      <c r="AF105" s="52">
        <f t="shared" si="5"/>
        <v>154167003</v>
      </c>
      <c r="AG105" s="25">
        <f t="shared" si="6"/>
        <v>219562950</v>
      </c>
      <c r="AH105" s="52">
        <f t="shared" si="9"/>
        <v>154385679.59999999</v>
      </c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44">
      <c r="A106" s="6"/>
      <c r="B106" s="6"/>
      <c r="C106" s="6"/>
      <c r="D106" s="6"/>
      <c r="E106" s="6"/>
      <c r="F106" s="6"/>
      <c r="G106" s="11"/>
      <c r="H106" s="6"/>
      <c r="I106" s="6"/>
      <c r="J106" s="6"/>
      <c r="K106" s="7"/>
      <c r="L106" s="21" t="str">
        <f>микс!$H$10</f>
        <v>продажа со склада</v>
      </c>
      <c r="M106" s="22"/>
      <c r="N106" s="22"/>
      <c r="O106" s="22" t="s">
        <v>148</v>
      </c>
      <c r="P106" s="23" t="str">
        <f>микс!$H$49</f>
        <v>Товары для детей</v>
      </c>
      <c r="Q106" s="21" t="s">
        <v>60</v>
      </c>
      <c r="R106" s="25">
        <v>1</v>
      </c>
      <c r="S106" s="28"/>
      <c r="T106" s="31">
        <v>42098</v>
      </c>
      <c r="U106" s="33">
        <v>4494</v>
      </c>
      <c r="V106" s="36">
        <f t="shared" si="7"/>
        <v>4494</v>
      </c>
      <c r="W106" s="28"/>
      <c r="X106" s="31">
        <v>42305</v>
      </c>
      <c r="Y106" s="33">
        <v>4832</v>
      </c>
      <c r="Z106" s="189">
        <f t="shared" si="8"/>
        <v>4832</v>
      </c>
      <c r="AA106" s="190"/>
      <c r="AB106" s="31">
        <v>42148</v>
      </c>
      <c r="AC106" s="36">
        <v>4494</v>
      </c>
      <c r="AD106" s="8"/>
      <c r="AE106" s="6"/>
      <c r="AF106" s="52">
        <f t="shared" si="5"/>
        <v>189188412</v>
      </c>
      <c r="AG106" s="25">
        <f t="shared" si="6"/>
        <v>204417760</v>
      </c>
      <c r="AH106" s="52">
        <f t="shared" si="9"/>
        <v>189413112</v>
      </c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44">
      <c r="A107" s="6"/>
      <c r="B107" s="6"/>
      <c r="C107" s="6"/>
      <c r="D107" s="6"/>
      <c r="E107" s="6"/>
      <c r="F107" s="6"/>
      <c r="G107" s="11"/>
      <c r="H107" s="6"/>
      <c r="I107" s="6"/>
      <c r="J107" s="6"/>
      <c r="K107" s="7"/>
      <c r="L107" s="21" t="str">
        <f>микс!$H$10</f>
        <v>продажа со склада</v>
      </c>
      <c r="M107" s="22"/>
      <c r="N107" s="22"/>
      <c r="O107" s="22" t="s">
        <v>148</v>
      </c>
      <c r="P107" s="23" t="str">
        <f>микс!$H$49</f>
        <v>Товары для детей</v>
      </c>
      <c r="Q107" s="21" t="s">
        <v>60</v>
      </c>
      <c r="R107" s="25">
        <v>1</v>
      </c>
      <c r="S107" s="28"/>
      <c r="T107" s="31">
        <v>42131</v>
      </c>
      <c r="U107" s="33">
        <v>4493.5</v>
      </c>
      <c r="V107" s="36">
        <f t="shared" si="7"/>
        <v>4493.5</v>
      </c>
      <c r="W107" s="28"/>
      <c r="X107" s="31">
        <v>42333</v>
      </c>
      <c r="Y107" s="33">
        <v>4760</v>
      </c>
      <c r="Z107" s="189">
        <f t="shared" si="8"/>
        <v>4760</v>
      </c>
      <c r="AA107" s="190"/>
      <c r="AB107" s="31"/>
      <c r="AC107" s="36"/>
      <c r="AD107" s="8"/>
      <c r="AE107" s="6"/>
      <c r="AF107" s="52">
        <f t="shared" si="5"/>
        <v>189315648.5</v>
      </c>
      <c r="AG107" s="25">
        <f t="shared" si="6"/>
        <v>201505080</v>
      </c>
      <c r="AH107" s="52">
        <f t="shared" si="9"/>
        <v>0</v>
      </c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44">
      <c r="A108" s="6"/>
      <c r="B108" s="6"/>
      <c r="C108" s="6"/>
      <c r="D108" s="6"/>
      <c r="E108" s="6"/>
      <c r="F108" s="6"/>
      <c r="G108" s="11"/>
      <c r="H108" s="6"/>
      <c r="I108" s="6"/>
      <c r="J108" s="6"/>
      <c r="K108" s="7"/>
      <c r="L108" s="21" t="str">
        <f>микс!$H$11</f>
        <v>продажа под заказ</v>
      </c>
      <c r="M108" s="22"/>
      <c r="N108" s="22"/>
      <c r="O108" s="22" t="s">
        <v>148</v>
      </c>
      <c r="P108" s="23" t="str">
        <f>микс!$H$49</f>
        <v>Товары для детей</v>
      </c>
      <c r="Q108" s="21" t="s">
        <v>60</v>
      </c>
      <c r="R108" s="25">
        <v>1</v>
      </c>
      <c r="S108" s="28"/>
      <c r="T108" s="31">
        <v>42320</v>
      </c>
      <c r="U108" s="33">
        <v>4494</v>
      </c>
      <c r="V108" s="36">
        <f t="shared" si="7"/>
        <v>4494</v>
      </c>
      <c r="W108" s="28"/>
      <c r="X108" s="31">
        <v>42322</v>
      </c>
      <c r="Y108" s="33">
        <v>4990</v>
      </c>
      <c r="Z108" s="189">
        <f t="shared" si="8"/>
        <v>4990</v>
      </c>
      <c r="AA108" s="190"/>
      <c r="AB108" s="31">
        <v>42350</v>
      </c>
      <c r="AC108" s="36">
        <v>4494</v>
      </c>
      <c r="AD108" s="8"/>
      <c r="AE108" s="6"/>
      <c r="AF108" s="52">
        <f t="shared" si="5"/>
        <v>190186080</v>
      </c>
      <c r="AG108" s="25">
        <f t="shared" si="6"/>
        <v>211186780</v>
      </c>
      <c r="AH108" s="52">
        <f t="shared" si="9"/>
        <v>190320900</v>
      </c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44">
      <c r="A109" s="6"/>
      <c r="B109" s="6"/>
      <c r="C109" s="6"/>
      <c r="D109" s="6"/>
      <c r="E109" s="6"/>
      <c r="F109" s="6"/>
      <c r="G109" s="11"/>
      <c r="H109" s="6"/>
      <c r="I109" s="6"/>
      <c r="J109" s="6"/>
      <c r="K109" s="7"/>
      <c r="L109" s="21" t="str">
        <f>микс!$H$10</f>
        <v>продажа со склада</v>
      </c>
      <c r="M109" s="22"/>
      <c r="N109" s="22"/>
      <c r="O109" s="22" t="s">
        <v>148</v>
      </c>
      <c r="P109" s="23" t="str">
        <f>микс!$H$49</f>
        <v>Товары для детей</v>
      </c>
      <c r="Q109" s="21" t="s">
        <v>60</v>
      </c>
      <c r="R109" s="25">
        <v>1</v>
      </c>
      <c r="S109" s="28"/>
      <c r="T109" s="31">
        <v>42297</v>
      </c>
      <c r="U109" s="33">
        <v>4493.5</v>
      </c>
      <c r="V109" s="36">
        <f t="shared" si="7"/>
        <v>4493.5</v>
      </c>
      <c r="W109" s="28"/>
      <c r="X109" s="31">
        <v>42319</v>
      </c>
      <c r="Y109" s="33">
        <v>5190</v>
      </c>
      <c r="Z109" s="189">
        <f t="shared" si="8"/>
        <v>5190</v>
      </c>
      <c r="AA109" s="190"/>
      <c r="AB109" s="31">
        <v>42317</v>
      </c>
      <c r="AC109" s="36">
        <v>4493.5</v>
      </c>
      <c r="AD109" s="8"/>
      <c r="AE109" s="6"/>
      <c r="AF109" s="52">
        <f t="shared" si="5"/>
        <v>190061569.5</v>
      </c>
      <c r="AG109" s="25">
        <f t="shared" si="6"/>
        <v>219635610</v>
      </c>
      <c r="AH109" s="52">
        <f t="shared" si="9"/>
        <v>190151439.5</v>
      </c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44">
      <c r="A110" s="6"/>
      <c r="B110" s="6"/>
      <c r="C110" s="6"/>
      <c r="D110" s="6"/>
      <c r="E110" s="6"/>
      <c r="F110" s="6"/>
      <c r="G110" s="11"/>
      <c r="H110" s="6"/>
      <c r="I110" s="6"/>
      <c r="J110" s="6"/>
      <c r="K110" s="7"/>
      <c r="L110" s="21" t="str">
        <f>микс!$H$11</f>
        <v>продажа под заказ</v>
      </c>
      <c r="M110" s="22"/>
      <c r="N110" s="22"/>
      <c r="O110" s="22" t="s">
        <v>148</v>
      </c>
      <c r="P110" s="23" t="str">
        <f>микс!$H$49</f>
        <v>Товары для детей</v>
      </c>
      <c r="Q110" s="21" t="s">
        <v>60</v>
      </c>
      <c r="R110" s="25">
        <v>1</v>
      </c>
      <c r="S110" s="28"/>
      <c r="T110" s="31">
        <v>42319</v>
      </c>
      <c r="U110" s="33">
        <v>4494</v>
      </c>
      <c r="V110" s="36">
        <f t="shared" si="7"/>
        <v>4494</v>
      </c>
      <c r="W110" s="28"/>
      <c r="X110" s="31">
        <v>42321</v>
      </c>
      <c r="Y110" s="33">
        <v>5190</v>
      </c>
      <c r="Z110" s="189">
        <f t="shared" si="8"/>
        <v>5190</v>
      </c>
      <c r="AA110" s="190"/>
      <c r="AB110" s="31">
        <v>42329</v>
      </c>
      <c r="AC110" s="36">
        <v>4494</v>
      </c>
      <c r="AD110" s="8"/>
      <c r="AE110" s="6"/>
      <c r="AF110" s="52">
        <f t="shared" si="5"/>
        <v>190181586</v>
      </c>
      <c r="AG110" s="25">
        <f t="shared" si="6"/>
        <v>219645990</v>
      </c>
      <c r="AH110" s="52">
        <f t="shared" si="9"/>
        <v>190226526</v>
      </c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44">
      <c r="A111" s="6"/>
      <c r="B111" s="6"/>
      <c r="C111" s="6"/>
      <c r="D111" s="6"/>
      <c r="E111" s="6"/>
      <c r="F111" s="6"/>
      <c r="G111" s="11"/>
      <c r="H111" s="6"/>
      <c r="I111" s="6"/>
      <c r="J111" s="6"/>
      <c r="K111" s="7"/>
      <c r="L111" s="21" t="str">
        <f>микс!$H$11</f>
        <v>продажа под заказ</v>
      </c>
      <c r="M111" s="22"/>
      <c r="N111" s="22"/>
      <c r="O111" s="22" t="s">
        <v>138</v>
      </c>
      <c r="P111" s="23" t="str">
        <f>микс!$H$49</f>
        <v>Товары для детей</v>
      </c>
      <c r="Q111" s="21" t="s">
        <v>60</v>
      </c>
      <c r="R111" s="25">
        <v>1</v>
      </c>
      <c r="S111" s="28"/>
      <c r="T111" s="31">
        <v>42324</v>
      </c>
      <c r="U111" s="33">
        <v>525</v>
      </c>
      <c r="V111" s="36">
        <f t="shared" si="7"/>
        <v>525</v>
      </c>
      <c r="W111" s="28"/>
      <c r="X111" s="31">
        <v>42327</v>
      </c>
      <c r="Y111" s="33">
        <v>625</v>
      </c>
      <c r="Z111" s="189">
        <f t="shared" si="8"/>
        <v>625</v>
      </c>
      <c r="AA111" s="190"/>
      <c r="AB111" s="31">
        <v>42334</v>
      </c>
      <c r="AC111" s="36">
        <v>525</v>
      </c>
      <c r="AD111" s="8"/>
      <c r="AE111" s="6"/>
      <c r="AF111" s="52">
        <f t="shared" si="5"/>
        <v>22220100</v>
      </c>
      <c r="AG111" s="25">
        <f t="shared" si="6"/>
        <v>26454375</v>
      </c>
      <c r="AH111" s="52">
        <f t="shared" si="9"/>
        <v>22225350</v>
      </c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44">
      <c r="A112" s="6"/>
      <c r="B112" s="6"/>
      <c r="C112" s="6"/>
      <c r="D112" s="6"/>
      <c r="E112" s="6"/>
      <c r="F112" s="6"/>
      <c r="G112" s="11"/>
      <c r="H112" s="6"/>
      <c r="I112" s="6"/>
      <c r="J112" s="6"/>
      <c r="K112" s="7"/>
      <c r="L112" s="21" t="str">
        <f>микс!$H$11</f>
        <v>продажа под заказ</v>
      </c>
      <c r="M112" s="22"/>
      <c r="N112" s="22"/>
      <c r="O112" s="22" t="s">
        <v>138</v>
      </c>
      <c r="P112" s="23" t="str">
        <f>микс!$H$49</f>
        <v>Товары для детей</v>
      </c>
      <c r="Q112" s="21" t="s">
        <v>60</v>
      </c>
      <c r="R112" s="25">
        <v>1</v>
      </c>
      <c r="S112" s="28"/>
      <c r="T112" s="31">
        <v>42322</v>
      </c>
      <c r="U112" s="33">
        <v>525</v>
      </c>
      <c r="V112" s="36">
        <f t="shared" si="7"/>
        <v>525</v>
      </c>
      <c r="W112" s="28"/>
      <c r="X112" s="31">
        <v>42333</v>
      </c>
      <c r="Y112" s="33">
        <v>750</v>
      </c>
      <c r="Z112" s="189">
        <f t="shared" si="8"/>
        <v>750</v>
      </c>
      <c r="AA112" s="190"/>
      <c r="AB112" s="31">
        <v>42352</v>
      </c>
      <c r="AC112" s="36">
        <v>525</v>
      </c>
      <c r="AD112" s="8"/>
      <c r="AE112" s="6"/>
      <c r="AF112" s="52">
        <f t="shared" si="5"/>
        <v>22219050</v>
      </c>
      <c r="AG112" s="25">
        <f t="shared" si="6"/>
        <v>31749750</v>
      </c>
      <c r="AH112" s="52">
        <f t="shared" si="9"/>
        <v>22234800</v>
      </c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1:44">
      <c r="A113" s="6"/>
      <c r="B113" s="6"/>
      <c r="C113" s="6"/>
      <c r="D113" s="6"/>
      <c r="E113" s="6"/>
      <c r="F113" s="6"/>
      <c r="G113" s="11"/>
      <c r="H113" s="6"/>
      <c r="I113" s="6"/>
      <c r="J113" s="6"/>
      <c r="K113" s="7"/>
      <c r="L113" s="21" t="str">
        <f>микс!$H$11</f>
        <v>продажа под заказ</v>
      </c>
      <c r="M113" s="22"/>
      <c r="N113" s="22"/>
      <c r="O113" s="22" t="s">
        <v>138</v>
      </c>
      <c r="P113" s="23" t="str">
        <f>микс!$H$49</f>
        <v>Товары для детей</v>
      </c>
      <c r="Q113" s="21" t="s">
        <v>60</v>
      </c>
      <c r="R113" s="25">
        <v>2</v>
      </c>
      <c r="S113" s="28"/>
      <c r="T113" s="31">
        <v>42323</v>
      </c>
      <c r="U113" s="33">
        <v>525</v>
      </c>
      <c r="V113" s="36">
        <f t="shared" si="7"/>
        <v>1050</v>
      </c>
      <c r="W113" s="28"/>
      <c r="X113" s="31">
        <v>42331</v>
      </c>
      <c r="Y113" s="33">
        <v>625</v>
      </c>
      <c r="Z113" s="189">
        <f t="shared" si="8"/>
        <v>1250</v>
      </c>
      <c r="AA113" s="190"/>
      <c r="AB113" s="31">
        <v>42344</v>
      </c>
      <c r="AC113" s="36">
        <v>1050</v>
      </c>
      <c r="AD113" s="8"/>
      <c r="AE113" s="6"/>
      <c r="AF113" s="52">
        <f t="shared" si="5"/>
        <v>44439150</v>
      </c>
      <c r="AG113" s="25">
        <f t="shared" si="6"/>
        <v>52913750</v>
      </c>
      <c r="AH113" s="52">
        <f t="shared" si="9"/>
        <v>44461200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>
      <c r="A114" s="6"/>
      <c r="B114" s="6"/>
      <c r="C114" s="6"/>
      <c r="D114" s="6"/>
      <c r="E114" s="6"/>
      <c r="F114" s="6"/>
      <c r="G114" s="11"/>
      <c r="H114" s="6"/>
      <c r="I114" s="6"/>
      <c r="J114" s="6"/>
      <c r="K114" s="7"/>
      <c r="L114" s="21" t="str">
        <f>микс!$H$11</f>
        <v>продажа под заказ</v>
      </c>
      <c r="M114" s="22"/>
      <c r="N114" s="22"/>
      <c r="O114" s="22" t="s">
        <v>138</v>
      </c>
      <c r="P114" s="23" t="str">
        <f>микс!$H$49</f>
        <v>Товары для детей</v>
      </c>
      <c r="Q114" s="21" t="s">
        <v>60</v>
      </c>
      <c r="R114" s="25">
        <v>1</v>
      </c>
      <c r="S114" s="28"/>
      <c r="T114" s="31">
        <v>42325</v>
      </c>
      <c r="U114" s="33">
        <v>525</v>
      </c>
      <c r="V114" s="36">
        <f t="shared" si="7"/>
        <v>525</v>
      </c>
      <c r="W114" s="28"/>
      <c r="X114" s="31">
        <v>42332</v>
      </c>
      <c r="Y114" s="33">
        <v>643</v>
      </c>
      <c r="Z114" s="189">
        <f t="shared" si="8"/>
        <v>643</v>
      </c>
      <c r="AA114" s="190"/>
      <c r="AB114" s="31"/>
      <c r="AC114" s="36"/>
      <c r="AD114" s="8"/>
      <c r="AE114" s="6"/>
      <c r="AF114" s="52">
        <f t="shared" si="5"/>
        <v>22220625</v>
      </c>
      <c r="AG114" s="25">
        <f t="shared" si="6"/>
        <v>27219476</v>
      </c>
      <c r="AH114" s="52">
        <f t="shared" si="9"/>
        <v>0</v>
      </c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>
      <c r="A115" s="6"/>
      <c r="B115" s="6"/>
      <c r="C115" s="6"/>
      <c r="D115" s="6"/>
      <c r="E115" s="6"/>
      <c r="F115" s="6"/>
      <c r="G115" s="11"/>
      <c r="H115" s="6"/>
      <c r="I115" s="6"/>
      <c r="J115" s="6"/>
      <c r="K115" s="7"/>
      <c r="L115" s="21" t="str">
        <f>микс!$H$11</f>
        <v>продажа под заказ</v>
      </c>
      <c r="M115" s="22"/>
      <c r="N115" s="22"/>
      <c r="O115" s="22" t="s">
        <v>138</v>
      </c>
      <c r="P115" s="23" t="str">
        <f>микс!$H$49</f>
        <v>Товары для детей</v>
      </c>
      <c r="Q115" s="21" t="s">
        <v>60</v>
      </c>
      <c r="R115" s="25">
        <v>1</v>
      </c>
      <c r="S115" s="28"/>
      <c r="T115" s="31">
        <v>42325</v>
      </c>
      <c r="U115" s="33">
        <v>525</v>
      </c>
      <c r="V115" s="36">
        <f t="shared" si="7"/>
        <v>525</v>
      </c>
      <c r="W115" s="28"/>
      <c r="X115" s="31">
        <v>42340</v>
      </c>
      <c r="Y115" s="33">
        <v>643</v>
      </c>
      <c r="Z115" s="189">
        <f t="shared" si="8"/>
        <v>643</v>
      </c>
      <c r="AA115" s="190"/>
      <c r="AB115" s="31">
        <v>42355</v>
      </c>
      <c r="AC115" s="36">
        <v>525</v>
      </c>
      <c r="AD115" s="8"/>
      <c r="AE115" s="6"/>
      <c r="AF115" s="52">
        <f t="shared" si="5"/>
        <v>22220625</v>
      </c>
      <c r="AG115" s="25">
        <f t="shared" si="6"/>
        <v>27224620</v>
      </c>
      <c r="AH115" s="52">
        <f t="shared" si="9"/>
        <v>22236375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>
      <c r="A116" s="6"/>
      <c r="B116" s="6"/>
      <c r="C116" s="6"/>
      <c r="D116" s="6"/>
      <c r="E116" s="6"/>
      <c r="F116" s="6"/>
      <c r="G116" s="11"/>
      <c r="H116" s="6"/>
      <c r="I116" s="6"/>
      <c r="J116" s="6"/>
      <c r="K116" s="7"/>
      <c r="L116" s="21" t="str">
        <f>микс!$H$11</f>
        <v>продажа под заказ</v>
      </c>
      <c r="M116" s="22"/>
      <c r="N116" s="22"/>
      <c r="O116" s="22" t="s">
        <v>138</v>
      </c>
      <c r="P116" s="23" t="str">
        <f>микс!$H$49</f>
        <v>Товары для детей</v>
      </c>
      <c r="Q116" s="21" t="s">
        <v>60</v>
      </c>
      <c r="R116" s="25">
        <v>2</v>
      </c>
      <c r="S116" s="28"/>
      <c r="T116" s="31">
        <v>42323</v>
      </c>
      <c r="U116" s="33">
        <v>525</v>
      </c>
      <c r="V116" s="36">
        <f t="shared" si="7"/>
        <v>1050</v>
      </c>
      <c r="W116" s="28"/>
      <c r="X116" s="31">
        <v>42332</v>
      </c>
      <c r="Y116" s="33">
        <v>643</v>
      </c>
      <c r="Z116" s="189">
        <f t="shared" si="8"/>
        <v>1286</v>
      </c>
      <c r="AA116" s="190"/>
      <c r="AB116" s="31">
        <v>42338</v>
      </c>
      <c r="AC116" s="36">
        <v>1050</v>
      </c>
      <c r="AD116" s="8"/>
      <c r="AE116" s="6"/>
      <c r="AF116" s="52">
        <f t="shared" si="5"/>
        <v>44439150</v>
      </c>
      <c r="AG116" s="25">
        <f t="shared" si="6"/>
        <v>54438952</v>
      </c>
      <c r="AH116" s="52">
        <f t="shared" si="9"/>
        <v>44454900</v>
      </c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>
      <c r="A117" s="6"/>
      <c r="B117" s="6"/>
      <c r="C117" s="6"/>
      <c r="D117" s="6"/>
      <c r="E117" s="6"/>
      <c r="F117" s="6"/>
      <c r="G117" s="11"/>
      <c r="H117" s="6"/>
      <c r="I117" s="6"/>
      <c r="J117" s="6"/>
      <c r="K117" s="7"/>
      <c r="L117" s="21" t="str">
        <f>микс!$H$11</f>
        <v>продажа под заказ</v>
      </c>
      <c r="M117" s="22"/>
      <c r="N117" s="22"/>
      <c r="O117" s="22" t="s">
        <v>138</v>
      </c>
      <c r="P117" s="23" t="str">
        <f>микс!$H$49</f>
        <v>Товары для детей</v>
      </c>
      <c r="Q117" s="21" t="s">
        <v>60</v>
      </c>
      <c r="R117" s="25">
        <v>1</v>
      </c>
      <c r="S117" s="28"/>
      <c r="T117" s="31">
        <v>42323</v>
      </c>
      <c r="U117" s="33">
        <v>525</v>
      </c>
      <c r="V117" s="36">
        <f t="shared" si="7"/>
        <v>525</v>
      </c>
      <c r="W117" s="28"/>
      <c r="X117" s="31">
        <v>42326</v>
      </c>
      <c r="Y117" s="33">
        <v>625</v>
      </c>
      <c r="Z117" s="189">
        <f t="shared" si="8"/>
        <v>625</v>
      </c>
      <c r="AA117" s="190"/>
      <c r="AB117" s="31">
        <v>42345</v>
      </c>
      <c r="AC117" s="36">
        <v>525</v>
      </c>
      <c r="AD117" s="8"/>
      <c r="AE117" s="6"/>
      <c r="AF117" s="52">
        <f t="shared" si="5"/>
        <v>22219575</v>
      </c>
      <c r="AG117" s="25">
        <f t="shared" si="6"/>
        <v>26453750</v>
      </c>
      <c r="AH117" s="52">
        <f t="shared" si="9"/>
        <v>22231125</v>
      </c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>
      <c r="A118" s="6"/>
      <c r="B118" s="6"/>
      <c r="C118" s="6"/>
      <c r="D118" s="6"/>
      <c r="E118" s="6"/>
      <c r="F118" s="6"/>
      <c r="G118" s="11"/>
      <c r="H118" s="6"/>
      <c r="I118" s="6"/>
      <c r="J118" s="6"/>
      <c r="K118" s="7"/>
      <c r="L118" s="21" t="str">
        <f>микс!$H$11</f>
        <v>продажа под заказ</v>
      </c>
      <c r="M118" s="22"/>
      <c r="N118" s="22"/>
      <c r="O118" s="22" t="s">
        <v>138</v>
      </c>
      <c r="P118" s="23" t="str">
        <f>микс!$H$49</f>
        <v>Товары для детей</v>
      </c>
      <c r="Q118" s="21" t="s">
        <v>60</v>
      </c>
      <c r="R118" s="25">
        <v>1</v>
      </c>
      <c r="S118" s="28"/>
      <c r="T118" s="31">
        <v>42325</v>
      </c>
      <c r="U118" s="33">
        <v>525</v>
      </c>
      <c r="V118" s="36">
        <f t="shared" si="7"/>
        <v>525</v>
      </c>
      <c r="W118" s="28"/>
      <c r="X118" s="31">
        <v>42329</v>
      </c>
      <c r="Y118" s="33">
        <v>625</v>
      </c>
      <c r="Z118" s="189">
        <f t="shared" si="8"/>
        <v>625</v>
      </c>
      <c r="AA118" s="190"/>
      <c r="AB118" s="31"/>
      <c r="AC118" s="36"/>
      <c r="AD118" s="8"/>
      <c r="AE118" s="6"/>
      <c r="AF118" s="52">
        <f t="shared" si="5"/>
        <v>22220625</v>
      </c>
      <c r="AG118" s="25">
        <f t="shared" si="6"/>
        <v>26455625</v>
      </c>
      <c r="AH118" s="52">
        <f t="shared" si="9"/>
        <v>0</v>
      </c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>
      <c r="A119" s="6"/>
      <c r="B119" s="6"/>
      <c r="C119" s="6"/>
      <c r="D119" s="6"/>
      <c r="E119" s="6"/>
      <c r="F119" s="6"/>
      <c r="G119" s="11"/>
      <c r="H119" s="6"/>
      <c r="I119" s="6"/>
      <c r="J119" s="6"/>
      <c r="K119" s="7"/>
      <c r="L119" s="21" t="str">
        <f>микс!$H$10</f>
        <v>продажа со склада</v>
      </c>
      <c r="M119" s="22"/>
      <c r="N119" s="22"/>
      <c r="O119" s="22" t="s">
        <v>138</v>
      </c>
      <c r="P119" s="23" t="str">
        <f>микс!$H$49</f>
        <v>Товары для детей</v>
      </c>
      <c r="Q119" s="21" t="s">
        <v>60</v>
      </c>
      <c r="R119" s="25">
        <v>1</v>
      </c>
      <c r="S119" s="28"/>
      <c r="T119" s="31">
        <v>42314</v>
      </c>
      <c r="U119" s="33">
        <v>525</v>
      </c>
      <c r="V119" s="36">
        <f t="shared" si="7"/>
        <v>525</v>
      </c>
      <c r="W119" s="28"/>
      <c r="X119" s="31">
        <v>42341</v>
      </c>
      <c r="Y119" s="33">
        <v>643</v>
      </c>
      <c r="Z119" s="189">
        <f t="shared" si="8"/>
        <v>643</v>
      </c>
      <c r="AA119" s="190"/>
      <c r="AB119" s="31">
        <v>42319</v>
      </c>
      <c r="AC119" s="36">
        <v>525</v>
      </c>
      <c r="AD119" s="8"/>
      <c r="AE119" s="6"/>
      <c r="AF119" s="52">
        <f t="shared" si="5"/>
        <v>22214850</v>
      </c>
      <c r="AG119" s="25">
        <f t="shared" si="6"/>
        <v>27225263</v>
      </c>
      <c r="AH119" s="52">
        <f t="shared" si="9"/>
        <v>22217475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>
      <c r="A120" s="6"/>
      <c r="B120" s="6"/>
      <c r="C120" s="6"/>
      <c r="D120" s="6"/>
      <c r="E120" s="6"/>
      <c r="F120" s="6"/>
      <c r="G120" s="11"/>
      <c r="H120" s="6"/>
      <c r="I120" s="6"/>
      <c r="J120" s="6"/>
      <c r="K120" s="7"/>
      <c r="L120" s="21" t="str">
        <f>микс!$H$11</f>
        <v>продажа под заказ</v>
      </c>
      <c r="M120" s="22"/>
      <c r="N120" s="22"/>
      <c r="O120" s="22" t="s">
        <v>138</v>
      </c>
      <c r="P120" s="23" t="str">
        <f>микс!$H$49</f>
        <v>Товары для детей</v>
      </c>
      <c r="Q120" s="21" t="s">
        <v>60</v>
      </c>
      <c r="R120" s="25">
        <v>1</v>
      </c>
      <c r="S120" s="28"/>
      <c r="T120" s="31">
        <v>42334</v>
      </c>
      <c r="U120" s="33">
        <v>525</v>
      </c>
      <c r="V120" s="36">
        <f t="shared" si="7"/>
        <v>525</v>
      </c>
      <c r="W120" s="28"/>
      <c r="X120" s="31">
        <v>42337</v>
      </c>
      <c r="Y120" s="33">
        <v>625</v>
      </c>
      <c r="Z120" s="189">
        <f t="shared" si="8"/>
        <v>625</v>
      </c>
      <c r="AA120" s="190"/>
      <c r="AB120" s="31"/>
      <c r="AC120" s="36"/>
      <c r="AD120" s="8"/>
      <c r="AE120" s="6"/>
      <c r="AF120" s="52">
        <f t="shared" si="5"/>
        <v>22225350</v>
      </c>
      <c r="AG120" s="25">
        <f t="shared" si="6"/>
        <v>26460625</v>
      </c>
      <c r="AH120" s="52">
        <f t="shared" si="9"/>
        <v>0</v>
      </c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>
      <c r="A121" s="6"/>
      <c r="B121" s="6"/>
      <c r="C121" s="6"/>
      <c r="D121" s="6"/>
      <c r="E121" s="6"/>
      <c r="F121" s="6"/>
      <c r="G121" s="11"/>
      <c r="H121" s="6"/>
      <c r="I121" s="6"/>
      <c r="J121" s="6"/>
      <c r="K121" s="7"/>
      <c r="L121" s="21" t="str">
        <f>микс!$H$11</f>
        <v>продажа под заказ</v>
      </c>
      <c r="M121" s="22"/>
      <c r="N121" s="22"/>
      <c r="O121" s="22" t="s">
        <v>138</v>
      </c>
      <c r="P121" s="23" t="str">
        <f>микс!$H$49</f>
        <v>Товары для детей</v>
      </c>
      <c r="Q121" s="21" t="s">
        <v>60</v>
      </c>
      <c r="R121" s="25">
        <v>6</v>
      </c>
      <c r="S121" s="28"/>
      <c r="T121" s="31">
        <v>42335</v>
      </c>
      <c r="U121" s="33">
        <v>525</v>
      </c>
      <c r="V121" s="36">
        <f t="shared" si="7"/>
        <v>3150</v>
      </c>
      <c r="W121" s="28"/>
      <c r="X121" s="31">
        <v>42341</v>
      </c>
      <c r="Y121" s="33">
        <v>625</v>
      </c>
      <c r="Z121" s="189">
        <f t="shared" si="8"/>
        <v>3750</v>
      </c>
      <c r="AA121" s="190"/>
      <c r="AB121" s="31"/>
      <c r="AC121" s="36"/>
      <c r="AD121" s="8"/>
      <c r="AE121" s="6"/>
      <c r="AF121" s="52">
        <f t="shared" si="5"/>
        <v>133355250</v>
      </c>
      <c r="AG121" s="25">
        <f t="shared" si="6"/>
        <v>158778750</v>
      </c>
      <c r="AH121" s="52">
        <f t="shared" si="9"/>
        <v>0</v>
      </c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>
      <c r="A122" s="6"/>
      <c r="B122" s="6"/>
      <c r="C122" s="6"/>
      <c r="D122" s="6"/>
      <c r="E122" s="6"/>
      <c r="F122" s="6"/>
      <c r="G122" s="11"/>
      <c r="H122" s="6"/>
      <c r="I122" s="6"/>
      <c r="J122" s="6"/>
      <c r="K122" s="7"/>
      <c r="L122" s="21" t="str">
        <f>микс!$H$11</f>
        <v>продажа под заказ</v>
      </c>
      <c r="M122" s="22"/>
      <c r="N122" s="22"/>
      <c r="O122" s="22" t="s">
        <v>138</v>
      </c>
      <c r="P122" s="23" t="str">
        <f>микс!$H$49</f>
        <v>Товары для детей</v>
      </c>
      <c r="Q122" s="21" t="s">
        <v>60</v>
      </c>
      <c r="R122" s="25">
        <v>1</v>
      </c>
      <c r="S122" s="28"/>
      <c r="T122" s="31">
        <v>42329</v>
      </c>
      <c r="U122" s="33">
        <v>525</v>
      </c>
      <c r="V122" s="36">
        <f t="shared" si="7"/>
        <v>525</v>
      </c>
      <c r="W122" s="28"/>
      <c r="X122" s="31">
        <v>42331</v>
      </c>
      <c r="Y122" s="33">
        <v>625</v>
      </c>
      <c r="Z122" s="189">
        <f t="shared" si="8"/>
        <v>625</v>
      </c>
      <c r="AA122" s="190"/>
      <c r="AB122" s="31">
        <v>42344</v>
      </c>
      <c r="AC122" s="36">
        <v>525</v>
      </c>
      <c r="AD122" s="8"/>
      <c r="AE122" s="6"/>
      <c r="AF122" s="52">
        <f t="shared" si="5"/>
        <v>22222725</v>
      </c>
      <c r="AG122" s="25">
        <f t="shared" si="6"/>
        <v>26456875</v>
      </c>
      <c r="AH122" s="52">
        <f t="shared" si="9"/>
        <v>22230600</v>
      </c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>
      <c r="A123" s="6"/>
      <c r="B123" s="6"/>
      <c r="C123" s="6"/>
      <c r="D123" s="6"/>
      <c r="E123" s="6"/>
      <c r="F123" s="6"/>
      <c r="G123" s="11"/>
      <c r="H123" s="6"/>
      <c r="I123" s="6"/>
      <c r="J123" s="6"/>
      <c r="K123" s="7"/>
      <c r="L123" s="21" t="str">
        <f>микс!$H$11</f>
        <v>продажа под заказ</v>
      </c>
      <c r="M123" s="22"/>
      <c r="N123" s="22"/>
      <c r="O123" s="22" t="s">
        <v>138</v>
      </c>
      <c r="P123" s="23" t="str">
        <f>микс!$H$49</f>
        <v>Товары для детей</v>
      </c>
      <c r="Q123" s="21" t="s">
        <v>60</v>
      </c>
      <c r="R123" s="25">
        <v>1</v>
      </c>
      <c r="S123" s="28"/>
      <c r="T123" s="31">
        <v>42330</v>
      </c>
      <c r="U123" s="33">
        <v>525</v>
      </c>
      <c r="V123" s="36">
        <f t="shared" si="7"/>
        <v>525</v>
      </c>
      <c r="W123" s="28"/>
      <c r="X123" s="31">
        <v>42334</v>
      </c>
      <c r="Y123" s="33">
        <v>625</v>
      </c>
      <c r="Z123" s="189">
        <f t="shared" si="8"/>
        <v>625</v>
      </c>
      <c r="AA123" s="190"/>
      <c r="AB123" s="31"/>
      <c r="AC123" s="36"/>
      <c r="AD123" s="8"/>
      <c r="AE123" s="6"/>
      <c r="AF123" s="52">
        <f t="shared" si="5"/>
        <v>22223250</v>
      </c>
      <c r="AG123" s="25">
        <f t="shared" si="6"/>
        <v>26458750</v>
      </c>
      <c r="AH123" s="52">
        <f t="shared" si="9"/>
        <v>0</v>
      </c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>
      <c r="A124" s="6"/>
      <c r="B124" s="6"/>
      <c r="C124" s="6"/>
      <c r="D124" s="6"/>
      <c r="E124" s="6"/>
      <c r="F124" s="6"/>
      <c r="G124" s="11"/>
      <c r="H124" s="6"/>
      <c r="I124" s="6"/>
      <c r="J124" s="6"/>
      <c r="K124" s="7"/>
      <c r="L124" s="21" t="str">
        <f>микс!$H$11</f>
        <v>продажа под заказ</v>
      </c>
      <c r="M124" s="22"/>
      <c r="N124" s="22"/>
      <c r="O124" s="22" t="s">
        <v>138</v>
      </c>
      <c r="P124" s="23" t="str">
        <f>микс!$H$49</f>
        <v>Товары для детей</v>
      </c>
      <c r="Q124" s="21" t="s">
        <v>60</v>
      </c>
      <c r="R124" s="25">
        <v>1</v>
      </c>
      <c r="S124" s="28"/>
      <c r="T124" s="31">
        <v>42326</v>
      </c>
      <c r="U124" s="33">
        <v>525</v>
      </c>
      <c r="V124" s="36">
        <f t="shared" si="7"/>
        <v>525</v>
      </c>
      <c r="W124" s="28"/>
      <c r="X124" s="31">
        <v>42332</v>
      </c>
      <c r="Y124" s="33">
        <v>625</v>
      </c>
      <c r="Z124" s="189">
        <f t="shared" si="8"/>
        <v>625</v>
      </c>
      <c r="AA124" s="190"/>
      <c r="AB124" s="31">
        <v>42346</v>
      </c>
      <c r="AC124" s="36">
        <v>525</v>
      </c>
      <c r="AD124" s="8"/>
      <c r="AE124" s="6"/>
      <c r="AF124" s="52">
        <f t="shared" si="5"/>
        <v>22221150</v>
      </c>
      <c r="AG124" s="25">
        <f t="shared" si="6"/>
        <v>26457500</v>
      </c>
      <c r="AH124" s="52">
        <f t="shared" si="9"/>
        <v>22231650</v>
      </c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>
      <c r="A125" s="6"/>
      <c r="B125" s="6"/>
      <c r="C125" s="6"/>
      <c r="D125" s="6"/>
      <c r="E125" s="6"/>
      <c r="F125" s="6"/>
      <c r="G125" s="11"/>
      <c r="H125" s="6"/>
      <c r="I125" s="6"/>
      <c r="J125" s="6"/>
      <c r="K125" s="7"/>
      <c r="L125" s="21" t="str">
        <f>микс!$H$11</f>
        <v>продажа под заказ</v>
      </c>
      <c r="M125" s="22"/>
      <c r="N125" s="22"/>
      <c r="O125" s="22" t="s">
        <v>138</v>
      </c>
      <c r="P125" s="23" t="str">
        <f>микс!$H$49</f>
        <v>Товары для детей</v>
      </c>
      <c r="Q125" s="21" t="s">
        <v>60</v>
      </c>
      <c r="R125" s="25">
        <v>1</v>
      </c>
      <c r="S125" s="28"/>
      <c r="T125" s="31">
        <v>42338</v>
      </c>
      <c r="U125" s="33">
        <v>525</v>
      </c>
      <c r="V125" s="36">
        <f t="shared" si="7"/>
        <v>525</v>
      </c>
      <c r="W125" s="28"/>
      <c r="X125" s="31">
        <v>42341</v>
      </c>
      <c r="Y125" s="33">
        <v>625</v>
      </c>
      <c r="Z125" s="189">
        <f t="shared" si="8"/>
        <v>625</v>
      </c>
      <c r="AA125" s="190"/>
      <c r="AB125" s="31">
        <v>42368</v>
      </c>
      <c r="AC125" s="36">
        <v>525</v>
      </c>
      <c r="AD125" s="8"/>
      <c r="AE125" s="6"/>
      <c r="AF125" s="52">
        <f t="shared" si="5"/>
        <v>22227450</v>
      </c>
      <c r="AG125" s="25">
        <f t="shared" si="6"/>
        <v>26463125</v>
      </c>
      <c r="AH125" s="52">
        <f t="shared" si="9"/>
        <v>22243200</v>
      </c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>
      <c r="A126" s="6"/>
      <c r="B126" s="6"/>
      <c r="C126" s="6"/>
      <c r="D126" s="6"/>
      <c r="E126" s="6"/>
      <c r="F126" s="6"/>
      <c r="G126" s="11"/>
      <c r="H126" s="6"/>
      <c r="I126" s="6"/>
      <c r="J126" s="6"/>
      <c r="K126" s="7"/>
      <c r="L126" s="21" t="str">
        <f>микс!$H$11</f>
        <v>продажа под заказ</v>
      </c>
      <c r="M126" s="22"/>
      <c r="N126" s="22"/>
      <c r="O126" s="22" t="s">
        <v>138</v>
      </c>
      <c r="P126" s="23" t="str">
        <f>микс!$H$49</f>
        <v>Товары для детей</v>
      </c>
      <c r="Q126" s="21" t="s">
        <v>60</v>
      </c>
      <c r="R126" s="25">
        <v>1</v>
      </c>
      <c r="S126" s="28"/>
      <c r="T126" s="31">
        <v>42338</v>
      </c>
      <c r="U126" s="33">
        <v>525</v>
      </c>
      <c r="V126" s="36">
        <f t="shared" si="7"/>
        <v>525</v>
      </c>
      <c r="W126" s="28"/>
      <c r="X126" s="31">
        <v>42342</v>
      </c>
      <c r="Y126" s="33">
        <v>625</v>
      </c>
      <c r="Z126" s="189">
        <f t="shared" si="8"/>
        <v>625</v>
      </c>
      <c r="AA126" s="190"/>
      <c r="AB126" s="31">
        <v>42363</v>
      </c>
      <c r="AC126" s="36">
        <v>525</v>
      </c>
      <c r="AD126" s="8"/>
      <c r="AE126" s="6"/>
      <c r="AF126" s="52">
        <f t="shared" si="5"/>
        <v>22227450</v>
      </c>
      <c r="AG126" s="25">
        <f t="shared" si="6"/>
        <v>26463750</v>
      </c>
      <c r="AH126" s="52">
        <f t="shared" si="9"/>
        <v>22240575</v>
      </c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>
      <c r="A127" s="6"/>
      <c r="B127" s="6"/>
      <c r="C127" s="6"/>
      <c r="D127" s="6"/>
      <c r="E127" s="6"/>
      <c r="F127" s="6"/>
      <c r="G127" s="11"/>
      <c r="H127" s="6"/>
      <c r="I127" s="6"/>
      <c r="J127" s="6"/>
      <c r="K127" s="7"/>
      <c r="L127" s="21" t="str">
        <f>микс!$H$11</f>
        <v>продажа под заказ</v>
      </c>
      <c r="M127" s="22"/>
      <c r="N127" s="22"/>
      <c r="O127" s="22" t="s">
        <v>138</v>
      </c>
      <c r="P127" s="23" t="str">
        <f>микс!$H$49</f>
        <v>Товары для детей</v>
      </c>
      <c r="Q127" s="21" t="s">
        <v>60</v>
      </c>
      <c r="R127" s="25">
        <v>1</v>
      </c>
      <c r="S127" s="28"/>
      <c r="T127" s="31">
        <v>42336</v>
      </c>
      <c r="U127" s="33">
        <v>525</v>
      </c>
      <c r="V127" s="36">
        <f t="shared" si="7"/>
        <v>525</v>
      </c>
      <c r="W127" s="28"/>
      <c r="X127" s="31">
        <v>42341</v>
      </c>
      <c r="Y127" s="33">
        <v>625</v>
      </c>
      <c r="Z127" s="189">
        <f t="shared" si="8"/>
        <v>625</v>
      </c>
      <c r="AA127" s="190"/>
      <c r="AB127" s="31">
        <v>42346</v>
      </c>
      <c r="AC127" s="36">
        <v>525</v>
      </c>
      <c r="AD127" s="8"/>
      <c r="AE127" s="6"/>
      <c r="AF127" s="52">
        <f t="shared" si="5"/>
        <v>22226400</v>
      </c>
      <c r="AG127" s="25">
        <f t="shared" si="6"/>
        <v>26463125</v>
      </c>
      <c r="AH127" s="52">
        <f t="shared" si="9"/>
        <v>22231650</v>
      </c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>
      <c r="A128" s="6"/>
      <c r="B128" s="6"/>
      <c r="C128" s="6"/>
      <c r="D128" s="6"/>
      <c r="E128" s="6"/>
      <c r="F128" s="6"/>
      <c r="G128" s="11"/>
      <c r="H128" s="6"/>
      <c r="I128" s="6"/>
      <c r="J128" s="6"/>
      <c r="K128" s="7"/>
      <c r="L128" s="21" t="str">
        <f>микс!$H$11</f>
        <v>продажа под заказ</v>
      </c>
      <c r="M128" s="22"/>
      <c r="N128" s="22"/>
      <c r="O128" s="22" t="s">
        <v>138</v>
      </c>
      <c r="P128" s="23" t="str">
        <f>микс!$H$49</f>
        <v>Товары для детей</v>
      </c>
      <c r="Q128" s="21" t="s">
        <v>60</v>
      </c>
      <c r="R128" s="25">
        <v>1</v>
      </c>
      <c r="S128" s="28"/>
      <c r="T128" s="31">
        <v>42336</v>
      </c>
      <c r="U128" s="33">
        <v>525</v>
      </c>
      <c r="V128" s="36">
        <f t="shared" si="7"/>
        <v>525</v>
      </c>
      <c r="W128" s="28"/>
      <c r="X128" s="31">
        <v>42341</v>
      </c>
      <c r="Y128" s="33">
        <v>625</v>
      </c>
      <c r="Z128" s="189">
        <f t="shared" si="8"/>
        <v>625</v>
      </c>
      <c r="AA128" s="190"/>
      <c r="AB128" s="31">
        <v>42343</v>
      </c>
      <c r="AC128" s="36">
        <v>525</v>
      </c>
      <c r="AD128" s="8"/>
      <c r="AE128" s="6"/>
      <c r="AF128" s="52">
        <f t="shared" si="5"/>
        <v>22226400</v>
      </c>
      <c r="AG128" s="25">
        <f t="shared" si="6"/>
        <v>26463125</v>
      </c>
      <c r="AH128" s="52">
        <f t="shared" si="9"/>
        <v>22230075</v>
      </c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44">
      <c r="A129" s="6"/>
      <c r="B129" s="6"/>
      <c r="C129" s="6"/>
      <c r="D129" s="6"/>
      <c r="E129" s="6"/>
      <c r="F129" s="6"/>
      <c r="G129" s="11"/>
      <c r="H129" s="6"/>
      <c r="I129" s="6"/>
      <c r="J129" s="6"/>
      <c r="K129" s="7"/>
      <c r="L129" s="21" t="str">
        <f>микс!$H$11</f>
        <v>продажа под заказ</v>
      </c>
      <c r="M129" s="22"/>
      <c r="N129" s="22"/>
      <c r="O129" s="22" t="s">
        <v>138</v>
      </c>
      <c r="P129" s="23" t="str">
        <f>микс!$H$49</f>
        <v>Товары для детей</v>
      </c>
      <c r="Q129" s="21" t="s">
        <v>60</v>
      </c>
      <c r="R129" s="25">
        <v>1</v>
      </c>
      <c r="S129" s="28"/>
      <c r="T129" s="31">
        <v>42337</v>
      </c>
      <c r="U129" s="33">
        <v>525</v>
      </c>
      <c r="V129" s="36">
        <f t="shared" si="7"/>
        <v>525</v>
      </c>
      <c r="W129" s="28"/>
      <c r="X129" s="31">
        <v>42348</v>
      </c>
      <c r="Y129" s="33">
        <v>668</v>
      </c>
      <c r="Z129" s="189">
        <f t="shared" si="8"/>
        <v>668</v>
      </c>
      <c r="AA129" s="190"/>
      <c r="AB129" s="31">
        <v>42359</v>
      </c>
      <c r="AC129" s="36">
        <v>525</v>
      </c>
      <c r="AD129" s="8"/>
      <c r="AE129" s="6"/>
      <c r="AF129" s="52">
        <f t="shared" si="5"/>
        <v>22226925</v>
      </c>
      <c r="AG129" s="25">
        <f t="shared" si="6"/>
        <v>28288464</v>
      </c>
      <c r="AH129" s="52">
        <f t="shared" si="9"/>
        <v>22238475</v>
      </c>
      <c r="AI129" s="6"/>
      <c r="AJ129" s="6"/>
      <c r="AK129" s="6"/>
      <c r="AL129" s="6"/>
      <c r="AM129" s="6"/>
      <c r="AN129" s="6"/>
      <c r="AO129" s="6"/>
      <c r="AP129" s="6"/>
      <c r="AQ129" s="6"/>
      <c r="AR129" s="6"/>
    </row>
    <row r="130" spans="1:44">
      <c r="A130" s="6"/>
      <c r="B130" s="6"/>
      <c r="C130" s="6"/>
      <c r="D130" s="6"/>
      <c r="E130" s="6"/>
      <c r="F130" s="6"/>
      <c r="G130" s="11"/>
      <c r="H130" s="6"/>
      <c r="I130" s="6"/>
      <c r="J130" s="6"/>
      <c r="K130" s="7"/>
      <c r="L130" s="21" t="str">
        <f>микс!$H$10</f>
        <v>продажа со склада</v>
      </c>
      <c r="M130" s="22"/>
      <c r="N130" s="22"/>
      <c r="O130" s="22" t="s">
        <v>138</v>
      </c>
      <c r="P130" s="23" t="str">
        <f>микс!$H$49</f>
        <v>Товары для детей</v>
      </c>
      <c r="Q130" s="21" t="s">
        <v>60</v>
      </c>
      <c r="R130" s="25">
        <v>1</v>
      </c>
      <c r="S130" s="28"/>
      <c r="T130" s="31">
        <v>42312</v>
      </c>
      <c r="U130" s="33">
        <v>525</v>
      </c>
      <c r="V130" s="36">
        <f t="shared" si="7"/>
        <v>525</v>
      </c>
      <c r="W130" s="28"/>
      <c r="X130" s="31">
        <v>42335</v>
      </c>
      <c r="Y130" s="33">
        <v>625</v>
      </c>
      <c r="Z130" s="189">
        <f t="shared" si="8"/>
        <v>625</v>
      </c>
      <c r="AA130" s="190"/>
      <c r="AB130" s="31">
        <v>42344</v>
      </c>
      <c r="AC130" s="36">
        <v>525</v>
      </c>
      <c r="AD130" s="8"/>
      <c r="AE130" s="6"/>
      <c r="AF130" s="52">
        <f t="shared" si="5"/>
        <v>22213800</v>
      </c>
      <c r="AG130" s="25">
        <f t="shared" si="6"/>
        <v>26459375</v>
      </c>
      <c r="AH130" s="52">
        <f t="shared" si="9"/>
        <v>22230600</v>
      </c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44">
      <c r="A131" s="6"/>
      <c r="B131" s="6"/>
      <c r="C131" s="6"/>
      <c r="D131" s="6"/>
      <c r="E131" s="6"/>
      <c r="F131" s="6"/>
      <c r="G131" s="11"/>
      <c r="H131" s="6"/>
      <c r="I131" s="6"/>
      <c r="J131" s="6"/>
      <c r="K131" s="7"/>
      <c r="L131" s="21" t="str">
        <f>микс!$H$11</f>
        <v>продажа под заказ</v>
      </c>
      <c r="M131" s="22"/>
      <c r="N131" s="22"/>
      <c r="O131" s="22" t="s">
        <v>138</v>
      </c>
      <c r="P131" s="23" t="str">
        <f>микс!$H$49</f>
        <v>Товары для детей</v>
      </c>
      <c r="Q131" s="21" t="s">
        <v>60</v>
      </c>
      <c r="R131" s="25">
        <v>1</v>
      </c>
      <c r="S131" s="28"/>
      <c r="T131" s="31">
        <v>42334</v>
      </c>
      <c r="U131" s="33">
        <v>525</v>
      </c>
      <c r="V131" s="36">
        <f t="shared" si="7"/>
        <v>525</v>
      </c>
      <c r="W131" s="28"/>
      <c r="X131" s="31">
        <v>42337</v>
      </c>
      <c r="Y131" s="33">
        <v>625</v>
      </c>
      <c r="Z131" s="189">
        <f t="shared" si="8"/>
        <v>625</v>
      </c>
      <c r="AA131" s="190"/>
      <c r="AB131" s="31"/>
      <c r="AC131" s="36"/>
      <c r="AD131" s="8"/>
      <c r="AE131" s="6"/>
      <c r="AF131" s="52">
        <f t="shared" si="5"/>
        <v>22225350</v>
      </c>
      <c r="AG131" s="25">
        <f t="shared" si="6"/>
        <v>26460625</v>
      </c>
      <c r="AH131" s="52">
        <f t="shared" si="9"/>
        <v>0</v>
      </c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44">
      <c r="A132" s="6"/>
      <c r="B132" s="6"/>
      <c r="C132" s="6"/>
      <c r="D132" s="6"/>
      <c r="E132" s="6"/>
      <c r="F132" s="6"/>
      <c r="G132" s="11"/>
      <c r="H132" s="6"/>
      <c r="I132" s="6"/>
      <c r="J132" s="6"/>
      <c r="K132" s="7"/>
      <c r="L132" s="21" t="str">
        <f>микс!$H$11</f>
        <v>продажа под заказ</v>
      </c>
      <c r="M132" s="22"/>
      <c r="N132" s="22"/>
      <c r="O132" s="22" t="s">
        <v>138</v>
      </c>
      <c r="P132" s="23" t="str">
        <f>микс!$H$49</f>
        <v>Товары для детей</v>
      </c>
      <c r="Q132" s="21" t="s">
        <v>60</v>
      </c>
      <c r="R132" s="25">
        <v>1</v>
      </c>
      <c r="S132" s="28"/>
      <c r="T132" s="31">
        <v>42335</v>
      </c>
      <c r="U132" s="33">
        <v>525</v>
      </c>
      <c r="V132" s="36">
        <f t="shared" si="7"/>
        <v>525</v>
      </c>
      <c r="W132" s="28"/>
      <c r="X132" s="31">
        <v>42338</v>
      </c>
      <c r="Y132" s="33">
        <v>625</v>
      </c>
      <c r="Z132" s="189">
        <f t="shared" si="8"/>
        <v>625</v>
      </c>
      <c r="AA132" s="190"/>
      <c r="AB132" s="31"/>
      <c r="AC132" s="36"/>
      <c r="AD132" s="8"/>
      <c r="AE132" s="6"/>
      <c r="AF132" s="52">
        <f t="shared" si="5"/>
        <v>22225875</v>
      </c>
      <c r="AG132" s="25">
        <f t="shared" si="6"/>
        <v>26461250</v>
      </c>
      <c r="AH132" s="52">
        <f t="shared" si="9"/>
        <v>0</v>
      </c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44">
      <c r="A133" s="6"/>
      <c r="B133" s="6"/>
      <c r="C133" s="6"/>
      <c r="D133" s="6"/>
      <c r="E133" s="6"/>
      <c r="F133" s="6"/>
      <c r="G133" s="11"/>
      <c r="H133" s="6"/>
      <c r="I133" s="6"/>
      <c r="J133" s="6"/>
      <c r="K133" s="7"/>
      <c r="L133" s="21" t="str">
        <f>микс!$H$11</f>
        <v>продажа под заказ</v>
      </c>
      <c r="M133" s="22"/>
      <c r="N133" s="22"/>
      <c r="O133" s="22" t="s">
        <v>138</v>
      </c>
      <c r="P133" s="23" t="str">
        <f>микс!$H$49</f>
        <v>Товары для детей</v>
      </c>
      <c r="Q133" s="21" t="s">
        <v>60</v>
      </c>
      <c r="R133" s="25">
        <v>1</v>
      </c>
      <c r="S133" s="28"/>
      <c r="T133" s="31">
        <v>42336</v>
      </c>
      <c r="U133" s="33">
        <v>525</v>
      </c>
      <c r="V133" s="36">
        <f t="shared" si="7"/>
        <v>525</v>
      </c>
      <c r="W133" s="28"/>
      <c r="X133" s="31">
        <v>42341</v>
      </c>
      <c r="Y133" s="33">
        <v>625</v>
      </c>
      <c r="Z133" s="189">
        <f t="shared" si="8"/>
        <v>625</v>
      </c>
      <c r="AA133" s="190"/>
      <c r="AB133" s="31">
        <v>42348</v>
      </c>
      <c r="AC133" s="36">
        <v>525</v>
      </c>
      <c r="AD133" s="8"/>
      <c r="AE133" s="6"/>
      <c r="AF133" s="52">
        <f t="shared" si="5"/>
        <v>22226400</v>
      </c>
      <c r="AG133" s="25">
        <f t="shared" si="6"/>
        <v>26463125</v>
      </c>
      <c r="AH133" s="52">
        <f t="shared" si="9"/>
        <v>22232700</v>
      </c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44">
      <c r="A134" s="6"/>
      <c r="B134" s="6"/>
      <c r="C134" s="6"/>
      <c r="D134" s="6"/>
      <c r="E134" s="6"/>
      <c r="F134" s="6"/>
      <c r="G134" s="11"/>
      <c r="H134" s="6"/>
      <c r="I134" s="6"/>
      <c r="J134" s="6"/>
      <c r="K134" s="7"/>
      <c r="L134" s="21" t="str">
        <f>микс!$H$11</f>
        <v>продажа под заказ</v>
      </c>
      <c r="M134" s="22"/>
      <c r="N134" s="22"/>
      <c r="O134" s="22" t="s">
        <v>138</v>
      </c>
      <c r="P134" s="23" t="str">
        <f>микс!$H$49</f>
        <v>Товары для детей</v>
      </c>
      <c r="Q134" s="21" t="s">
        <v>60</v>
      </c>
      <c r="R134" s="25">
        <v>1</v>
      </c>
      <c r="S134" s="28"/>
      <c r="T134" s="31">
        <v>42337</v>
      </c>
      <c r="U134" s="33">
        <v>525</v>
      </c>
      <c r="V134" s="36">
        <f t="shared" si="7"/>
        <v>525</v>
      </c>
      <c r="W134" s="28"/>
      <c r="X134" s="31">
        <v>42337</v>
      </c>
      <c r="Y134" s="33">
        <v>668</v>
      </c>
      <c r="Z134" s="189">
        <f t="shared" si="8"/>
        <v>668</v>
      </c>
      <c r="AA134" s="190"/>
      <c r="AB134" s="31">
        <v>42347</v>
      </c>
      <c r="AC134" s="36">
        <v>525</v>
      </c>
      <c r="AD134" s="8"/>
      <c r="AE134" s="6"/>
      <c r="AF134" s="52">
        <f t="shared" si="5"/>
        <v>22226925</v>
      </c>
      <c r="AG134" s="25">
        <f t="shared" si="6"/>
        <v>28281116</v>
      </c>
      <c r="AH134" s="52">
        <f t="shared" si="9"/>
        <v>22232175</v>
      </c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44">
      <c r="A135" s="6"/>
      <c r="B135" s="6"/>
      <c r="C135" s="6"/>
      <c r="D135" s="6"/>
      <c r="E135" s="6"/>
      <c r="F135" s="6"/>
      <c r="G135" s="11"/>
      <c r="H135" s="6"/>
      <c r="I135" s="6"/>
      <c r="J135" s="6"/>
      <c r="K135" s="7"/>
      <c r="L135" s="21" t="str">
        <f>микс!$H$11</f>
        <v>продажа под заказ</v>
      </c>
      <c r="M135" s="22"/>
      <c r="N135" s="22"/>
      <c r="O135" s="22" t="s">
        <v>138</v>
      </c>
      <c r="P135" s="23" t="str">
        <f>микс!$H$49</f>
        <v>Товары для детей</v>
      </c>
      <c r="Q135" s="21" t="s">
        <v>60</v>
      </c>
      <c r="R135" s="25">
        <v>2</v>
      </c>
      <c r="S135" s="28"/>
      <c r="T135" s="31">
        <v>42337</v>
      </c>
      <c r="U135" s="33">
        <v>525</v>
      </c>
      <c r="V135" s="36">
        <f t="shared" si="7"/>
        <v>1050</v>
      </c>
      <c r="W135" s="28"/>
      <c r="X135" s="31">
        <v>42346</v>
      </c>
      <c r="Y135" s="33">
        <v>643</v>
      </c>
      <c r="Z135" s="189">
        <f t="shared" si="8"/>
        <v>1286</v>
      </c>
      <c r="AA135" s="190"/>
      <c r="AB135" s="31">
        <v>42357</v>
      </c>
      <c r="AC135" s="36">
        <v>1050</v>
      </c>
      <c r="AD135" s="8"/>
      <c r="AE135" s="6"/>
      <c r="AF135" s="52">
        <f t="shared" si="5"/>
        <v>44453850</v>
      </c>
      <c r="AG135" s="25">
        <f t="shared" si="6"/>
        <v>54456956</v>
      </c>
      <c r="AH135" s="52">
        <f t="shared" si="9"/>
        <v>44474850</v>
      </c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44">
      <c r="A136" s="6"/>
      <c r="B136" s="6"/>
      <c r="C136" s="6"/>
      <c r="D136" s="6"/>
      <c r="E136" s="6"/>
      <c r="F136" s="6"/>
      <c r="G136" s="11"/>
      <c r="H136" s="6"/>
      <c r="I136" s="6"/>
      <c r="J136" s="6"/>
      <c r="K136" s="7"/>
      <c r="L136" s="21" t="str">
        <f>микс!$H$11</f>
        <v>продажа под заказ</v>
      </c>
      <c r="M136" s="22"/>
      <c r="N136" s="22"/>
      <c r="O136" s="22" t="s">
        <v>138</v>
      </c>
      <c r="P136" s="23" t="str">
        <f>микс!$H$49</f>
        <v>Товары для детей</v>
      </c>
      <c r="Q136" s="21" t="s">
        <v>60</v>
      </c>
      <c r="R136" s="25">
        <v>1</v>
      </c>
      <c r="S136" s="28"/>
      <c r="T136" s="31">
        <v>42337</v>
      </c>
      <c r="U136" s="33">
        <v>525</v>
      </c>
      <c r="V136" s="36">
        <f t="shared" si="7"/>
        <v>525</v>
      </c>
      <c r="W136" s="28"/>
      <c r="X136" s="31">
        <v>42342</v>
      </c>
      <c r="Y136" s="33">
        <v>668</v>
      </c>
      <c r="Z136" s="189">
        <f t="shared" si="8"/>
        <v>668</v>
      </c>
      <c r="AA136" s="190"/>
      <c r="AB136" s="31"/>
      <c r="AC136" s="36"/>
      <c r="AD136" s="8"/>
      <c r="AE136" s="6"/>
      <c r="AF136" s="52">
        <f t="shared" si="5"/>
        <v>22226925</v>
      </c>
      <c r="AG136" s="25">
        <f t="shared" si="6"/>
        <v>28284456</v>
      </c>
      <c r="AH136" s="52">
        <f t="shared" si="9"/>
        <v>0</v>
      </c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44">
      <c r="A137" s="6"/>
      <c r="B137" s="6"/>
      <c r="C137" s="6"/>
      <c r="D137" s="6"/>
      <c r="E137" s="6"/>
      <c r="F137" s="6"/>
      <c r="G137" s="11"/>
      <c r="H137" s="6"/>
      <c r="I137" s="6"/>
      <c r="J137" s="6"/>
      <c r="K137" s="7"/>
      <c r="L137" s="21" t="str">
        <f>микс!$H$10</f>
        <v>продажа со склада</v>
      </c>
      <c r="M137" s="22"/>
      <c r="N137" s="22"/>
      <c r="O137" s="22" t="s">
        <v>134</v>
      </c>
      <c r="P137" s="23" t="str">
        <f>микс!$H$49</f>
        <v>Товары для детей</v>
      </c>
      <c r="Q137" s="21" t="s">
        <v>59</v>
      </c>
      <c r="R137" s="25">
        <v>1</v>
      </c>
      <c r="S137" s="28"/>
      <c r="T137" s="31">
        <v>42316</v>
      </c>
      <c r="U137" s="33">
        <v>4006</v>
      </c>
      <c r="V137" s="36">
        <f t="shared" si="7"/>
        <v>4006</v>
      </c>
      <c r="W137" s="28"/>
      <c r="X137" s="31">
        <v>42348</v>
      </c>
      <c r="Y137" s="33">
        <v>4356</v>
      </c>
      <c r="Z137" s="189">
        <f t="shared" si="8"/>
        <v>4356</v>
      </c>
      <c r="AA137" s="190"/>
      <c r="AB137" s="31">
        <v>42346</v>
      </c>
      <c r="AC137" s="36">
        <v>4006</v>
      </c>
      <c r="AD137" s="8"/>
      <c r="AE137" s="6"/>
      <c r="AF137" s="52">
        <f t="shared" ref="AF137:AF200" si="10">T137*V137</f>
        <v>169517896</v>
      </c>
      <c r="AG137" s="25">
        <f t="shared" ref="AG137:AG200" si="11">X137*Z137</f>
        <v>184467888</v>
      </c>
      <c r="AH137" s="52">
        <f t="shared" si="9"/>
        <v>169638076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spans="1:44">
      <c r="A138" s="6"/>
      <c r="B138" s="6"/>
      <c r="C138" s="6"/>
      <c r="D138" s="6"/>
      <c r="E138" s="6"/>
      <c r="F138" s="6"/>
      <c r="G138" s="11"/>
      <c r="H138" s="6"/>
      <c r="I138" s="6"/>
      <c r="J138" s="6"/>
      <c r="K138" s="7"/>
      <c r="L138" s="21" t="str">
        <f>микс!$H$11</f>
        <v>продажа под заказ</v>
      </c>
      <c r="M138" s="22"/>
      <c r="N138" s="22"/>
      <c r="O138" s="22" t="s">
        <v>134</v>
      </c>
      <c r="P138" s="23" t="str">
        <f>микс!$H$49</f>
        <v>Товары для детей</v>
      </c>
      <c r="Q138" s="21" t="s">
        <v>59</v>
      </c>
      <c r="R138" s="25">
        <v>1</v>
      </c>
      <c r="S138" s="28"/>
      <c r="T138" s="31">
        <v>42305</v>
      </c>
      <c r="U138" s="33">
        <v>3550</v>
      </c>
      <c r="V138" s="36">
        <f t="shared" ref="V138:V201" si="12">$R138*U138</f>
        <v>3550</v>
      </c>
      <c r="W138" s="28"/>
      <c r="X138" s="31">
        <v>42307</v>
      </c>
      <c r="Y138" s="33">
        <v>3755</v>
      </c>
      <c r="Z138" s="189">
        <f t="shared" ref="Z138:Z201" si="13">$R138*Y138</f>
        <v>3755</v>
      </c>
      <c r="AA138" s="190"/>
      <c r="AB138" s="31">
        <v>42350</v>
      </c>
      <c r="AC138" s="36">
        <v>3550</v>
      </c>
      <c r="AD138" s="8"/>
      <c r="AE138" s="6"/>
      <c r="AF138" s="52">
        <f t="shared" si="10"/>
        <v>150182750</v>
      </c>
      <c r="AG138" s="25">
        <f t="shared" si="11"/>
        <v>158862785</v>
      </c>
      <c r="AH138" s="52">
        <f t="shared" ref="AH138:AH201" si="14">AB138*AC138</f>
        <v>150342500</v>
      </c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spans="1:44">
      <c r="A139" s="6"/>
      <c r="B139" s="6"/>
      <c r="C139" s="6"/>
      <c r="D139" s="6"/>
      <c r="E139" s="6"/>
      <c r="F139" s="6"/>
      <c r="G139" s="11"/>
      <c r="H139" s="6"/>
      <c r="I139" s="6"/>
      <c r="J139" s="6"/>
      <c r="K139" s="7"/>
      <c r="L139" s="21" t="str">
        <f>микс!$H$10</f>
        <v>продажа со склада</v>
      </c>
      <c r="M139" s="22"/>
      <c r="N139" s="22"/>
      <c r="O139" s="22" t="s">
        <v>134</v>
      </c>
      <c r="P139" s="23" t="str">
        <f>микс!$H$49</f>
        <v>Товары для детей</v>
      </c>
      <c r="Q139" s="21" t="s">
        <v>59</v>
      </c>
      <c r="R139" s="25">
        <v>1</v>
      </c>
      <c r="S139" s="28"/>
      <c r="T139" s="31">
        <v>42294</v>
      </c>
      <c r="U139" s="33">
        <v>3794.5</v>
      </c>
      <c r="V139" s="36">
        <f t="shared" si="12"/>
        <v>3794.5</v>
      </c>
      <c r="W139" s="28"/>
      <c r="X139" s="31">
        <v>42318</v>
      </c>
      <c r="Y139" s="33">
        <v>3755</v>
      </c>
      <c r="Z139" s="189">
        <f t="shared" si="13"/>
        <v>3755</v>
      </c>
      <c r="AA139" s="190"/>
      <c r="AB139" s="31">
        <v>42354</v>
      </c>
      <c r="AC139" s="36">
        <v>3794.5</v>
      </c>
      <c r="AD139" s="8"/>
      <c r="AE139" s="6"/>
      <c r="AF139" s="52">
        <f t="shared" si="10"/>
        <v>160484583</v>
      </c>
      <c r="AG139" s="25">
        <f t="shared" si="11"/>
        <v>158904090</v>
      </c>
      <c r="AH139" s="52">
        <f t="shared" si="14"/>
        <v>160712253</v>
      </c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spans="1:44">
      <c r="A140" s="6"/>
      <c r="B140" s="6"/>
      <c r="C140" s="6"/>
      <c r="D140" s="6"/>
      <c r="E140" s="6"/>
      <c r="F140" s="6"/>
      <c r="G140" s="11"/>
      <c r="H140" s="6"/>
      <c r="I140" s="6"/>
      <c r="J140" s="6"/>
      <c r="K140" s="7"/>
      <c r="L140" s="21" t="str">
        <f>микс!$H$10</f>
        <v>продажа со склада</v>
      </c>
      <c r="M140" s="22"/>
      <c r="N140" s="22"/>
      <c r="O140" s="22" t="s">
        <v>148</v>
      </c>
      <c r="P140" s="23" t="str">
        <f>микс!$H$49</f>
        <v>Товары для детей</v>
      </c>
      <c r="Q140" s="21" t="s">
        <v>61</v>
      </c>
      <c r="R140" s="25">
        <v>1</v>
      </c>
      <c r="S140" s="28"/>
      <c r="T140" s="31">
        <v>42315</v>
      </c>
      <c r="U140" s="33">
        <v>2474.8000000000002</v>
      </c>
      <c r="V140" s="36">
        <f t="shared" si="12"/>
        <v>2474.8000000000002</v>
      </c>
      <c r="W140" s="28"/>
      <c r="X140" s="31">
        <v>42337</v>
      </c>
      <c r="Y140" s="33">
        <v>2542</v>
      </c>
      <c r="Z140" s="189">
        <f t="shared" si="13"/>
        <v>2542</v>
      </c>
      <c r="AA140" s="190"/>
      <c r="AB140" s="31">
        <v>42365</v>
      </c>
      <c r="AC140" s="36">
        <v>2474.8000000000002</v>
      </c>
      <c r="AD140" s="8"/>
      <c r="AE140" s="6"/>
      <c r="AF140" s="52">
        <f t="shared" si="10"/>
        <v>104721162.00000001</v>
      </c>
      <c r="AG140" s="25">
        <f t="shared" si="11"/>
        <v>107620654</v>
      </c>
      <c r="AH140" s="52">
        <f t="shared" si="14"/>
        <v>104844902.00000001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spans="1:44">
      <c r="A141" s="6"/>
      <c r="B141" s="6"/>
      <c r="C141" s="6"/>
      <c r="D141" s="6"/>
      <c r="E141" s="6"/>
      <c r="F141" s="6"/>
      <c r="G141" s="11"/>
      <c r="H141" s="6"/>
      <c r="I141" s="6"/>
      <c r="J141" s="6"/>
      <c r="K141" s="7"/>
      <c r="L141" s="21" t="str">
        <f>микс!$H$10</f>
        <v>продажа со склада</v>
      </c>
      <c r="M141" s="22"/>
      <c r="N141" s="22"/>
      <c r="O141" s="22" t="s">
        <v>148</v>
      </c>
      <c r="P141" s="23" t="str">
        <f>микс!$H$49</f>
        <v>Товары для детей</v>
      </c>
      <c r="Q141" s="21" t="s">
        <v>61</v>
      </c>
      <c r="R141" s="25">
        <v>1</v>
      </c>
      <c r="S141" s="28"/>
      <c r="T141" s="31">
        <v>42314</v>
      </c>
      <c r="U141" s="33">
        <v>2474.8000000000002</v>
      </c>
      <c r="V141" s="36">
        <f t="shared" si="12"/>
        <v>2474.8000000000002</v>
      </c>
      <c r="W141" s="28"/>
      <c r="X141" s="31">
        <v>42343</v>
      </c>
      <c r="Y141" s="33">
        <v>2595</v>
      </c>
      <c r="Z141" s="189">
        <f t="shared" si="13"/>
        <v>2595</v>
      </c>
      <c r="AA141" s="190"/>
      <c r="AB141" s="31"/>
      <c r="AC141" s="36"/>
      <c r="AD141" s="8"/>
      <c r="AE141" s="6"/>
      <c r="AF141" s="52">
        <f t="shared" si="10"/>
        <v>104718687.2</v>
      </c>
      <c r="AG141" s="25">
        <f t="shared" si="11"/>
        <v>109880085</v>
      </c>
      <c r="AH141" s="52">
        <f t="shared" si="14"/>
        <v>0</v>
      </c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spans="1:44">
      <c r="A142" s="6"/>
      <c r="B142" s="6"/>
      <c r="C142" s="6"/>
      <c r="D142" s="6"/>
      <c r="E142" s="6"/>
      <c r="F142" s="6"/>
      <c r="G142" s="11"/>
      <c r="H142" s="6"/>
      <c r="I142" s="6"/>
      <c r="J142" s="6"/>
      <c r="K142" s="7"/>
      <c r="L142" s="21" t="str">
        <f>микс!$H$10</f>
        <v>продажа со склада</v>
      </c>
      <c r="M142" s="22"/>
      <c r="N142" s="22"/>
      <c r="O142" s="22" t="s">
        <v>148</v>
      </c>
      <c r="P142" s="23" t="str">
        <f>микс!$H$49</f>
        <v>Товары для детей</v>
      </c>
      <c r="Q142" s="21" t="s">
        <v>61</v>
      </c>
      <c r="R142" s="25">
        <v>1</v>
      </c>
      <c r="S142" s="28"/>
      <c r="T142" s="31">
        <v>41978</v>
      </c>
      <c r="U142" s="33">
        <v>2474.8000000000002</v>
      </c>
      <c r="V142" s="36">
        <f t="shared" si="12"/>
        <v>2474.8000000000002</v>
      </c>
      <c r="W142" s="28"/>
      <c r="X142" s="31">
        <v>42340</v>
      </c>
      <c r="Y142" s="33">
        <v>2542</v>
      </c>
      <c r="Z142" s="189">
        <f t="shared" si="13"/>
        <v>2542</v>
      </c>
      <c r="AA142" s="190"/>
      <c r="AB142" s="31">
        <v>42008</v>
      </c>
      <c r="AC142" s="36">
        <v>2474.8000000000002</v>
      </c>
      <c r="AD142" s="8"/>
      <c r="AE142" s="6"/>
      <c r="AF142" s="52">
        <f t="shared" si="10"/>
        <v>103887154.40000001</v>
      </c>
      <c r="AG142" s="25">
        <f t="shared" si="11"/>
        <v>107628280</v>
      </c>
      <c r="AH142" s="52">
        <f t="shared" si="14"/>
        <v>103961398.40000001</v>
      </c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spans="1:44">
      <c r="A143" s="6"/>
      <c r="B143" s="6"/>
      <c r="C143" s="6"/>
      <c r="D143" s="6"/>
      <c r="E143" s="6"/>
      <c r="F143" s="6"/>
      <c r="G143" s="11"/>
      <c r="H143" s="6"/>
      <c r="I143" s="6"/>
      <c r="J143" s="6"/>
      <c r="K143" s="7"/>
      <c r="L143" s="21" t="str">
        <f>микс!$H$10</f>
        <v>продажа со склада</v>
      </c>
      <c r="M143" s="22"/>
      <c r="N143" s="22"/>
      <c r="O143" s="22" t="s">
        <v>148</v>
      </c>
      <c r="P143" s="23" t="str">
        <f>микс!$H$49</f>
        <v>Товары для детей</v>
      </c>
      <c r="Q143" s="21" t="s">
        <v>61</v>
      </c>
      <c r="R143" s="25">
        <v>1</v>
      </c>
      <c r="S143" s="28"/>
      <c r="T143" s="31">
        <v>41975</v>
      </c>
      <c r="U143" s="33">
        <v>2474.8000000000002</v>
      </c>
      <c r="V143" s="36">
        <f t="shared" si="12"/>
        <v>2474.8000000000002</v>
      </c>
      <c r="W143" s="28"/>
      <c r="X143" s="31">
        <v>42337</v>
      </c>
      <c r="Y143" s="33">
        <v>2594</v>
      </c>
      <c r="Z143" s="189">
        <f t="shared" si="13"/>
        <v>2594</v>
      </c>
      <c r="AA143" s="190"/>
      <c r="AB143" s="31">
        <v>41995</v>
      </c>
      <c r="AC143" s="36">
        <v>2474.8000000000002</v>
      </c>
      <c r="AD143" s="8"/>
      <c r="AE143" s="6"/>
      <c r="AF143" s="52">
        <f t="shared" si="10"/>
        <v>103879730.00000001</v>
      </c>
      <c r="AG143" s="25">
        <f t="shared" si="11"/>
        <v>109822178</v>
      </c>
      <c r="AH143" s="52">
        <f t="shared" si="14"/>
        <v>103929226.00000001</v>
      </c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spans="1:44">
      <c r="A144" s="6"/>
      <c r="B144" s="6"/>
      <c r="C144" s="6"/>
      <c r="D144" s="6"/>
      <c r="E144" s="6"/>
      <c r="F144" s="6"/>
      <c r="G144" s="11"/>
      <c r="H144" s="6"/>
      <c r="I144" s="6"/>
      <c r="J144" s="6"/>
      <c r="K144" s="7"/>
      <c r="L144" s="21" t="str">
        <f>микс!$H$11</f>
        <v>продажа под заказ</v>
      </c>
      <c r="M144" s="22"/>
      <c r="N144" s="22"/>
      <c r="O144" s="22" t="s">
        <v>148</v>
      </c>
      <c r="P144" s="23" t="str">
        <f>микс!$H$49</f>
        <v>Товары для детей</v>
      </c>
      <c r="Q144" s="21" t="s">
        <v>60</v>
      </c>
      <c r="R144" s="25">
        <v>1</v>
      </c>
      <c r="S144" s="28"/>
      <c r="T144" s="31">
        <v>42298</v>
      </c>
      <c r="U144" s="33">
        <v>4494</v>
      </c>
      <c r="V144" s="36">
        <f t="shared" si="12"/>
        <v>4494</v>
      </c>
      <c r="W144" s="28"/>
      <c r="X144" s="31">
        <v>42305</v>
      </c>
      <c r="Y144" s="33">
        <v>4832</v>
      </c>
      <c r="Z144" s="189">
        <f t="shared" si="13"/>
        <v>4832</v>
      </c>
      <c r="AA144" s="190"/>
      <c r="AB144" s="31">
        <v>42308</v>
      </c>
      <c r="AC144" s="36">
        <v>4494</v>
      </c>
      <c r="AD144" s="8"/>
      <c r="AE144" s="6"/>
      <c r="AF144" s="52">
        <f t="shared" si="10"/>
        <v>190087212</v>
      </c>
      <c r="AG144" s="25">
        <f t="shared" si="11"/>
        <v>204417760</v>
      </c>
      <c r="AH144" s="52">
        <f t="shared" si="14"/>
        <v>190132152</v>
      </c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spans="1:44">
      <c r="A145" s="6"/>
      <c r="B145" s="6"/>
      <c r="C145" s="6"/>
      <c r="D145" s="6"/>
      <c r="E145" s="6"/>
      <c r="F145" s="6"/>
      <c r="G145" s="11"/>
      <c r="H145" s="6"/>
      <c r="I145" s="6"/>
      <c r="J145" s="6"/>
      <c r="K145" s="7"/>
      <c r="L145" s="21" t="str">
        <f>микс!$H$11</f>
        <v>продажа под заказ</v>
      </c>
      <c r="M145" s="22"/>
      <c r="N145" s="22"/>
      <c r="O145" s="22" t="s">
        <v>148</v>
      </c>
      <c r="P145" s="23" t="str">
        <f>микс!$H$49</f>
        <v>Товары для детей</v>
      </c>
      <c r="Q145" s="21" t="s">
        <v>60</v>
      </c>
      <c r="R145" s="25">
        <v>1</v>
      </c>
      <c r="S145" s="28"/>
      <c r="T145" s="31">
        <v>42298</v>
      </c>
      <c r="U145" s="33">
        <v>4493.5</v>
      </c>
      <c r="V145" s="36">
        <f t="shared" si="12"/>
        <v>4493.5</v>
      </c>
      <c r="W145" s="28"/>
      <c r="X145" s="31">
        <v>42302</v>
      </c>
      <c r="Y145" s="33">
        <v>4832</v>
      </c>
      <c r="Z145" s="189">
        <f t="shared" si="13"/>
        <v>4832</v>
      </c>
      <c r="AA145" s="190"/>
      <c r="AB145" s="31">
        <v>42308</v>
      </c>
      <c r="AC145" s="36">
        <v>4493.5</v>
      </c>
      <c r="AD145" s="8"/>
      <c r="AE145" s="6"/>
      <c r="AF145" s="52">
        <f t="shared" si="10"/>
        <v>190066063</v>
      </c>
      <c r="AG145" s="25">
        <f t="shared" si="11"/>
        <v>204403264</v>
      </c>
      <c r="AH145" s="52">
        <f t="shared" si="14"/>
        <v>190110998</v>
      </c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spans="1:44">
      <c r="A146" s="6"/>
      <c r="B146" s="6"/>
      <c r="C146" s="6"/>
      <c r="D146" s="6"/>
      <c r="E146" s="6"/>
      <c r="F146" s="6"/>
      <c r="G146" s="11"/>
      <c r="H146" s="6"/>
      <c r="I146" s="6"/>
      <c r="J146" s="6"/>
      <c r="K146" s="7"/>
      <c r="L146" s="21" t="str">
        <f>микс!$H$10</f>
        <v>продажа со склада</v>
      </c>
      <c r="M146" s="22"/>
      <c r="N146" s="22"/>
      <c r="O146" s="22" t="s">
        <v>150</v>
      </c>
      <c r="P146" s="23" t="str">
        <f>микс!$H$49</f>
        <v>Товары для детей</v>
      </c>
      <c r="Q146" s="21" t="s">
        <v>60</v>
      </c>
      <c r="R146" s="25">
        <v>1</v>
      </c>
      <c r="S146" s="28"/>
      <c r="T146" s="31">
        <v>41966</v>
      </c>
      <c r="U146" s="33">
        <v>4493.5</v>
      </c>
      <c r="V146" s="36">
        <f t="shared" si="12"/>
        <v>4493.5</v>
      </c>
      <c r="W146" s="28"/>
      <c r="X146" s="31">
        <v>42330</v>
      </c>
      <c r="Y146" s="33">
        <v>4990</v>
      </c>
      <c r="Z146" s="189">
        <f t="shared" si="13"/>
        <v>4990</v>
      </c>
      <c r="AA146" s="190"/>
      <c r="AB146" s="31">
        <v>41996</v>
      </c>
      <c r="AC146" s="36">
        <v>4493.5</v>
      </c>
      <c r="AD146" s="8"/>
      <c r="AE146" s="6"/>
      <c r="AF146" s="52">
        <f t="shared" si="10"/>
        <v>188574221</v>
      </c>
      <c r="AG146" s="25">
        <f t="shared" si="11"/>
        <v>211226700</v>
      </c>
      <c r="AH146" s="52">
        <f t="shared" si="14"/>
        <v>188709026</v>
      </c>
      <c r="AI146" s="6"/>
      <c r="AJ146" s="6"/>
      <c r="AK146" s="6"/>
      <c r="AL146" s="6"/>
      <c r="AM146" s="6"/>
      <c r="AN146" s="6"/>
      <c r="AO146" s="6"/>
      <c r="AP146" s="6"/>
      <c r="AQ146" s="6"/>
      <c r="AR146" s="6"/>
    </row>
    <row r="147" spans="1:44">
      <c r="A147" s="6"/>
      <c r="B147" s="6"/>
      <c r="C147" s="6"/>
      <c r="D147" s="6"/>
      <c r="E147" s="6"/>
      <c r="F147" s="6"/>
      <c r="G147" s="11"/>
      <c r="H147" s="6"/>
      <c r="I147" s="6"/>
      <c r="J147" s="6"/>
      <c r="K147" s="7"/>
      <c r="L147" s="21" t="str">
        <f>микс!$H$10</f>
        <v>продажа со склада</v>
      </c>
      <c r="M147" s="22"/>
      <c r="N147" s="22"/>
      <c r="O147" s="22" t="s">
        <v>150</v>
      </c>
      <c r="P147" s="23" t="str">
        <f>микс!$H$49</f>
        <v>Товары для детей</v>
      </c>
      <c r="Q147" s="21" t="s">
        <v>61</v>
      </c>
      <c r="R147" s="25">
        <v>1</v>
      </c>
      <c r="S147" s="28"/>
      <c r="T147" s="31">
        <v>41860</v>
      </c>
      <c r="U147" s="33">
        <v>2652.44</v>
      </c>
      <c r="V147" s="36">
        <f t="shared" si="12"/>
        <v>2652.44</v>
      </c>
      <c r="W147" s="28"/>
      <c r="X147" s="31">
        <v>42321</v>
      </c>
      <c r="Y147" s="33">
        <v>3229</v>
      </c>
      <c r="Z147" s="189">
        <f t="shared" si="13"/>
        <v>3229</v>
      </c>
      <c r="AA147" s="190"/>
      <c r="AB147" s="31">
        <v>41881</v>
      </c>
      <c r="AC147" s="36">
        <v>2652.44</v>
      </c>
      <c r="AD147" s="8"/>
      <c r="AE147" s="6"/>
      <c r="AF147" s="52">
        <f t="shared" si="10"/>
        <v>111031138.40000001</v>
      </c>
      <c r="AG147" s="25">
        <f t="shared" si="11"/>
        <v>136654509</v>
      </c>
      <c r="AH147" s="52">
        <f t="shared" si="14"/>
        <v>111086839.64</v>
      </c>
      <c r="AI147" s="6"/>
      <c r="AJ147" s="6"/>
      <c r="AK147" s="6"/>
      <c r="AL147" s="6"/>
      <c r="AM147" s="6"/>
      <c r="AN147" s="6"/>
      <c r="AO147" s="6"/>
      <c r="AP147" s="6"/>
      <c r="AQ147" s="6"/>
      <c r="AR147" s="6"/>
    </row>
    <row r="148" spans="1:44">
      <c r="A148" s="6"/>
      <c r="B148" s="6"/>
      <c r="C148" s="6"/>
      <c r="D148" s="6"/>
      <c r="E148" s="6"/>
      <c r="F148" s="6"/>
      <c r="G148" s="11"/>
      <c r="H148" s="6"/>
      <c r="I148" s="6"/>
      <c r="J148" s="6"/>
      <c r="K148" s="7"/>
      <c r="L148" s="21" t="str">
        <f>микс!$H$10</f>
        <v>продажа со склада</v>
      </c>
      <c r="M148" s="22"/>
      <c r="N148" s="22"/>
      <c r="O148" s="22" t="s">
        <v>150</v>
      </c>
      <c r="P148" s="23" t="str">
        <f>микс!$H$49</f>
        <v>Товары для детей</v>
      </c>
      <c r="Q148" s="21" t="s">
        <v>61</v>
      </c>
      <c r="R148" s="25">
        <v>1</v>
      </c>
      <c r="S148" s="28"/>
      <c r="T148" s="31">
        <v>41859</v>
      </c>
      <c r="U148" s="33">
        <v>2652.44</v>
      </c>
      <c r="V148" s="36">
        <f t="shared" si="12"/>
        <v>2652.44</v>
      </c>
      <c r="W148" s="28"/>
      <c r="X148" s="31">
        <v>42325</v>
      </c>
      <c r="Y148" s="33">
        <v>3325</v>
      </c>
      <c r="Z148" s="189">
        <f t="shared" si="13"/>
        <v>3325</v>
      </c>
      <c r="AA148" s="190"/>
      <c r="AB148" s="31"/>
      <c r="AC148" s="36"/>
      <c r="AD148" s="8"/>
      <c r="AE148" s="6"/>
      <c r="AF148" s="52">
        <f t="shared" si="10"/>
        <v>111028485.96000001</v>
      </c>
      <c r="AG148" s="25">
        <f t="shared" si="11"/>
        <v>140730625</v>
      </c>
      <c r="AH148" s="52">
        <f t="shared" si="14"/>
        <v>0</v>
      </c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spans="1:44">
      <c r="A149" s="6"/>
      <c r="B149" s="6"/>
      <c r="C149" s="6"/>
      <c r="D149" s="6"/>
      <c r="E149" s="6"/>
      <c r="F149" s="6"/>
      <c r="G149" s="11"/>
      <c r="H149" s="6"/>
      <c r="I149" s="6"/>
      <c r="J149" s="6"/>
      <c r="K149" s="7"/>
      <c r="L149" s="21" t="str">
        <f>микс!$H$11</f>
        <v>продажа под заказ</v>
      </c>
      <c r="M149" s="22"/>
      <c r="N149" s="22"/>
      <c r="O149" s="22" t="s">
        <v>150</v>
      </c>
      <c r="P149" s="23" t="str">
        <f>микс!$H$49</f>
        <v>Товары для детей</v>
      </c>
      <c r="Q149" s="21" t="s">
        <v>61</v>
      </c>
      <c r="R149" s="25">
        <v>1</v>
      </c>
      <c r="S149" s="28"/>
      <c r="T149" s="31">
        <v>42323</v>
      </c>
      <c r="U149" s="33">
        <v>2632.78</v>
      </c>
      <c r="V149" s="36">
        <f t="shared" si="12"/>
        <v>2632.78</v>
      </c>
      <c r="W149" s="28"/>
      <c r="X149" s="31">
        <v>42327</v>
      </c>
      <c r="Y149" s="33">
        <v>3300</v>
      </c>
      <c r="Z149" s="189">
        <f t="shared" si="13"/>
        <v>3300</v>
      </c>
      <c r="AA149" s="190"/>
      <c r="AB149" s="31">
        <v>42353</v>
      </c>
      <c r="AC149" s="36">
        <v>2632.78</v>
      </c>
      <c r="AD149" s="8"/>
      <c r="AE149" s="6"/>
      <c r="AF149" s="52">
        <f t="shared" si="10"/>
        <v>111427147.94000001</v>
      </c>
      <c r="AG149" s="25">
        <f t="shared" si="11"/>
        <v>139679100</v>
      </c>
      <c r="AH149" s="52">
        <f t="shared" si="14"/>
        <v>111506131.34</v>
      </c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spans="1:44">
      <c r="A150" s="6"/>
      <c r="B150" s="6"/>
      <c r="C150" s="6"/>
      <c r="D150" s="6"/>
      <c r="E150" s="6"/>
      <c r="F150" s="6"/>
      <c r="G150" s="11"/>
      <c r="H150" s="6"/>
      <c r="I150" s="6"/>
      <c r="J150" s="6"/>
      <c r="K150" s="7"/>
      <c r="L150" s="21" t="str">
        <f>микс!$H$11</f>
        <v>продажа под заказ</v>
      </c>
      <c r="M150" s="22"/>
      <c r="N150" s="22"/>
      <c r="O150" s="22" t="s">
        <v>150</v>
      </c>
      <c r="P150" s="23" t="str">
        <f>микс!$H$49</f>
        <v>Товары для детей</v>
      </c>
      <c r="Q150" s="21" t="s">
        <v>61</v>
      </c>
      <c r="R150" s="25">
        <v>1</v>
      </c>
      <c r="S150" s="28"/>
      <c r="T150" s="31">
        <v>42335</v>
      </c>
      <c r="U150" s="33">
        <v>1221</v>
      </c>
      <c r="V150" s="36">
        <f t="shared" si="12"/>
        <v>1221</v>
      </c>
      <c r="W150" s="28"/>
      <c r="X150" s="31">
        <v>42341</v>
      </c>
      <c r="Y150" s="33">
        <v>1539</v>
      </c>
      <c r="Z150" s="189">
        <f t="shared" si="13"/>
        <v>1539</v>
      </c>
      <c r="AA150" s="190"/>
      <c r="AB150" s="31">
        <v>42350</v>
      </c>
      <c r="AC150" s="36">
        <v>1221</v>
      </c>
      <c r="AD150" s="8"/>
      <c r="AE150" s="6"/>
      <c r="AF150" s="52">
        <f t="shared" si="10"/>
        <v>51691035</v>
      </c>
      <c r="AG150" s="25">
        <f t="shared" si="11"/>
        <v>65162799</v>
      </c>
      <c r="AH150" s="52">
        <f t="shared" si="14"/>
        <v>51709350</v>
      </c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spans="1:44">
      <c r="A151" s="6"/>
      <c r="B151" s="6"/>
      <c r="C151" s="6"/>
      <c r="D151" s="6"/>
      <c r="E151" s="6"/>
      <c r="F151" s="6"/>
      <c r="G151" s="11"/>
      <c r="H151" s="6"/>
      <c r="I151" s="6"/>
      <c r="J151" s="6"/>
      <c r="K151" s="7"/>
      <c r="L151" s="21" t="str">
        <f>микс!$H$10</f>
        <v>продажа со склада</v>
      </c>
      <c r="M151" s="22"/>
      <c r="N151" s="22"/>
      <c r="O151" s="22" t="s">
        <v>150</v>
      </c>
      <c r="P151" s="23" t="str">
        <f>микс!$H$49</f>
        <v>Товары для детей</v>
      </c>
      <c r="Q151" s="21" t="s">
        <v>61</v>
      </c>
      <c r="R151" s="25">
        <v>1</v>
      </c>
      <c r="S151" s="28"/>
      <c r="T151" s="31">
        <v>41878</v>
      </c>
      <c r="U151" s="33">
        <v>1115.4000000000001</v>
      </c>
      <c r="V151" s="36">
        <f t="shared" si="12"/>
        <v>1115.4000000000001</v>
      </c>
      <c r="W151" s="28"/>
      <c r="X151" s="31">
        <v>42346</v>
      </c>
      <c r="Y151" s="33">
        <v>880</v>
      </c>
      <c r="Z151" s="189">
        <f t="shared" si="13"/>
        <v>880</v>
      </c>
      <c r="AA151" s="190"/>
      <c r="AB151" s="31">
        <v>41900</v>
      </c>
      <c r="AC151" s="36">
        <v>1115.4000000000001</v>
      </c>
      <c r="AD151" s="8"/>
      <c r="AE151" s="6"/>
      <c r="AF151" s="52">
        <f t="shared" si="10"/>
        <v>46710721.200000003</v>
      </c>
      <c r="AG151" s="25">
        <f t="shared" si="11"/>
        <v>37264480</v>
      </c>
      <c r="AH151" s="52">
        <f t="shared" si="14"/>
        <v>46735260.000000007</v>
      </c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spans="1:44">
      <c r="A152" s="6"/>
      <c r="B152" s="6"/>
      <c r="C152" s="6"/>
      <c r="D152" s="6"/>
      <c r="E152" s="6"/>
      <c r="F152" s="6"/>
      <c r="G152" s="11"/>
      <c r="H152" s="6"/>
      <c r="I152" s="6"/>
      <c r="J152" s="6"/>
      <c r="K152" s="7"/>
      <c r="L152" s="21" t="str">
        <f>микс!$H$11</f>
        <v>продажа под заказ</v>
      </c>
      <c r="M152" s="22"/>
      <c r="N152" s="22"/>
      <c r="O152" s="22" t="s">
        <v>148</v>
      </c>
      <c r="P152" s="23" t="str">
        <f>микс!$H$49</f>
        <v>Товары для детей</v>
      </c>
      <c r="Q152" s="21" t="s">
        <v>60</v>
      </c>
      <c r="R152" s="25">
        <v>1</v>
      </c>
      <c r="S152" s="28"/>
      <c r="T152" s="31">
        <v>42337</v>
      </c>
      <c r="U152" s="33">
        <v>4589</v>
      </c>
      <c r="V152" s="36">
        <f t="shared" si="12"/>
        <v>4589</v>
      </c>
      <c r="W152" s="28"/>
      <c r="X152" s="31">
        <v>42342</v>
      </c>
      <c r="Y152" s="33">
        <v>4849</v>
      </c>
      <c r="Z152" s="189">
        <f t="shared" si="13"/>
        <v>4849</v>
      </c>
      <c r="AA152" s="190"/>
      <c r="AB152" s="31"/>
      <c r="AC152" s="36"/>
      <c r="AD152" s="8"/>
      <c r="AE152" s="6"/>
      <c r="AF152" s="52">
        <f t="shared" si="10"/>
        <v>194284493</v>
      </c>
      <c r="AG152" s="25">
        <f t="shared" si="11"/>
        <v>205316358</v>
      </c>
      <c r="AH152" s="52">
        <f t="shared" si="14"/>
        <v>0</v>
      </c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spans="1:44">
      <c r="A153" s="6"/>
      <c r="B153" s="6"/>
      <c r="C153" s="6"/>
      <c r="D153" s="6"/>
      <c r="E153" s="6"/>
      <c r="F153" s="6"/>
      <c r="G153" s="11"/>
      <c r="H153" s="6"/>
      <c r="I153" s="6"/>
      <c r="J153" s="6"/>
      <c r="K153" s="7"/>
      <c r="L153" s="21" t="str">
        <f>микс!$H$11</f>
        <v>продажа под заказ</v>
      </c>
      <c r="M153" s="22"/>
      <c r="N153" s="22"/>
      <c r="O153" s="22" t="s">
        <v>138</v>
      </c>
      <c r="P153" s="23" t="str">
        <f>микс!$H$49</f>
        <v>Товары для детей</v>
      </c>
      <c r="Q153" s="21" t="s">
        <v>59</v>
      </c>
      <c r="R153" s="25">
        <v>1</v>
      </c>
      <c r="S153" s="28"/>
      <c r="T153" s="31">
        <v>42338</v>
      </c>
      <c r="U153" s="33">
        <v>7205</v>
      </c>
      <c r="V153" s="36">
        <f t="shared" si="12"/>
        <v>7205</v>
      </c>
      <c r="W153" s="28"/>
      <c r="X153" s="31">
        <v>42341</v>
      </c>
      <c r="Y153" s="33">
        <v>7332</v>
      </c>
      <c r="Z153" s="189">
        <f t="shared" si="13"/>
        <v>7332</v>
      </c>
      <c r="AA153" s="190"/>
      <c r="AB153" s="31">
        <v>42343</v>
      </c>
      <c r="AC153" s="36">
        <v>7205</v>
      </c>
      <c r="AD153" s="8"/>
      <c r="AE153" s="6"/>
      <c r="AF153" s="52">
        <f t="shared" si="10"/>
        <v>305045290</v>
      </c>
      <c r="AG153" s="25">
        <f t="shared" si="11"/>
        <v>310444212</v>
      </c>
      <c r="AH153" s="52">
        <f t="shared" si="14"/>
        <v>305081315</v>
      </c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spans="1:44">
      <c r="A154" s="6"/>
      <c r="B154" s="6"/>
      <c r="C154" s="6"/>
      <c r="D154" s="6"/>
      <c r="E154" s="6"/>
      <c r="F154" s="6"/>
      <c r="G154" s="11"/>
      <c r="H154" s="6"/>
      <c r="I154" s="6"/>
      <c r="J154" s="6"/>
      <c r="K154" s="7"/>
      <c r="L154" s="21" t="str">
        <f>микс!$H$11</f>
        <v>продажа под заказ</v>
      </c>
      <c r="M154" s="22"/>
      <c r="N154" s="22"/>
      <c r="O154" s="22" t="s">
        <v>138</v>
      </c>
      <c r="P154" s="23" t="str">
        <f>микс!$H$49</f>
        <v>Товары для детей</v>
      </c>
      <c r="Q154" s="21" t="s">
        <v>59</v>
      </c>
      <c r="R154" s="25">
        <v>1</v>
      </c>
      <c r="S154" s="28"/>
      <c r="T154" s="31">
        <v>42303</v>
      </c>
      <c r="U154" s="33">
        <v>6415</v>
      </c>
      <c r="V154" s="36">
        <f t="shared" si="12"/>
        <v>6415</v>
      </c>
      <c r="W154" s="28"/>
      <c r="X154" s="31">
        <v>42305</v>
      </c>
      <c r="Y154" s="33">
        <v>6770</v>
      </c>
      <c r="Z154" s="189">
        <f t="shared" si="13"/>
        <v>6770</v>
      </c>
      <c r="AA154" s="190"/>
      <c r="AB154" s="31">
        <v>42343</v>
      </c>
      <c r="AC154" s="36">
        <v>6415</v>
      </c>
      <c r="AD154" s="8"/>
      <c r="AE154" s="6"/>
      <c r="AF154" s="52">
        <f t="shared" si="10"/>
        <v>271373745</v>
      </c>
      <c r="AG154" s="25">
        <f t="shared" si="11"/>
        <v>286404850</v>
      </c>
      <c r="AH154" s="52">
        <f t="shared" si="14"/>
        <v>271630345</v>
      </c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spans="1:44">
      <c r="A155" s="6"/>
      <c r="B155" s="6"/>
      <c r="C155" s="6"/>
      <c r="D155" s="6"/>
      <c r="E155" s="6"/>
      <c r="F155" s="6"/>
      <c r="G155" s="11"/>
      <c r="H155" s="6"/>
      <c r="I155" s="6"/>
      <c r="J155" s="6"/>
      <c r="K155" s="7"/>
      <c r="L155" s="21" t="str">
        <f>микс!$H$11</f>
        <v>продажа под заказ</v>
      </c>
      <c r="M155" s="22"/>
      <c r="N155" s="22"/>
      <c r="O155" s="22" t="s">
        <v>138</v>
      </c>
      <c r="P155" s="23" t="str">
        <f>микс!$H$49</f>
        <v>Товары для детей</v>
      </c>
      <c r="Q155" s="21" t="s">
        <v>59</v>
      </c>
      <c r="R155" s="25">
        <v>1</v>
      </c>
      <c r="S155" s="28"/>
      <c r="T155" s="31">
        <v>42297</v>
      </c>
      <c r="U155" s="33">
        <v>6415</v>
      </c>
      <c r="V155" s="36">
        <f t="shared" si="12"/>
        <v>6415</v>
      </c>
      <c r="W155" s="28"/>
      <c r="X155" s="31">
        <v>42301</v>
      </c>
      <c r="Y155" s="33">
        <v>6770</v>
      </c>
      <c r="Z155" s="189">
        <f t="shared" si="13"/>
        <v>6770</v>
      </c>
      <c r="AA155" s="190"/>
      <c r="AB155" s="31">
        <v>42332</v>
      </c>
      <c r="AC155" s="36">
        <v>6415</v>
      </c>
      <c r="AD155" s="8"/>
      <c r="AE155" s="6"/>
      <c r="AF155" s="52">
        <f t="shared" si="10"/>
        <v>271335255</v>
      </c>
      <c r="AG155" s="25">
        <f t="shared" si="11"/>
        <v>286377770</v>
      </c>
      <c r="AH155" s="52">
        <f t="shared" si="14"/>
        <v>271559780</v>
      </c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spans="1:44">
      <c r="A156" s="6"/>
      <c r="B156" s="6"/>
      <c r="C156" s="6"/>
      <c r="D156" s="6"/>
      <c r="E156" s="6"/>
      <c r="F156" s="6"/>
      <c r="G156" s="11"/>
      <c r="H156" s="6"/>
      <c r="I156" s="6"/>
      <c r="J156" s="6"/>
      <c r="K156" s="7"/>
      <c r="L156" s="21" t="str">
        <f>микс!$H$10</f>
        <v>продажа со склада</v>
      </c>
      <c r="M156" s="22"/>
      <c r="N156" s="22"/>
      <c r="O156" s="22" t="s">
        <v>138</v>
      </c>
      <c r="P156" s="23" t="str">
        <f>микс!$H$49</f>
        <v>Товары для детей</v>
      </c>
      <c r="Q156" s="21" t="s">
        <v>59</v>
      </c>
      <c r="R156" s="25">
        <v>1</v>
      </c>
      <c r="S156" s="28"/>
      <c r="T156" s="31">
        <v>41847</v>
      </c>
      <c r="U156" s="33">
        <v>6415</v>
      </c>
      <c r="V156" s="36">
        <f t="shared" si="12"/>
        <v>6415</v>
      </c>
      <c r="W156" s="28"/>
      <c r="X156" s="31">
        <v>42308</v>
      </c>
      <c r="Y156" s="33">
        <v>6770</v>
      </c>
      <c r="Z156" s="189">
        <f t="shared" si="13"/>
        <v>6770</v>
      </c>
      <c r="AA156" s="190"/>
      <c r="AB156" s="31"/>
      <c r="AC156" s="36"/>
      <c r="AD156" s="8"/>
      <c r="AE156" s="6"/>
      <c r="AF156" s="52">
        <f t="shared" si="10"/>
        <v>268448505</v>
      </c>
      <c r="AG156" s="25">
        <f t="shared" si="11"/>
        <v>286425160</v>
      </c>
      <c r="AH156" s="52">
        <f t="shared" si="14"/>
        <v>0</v>
      </c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spans="1:44">
      <c r="A157" s="6"/>
      <c r="B157" s="6"/>
      <c r="C157" s="6"/>
      <c r="D157" s="6"/>
      <c r="E157" s="6"/>
      <c r="F157" s="6"/>
      <c r="G157" s="11"/>
      <c r="H157" s="6"/>
      <c r="I157" s="6"/>
      <c r="J157" s="6"/>
      <c r="K157" s="7"/>
      <c r="L157" s="21" t="str">
        <f>микс!$H$10</f>
        <v>продажа со склада</v>
      </c>
      <c r="M157" s="22"/>
      <c r="N157" s="22"/>
      <c r="O157" s="22" t="s">
        <v>138</v>
      </c>
      <c r="P157" s="23" t="str">
        <f>микс!$H$49</f>
        <v>Товары для детей</v>
      </c>
      <c r="Q157" s="21" t="s">
        <v>59</v>
      </c>
      <c r="R157" s="25">
        <v>1</v>
      </c>
      <c r="S157" s="28"/>
      <c r="T157" s="31">
        <v>41863</v>
      </c>
      <c r="U157" s="33">
        <v>6415</v>
      </c>
      <c r="V157" s="36">
        <f t="shared" si="12"/>
        <v>6415</v>
      </c>
      <c r="W157" s="28"/>
      <c r="X157" s="31">
        <v>42324</v>
      </c>
      <c r="Y157" s="33">
        <v>6670</v>
      </c>
      <c r="Z157" s="189">
        <f t="shared" si="13"/>
        <v>6670</v>
      </c>
      <c r="AA157" s="190"/>
      <c r="AB157" s="31">
        <v>41913</v>
      </c>
      <c r="AC157" s="36">
        <v>6415</v>
      </c>
      <c r="AD157" s="8"/>
      <c r="AE157" s="6"/>
      <c r="AF157" s="52">
        <f t="shared" si="10"/>
        <v>268551145</v>
      </c>
      <c r="AG157" s="25">
        <f t="shared" si="11"/>
        <v>282301080</v>
      </c>
      <c r="AH157" s="52">
        <f t="shared" si="14"/>
        <v>268871895</v>
      </c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spans="1:44">
      <c r="A158" s="6"/>
      <c r="B158" s="6"/>
      <c r="C158" s="6"/>
      <c r="D158" s="6"/>
      <c r="E158" s="6"/>
      <c r="F158" s="6"/>
      <c r="G158" s="11"/>
      <c r="H158" s="6"/>
      <c r="I158" s="6"/>
      <c r="J158" s="6"/>
      <c r="K158" s="7"/>
      <c r="L158" s="21" t="str">
        <f>микс!$H$11</f>
        <v>продажа под заказ</v>
      </c>
      <c r="M158" s="22"/>
      <c r="N158" s="22"/>
      <c r="O158" s="22" t="s">
        <v>150</v>
      </c>
      <c r="P158" s="23" t="str">
        <f>микс!$H$49</f>
        <v>Товары для детей</v>
      </c>
      <c r="Q158" s="21" t="s">
        <v>59</v>
      </c>
      <c r="R158" s="25">
        <v>1</v>
      </c>
      <c r="S158" s="28"/>
      <c r="T158" s="31">
        <v>42309</v>
      </c>
      <c r="U158" s="33">
        <v>2892</v>
      </c>
      <c r="V158" s="36">
        <f t="shared" si="12"/>
        <v>2892</v>
      </c>
      <c r="W158" s="28"/>
      <c r="X158" s="31">
        <v>42321</v>
      </c>
      <c r="Y158" s="33">
        <v>3603</v>
      </c>
      <c r="Z158" s="189">
        <f t="shared" si="13"/>
        <v>3603</v>
      </c>
      <c r="AA158" s="190"/>
      <c r="AB158" s="31">
        <v>42329</v>
      </c>
      <c r="AC158" s="36">
        <v>2892</v>
      </c>
      <c r="AD158" s="8"/>
      <c r="AE158" s="6"/>
      <c r="AF158" s="52">
        <f t="shared" si="10"/>
        <v>122357628</v>
      </c>
      <c r="AG158" s="25">
        <f t="shared" si="11"/>
        <v>152482563</v>
      </c>
      <c r="AH158" s="52">
        <f t="shared" si="14"/>
        <v>122415468</v>
      </c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spans="1:44">
      <c r="A159" s="6"/>
      <c r="B159" s="6"/>
      <c r="C159" s="6"/>
      <c r="D159" s="6"/>
      <c r="E159" s="6"/>
      <c r="F159" s="6"/>
      <c r="G159" s="11"/>
      <c r="H159" s="6"/>
      <c r="I159" s="6"/>
      <c r="J159" s="6"/>
      <c r="K159" s="7"/>
      <c r="L159" s="21" t="str">
        <f>микс!$H$11</f>
        <v>продажа под заказ</v>
      </c>
      <c r="M159" s="22"/>
      <c r="N159" s="22"/>
      <c r="O159" s="22" t="s">
        <v>150</v>
      </c>
      <c r="P159" s="23" t="str">
        <f>микс!$H$49</f>
        <v>Товары для детей</v>
      </c>
      <c r="Q159" s="21" t="s">
        <v>59</v>
      </c>
      <c r="R159" s="25">
        <v>1</v>
      </c>
      <c r="S159" s="28"/>
      <c r="T159" s="31">
        <v>42304</v>
      </c>
      <c r="U159" s="33">
        <v>2891.65</v>
      </c>
      <c r="V159" s="36">
        <f t="shared" si="12"/>
        <v>2891.65</v>
      </c>
      <c r="W159" s="28"/>
      <c r="X159" s="31">
        <v>42306</v>
      </c>
      <c r="Y159" s="33">
        <v>3499</v>
      </c>
      <c r="Z159" s="189">
        <f t="shared" si="13"/>
        <v>3499</v>
      </c>
      <c r="AA159" s="190"/>
      <c r="AB159" s="31"/>
      <c r="AC159" s="36"/>
      <c r="AD159" s="8"/>
      <c r="AE159" s="6"/>
      <c r="AF159" s="52">
        <f t="shared" si="10"/>
        <v>122328361.60000001</v>
      </c>
      <c r="AG159" s="25">
        <f t="shared" si="11"/>
        <v>148028694</v>
      </c>
      <c r="AH159" s="52">
        <f t="shared" si="14"/>
        <v>0</v>
      </c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spans="1:44">
      <c r="A160" s="6"/>
      <c r="B160" s="6"/>
      <c r="C160" s="6"/>
      <c r="D160" s="6"/>
      <c r="E160" s="6"/>
      <c r="F160" s="6"/>
      <c r="G160" s="11"/>
      <c r="H160" s="6"/>
      <c r="I160" s="6"/>
      <c r="J160" s="6"/>
      <c r="K160" s="7"/>
      <c r="L160" s="21" t="str">
        <f>микс!$H$11</f>
        <v>продажа под заказ</v>
      </c>
      <c r="M160" s="22"/>
      <c r="N160" s="22"/>
      <c r="O160" s="22" t="s">
        <v>150</v>
      </c>
      <c r="P160" s="23" t="str">
        <f>микс!$H$49</f>
        <v>Товары для детей</v>
      </c>
      <c r="Q160" s="21" t="s">
        <v>59</v>
      </c>
      <c r="R160" s="25">
        <v>1</v>
      </c>
      <c r="S160" s="28"/>
      <c r="T160" s="31">
        <v>42304</v>
      </c>
      <c r="U160" s="33">
        <v>2891.65</v>
      </c>
      <c r="V160" s="36">
        <f t="shared" si="12"/>
        <v>2891.65</v>
      </c>
      <c r="W160" s="28"/>
      <c r="X160" s="31">
        <v>42306</v>
      </c>
      <c r="Y160" s="33">
        <v>3499</v>
      </c>
      <c r="Z160" s="189">
        <f t="shared" si="13"/>
        <v>3499</v>
      </c>
      <c r="AA160" s="190"/>
      <c r="AB160" s="31">
        <v>42329</v>
      </c>
      <c r="AC160" s="36">
        <v>2891.65</v>
      </c>
      <c r="AD160" s="8"/>
      <c r="AE160" s="6"/>
      <c r="AF160" s="52">
        <f t="shared" si="10"/>
        <v>122328361.60000001</v>
      </c>
      <c r="AG160" s="25">
        <f t="shared" si="11"/>
        <v>148028694</v>
      </c>
      <c r="AH160" s="52">
        <f t="shared" si="14"/>
        <v>122400652.85000001</v>
      </c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spans="1:44">
      <c r="A161" s="6"/>
      <c r="B161" s="6"/>
      <c r="C161" s="6"/>
      <c r="D161" s="6"/>
      <c r="E161" s="6"/>
      <c r="F161" s="6"/>
      <c r="G161" s="11"/>
      <c r="H161" s="6"/>
      <c r="I161" s="6"/>
      <c r="J161" s="6"/>
      <c r="K161" s="7"/>
      <c r="L161" s="21" t="str">
        <f>микс!$H$11</f>
        <v>продажа под заказ</v>
      </c>
      <c r="M161" s="22"/>
      <c r="N161" s="22"/>
      <c r="O161" s="22" t="s">
        <v>150</v>
      </c>
      <c r="P161" s="23" t="str">
        <f>микс!$H$49</f>
        <v>Товары для детей</v>
      </c>
      <c r="Q161" s="21" t="s">
        <v>59</v>
      </c>
      <c r="R161" s="25">
        <v>1</v>
      </c>
      <c r="S161" s="28"/>
      <c r="T161" s="31">
        <v>42309</v>
      </c>
      <c r="U161" s="33">
        <v>2984.78</v>
      </c>
      <c r="V161" s="36">
        <f t="shared" si="12"/>
        <v>2984.78</v>
      </c>
      <c r="W161" s="28"/>
      <c r="X161" s="31">
        <v>42315</v>
      </c>
      <c r="Y161" s="33">
        <v>3499</v>
      </c>
      <c r="Z161" s="189">
        <f t="shared" si="13"/>
        <v>3499</v>
      </c>
      <c r="AA161" s="190"/>
      <c r="AB161" s="31">
        <v>42319</v>
      </c>
      <c r="AC161" s="36">
        <v>2984.78</v>
      </c>
      <c r="AD161" s="8"/>
      <c r="AE161" s="6"/>
      <c r="AF161" s="52">
        <f t="shared" si="10"/>
        <v>126283057.02000001</v>
      </c>
      <c r="AG161" s="25">
        <f t="shared" si="11"/>
        <v>148060185</v>
      </c>
      <c r="AH161" s="52">
        <f t="shared" si="14"/>
        <v>126312904.82000001</v>
      </c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spans="1:44">
      <c r="A162" s="6"/>
      <c r="B162" s="6"/>
      <c r="C162" s="6"/>
      <c r="D162" s="6"/>
      <c r="E162" s="6"/>
      <c r="F162" s="6"/>
      <c r="G162" s="11"/>
      <c r="H162" s="6"/>
      <c r="I162" s="6"/>
      <c r="J162" s="6"/>
      <c r="K162" s="7"/>
      <c r="L162" s="21" t="str">
        <f>микс!$H$10</f>
        <v>продажа со склада</v>
      </c>
      <c r="M162" s="22"/>
      <c r="N162" s="22"/>
      <c r="O162" s="22" t="s">
        <v>150</v>
      </c>
      <c r="P162" s="23" t="str">
        <f>микс!$H$49</f>
        <v>Товары для детей</v>
      </c>
      <c r="Q162" s="21" t="s">
        <v>59</v>
      </c>
      <c r="R162" s="25">
        <v>1</v>
      </c>
      <c r="S162" s="28"/>
      <c r="T162" s="31">
        <v>41876</v>
      </c>
      <c r="U162" s="33">
        <v>1646.84</v>
      </c>
      <c r="V162" s="36">
        <f t="shared" si="12"/>
        <v>1646.84</v>
      </c>
      <c r="W162" s="28"/>
      <c r="X162" s="31">
        <v>42343</v>
      </c>
      <c r="Y162" s="33">
        <v>2167</v>
      </c>
      <c r="Z162" s="189">
        <f t="shared" si="13"/>
        <v>2167</v>
      </c>
      <c r="AA162" s="190"/>
      <c r="AB162" s="31">
        <v>41883</v>
      </c>
      <c r="AC162" s="36">
        <v>1646.84</v>
      </c>
      <c r="AD162" s="8"/>
      <c r="AE162" s="6"/>
      <c r="AF162" s="52">
        <f t="shared" si="10"/>
        <v>68963071.840000004</v>
      </c>
      <c r="AG162" s="25">
        <f t="shared" si="11"/>
        <v>91757281</v>
      </c>
      <c r="AH162" s="52">
        <f t="shared" si="14"/>
        <v>68974599.719999999</v>
      </c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spans="1:44">
      <c r="A163" s="6"/>
      <c r="B163" s="6"/>
      <c r="C163" s="6"/>
      <c r="D163" s="6"/>
      <c r="E163" s="6"/>
      <c r="F163" s="6"/>
      <c r="G163" s="11"/>
      <c r="H163" s="6"/>
      <c r="I163" s="6"/>
      <c r="J163" s="6"/>
      <c r="K163" s="7"/>
      <c r="L163" s="21" t="str">
        <f>микс!$H$11</f>
        <v>продажа под заказ</v>
      </c>
      <c r="M163" s="22"/>
      <c r="N163" s="22"/>
      <c r="O163" s="22" t="s">
        <v>149</v>
      </c>
      <c r="P163" s="23" t="str">
        <f>микс!$H$46</f>
        <v>Электроника и бытовая техника</v>
      </c>
      <c r="Q163" s="21" t="s">
        <v>64</v>
      </c>
      <c r="R163" s="25">
        <v>1</v>
      </c>
      <c r="S163" s="28"/>
      <c r="T163" s="31">
        <v>42336</v>
      </c>
      <c r="U163" s="33">
        <v>792</v>
      </c>
      <c r="V163" s="36">
        <f t="shared" si="12"/>
        <v>792</v>
      </c>
      <c r="W163" s="28"/>
      <c r="X163" s="31">
        <v>42342</v>
      </c>
      <c r="Y163" s="33">
        <v>888</v>
      </c>
      <c r="Z163" s="189">
        <f t="shared" si="13"/>
        <v>888</v>
      </c>
      <c r="AA163" s="190"/>
      <c r="AB163" s="31">
        <v>42358</v>
      </c>
      <c r="AC163" s="36">
        <v>792</v>
      </c>
      <c r="AD163" s="8"/>
      <c r="AE163" s="6"/>
      <c r="AF163" s="52">
        <f t="shared" si="10"/>
        <v>33530112</v>
      </c>
      <c r="AG163" s="25">
        <f t="shared" si="11"/>
        <v>37599696</v>
      </c>
      <c r="AH163" s="52">
        <f t="shared" si="14"/>
        <v>33547536</v>
      </c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spans="1:44">
      <c r="A164" s="6"/>
      <c r="B164" s="6"/>
      <c r="C164" s="6"/>
      <c r="D164" s="6"/>
      <c r="E164" s="6"/>
      <c r="F164" s="6"/>
      <c r="G164" s="11"/>
      <c r="H164" s="6"/>
      <c r="I164" s="6"/>
      <c r="J164" s="6"/>
      <c r="K164" s="7"/>
      <c r="L164" s="21" t="str">
        <f>микс!$H$10</f>
        <v>продажа со склада</v>
      </c>
      <c r="M164" s="22"/>
      <c r="N164" s="22"/>
      <c r="O164" s="22" t="s">
        <v>150</v>
      </c>
      <c r="P164" s="23" t="str">
        <f>микс!$H$49</f>
        <v>Товары для детей</v>
      </c>
      <c r="Q164" s="21" t="s">
        <v>133</v>
      </c>
      <c r="R164" s="25">
        <v>1</v>
      </c>
      <c r="S164" s="28"/>
      <c r="T164" s="31">
        <v>41876</v>
      </c>
      <c r="U164" s="33">
        <v>428</v>
      </c>
      <c r="V164" s="36">
        <f t="shared" si="12"/>
        <v>428</v>
      </c>
      <c r="W164" s="28"/>
      <c r="X164" s="31">
        <v>42338</v>
      </c>
      <c r="Y164" s="33">
        <v>627</v>
      </c>
      <c r="Z164" s="189">
        <f t="shared" si="13"/>
        <v>627</v>
      </c>
      <c r="AA164" s="190"/>
      <c r="AB164" s="31">
        <v>41908</v>
      </c>
      <c r="AC164" s="36">
        <v>428</v>
      </c>
      <c r="AD164" s="8"/>
      <c r="AE164" s="6"/>
      <c r="AF164" s="52">
        <f t="shared" si="10"/>
        <v>17922928</v>
      </c>
      <c r="AG164" s="25">
        <f t="shared" si="11"/>
        <v>26545926</v>
      </c>
      <c r="AH164" s="52">
        <f t="shared" si="14"/>
        <v>17936624</v>
      </c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spans="1:44">
      <c r="A165" s="6"/>
      <c r="B165" s="6"/>
      <c r="C165" s="6"/>
      <c r="D165" s="6"/>
      <c r="E165" s="6"/>
      <c r="F165" s="6"/>
      <c r="G165" s="11"/>
      <c r="H165" s="6"/>
      <c r="I165" s="6"/>
      <c r="J165" s="6"/>
      <c r="K165" s="7"/>
      <c r="L165" s="21" t="str">
        <f>микс!$H$10</f>
        <v>продажа со склада</v>
      </c>
      <c r="M165" s="22"/>
      <c r="N165" s="22"/>
      <c r="O165" s="22" t="s">
        <v>150</v>
      </c>
      <c r="P165" s="23" t="str">
        <f>микс!$H$49</f>
        <v>Товары для детей</v>
      </c>
      <c r="Q165" s="21" t="s">
        <v>133</v>
      </c>
      <c r="R165" s="25">
        <v>1</v>
      </c>
      <c r="S165" s="28"/>
      <c r="T165" s="31">
        <v>41876</v>
      </c>
      <c r="U165" s="33">
        <v>428</v>
      </c>
      <c r="V165" s="36">
        <f t="shared" si="12"/>
        <v>428</v>
      </c>
      <c r="W165" s="28"/>
      <c r="X165" s="31">
        <v>42341</v>
      </c>
      <c r="Y165" s="33">
        <v>627</v>
      </c>
      <c r="Z165" s="189">
        <f t="shared" si="13"/>
        <v>627</v>
      </c>
      <c r="AA165" s="190"/>
      <c r="AB165" s="31">
        <v>41921</v>
      </c>
      <c r="AC165" s="36">
        <v>428</v>
      </c>
      <c r="AD165" s="8"/>
      <c r="AE165" s="6"/>
      <c r="AF165" s="52">
        <f t="shared" si="10"/>
        <v>17922928</v>
      </c>
      <c r="AG165" s="25">
        <f t="shared" si="11"/>
        <v>26547807</v>
      </c>
      <c r="AH165" s="52">
        <f t="shared" si="14"/>
        <v>17942188</v>
      </c>
      <c r="AI165" s="6"/>
      <c r="AJ165" s="6"/>
      <c r="AK165" s="6"/>
      <c r="AL165" s="6"/>
      <c r="AM165" s="6"/>
      <c r="AN165" s="6"/>
      <c r="AO165" s="6"/>
      <c r="AP165" s="6"/>
      <c r="AQ165" s="6"/>
      <c r="AR165" s="6"/>
    </row>
    <row r="166" spans="1:44">
      <c r="A166" s="6"/>
      <c r="B166" s="6"/>
      <c r="C166" s="6"/>
      <c r="D166" s="6"/>
      <c r="E166" s="6"/>
      <c r="F166" s="6"/>
      <c r="G166" s="11"/>
      <c r="H166" s="6"/>
      <c r="I166" s="6"/>
      <c r="J166" s="6"/>
      <c r="K166" s="7"/>
      <c r="L166" s="21" t="str">
        <f>микс!$H$10</f>
        <v>продажа со склада</v>
      </c>
      <c r="M166" s="22"/>
      <c r="N166" s="22"/>
      <c r="O166" s="22" t="s">
        <v>150</v>
      </c>
      <c r="P166" s="23" t="str">
        <f>микс!$H$49</f>
        <v>Товары для детей</v>
      </c>
      <c r="Q166" s="21" t="s">
        <v>133</v>
      </c>
      <c r="R166" s="25">
        <v>1</v>
      </c>
      <c r="S166" s="28"/>
      <c r="T166" s="31">
        <v>41834</v>
      </c>
      <c r="U166" s="33">
        <v>428</v>
      </c>
      <c r="V166" s="36">
        <f t="shared" si="12"/>
        <v>428</v>
      </c>
      <c r="W166" s="28"/>
      <c r="X166" s="31">
        <v>42301</v>
      </c>
      <c r="Y166" s="33">
        <v>578</v>
      </c>
      <c r="Z166" s="189">
        <f t="shared" si="13"/>
        <v>578</v>
      </c>
      <c r="AA166" s="190"/>
      <c r="AB166" s="31">
        <v>41872</v>
      </c>
      <c r="AC166" s="36">
        <v>428</v>
      </c>
      <c r="AD166" s="8"/>
      <c r="AE166" s="6"/>
      <c r="AF166" s="52">
        <f t="shared" si="10"/>
        <v>17904952</v>
      </c>
      <c r="AG166" s="25">
        <f t="shared" si="11"/>
        <v>24449978</v>
      </c>
      <c r="AH166" s="52">
        <f t="shared" si="14"/>
        <v>17921216</v>
      </c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spans="1:44">
      <c r="A167" s="6"/>
      <c r="B167" s="6"/>
      <c r="C167" s="6"/>
      <c r="D167" s="6"/>
      <c r="E167" s="6"/>
      <c r="F167" s="6"/>
      <c r="G167" s="11"/>
      <c r="H167" s="6"/>
      <c r="I167" s="6"/>
      <c r="J167" s="6"/>
      <c r="K167" s="7"/>
      <c r="L167" s="21" t="str">
        <f>микс!$H$11</f>
        <v>продажа под заказ</v>
      </c>
      <c r="M167" s="22"/>
      <c r="N167" s="22"/>
      <c r="O167" s="22" t="s">
        <v>134</v>
      </c>
      <c r="P167" s="23" t="str">
        <f>микс!$H$49</f>
        <v>Товары для детей</v>
      </c>
      <c r="Q167" s="21" t="s">
        <v>61</v>
      </c>
      <c r="R167" s="25">
        <v>1</v>
      </c>
      <c r="S167" s="28"/>
      <c r="T167" s="31">
        <v>42320</v>
      </c>
      <c r="U167" s="33">
        <v>3477.6</v>
      </c>
      <c r="V167" s="36">
        <f t="shared" si="12"/>
        <v>3477.6</v>
      </c>
      <c r="W167" s="28"/>
      <c r="X167" s="31">
        <v>42325</v>
      </c>
      <c r="Y167" s="33">
        <v>4033</v>
      </c>
      <c r="Z167" s="189">
        <f t="shared" si="13"/>
        <v>4033</v>
      </c>
      <c r="AA167" s="190"/>
      <c r="AB167" s="31">
        <v>42332</v>
      </c>
      <c r="AC167" s="36">
        <v>3477.6</v>
      </c>
      <c r="AD167" s="8"/>
      <c r="AE167" s="6"/>
      <c r="AF167" s="52">
        <f t="shared" si="10"/>
        <v>147172032</v>
      </c>
      <c r="AG167" s="25">
        <f t="shared" si="11"/>
        <v>170696725</v>
      </c>
      <c r="AH167" s="52">
        <f t="shared" si="14"/>
        <v>147213763.19999999</v>
      </c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spans="1:44">
      <c r="A168" s="6"/>
      <c r="B168" s="6"/>
      <c r="C168" s="6"/>
      <c r="D168" s="6"/>
      <c r="E168" s="6"/>
      <c r="F168" s="6"/>
      <c r="G168" s="11"/>
      <c r="H168" s="6"/>
      <c r="I168" s="6"/>
      <c r="J168" s="6"/>
      <c r="K168" s="7"/>
      <c r="L168" s="21" t="str">
        <f>микс!$H$11</f>
        <v>продажа под заказ</v>
      </c>
      <c r="M168" s="22"/>
      <c r="N168" s="22"/>
      <c r="O168" s="22" t="s">
        <v>134</v>
      </c>
      <c r="P168" s="23" t="str">
        <f>микс!$H$49</f>
        <v>Товары для детей</v>
      </c>
      <c r="Q168" s="21" t="s">
        <v>61</v>
      </c>
      <c r="R168" s="25">
        <v>1</v>
      </c>
      <c r="S168" s="28"/>
      <c r="T168" s="31">
        <v>42320</v>
      </c>
      <c r="U168" s="33">
        <v>3570</v>
      </c>
      <c r="V168" s="36">
        <f t="shared" si="12"/>
        <v>3570</v>
      </c>
      <c r="W168" s="28"/>
      <c r="X168" s="31">
        <v>42329</v>
      </c>
      <c r="Y168" s="33">
        <v>3883</v>
      </c>
      <c r="Z168" s="189">
        <f t="shared" si="13"/>
        <v>3883</v>
      </c>
      <c r="AA168" s="190"/>
      <c r="AB168" s="31">
        <v>42330</v>
      </c>
      <c r="AC168" s="36">
        <v>3570</v>
      </c>
      <c r="AD168" s="8"/>
      <c r="AE168" s="6"/>
      <c r="AF168" s="52">
        <f t="shared" si="10"/>
        <v>151082400</v>
      </c>
      <c r="AG168" s="25">
        <f t="shared" si="11"/>
        <v>164363507</v>
      </c>
      <c r="AH168" s="52">
        <f t="shared" si="14"/>
        <v>151118100</v>
      </c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spans="1:44">
      <c r="A169" s="6"/>
      <c r="B169" s="6"/>
      <c r="C169" s="6"/>
      <c r="D169" s="6"/>
      <c r="E169" s="6"/>
      <c r="F169" s="6"/>
      <c r="G169" s="11"/>
      <c r="H169" s="6"/>
      <c r="I169" s="6"/>
      <c r="J169" s="6"/>
      <c r="K169" s="7"/>
      <c r="L169" s="21" t="str">
        <f>микс!$H$11</f>
        <v>продажа под заказ</v>
      </c>
      <c r="M169" s="22"/>
      <c r="N169" s="22"/>
      <c r="O169" s="22" t="s">
        <v>134</v>
      </c>
      <c r="P169" s="23" t="str">
        <f>микс!$H$49</f>
        <v>Товары для детей</v>
      </c>
      <c r="Q169" s="21" t="s">
        <v>61</v>
      </c>
      <c r="R169" s="25">
        <v>1</v>
      </c>
      <c r="S169" s="28"/>
      <c r="T169" s="31">
        <v>42321</v>
      </c>
      <c r="U169" s="33">
        <v>3477.6</v>
      </c>
      <c r="V169" s="36">
        <f t="shared" si="12"/>
        <v>3477.6</v>
      </c>
      <c r="W169" s="28"/>
      <c r="X169" s="31">
        <v>42323</v>
      </c>
      <c r="Y169" s="33">
        <v>3770</v>
      </c>
      <c r="Z169" s="189">
        <f t="shared" si="13"/>
        <v>3770</v>
      </c>
      <c r="AA169" s="190"/>
      <c r="AB169" s="31"/>
      <c r="AC169" s="36"/>
      <c r="AD169" s="8"/>
      <c r="AE169" s="6"/>
      <c r="AF169" s="52">
        <f t="shared" si="10"/>
        <v>147175509.59999999</v>
      </c>
      <c r="AG169" s="25">
        <f t="shared" si="11"/>
        <v>159557710</v>
      </c>
      <c r="AH169" s="52">
        <f t="shared" si="14"/>
        <v>0</v>
      </c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spans="1:44">
      <c r="A170" s="6"/>
      <c r="B170" s="6"/>
      <c r="C170" s="6"/>
      <c r="D170" s="6"/>
      <c r="E170" s="6"/>
      <c r="F170" s="6"/>
      <c r="G170" s="11"/>
      <c r="H170" s="6"/>
      <c r="I170" s="6"/>
      <c r="J170" s="6"/>
      <c r="K170" s="7"/>
      <c r="L170" s="21" t="str">
        <f>микс!$H$10</f>
        <v>продажа со склада</v>
      </c>
      <c r="M170" s="22"/>
      <c r="N170" s="22"/>
      <c r="O170" s="22" t="s">
        <v>134</v>
      </c>
      <c r="P170" s="23" t="str">
        <f>микс!$H$49</f>
        <v>Товары для детей</v>
      </c>
      <c r="Q170" s="21" t="s">
        <v>61</v>
      </c>
      <c r="R170" s="25">
        <v>1</v>
      </c>
      <c r="S170" s="28"/>
      <c r="T170" s="31">
        <v>41870</v>
      </c>
      <c r="U170" s="33">
        <v>3570</v>
      </c>
      <c r="V170" s="36">
        <f t="shared" si="12"/>
        <v>3570</v>
      </c>
      <c r="W170" s="28"/>
      <c r="X170" s="31">
        <v>42353</v>
      </c>
      <c r="Y170" s="33">
        <v>3883</v>
      </c>
      <c r="Z170" s="189">
        <f t="shared" si="13"/>
        <v>3883</v>
      </c>
      <c r="AA170" s="190"/>
      <c r="AB170" s="31"/>
      <c r="AC170" s="36"/>
      <c r="AD170" s="8"/>
      <c r="AE170" s="6"/>
      <c r="AF170" s="52">
        <f t="shared" si="10"/>
        <v>149475900</v>
      </c>
      <c r="AG170" s="25">
        <f t="shared" si="11"/>
        <v>164456699</v>
      </c>
      <c r="AH170" s="52">
        <f t="shared" si="14"/>
        <v>0</v>
      </c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spans="1:44">
      <c r="A171" s="6"/>
      <c r="B171" s="6"/>
      <c r="C171" s="6"/>
      <c r="D171" s="6"/>
      <c r="E171" s="6"/>
      <c r="F171" s="6"/>
      <c r="G171" s="11"/>
      <c r="H171" s="6"/>
      <c r="I171" s="6"/>
      <c r="J171" s="6"/>
      <c r="K171" s="7"/>
      <c r="L171" s="21" t="str">
        <f>микс!$H$11</f>
        <v>продажа под заказ</v>
      </c>
      <c r="M171" s="22"/>
      <c r="N171" s="22"/>
      <c r="O171" s="22" t="s">
        <v>134</v>
      </c>
      <c r="P171" s="23" t="str">
        <f>микс!$H$49</f>
        <v>Товары для детей</v>
      </c>
      <c r="Q171" s="21" t="s">
        <v>61</v>
      </c>
      <c r="R171" s="25">
        <v>1</v>
      </c>
      <c r="S171" s="28"/>
      <c r="T171" s="31">
        <v>42332</v>
      </c>
      <c r="U171" s="33">
        <v>3477.6</v>
      </c>
      <c r="V171" s="36">
        <f t="shared" si="12"/>
        <v>3477.6</v>
      </c>
      <c r="W171" s="28"/>
      <c r="X171" s="31">
        <v>42336</v>
      </c>
      <c r="Y171" s="33">
        <v>3770</v>
      </c>
      <c r="Z171" s="189">
        <f t="shared" si="13"/>
        <v>3770</v>
      </c>
      <c r="AA171" s="190"/>
      <c r="AB171" s="31">
        <v>42362</v>
      </c>
      <c r="AC171" s="36">
        <v>3477.6</v>
      </c>
      <c r="AD171" s="8"/>
      <c r="AE171" s="6"/>
      <c r="AF171" s="52">
        <f t="shared" si="10"/>
        <v>147213763.19999999</v>
      </c>
      <c r="AG171" s="25">
        <f t="shared" si="11"/>
        <v>159606720</v>
      </c>
      <c r="AH171" s="52">
        <f t="shared" si="14"/>
        <v>147318091.19999999</v>
      </c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spans="1:44">
      <c r="A172" s="6"/>
      <c r="B172" s="6"/>
      <c r="C172" s="6"/>
      <c r="D172" s="6"/>
      <c r="E172" s="6"/>
      <c r="F172" s="6"/>
      <c r="G172" s="11"/>
      <c r="H172" s="6"/>
      <c r="I172" s="6"/>
      <c r="J172" s="6"/>
      <c r="K172" s="7"/>
      <c r="L172" s="21" t="str">
        <f>микс!$H$11</f>
        <v>продажа под заказ</v>
      </c>
      <c r="M172" s="22"/>
      <c r="N172" s="22"/>
      <c r="O172" s="22" t="s">
        <v>134</v>
      </c>
      <c r="P172" s="23" t="str">
        <f>микс!$H$49</f>
        <v>Товары для детей</v>
      </c>
      <c r="Q172" s="21" t="s">
        <v>61</v>
      </c>
      <c r="R172" s="25">
        <v>1</v>
      </c>
      <c r="S172" s="28"/>
      <c r="T172" s="31">
        <v>42332</v>
      </c>
      <c r="U172" s="33">
        <v>3570</v>
      </c>
      <c r="V172" s="36">
        <f t="shared" si="12"/>
        <v>3570</v>
      </c>
      <c r="W172" s="28"/>
      <c r="X172" s="31">
        <v>42341</v>
      </c>
      <c r="Y172" s="33">
        <v>3883</v>
      </c>
      <c r="Z172" s="189">
        <f t="shared" si="13"/>
        <v>3883</v>
      </c>
      <c r="AA172" s="190"/>
      <c r="AB172" s="31"/>
      <c r="AC172" s="36"/>
      <c r="AD172" s="8"/>
      <c r="AE172" s="6"/>
      <c r="AF172" s="52">
        <f t="shared" si="10"/>
        <v>151125240</v>
      </c>
      <c r="AG172" s="25">
        <f t="shared" si="11"/>
        <v>164410103</v>
      </c>
      <c r="AH172" s="52">
        <f t="shared" si="14"/>
        <v>0</v>
      </c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spans="1:44">
      <c r="A173" s="6"/>
      <c r="B173" s="6"/>
      <c r="C173" s="6"/>
      <c r="D173" s="6"/>
      <c r="E173" s="6"/>
      <c r="F173" s="6"/>
      <c r="G173" s="11"/>
      <c r="H173" s="6"/>
      <c r="I173" s="6"/>
      <c r="J173" s="6"/>
      <c r="K173" s="7"/>
      <c r="L173" s="21" t="str">
        <f>микс!$H$10</f>
        <v>продажа со склада</v>
      </c>
      <c r="M173" s="22"/>
      <c r="N173" s="22"/>
      <c r="O173" s="22" t="s">
        <v>138</v>
      </c>
      <c r="P173" s="23" t="str">
        <f>микс!$H$49</f>
        <v>Товары для детей</v>
      </c>
      <c r="Q173" s="21" t="s">
        <v>59</v>
      </c>
      <c r="R173" s="25">
        <v>1</v>
      </c>
      <c r="S173" s="28"/>
      <c r="T173" s="31">
        <v>41851</v>
      </c>
      <c r="U173" s="33">
        <v>6415</v>
      </c>
      <c r="V173" s="36">
        <f t="shared" si="12"/>
        <v>6415</v>
      </c>
      <c r="W173" s="28"/>
      <c r="X173" s="31">
        <v>42313</v>
      </c>
      <c r="Y173" s="33">
        <v>6450</v>
      </c>
      <c r="Z173" s="189">
        <f t="shared" si="13"/>
        <v>6450</v>
      </c>
      <c r="AA173" s="190"/>
      <c r="AB173" s="31">
        <v>41911</v>
      </c>
      <c r="AC173" s="36">
        <v>6415</v>
      </c>
      <c r="AD173" s="8"/>
      <c r="AE173" s="6"/>
      <c r="AF173" s="52">
        <f t="shared" si="10"/>
        <v>268474165</v>
      </c>
      <c r="AG173" s="25">
        <f t="shared" si="11"/>
        <v>272918850</v>
      </c>
      <c r="AH173" s="52">
        <f t="shared" si="14"/>
        <v>268859065</v>
      </c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spans="1:44">
      <c r="A174" s="6"/>
      <c r="B174" s="6"/>
      <c r="C174" s="6"/>
      <c r="D174" s="6"/>
      <c r="E174" s="6"/>
      <c r="F174" s="6"/>
      <c r="G174" s="11"/>
      <c r="H174" s="6"/>
      <c r="I174" s="6"/>
      <c r="J174" s="6"/>
      <c r="K174" s="7"/>
      <c r="L174" s="21" t="str">
        <f>микс!$H$10</f>
        <v>продажа со склада</v>
      </c>
      <c r="M174" s="22"/>
      <c r="N174" s="22"/>
      <c r="O174" s="22" t="s">
        <v>138</v>
      </c>
      <c r="P174" s="23" t="str">
        <f>микс!$H$49</f>
        <v>Товары для детей</v>
      </c>
      <c r="Q174" s="21" t="s">
        <v>59</v>
      </c>
      <c r="R174" s="25">
        <v>1</v>
      </c>
      <c r="S174" s="28"/>
      <c r="T174" s="31">
        <v>42239</v>
      </c>
      <c r="U174" s="33">
        <v>6415</v>
      </c>
      <c r="V174" s="36">
        <f t="shared" si="12"/>
        <v>6415</v>
      </c>
      <c r="W174" s="28"/>
      <c r="X174" s="31">
        <v>42305</v>
      </c>
      <c r="Y174" s="33">
        <v>6450</v>
      </c>
      <c r="Z174" s="189">
        <f t="shared" si="13"/>
        <v>6450</v>
      </c>
      <c r="AA174" s="190"/>
      <c r="AB174" s="31">
        <v>42289</v>
      </c>
      <c r="AC174" s="36">
        <v>6415</v>
      </c>
      <c r="AD174" s="8"/>
      <c r="AE174" s="6"/>
      <c r="AF174" s="52">
        <f t="shared" si="10"/>
        <v>270963185</v>
      </c>
      <c r="AG174" s="25">
        <f t="shared" si="11"/>
        <v>272867250</v>
      </c>
      <c r="AH174" s="52">
        <f t="shared" si="14"/>
        <v>271283935</v>
      </c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spans="1:44">
      <c r="A175" s="6"/>
      <c r="B175" s="6"/>
      <c r="C175" s="6"/>
      <c r="D175" s="6"/>
      <c r="E175" s="6"/>
      <c r="F175" s="6"/>
      <c r="G175" s="11"/>
      <c r="H175" s="6"/>
      <c r="I175" s="6"/>
      <c r="J175" s="6"/>
      <c r="K175" s="7"/>
      <c r="L175" s="21" t="str">
        <f>микс!$H$10</f>
        <v>продажа со склада</v>
      </c>
      <c r="M175" s="22"/>
      <c r="N175" s="22"/>
      <c r="O175" s="22" t="s">
        <v>138</v>
      </c>
      <c r="P175" s="23" t="str">
        <f>микс!$H$49</f>
        <v>Товары для детей</v>
      </c>
      <c r="Q175" s="21" t="s">
        <v>59</v>
      </c>
      <c r="R175" s="25">
        <v>1</v>
      </c>
      <c r="S175" s="28"/>
      <c r="T175" s="31">
        <v>42241</v>
      </c>
      <c r="U175" s="33">
        <v>6415</v>
      </c>
      <c r="V175" s="36">
        <f t="shared" si="12"/>
        <v>6415</v>
      </c>
      <c r="W175" s="28"/>
      <c r="X175" s="31">
        <v>42308</v>
      </c>
      <c r="Y175" s="33">
        <v>6450</v>
      </c>
      <c r="Z175" s="189">
        <f t="shared" si="13"/>
        <v>6450</v>
      </c>
      <c r="AA175" s="190"/>
      <c r="AB175" s="31">
        <v>42301</v>
      </c>
      <c r="AC175" s="36">
        <v>6415</v>
      </c>
      <c r="AD175" s="8"/>
      <c r="AE175" s="6"/>
      <c r="AF175" s="52">
        <f t="shared" si="10"/>
        <v>270976015</v>
      </c>
      <c r="AG175" s="25">
        <f t="shared" si="11"/>
        <v>272886600</v>
      </c>
      <c r="AH175" s="52">
        <f t="shared" si="14"/>
        <v>271360915</v>
      </c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spans="1:44">
      <c r="A176" s="6"/>
      <c r="B176" s="6"/>
      <c r="C176" s="6"/>
      <c r="D176" s="6"/>
      <c r="E176" s="6"/>
      <c r="F176" s="6"/>
      <c r="G176" s="11"/>
      <c r="H176" s="6"/>
      <c r="I176" s="6"/>
      <c r="J176" s="6"/>
      <c r="K176" s="7"/>
      <c r="L176" s="21" t="str">
        <f>микс!$H$10</f>
        <v>продажа со склада</v>
      </c>
      <c r="M176" s="22"/>
      <c r="N176" s="22"/>
      <c r="O176" s="22" t="s">
        <v>138</v>
      </c>
      <c r="P176" s="23" t="str">
        <f>микс!$H$49</f>
        <v>Товары для детей</v>
      </c>
      <c r="Q176" s="21" t="s">
        <v>59</v>
      </c>
      <c r="R176" s="25">
        <v>1</v>
      </c>
      <c r="S176" s="28"/>
      <c r="T176" s="31">
        <v>42233</v>
      </c>
      <c r="U176" s="33">
        <v>6415</v>
      </c>
      <c r="V176" s="36">
        <f t="shared" si="12"/>
        <v>6415</v>
      </c>
      <c r="W176" s="28"/>
      <c r="X176" s="31">
        <v>42300</v>
      </c>
      <c r="Y176" s="33">
        <v>6450</v>
      </c>
      <c r="Z176" s="189">
        <f t="shared" si="13"/>
        <v>6450</v>
      </c>
      <c r="AA176" s="190"/>
      <c r="AB176" s="31">
        <v>42263</v>
      </c>
      <c r="AC176" s="36">
        <v>6415</v>
      </c>
      <c r="AD176" s="8"/>
      <c r="AE176" s="6"/>
      <c r="AF176" s="52">
        <f t="shared" si="10"/>
        <v>270924695</v>
      </c>
      <c r="AG176" s="25">
        <f t="shared" si="11"/>
        <v>272835000</v>
      </c>
      <c r="AH176" s="52">
        <f t="shared" si="14"/>
        <v>271117145</v>
      </c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spans="1:44">
      <c r="A177" s="6"/>
      <c r="B177" s="6"/>
      <c r="C177" s="6"/>
      <c r="D177" s="6"/>
      <c r="E177" s="6"/>
      <c r="F177" s="6"/>
      <c r="G177" s="11"/>
      <c r="H177" s="6"/>
      <c r="I177" s="6"/>
      <c r="J177" s="6"/>
      <c r="K177" s="7"/>
      <c r="L177" s="21" t="str">
        <f>микс!$H$11</f>
        <v>продажа под заказ</v>
      </c>
      <c r="M177" s="22"/>
      <c r="N177" s="22"/>
      <c r="O177" s="22" t="s">
        <v>138</v>
      </c>
      <c r="P177" s="23" t="str">
        <f>микс!$H$49</f>
        <v>Товары для детей</v>
      </c>
      <c r="Q177" s="21" t="s">
        <v>59</v>
      </c>
      <c r="R177" s="25">
        <v>1</v>
      </c>
      <c r="S177" s="28"/>
      <c r="T177" s="31">
        <v>42337</v>
      </c>
      <c r="U177" s="33">
        <v>7205</v>
      </c>
      <c r="V177" s="36">
        <f t="shared" si="12"/>
        <v>7205</v>
      </c>
      <c r="W177" s="28"/>
      <c r="X177" s="31">
        <v>42341</v>
      </c>
      <c r="Y177" s="33">
        <v>7332</v>
      </c>
      <c r="Z177" s="189">
        <f t="shared" si="13"/>
        <v>7332</v>
      </c>
      <c r="AA177" s="190"/>
      <c r="AB177" s="31">
        <v>42357</v>
      </c>
      <c r="AC177" s="36">
        <v>7205</v>
      </c>
      <c r="AD177" s="8"/>
      <c r="AE177" s="6"/>
      <c r="AF177" s="52">
        <f t="shared" si="10"/>
        <v>305038085</v>
      </c>
      <c r="AG177" s="25">
        <f t="shared" si="11"/>
        <v>310444212</v>
      </c>
      <c r="AH177" s="52">
        <f t="shared" si="14"/>
        <v>305182185</v>
      </c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spans="1:44">
      <c r="A178" s="6"/>
      <c r="B178" s="6"/>
      <c r="C178" s="6"/>
      <c r="D178" s="6"/>
      <c r="E178" s="6"/>
      <c r="F178" s="6"/>
      <c r="G178" s="11"/>
      <c r="H178" s="6"/>
      <c r="I178" s="6"/>
      <c r="J178" s="6"/>
      <c r="K178" s="7"/>
      <c r="L178" s="21" t="str">
        <f>микс!$H$11</f>
        <v>продажа под заказ</v>
      </c>
      <c r="M178" s="22"/>
      <c r="N178" s="22"/>
      <c r="O178" s="22" t="s">
        <v>138</v>
      </c>
      <c r="P178" s="23" t="str">
        <f>микс!$H$49</f>
        <v>Товары для детей</v>
      </c>
      <c r="Q178" s="21" t="s">
        <v>59</v>
      </c>
      <c r="R178" s="25">
        <v>1</v>
      </c>
      <c r="S178" s="28"/>
      <c r="T178" s="31">
        <v>42337</v>
      </c>
      <c r="U178" s="33">
        <v>7205</v>
      </c>
      <c r="V178" s="36">
        <f t="shared" si="12"/>
        <v>7205</v>
      </c>
      <c r="W178" s="28"/>
      <c r="X178" s="31">
        <v>42349</v>
      </c>
      <c r="Y178" s="33">
        <v>7332</v>
      </c>
      <c r="Z178" s="189">
        <f t="shared" si="13"/>
        <v>7332</v>
      </c>
      <c r="AA178" s="190"/>
      <c r="AB178" s="31"/>
      <c r="AC178" s="36"/>
      <c r="AD178" s="8"/>
      <c r="AE178" s="6"/>
      <c r="AF178" s="52">
        <f t="shared" si="10"/>
        <v>305038085</v>
      </c>
      <c r="AG178" s="25">
        <f t="shared" si="11"/>
        <v>310502868</v>
      </c>
      <c r="AH178" s="52">
        <f t="shared" si="14"/>
        <v>0</v>
      </c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spans="1:44">
      <c r="A179" s="6"/>
      <c r="B179" s="6"/>
      <c r="C179" s="6"/>
      <c r="D179" s="6"/>
      <c r="E179" s="6"/>
      <c r="F179" s="6"/>
      <c r="G179" s="11"/>
      <c r="H179" s="6"/>
      <c r="I179" s="6"/>
      <c r="J179" s="6"/>
      <c r="K179" s="7"/>
      <c r="L179" s="21" t="str">
        <f>микс!$H$11</f>
        <v>продажа под заказ</v>
      </c>
      <c r="M179" s="22"/>
      <c r="N179" s="22"/>
      <c r="O179" s="22" t="s">
        <v>151</v>
      </c>
      <c r="P179" s="23" t="str">
        <f>микс!$H$49</f>
        <v>Товары для детей</v>
      </c>
      <c r="Q179" s="21" t="s">
        <v>133</v>
      </c>
      <c r="R179" s="25">
        <v>1</v>
      </c>
      <c r="S179" s="28"/>
      <c r="T179" s="31">
        <v>42316</v>
      </c>
      <c r="U179" s="33">
        <v>604.20000000000005</v>
      </c>
      <c r="V179" s="36">
        <f t="shared" si="12"/>
        <v>604.20000000000005</v>
      </c>
      <c r="W179" s="28"/>
      <c r="X179" s="31">
        <v>42320</v>
      </c>
      <c r="Y179" s="33">
        <v>910</v>
      </c>
      <c r="Z179" s="189">
        <f t="shared" si="13"/>
        <v>910</v>
      </c>
      <c r="AA179" s="190"/>
      <c r="AB179" s="31"/>
      <c r="AC179" s="36"/>
      <c r="AD179" s="8"/>
      <c r="AE179" s="6"/>
      <c r="AF179" s="52">
        <f t="shared" si="10"/>
        <v>25567327.200000003</v>
      </c>
      <c r="AG179" s="25">
        <f t="shared" si="11"/>
        <v>38511200</v>
      </c>
      <c r="AH179" s="52">
        <f t="shared" si="14"/>
        <v>0</v>
      </c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spans="1:44">
      <c r="A180" s="6"/>
      <c r="B180" s="6"/>
      <c r="C180" s="6"/>
      <c r="D180" s="6"/>
      <c r="E180" s="6"/>
      <c r="F180" s="6"/>
      <c r="G180" s="11"/>
      <c r="H180" s="6"/>
      <c r="I180" s="6"/>
      <c r="J180" s="6"/>
      <c r="K180" s="7"/>
      <c r="L180" s="21" t="str">
        <f>микс!$H$10</f>
        <v>продажа со склада</v>
      </c>
      <c r="M180" s="22"/>
      <c r="N180" s="22"/>
      <c r="O180" s="22" t="s">
        <v>151</v>
      </c>
      <c r="P180" s="23" t="str">
        <f>микс!$H$49</f>
        <v>Товары для детей</v>
      </c>
      <c r="Q180" s="21" t="s">
        <v>133</v>
      </c>
      <c r="R180" s="25">
        <v>1</v>
      </c>
      <c r="S180" s="28"/>
      <c r="T180" s="31">
        <v>42229</v>
      </c>
      <c r="U180" s="33">
        <v>1103</v>
      </c>
      <c r="V180" s="36">
        <f t="shared" si="12"/>
        <v>1103</v>
      </c>
      <c r="W180" s="28"/>
      <c r="X180" s="31">
        <v>42299</v>
      </c>
      <c r="Y180" s="33">
        <v>806</v>
      </c>
      <c r="Z180" s="189">
        <f t="shared" si="13"/>
        <v>806</v>
      </c>
      <c r="AA180" s="190"/>
      <c r="AB180" s="31"/>
      <c r="AC180" s="36"/>
      <c r="AD180" s="8"/>
      <c r="AE180" s="6"/>
      <c r="AF180" s="52">
        <f t="shared" si="10"/>
        <v>46578587</v>
      </c>
      <c r="AG180" s="25">
        <f t="shared" si="11"/>
        <v>34092994</v>
      </c>
      <c r="AH180" s="52">
        <f t="shared" si="14"/>
        <v>0</v>
      </c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spans="1:44">
      <c r="A181" s="6"/>
      <c r="B181" s="6"/>
      <c r="C181" s="6"/>
      <c r="D181" s="6"/>
      <c r="E181" s="6"/>
      <c r="F181" s="6"/>
      <c r="G181" s="11"/>
      <c r="H181" s="6"/>
      <c r="I181" s="6"/>
      <c r="J181" s="6"/>
      <c r="K181" s="7"/>
      <c r="L181" s="21" t="str">
        <f>микс!$H$11</f>
        <v>продажа под заказ</v>
      </c>
      <c r="M181" s="22"/>
      <c r="N181" s="22"/>
      <c r="O181" s="22" t="s">
        <v>151</v>
      </c>
      <c r="P181" s="23" t="str">
        <f>микс!$H$49</f>
        <v>Товары для детей</v>
      </c>
      <c r="Q181" s="21" t="s">
        <v>133</v>
      </c>
      <c r="R181" s="25">
        <v>1</v>
      </c>
      <c r="S181" s="28"/>
      <c r="T181" s="31">
        <v>42315</v>
      </c>
      <c r="U181" s="33">
        <v>595</v>
      </c>
      <c r="V181" s="36">
        <f t="shared" si="12"/>
        <v>595</v>
      </c>
      <c r="W181" s="28"/>
      <c r="X181" s="31">
        <v>42323</v>
      </c>
      <c r="Y181" s="33">
        <v>796</v>
      </c>
      <c r="Z181" s="189">
        <f t="shared" si="13"/>
        <v>796</v>
      </c>
      <c r="AA181" s="190"/>
      <c r="AB181" s="31">
        <v>42336</v>
      </c>
      <c r="AC181" s="36">
        <v>595</v>
      </c>
      <c r="AD181" s="8"/>
      <c r="AE181" s="6"/>
      <c r="AF181" s="52">
        <f t="shared" si="10"/>
        <v>25177425</v>
      </c>
      <c r="AG181" s="25">
        <f t="shared" si="11"/>
        <v>33689108</v>
      </c>
      <c r="AH181" s="52">
        <f t="shared" si="14"/>
        <v>25189920</v>
      </c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spans="1:44">
      <c r="A182" s="6"/>
      <c r="B182" s="6"/>
      <c r="C182" s="6"/>
      <c r="D182" s="6"/>
      <c r="E182" s="6"/>
      <c r="F182" s="6"/>
      <c r="G182" s="11"/>
      <c r="H182" s="6"/>
      <c r="I182" s="6"/>
      <c r="J182" s="6"/>
      <c r="K182" s="7"/>
      <c r="L182" s="21" t="str">
        <f>микс!$H$11</f>
        <v>продажа под заказ</v>
      </c>
      <c r="M182" s="22"/>
      <c r="N182" s="22"/>
      <c r="O182" s="22" t="s">
        <v>151</v>
      </c>
      <c r="P182" s="23" t="str">
        <f>микс!$H$49</f>
        <v>Товары для детей</v>
      </c>
      <c r="Q182" s="21" t="s">
        <v>133</v>
      </c>
      <c r="R182" s="25">
        <v>1</v>
      </c>
      <c r="S182" s="28"/>
      <c r="T182" s="31">
        <v>42322</v>
      </c>
      <c r="U182" s="33">
        <v>428</v>
      </c>
      <c r="V182" s="36">
        <f t="shared" si="12"/>
        <v>428</v>
      </c>
      <c r="W182" s="28"/>
      <c r="X182" s="31">
        <v>42329</v>
      </c>
      <c r="Y182" s="33">
        <v>568</v>
      </c>
      <c r="Z182" s="189">
        <f t="shared" si="13"/>
        <v>568</v>
      </c>
      <c r="AA182" s="190"/>
      <c r="AB182" s="31">
        <v>42367</v>
      </c>
      <c r="AC182" s="36">
        <v>428</v>
      </c>
      <c r="AD182" s="8"/>
      <c r="AE182" s="6"/>
      <c r="AF182" s="52">
        <f t="shared" si="10"/>
        <v>18113816</v>
      </c>
      <c r="AG182" s="25">
        <f t="shared" si="11"/>
        <v>24042872</v>
      </c>
      <c r="AH182" s="52">
        <f t="shared" si="14"/>
        <v>18133076</v>
      </c>
      <c r="AI182" s="6"/>
      <c r="AJ182" s="6"/>
      <c r="AK182" s="6"/>
      <c r="AL182" s="6"/>
      <c r="AM182" s="6"/>
      <c r="AN182" s="6"/>
      <c r="AO182" s="6"/>
      <c r="AP182" s="6"/>
      <c r="AQ182" s="6"/>
      <c r="AR182" s="6"/>
    </row>
    <row r="183" spans="1:44">
      <c r="A183" s="6"/>
      <c r="B183" s="6"/>
      <c r="C183" s="6"/>
      <c r="D183" s="6"/>
      <c r="E183" s="6"/>
      <c r="F183" s="6"/>
      <c r="G183" s="11"/>
      <c r="H183" s="6"/>
      <c r="I183" s="6"/>
      <c r="J183" s="6"/>
      <c r="K183" s="7"/>
      <c r="L183" s="21" t="str">
        <f>микс!$H$11</f>
        <v>продажа под заказ</v>
      </c>
      <c r="M183" s="22"/>
      <c r="N183" s="22"/>
      <c r="O183" s="22" t="s">
        <v>151</v>
      </c>
      <c r="P183" s="23" t="str">
        <f>микс!$H$49</f>
        <v>Товары для детей</v>
      </c>
      <c r="Q183" s="21" t="s">
        <v>133</v>
      </c>
      <c r="R183" s="25">
        <v>1</v>
      </c>
      <c r="S183" s="28"/>
      <c r="T183" s="31">
        <v>42322</v>
      </c>
      <c r="U183" s="33">
        <v>428</v>
      </c>
      <c r="V183" s="36">
        <f t="shared" si="12"/>
        <v>428</v>
      </c>
      <c r="W183" s="28"/>
      <c r="X183" s="31">
        <v>42330</v>
      </c>
      <c r="Y183" s="33">
        <v>568</v>
      </c>
      <c r="Z183" s="189">
        <f t="shared" si="13"/>
        <v>568</v>
      </c>
      <c r="AA183" s="190"/>
      <c r="AB183" s="31">
        <v>42352</v>
      </c>
      <c r="AC183" s="36">
        <v>428</v>
      </c>
      <c r="AD183" s="8"/>
      <c r="AE183" s="6"/>
      <c r="AF183" s="52">
        <f t="shared" si="10"/>
        <v>18113816</v>
      </c>
      <c r="AG183" s="25">
        <f t="shared" si="11"/>
        <v>24043440</v>
      </c>
      <c r="AH183" s="52">
        <f t="shared" si="14"/>
        <v>18126656</v>
      </c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spans="1:44">
      <c r="A184" s="6"/>
      <c r="B184" s="6"/>
      <c r="C184" s="6"/>
      <c r="D184" s="6"/>
      <c r="E184" s="6"/>
      <c r="F184" s="6"/>
      <c r="G184" s="11"/>
      <c r="H184" s="6"/>
      <c r="I184" s="6"/>
      <c r="J184" s="6"/>
      <c r="K184" s="7"/>
      <c r="L184" s="21" t="str">
        <f>микс!$H$11</f>
        <v>продажа под заказ</v>
      </c>
      <c r="M184" s="22"/>
      <c r="N184" s="22"/>
      <c r="O184" s="22" t="s">
        <v>151</v>
      </c>
      <c r="P184" s="23" t="str">
        <f>микс!$H$49</f>
        <v>Товары для детей</v>
      </c>
      <c r="Q184" s="21" t="s">
        <v>133</v>
      </c>
      <c r="R184" s="25">
        <v>1</v>
      </c>
      <c r="S184" s="28"/>
      <c r="T184" s="31">
        <v>42321</v>
      </c>
      <c r="U184" s="33">
        <v>428</v>
      </c>
      <c r="V184" s="36">
        <f t="shared" si="12"/>
        <v>428</v>
      </c>
      <c r="W184" s="28"/>
      <c r="X184" s="31">
        <v>42326</v>
      </c>
      <c r="Y184" s="33">
        <v>568</v>
      </c>
      <c r="Z184" s="189">
        <f t="shared" si="13"/>
        <v>568</v>
      </c>
      <c r="AA184" s="190"/>
      <c r="AB184" s="31">
        <v>42336</v>
      </c>
      <c r="AC184" s="36">
        <v>428</v>
      </c>
      <c r="AD184" s="8"/>
      <c r="AE184" s="6"/>
      <c r="AF184" s="52">
        <f t="shared" si="10"/>
        <v>18113388</v>
      </c>
      <c r="AG184" s="25">
        <f t="shared" si="11"/>
        <v>24041168</v>
      </c>
      <c r="AH184" s="52">
        <f t="shared" si="14"/>
        <v>18119808</v>
      </c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spans="1:44">
      <c r="A185" s="6"/>
      <c r="B185" s="6"/>
      <c r="C185" s="6"/>
      <c r="D185" s="6"/>
      <c r="E185" s="6"/>
      <c r="F185" s="6"/>
      <c r="G185" s="11"/>
      <c r="H185" s="6"/>
      <c r="I185" s="6"/>
      <c r="J185" s="6"/>
      <c r="K185" s="7"/>
      <c r="L185" s="21" t="str">
        <f>микс!$H$11</f>
        <v>продажа под заказ</v>
      </c>
      <c r="M185" s="22"/>
      <c r="N185" s="22"/>
      <c r="O185" s="22" t="s">
        <v>151</v>
      </c>
      <c r="P185" s="23" t="str">
        <f>микс!$H$49</f>
        <v>Товары для детей</v>
      </c>
      <c r="Q185" s="21" t="s">
        <v>133</v>
      </c>
      <c r="R185" s="25">
        <v>1</v>
      </c>
      <c r="S185" s="28"/>
      <c r="T185" s="31">
        <v>42322</v>
      </c>
      <c r="U185" s="33">
        <v>428</v>
      </c>
      <c r="V185" s="36">
        <f t="shared" si="12"/>
        <v>428</v>
      </c>
      <c r="W185" s="28"/>
      <c r="X185" s="31">
        <v>42329</v>
      </c>
      <c r="Y185" s="33">
        <v>568</v>
      </c>
      <c r="Z185" s="189">
        <f t="shared" si="13"/>
        <v>568</v>
      </c>
      <c r="AA185" s="190"/>
      <c r="AB185" s="31">
        <v>42344</v>
      </c>
      <c r="AC185" s="36">
        <v>428</v>
      </c>
      <c r="AD185" s="8"/>
      <c r="AE185" s="6"/>
      <c r="AF185" s="52">
        <f t="shared" si="10"/>
        <v>18113816</v>
      </c>
      <c r="AG185" s="25">
        <f t="shared" si="11"/>
        <v>24042872</v>
      </c>
      <c r="AH185" s="52">
        <f t="shared" si="14"/>
        <v>18123232</v>
      </c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spans="1:44">
      <c r="A186" s="6"/>
      <c r="B186" s="6"/>
      <c r="C186" s="6"/>
      <c r="D186" s="6"/>
      <c r="E186" s="6"/>
      <c r="F186" s="6"/>
      <c r="G186" s="11"/>
      <c r="H186" s="6"/>
      <c r="I186" s="6"/>
      <c r="J186" s="6"/>
      <c r="K186" s="7"/>
      <c r="L186" s="21" t="str">
        <f>микс!$H$11</f>
        <v>продажа под заказ</v>
      </c>
      <c r="M186" s="22"/>
      <c r="N186" s="22"/>
      <c r="O186" s="22" t="s">
        <v>136</v>
      </c>
      <c r="P186" s="23" t="str">
        <f>микс!$H$48</f>
        <v>Спортивный инвентарь</v>
      </c>
      <c r="Q186" s="21" t="s">
        <v>65</v>
      </c>
      <c r="R186" s="25">
        <v>1</v>
      </c>
      <c r="S186" s="28"/>
      <c r="T186" s="31">
        <v>42321</v>
      </c>
      <c r="U186" s="33">
        <v>565.20000000000005</v>
      </c>
      <c r="V186" s="36">
        <f t="shared" si="12"/>
        <v>565.20000000000005</v>
      </c>
      <c r="W186" s="28"/>
      <c r="X186" s="31">
        <v>42333</v>
      </c>
      <c r="Y186" s="33">
        <v>892</v>
      </c>
      <c r="Z186" s="189">
        <f t="shared" si="13"/>
        <v>892</v>
      </c>
      <c r="AA186" s="190"/>
      <c r="AB186" s="31"/>
      <c r="AC186" s="36"/>
      <c r="AD186" s="8"/>
      <c r="AE186" s="6"/>
      <c r="AF186" s="52">
        <f t="shared" si="10"/>
        <v>23919829.200000003</v>
      </c>
      <c r="AG186" s="25">
        <f t="shared" si="11"/>
        <v>37761036</v>
      </c>
      <c r="AH186" s="52">
        <f t="shared" si="14"/>
        <v>0</v>
      </c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spans="1:44">
      <c r="A187" s="6"/>
      <c r="B187" s="6"/>
      <c r="C187" s="6"/>
      <c r="D187" s="6"/>
      <c r="E187" s="6"/>
      <c r="F187" s="6"/>
      <c r="G187" s="11"/>
      <c r="H187" s="6"/>
      <c r="I187" s="6"/>
      <c r="J187" s="6"/>
      <c r="K187" s="7"/>
      <c r="L187" s="21" t="str">
        <f>микс!$H$10</f>
        <v>продажа со склада</v>
      </c>
      <c r="M187" s="22"/>
      <c r="N187" s="22"/>
      <c r="O187" s="22" t="s">
        <v>136</v>
      </c>
      <c r="P187" s="23" t="str">
        <f>микс!$H$48</f>
        <v>Спортивный инвентарь</v>
      </c>
      <c r="Q187" s="21" t="s">
        <v>65</v>
      </c>
      <c r="R187" s="25">
        <v>1</v>
      </c>
      <c r="S187" s="28"/>
      <c r="T187" s="31">
        <v>42232</v>
      </c>
      <c r="U187" s="33">
        <v>452.16</v>
      </c>
      <c r="V187" s="36">
        <f t="shared" si="12"/>
        <v>452.16</v>
      </c>
      <c r="W187" s="28"/>
      <c r="X187" s="31">
        <v>42300</v>
      </c>
      <c r="Y187" s="33">
        <v>960</v>
      </c>
      <c r="Z187" s="189">
        <f t="shared" si="13"/>
        <v>960</v>
      </c>
      <c r="AA187" s="190"/>
      <c r="AB187" s="31">
        <v>42237</v>
      </c>
      <c r="AC187" s="36">
        <v>452.16</v>
      </c>
      <c r="AD187" s="8"/>
      <c r="AE187" s="6"/>
      <c r="AF187" s="52">
        <f t="shared" si="10"/>
        <v>19095621.120000001</v>
      </c>
      <c r="AG187" s="25">
        <f t="shared" si="11"/>
        <v>40608000</v>
      </c>
      <c r="AH187" s="52">
        <f t="shared" si="14"/>
        <v>19097881.920000002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spans="1:44">
      <c r="A188" s="6"/>
      <c r="B188" s="6"/>
      <c r="C188" s="6"/>
      <c r="D188" s="6"/>
      <c r="E188" s="6"/>
      <c r="F188" s="6"/>
      <c r="G188" s="11"/>
      <c r="H188" s="6"/>
      <c r="I188" s="6"/>
      <c r="J188" s="6"/>
      <c r="K188" s="7"/>
      <c r="L188" s="21" t="str">
        <f>микс!$H$11</f>
        <v>продажа под заказ</v>
      </c>
      <c r="M188" s="22"/>
      <c r="N188" s="22"/>
      <c r="O188" s="22" t="s">
        <v>136</v>
      </c>
      <c r="P188" s="23" t="str">
        <f>микс!$H$48</f>
        <v>Спортивный инвентарь</v>
      </c>
      <c r="Q188" s="21" t="s">
        <v>65</v>
      </c>
      <c r="R188" s="25">
        <v>1</v>
      </c>
      <c r="S188" s="28"/>
      <c r="T188" s="31">
        <v>42315</v>
      </c>
      <c r="U188" s="33">
        <v>960</v>
      </c>
      <c r="V188" s="36">
        <f t="shared" si="12"/>
        <v>960</v>
      </c>
      <c r="W188" s="28"/>
      <c r="X188" s="31">
        <v>42329</v>
      </c>
      <c r="Y188" s="33">
        <v>1027</v>
      </c>
      <c r="Z188" s="189">
        <f t="shared" si="13"/>
        <v>1027</v>
      </c>
      <c r="AA188" s="190"/>
      <c r="AB188" s="31">
        <v>42355</v>
      </c>
      <c r="AC188" s="36">
        <v>960</v>
      </c>
      <c r="AD188" s="8"/>
      <c r="AE188" s="6"/>
      <c r="AF188" s="52">
        <f t="shared" si="10"/>
        <v>40622400</v>
      </c>
      <c r="AG188" s="25">
        <f t="shared" si="11"/>
        <v>43471883</v>
      </c>
      <c r="AH188" s="52">
        <f t="shared" si="14"/>
        <v>40660800</v>
      </c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spans="1:44">
      <c r="A189" s="6"/>
      <c r="B189" s="6"/>
      <c r="C189" s="6"/>
      <c r="D189" s="6"/>
      <c r="E189" s="6"/>
      <c r="F189" s="6"/>
      <c r="G189" s="11"/>
      <c r="H189" s="6"/>
      <c r="I189" s="6"/>
      <c r="J189" s="6"/>
      <c r="K189" s="7"/>
      <c r="L189" s="21" t="str">
        <f>микс!$H$11</f>
        <v>продажа под заказ</v>
      </c>
      <c r="M189" s="22"/>
      <c r="N189" s="22"/>
      <c r="O189" s="22" t="s">
        <v>136</v>
      </c>
      <c r="P189" s="23" t="str">
        <f>микс!$H$48</f>
        <v>Спортивный инвентарь</v>
      </c>
      <c r="Q189" s="21" t="s">
        <v>65</v>
      </c>
      <c r="R189" s="25">
        <v>1</v>
      </c>
      <c r="S189" s="28"/>
      <c r="T189" s="31">
        <v>42314</v>
      </c>
      <c r="U189" s="33">
        <v>514.96</v>
      </c>
      <c r="V189" s="36">
        <f t="shared" si="12"/>
        <v>514.96</v>
      </c>
      <c r="W189" s="28"/>
      <c r="X189" s="31">
        <v>42322</v>
      </c>
      <c r="Y189" s="33">
        <v>988</v>
      </c>
      <c r="Z189" s="189">
        <f t="shared" si="13"/>
        <v>988</v>
      </c>
      <c r="AA189" s="190"/>
      <c r="AB189" s="31">
        <v>42349</v>
      </c>
      <c r="AC189" s="36">
        <v>514.96</v>
      </c>
      <c r="AD189" s="8"/>
      <c r="AE189" s="6"/>
      <c r="AF189" s="52">
        <f t="shared" si="10"/>
        <v>21790017.440000001</v>
      </c>
      <c r="AG189" s="25">
        <f t="shared" si="11"/>
        <v>41814136</v>
      </c>
      <c r="AH189" s="52">
        <f t="shared" si="14"/>
        <v>21808041.040000003</v>
      </c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spans="1:44">
      <c r="A190" s="6"/>
      <c r="B190" s="6"/>
      <c r="C190" s="6"/>
      <c r="D190" s="6"/>
      <c r="E190" s="6"/>
      <c r="F190" s="6"/>
      <c r="G190" s="11"/>
      <c r="H190" s="6"/>
      <c r="I190" s="6"/>
      <c r="J190" s="6"/>
      <c r="K190" s="7"/>
      <c r="L190" s="21" t="str">
        <f>микс!$H$10</f>
        <v>продажа со склада</v>
      </c>
      <c r="M190" s="22"/>
      <c r="N190" s="22"/>
      <c r="O190" s="22" t="s">
        <v>128</v>
      </c>
      <c r="P190" s="23" t="str">
        <f>микс!$H$50</f>
        <v>Одежда и обувь</v>
      </c>
      <c r="Q190" s="21" t="s">
        <v>129</v>
      </c>
      <c r="R190" s="25">
        <v>1</v>
      </c>
      <c r="S190" s="28"/>
      <c r="T190" s="31">
        <v>42236</v>
      </c>
      <c r="U190" s="33">
        <v>4774</v>
      </c>
      <c r="V190" s="36">
        <f t="shared" si="12"/>
        <v>4774</v>
      </c>
      <c r="W190" s="28"/>
      <c r="X190" s="31">
        <v>42307</v>
      </c>
      <c r="Y190" s="33">
        <v>3183</v>
      </c>
      <c r="Z190" s="189">
        <f t="shared" si="13"/>
        <v>3183</v>
      </c>
      <c r="AA190" s="190"/>
      <c r="AB190" s="31">
        <v>42251</v>
      </c>
      <c r="AC190" s="36">
        <v>4774</v>
      </c>
      <c r="AD190" s="8"/>
      <c r="AE190" s="6"/>
      <c r="AF190" s="52">
        <f t="shared" si="10"/>
        <v>201634664</v>
      </c>
      <c r="AG190" s="25">
        <f t="shared" si="11"/>
        <v>134663181</v>
      </c>
      <c r="AH190" s="52">
        <f t="shared" si="14"/>
        <v>201706274</v>
      </c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spans="1:44">
      <c r="A191" s="6"/>
      <c r="B191" s="6"/>
      <c r="C191" s="6"/>
      <c r="D191" s="6"/>
      <c r="E191" s="6"/>
      <c r="F191" s="6"/>
      <c r="G191" s="11"/>
      <c r="H191" s="6"/>
      <c r="I191" s="6"/>
      <c r="J191" s="6"/>
      <c r="K191" s="7"/>
      <c r="L191" s="21" t="str">
        <f>микс!$H$10</f>
        <v>продажа со склада</v>
      </c>
      <c r="M191" s="22"/>
      <c r="N191" s="22"/>
      <c r="O191" s="22" t="s">
        <v>128</v>
      </c>
      <c r="P191" s="23" t="str">
        <f>микс!$H$50</f>
        <v>Одежда и обувь</v>
      </c>
      <c r="Q191" s="21" t="s">
        <v>131</v>
      </c>
      <c r="R191" s="25">
        <v>1</v>
      </c>
      <c r="S191" s="28"/>
      <c r="T191" s="31">
        <v>42237</v>
      </c>
      <c r="U191" s="33">
        <v>12395</v>
      </c>
      <c r="V191" s="36">
        <f t="shared" si="12"/>
        <v>12395</v>
      </c>
      <c r="W191" s="28"/>
      <c r="X191" s="31">
        <v>42317</v>
      </c>
      <c r="Y191" s="33">
        <v>11900</v>
      </c>
      <c r="Z191" s="189">
        <f t="shared" si="13"/>
        <v>11900</v>
      </c>
      <c r="AA191" s="190"/>
      <c r="AB191" s="31">
        <v>42287</v>
      </c>
      <c r="AC191" s="36">
        <v>12395</v>
      </c>
      <c r="AD191" s="8"/>
      <c r="AE191" s="6"/>
      <c r="AF191" s="52">
        <f t="shared" si="10"/>
        <v>523527615</v>
      </c>
      <c r="AG191" s="25">
        <f t="shared" si="11"/>
        <v>503572300</v>
      </c>
      <c r="AH191" s="52">
        <f t="shared" si="14"/>
        <v>524147365</v>
      </c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spans="1:44">
      <c r="A192" s="6"/>
      <c r="B192" s="6"/>
      <c r="C192" s="6"/>
      <c r="D192" s="6"/>
      <c r="E192" s="6"/>
      <c r="F192" s="6"/>
      <c r="G192" s="11"/>
      <c r="H192" s="6"/>
      <c r="I192" s="6"/>
      <c r="J192" s="6"/>
      <c r="K192" s="7"/>
      <c r="L192" s="21" t="str">
        <f>микс!$H$10</f>
        <v>продажа со склада</v>
      </c>
      <c r="M192" s="22"/>
      <c r="N192" s="22"/>
      <c r="O192" s="22" t="s">
        <v>128</v>
      </c>
      <c r="P192" s="23" t="str">
        <f>микс!$H$50</f>
        <v>Одежда и обувь</v>
      </c>
      <c r="Q192" s="21" t="s">
        <v>131</v>
      </c>
      <c r="R192" s="25">
        <v>1</v>
      </c>
      <c r="S192" s="28"/>
      <c r="T192" s="31">
        <v>42230</v>
      </c>
      <c r="U192" s="33">
        <v>12395</v>
      </c>
      <c r="V192" s="36">
        <f t="shared" si="12"/>
        <v>12395</v>
      </c>
      <c r="W192" s="28"/>
      <c r="X192" s="31">
        <v>42298</v>
      </c>
      <c r="Y192" s="33">
        <v>11900</v>
      </c>
      <c r="Z192" s="189">
        <f t="shared" si="13"/>
        <v>11900</v>
      </c>
      <c r="AA192" s="190"/>
      <c r="AB192" s="31"/>
      <c r="AC192" s="36"/>
      <c r="AD192" s="8"/>
      <c r="AE192" s="6"/>
      <c r="AF192" s="52">
        <f t="shared" si="10"/>
        <v>523440850</v>
      </c>
      <c r="AG192" s="25">
        <f t="shared" si="11"/>
        <v>503346200</v>
      </c>
      <c r="AH192" s="52">
        <f t="shared" si="14"/>
        <v>0</v>
      </c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spans="1:44">
      <c r="A193" s="6"/>
      <c r="B193" s="6"/>
      <c r="C193" s="6"/>
      <c r="D193" s="6"/>
      <c r="E193" s="6"/>
      <c r="F193" s="6"/>
      <c r="G193" s="11"/>
      <c r="H193" s="6"/>
      <c r="I193" s="6"/>
      <c r="J193" s="6"/>
      <c r="K193" s="7"/>
      <c r="L193" s="21" t="str">
        <f>микс!$H$10</f>
        <v>продажа со склада</v>
      </c>
      <c r="M193" s="22"/>
      <c r="N193" s="22"/>
      <c r="O193" s="22" t="s">
        <v>128</v>
      </c>
      <c r="P193" s="23" t="str">
        <f>микс!$H$50</f>
        <v>Одежда и обувь</v>
      </c>
      <c r="Q193" s="21" t="s">
        <v>131</v>
      </c>
      <c r="R193" s="25">
        <v>1</v>
      </c>
      <c r="S193" s="28"/>
      <c r="T193" s="31">
        <v>42268</v>
      </c>
      <c r="U193" s="33">
        <v>12395</v>
      </c>
      <c r="V193" s="36">
        <f t="shared" si="12"/>
        <v>12395</v>
      </c>
      <c r="W193" s="28"/>
      <c r="X193" s="31">
        <v>42340</v>
      </c>
      <c r="Y193" s="33">
        <v>19832</v>
      </c>
      <c r="Z193" s="189">
        <f t="shared" si="13"/>
        <v>19832</v>
      </c>
      <c r="AA193" s="190"/>
      <c r="AB193" s="31">
        <v>42298</v>
      </c>
      <c r="AC193" s="36">
        <v>12395</v>
      </c>
      <c r="AD193" s="8"/>
      <c r="AE193" s="6"/>
      <c r="AF193" s="52">
        <f t="shared" si="10"/>
        <v>523911860</v>
      </c>
      <c r="AG193" s="25">
        <f t="shared" si="11"/>
        <v>839686880</v>
      </c>
      <c r="AH193" s="52">
        <f t="shared" si="14"/>
        <v>524283710</v>
      </c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spans="1:44">
      <c r="A194" s="6"/>
      <c r="B194" s="6"/>
      <c r="C194" s="6"/>
      <c r="D194" s="6"/>
      <c r="E194" s="6"/>
      <c r="F194" s="6"/>
      <c r="G194" s="11"/>
      <c r="H194" s="6"/>
      <c r="I194" s="6"/>
      <c r="J194" s="6"/>
      <c r="K194" s="7"/>
      <c r="L194" s="21" t="str">
        <f>микс!$H$11</f>
        <v>продажа под заказ</v>
      </c>
      <c r="M194" s="22"/>
      <c r="N194" s="22"/>
      <c r="O194" s="22" t="s">
        <v>138</v>
      </c>
      <c r="P194" s="23" t="str">
        <f>микс!$H$49</f>
        <v>Товары для детей</v>
      </c>
      <c r="Q194" s="21" t="s">
        <v>59</v>
      </c>
      <c r="R194" s="25">
        <v>1</v>
      </c>
      <c r="S194" s="28"/>
      <c r="T194" s="31">
        <v>42335</v>
      </c>
      <c r="U194" s="33">
        <v>14465</v>
      </c>
      <c r="V194" s="36">
        <f t="shared" si="12"/>
        <v>14465</v>
      </c>
      <c r="W194" s="28"/>
      <c r="X194" s="31">
        <v>42339</v>
      </c>
      <c r="Y194" s="33">
        <v>14743</v>
      </c>
      <c r="Z194" s="189">
        <f t="shared" si="13"/>
        <v>14743</v>
      </c>
      <c r="AA194" s="190"/>
      <c r="AB194" s="31"/>
      <c r="AC194" s="36"/>
      <c r="AD194" s="8"/>
      <c r="AE194" s="6"/>
      <c r="AF194" s="52">
        <f t="shared" si="10"/>
        <v>612375775</v>
      </c>
      <c r="AG194" s="25">
        <f t="shared" si="11"/>
        <v>624203877</v>
      </c>
      <c r="AH194" s="52">
        <f t="shared" si="14"/>
        <v>0</v>
      </c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spans="1:44">
      <c r="A195" s="6"/>
      <c r="B195" s="6"/>
      <c r="C195" s="6"/>
      <c r="D195" s="6"/>
      <c r="E195" s="6"/>
      <c r="F195" s="6"/>
      <c r="G195" s="11"/>
      <c r="H195" s="6"/>
      <c r="I195" s="6"/>
      <c r="J195" s="6"/>
      <c r="K195" s="7"/>
      <c r="L195" s="21" t="str">
        <f>микс!$H$11</f>
        <v>продажа под заказ</v>
      </c>
      <c r="M195" s="22"/>
      <c r="N195" s="22"/>
      <c r="O195" s="22" t="s">
        <v>138</v>
      </c>
      <c r="P195" s="23" t="str">
        <f>микс!$H$49</f>
        <v>Товары для детей</v>
      </c>
      <c r="Q195" s="21" t="s">
        <v>59</v>
      </c>
      <c r="R195" s="25">
        <v>1</v>
      </c>
      <c r="S195" s="28"/>
      <c r="T195" s="31">
        <v>42307</v>
      </c>
      <c r="U195" s="33">
        <v>12885</v>
      </c>
      <c r="V195" s="36">
        <f t="shared" si="12"/>
        <v>12885</v>
      </c>
      <c r="W195" s="28"/>
      <c r="X195" s="31">
        <v>42309</v>
      </c>
      <c r="Y195" s="33">
        <v>13555</v>
      </c>
      <c r="Z195" s="189">
        <f t="shared" si="13"/>
        <v>13555</v>
      </c>
      <c r="AA195" s="190"/>
      <c r="AB195" s="31">
        <v>42317</v>
      </c>
      <c r="AC195" s="36">
        <v>12885</v>
      </c>
      <c r="AD195" s="8"/>
      <c r="AE195" s="6"/>
      <c r="AF195" s="52">
        <f t="shared" si="10"/>
        <v>545125695</v>
      </c>
      <c r="AG195" s="25">
        <f t="shared" si="11"/>
        <v>573498495</v>
      </c>
      <c r="AH195" s="52">
        <f t="shared" si="14"/>
        <v>545254545</v>
      </c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spans="1:44">
      <c r="A196" s="6"/>
      <c r="B196" s="6"/>
      <c r="C196" s="6"/>
      <c r="D196" s="6"/>
      <c r="E196" s="6"/>
      <c r="F196" s="6"/>
      <c r="G196" s="11"/>
      <c r="H196" s="6"/>
      <c r="I196" s="6"/>
      <c r="J196" s="6"/>
      <c r="K196" s="7"/>
      <c r="L196" s="21" t="str">
        <f>микс!$H$10</f>
        <v>продажа со склада</v>
      </c>
      <c r="M196" s="22"/>
      <c r="N196" s="22"/>
      <c r="O196" s="22" t="s">
        <v>138</v>
      </c>
      <c r="P196" s="23" t="str">
        <f>микс!$H$49</f>
        <v>Товары для детей</v>
      </c>
      <c r="Q196" s="21" t="s">
        <v>59</v>
      </c>
      <c r="R196" s="25">
        <v>1</v>
      </c>
      <c r="S196" s="28"/>
      <c r="T196" s="31">
        <v>42198</v>
      </c>
      <c r="U196" s="33">
        <v>12885</v>
      </c>
      <c r="V196" s="36">
        <f t="shared" si="12"/>
        <v>12885</v>
      </c>
      <c r="W196" s="28"/>
      <c r="X196" s="31">
        <v>42294</v>
      </c>
      <c r="Y196" s="33">
        <v>12999</v>
      </c>
      <c r="Z196" s="189">
        <f t="shared" si="13"/>
        <v>12999</v>
      </c>
      <c r="AA196" s="190"/>
      <c r="AB196" s="31">
        <v>42205</v>
      </c>
      <c r="AC196" s="36">
        <v>12885</v>
      </c>
      <c r="AD196" s="8"/>
      <c r="AE196" s="6"/>
      <c r="AF196" s="52">
        <f t="shared" si="10"/>
        <v>543721230</v>
      </c>
      <c r="AG196" s="25">
        <f t="shared" si="11"/>
        <v>549779706</v>
      </c>
      <c r="AH196" s="52">
        <f t="shared" si="14"/>
        <v>543811425</v>
      </c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spans="1:44">
      <c r="A197" s="6"/>
      <c r="B197" s="6"/>
      <c r="C197" s="6"/>
      <c r="D197" s="6"/>
      <c r="E197" s="6"/>
      <c r="F197" s="6"/>
      <c r="G197" s="11"/>
      <c r="H197" s="6"/>
      <c r="I197" s="6"/>
      <c r="J197" s="6"/>
      <c r="K197" s="7"/>
      <c r="L197" s="21" t="str">
        <f>микс!$H$11</f>
        <v>продажа под заказ</v>
      </c>
      <c r="M197" s="22"/>
      <c r="N197" s="22"/>
      <c r="O197" s="22" t="s">
        <v>142</v>
      </c>
      <c r="P197" s="23" t="str">
        <f>микс!$H$47</f>
        <v>Домашнее хозяйство</v>
      </c>
      <c r="Q197" s="21" t="s">
        <v>66</v>
      </c>
      <c r="R197" s="25">
        <v>1</v>
      </c>
      <c r="S197" s="28"/>
      <c r="T197" s="31">
        <v>42308</v>
      </c>
      <c r="U197" s="33">
        <v>1387</v>
      </c>
      <c r="V197" s="36">
        <f t="shared" si="12"/>
        <v>1387</v>
      </c>
      <c r="W197" s="28"/>
      <c r="X197" s="31">
        <v>42315</v>
      </c>
      <c r="Y197" s="33">
        <v>1654</v>
      </c>
      <c r="Z197" s="189">
        <f t="shared" si="13"/>
        <v>1654</v>
      </c>
      <c r="AA197" s="190"/>
      <c r="AB197" s="31">
        <v>42330</v>
      </c>
      <c r="AC197" s="36">
        <v>1387</v>
      </c>
      <c r="AD197" s="8"/>
      <c r="AE197" s="6"/>
      <c r="AF197" s="52">
        <f t="shared" si="10"/>
        <v>58681196</v>
      </c>
      <c r="AG197" s="25">
        <f t="shared" si="11"/>
        <v>69989010</v>
      </c>
      <c r="AH197" s="52">
        <f t="shared" si="14"/>
        <v>58711710</v>
      </c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spans="1:44">
      <c r="A198" s="6"/>
      <c r="B198" s="6"/>
      <c r="C198" s="6"/>
      <c r="D198" s="6"/>
      <c r="E198" s="6"/>
      <c r="F198" s="6"/>
      <c r="G198" s="11"/>
      <c r="H198" s="6"/>
      <c r="I198" s="6"/>
      <c r="J198" s="6"/>
      <c r="K198" s="7"/>
      <c r="L198" s="21" t="str">
        <f>микс!$H$10</f>
        <v>продажа со склада</v>
      </c>
      <c r="M198" s="22"/>
      <c r="N198" s="22"/>
      <c r="O198" s="22" t="s">
        <v>145</v>
      </c>
      <c r="P198" s="23" t="str">
        <f>микс!$H$46</f>
        <v>Электроника и бытовая техника</v>
      </c>
      <c r="Q198" s="21" t="s">
        <v>67</v>
      </c>
      <c r="R198" s="25">
        <v>1</v>
      </c>
      <c r="S198" s="28"/>
      <c r="T198" s="31">
        <v>42261</v>
      </c>
      <c r="U198" s="33">
        <v>2934</v>
      </c>
      <c r="V198" s="36">
        <f t="shared" si="12"/>
        <v>2934</v>
      </c>
      <c r="W198" s="28"/>
      <c r="X198" s="31">
        <v>42329</v>
      </c>
      <c r="Y198" s="33">
        <v>3147</v>
      </c>
      <c r="Z198" s="189">
        <f t="shared" si="13"/>
        <v>3147</v>
      </c>
      <c r="AA198" s="190"/>
      <c r="AB198" s="31">
        <v>42293</v>
      </c>
      <c r="AC198" s="36">
        <v>2934</v>
      </c>
      <c r="AD198" s="8"/>
      <c r="AE198" s="6"/>
      <c r="AF198" s="52">
        <f t="shared" si="10"/>
        <v>123993774</v>
      </c>
      <c r="AG198" s="25">
        <f t="shared" si="11"/>
        <v>133209363</v>
      </c>
      <c r="AH198" s="52">
        <f t="shared" si="14"/>
        <v>124087662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spans="1:44">
      <c r="A199" s="6"/>
      <c r="B199" s="6"/>
      <c r="C199" s="6"/>
      <c r="D199" s="6"/>
      <c r="E199" s="6"/>
      <c r="F199" s="6"/>
      <c r="G199" s="11"/>
      <c r="H199" s="6"/>
      <c r="I199" s="6"/>
      <c r="J199" s="6"/>
      <c r="K199" s="7"/>
      <c r="L199" s="21" t="str">
        <f>микс!$H$11</f>
        <v>продажа под заказ</v>
      </c>
      <c r="M199" s="22"/>
      <c r="N199" s="22"/>
      <c r="O199" s="22" t="s">
        <v>145</v>
      </c>
      <c r="P199" s="23" t="str">
        <f>микс!$H$46</f>
        <v>Электроника и бытовая техника</v>
      </c>
      <c r="Q199" s="21" t="s">
        <v>68</v>
      </c>
      <c r="R199" s="25">
        <v>1</v>
      </c>
      <c r="S199" s="28"/>
      <c r="T199" s="31">
        <v>42332</v>
      </c>
      <c r="U199" s="33">
        <v>6605.04</v>
      </c>
      <c r="V199" s="36">
        <f t="shared" si="12"/>
        <v>6605.04</v>
      </c>
      <c r="W199" s="28"/>
      <c r="X199" s="31">
        <v>42335</v>
      </c>
      <c r="Y199" s="33">
        <v>6990</v>
      </c>
      <c r="Z199" s="189">
        <f t="shared" si="13"/>
        <v>6990</v>
      </c>
      <c r="AA199" s="190"/>
      <c r="AB199" s="31"/>
      <c r="AC199" s="36"/>
      <c r="AD199" s="8"/>
      <c r="AE199" s="6"/>
      <c r="AF199" s="52">
        <f t="shared" si="10"/>
        <v>279604553.27999997</v>
      </c>
      <c r="AG199" s="25">
        <f t="shared" si="11"/>
        <v>295921650</v>
      </c>
      <c r="AH199" s="52">
        <f t="shared" si="14"/>
        <v>0</v>
      </c>
      <c r="AI199" s="6"/>
      <c r="AJ199" s="6"/>
      <c r="AK199" s="6"/>
      <c r="AL199" s="6"/>
      <c r="AM199" s="6"/>
      <c r="AN199" s="6"/>
      <c r="AO199" s="6"/>
      <c r="AP199" s="6"/>
      <c r="AQ199" s="6"/>
      <c r="AR199" s="6"/>
    </row>
    <row r="200" spans="1:44">
      <c r="A200" s="6"/>
      <c r="B200" s="6"/>
      <c r="C200" s="6"/>
      <c r="D200" s="6"/>
      <c r="E200" s="6"/>
      <c r="F200" s="6"/>
      <c r="G200" s="11"/>
      <c r="H200" s="6"/>
      <c r="I200" s="6"/>
      <c r="J200" s="6"/>
      <c r="K200" s="7"/>
      <c r="L200" s="21" t="str">
        <f>микс!$H$11</f>
        <v>продажа под заказ</v>
      </c>
      <c r="M200" s="22"/>
      <c r="N200" s="22"/>
      <c r="O200" s="22" t="s">
        <v>137</v>
      </c>
      <c r="P200" s="23" t="str">
        <f>микс!$H$46</f>
        <v>Электроника и бытовая техника</v>
      </c>
      <c r="Q200" s="21" t="s">
        <v>68</v>
      </c>
      <c r="R200" s="25">
        <v>1</v>
      </c>
      <c r="S200" s="28"/>
      <c r="T200" s="31">
        <v>42332</v>
      </c>
      <c r="U200" s="33">
        <v>6605.04</v>
      </c>
      <c r="V200" s="36">
        <f t="shared" si="12"/>
        <v>6605.04</v>
      </c>
      <c r="W200" s="28"/>
      <c r="X200" s="31">
        <v>42336</v>
      </c>
      <c r="Y200" s="33">
        <v>6990</v>
      </c>
      <c r="Z200" s="189">
        <f t="shared" si="13"/>
        <v>6990</v>
      </c>
      <c r="AA200" s="190"/>
      <c r="AB200" s="31"/>
      <c r="AC200" s="36"/>
      <c r="AD200" s="8"/>
      <c r="AE200" s="6"/>
      <c r="AF200" s="52">
        <f t="shared" si="10"/>
        <v>279604553.27999997</v>
      </c>
      <c r="AG200" s="25">
        <f t="shared" si="11"/>
        <v>295928640</v>
      </c>
      <c r="AH200" s="52">
        <f t="shared" si="14"/>
        <v>0</v>
      </c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spans="1:44">
      <c r="A201" s="6"/>
      <c r="B201" s="6"/>
      <c r="C201" s="6"/>
      <c r="D201" s="6"/>
      <c r="E201" s="6"/>
      <c r="F201" s="6"/>
      <c r="G201" s="11"/>
      <c r="H201" s="6"/>
      <c r="I201" s="6"/>
      <c r="J201" s="6"/>
      <c r="K201" s="7"/>
      <c r="L201" s="21" t="str">
        <f>микс!$H$11</f>
        <v>продажа под заказ</v>
      </c>
      <c r="M201" s="22"/>
      <c r="N201" s="22"/>
      <c r="O201" s="22" t="s">
        <v>145</v>
      </c>
      <c r="P201" s="23" t="str">
        <f>микс!$H$46</f>
        <v>Электроника и бытовая техника</v>
      </c>
      <c r="Q201" s="21" t="s">
        <v>68</v>
      </c>
      <c r="R201" s="25">
        <v>1</v>
      </c>
      <c r="S201" s="28"/>
      <c r="T201" s="31">
        <v>42322</v>
      </c>
      <c r="U201" s="33">
        <v>6257.04</v>
      </c>
      <c r="V201" s="36">
        <f t="shared" si="12"/>
        <v>6257.04</v>
      </c>
      <c r="W201" s="28"/>
      <c r="X201" s="31">
        <v>42327</v>
      </c>
      <c r="Y201" s="33">
        <v>6446</v>
      </c>
      <c r="Z201" s="189">
        <f t="shared" si="13"/>
        <v>6446</v>
      </c>
      <c r="AA201" s="190"/>
      <c r="AB201" s="31">
        <v>42334</v>
      </c>
      <c r="AC201" s="36">
        <v>6257.04</v>
      </c>
      <c r="AD201" s="8"/>
      <c r="AE201" s="6"/>
      <c r="AF201" s="52">
        <f t="shared" ref="AF201:AF264" si="15">T201*V201</f>
        <v>264810446.88</v>
      </c>
      <c r="AG201" s="25">
        <f t="shared" ref="AG201:AG264" si="16">X201*Z201</f>
        <v>272839842</v>
      </c>
      <c r="AH201" s="52">
        <f t="shared" si="14"/>
        <v>264885531.35999998</v>
      </c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spans="1:44">
      <c r="A202" s="6"/>
      <c r="B202" s="6"/>
      <c r="C202" s="6"/>
      <c r="D202" s="6"/>
      <c r="E202" s="6"/>
      <c r="F202" s="6"/>
      <c r="G202" s="11"/>
      <c r="H202" s="6"/>
      <c r="I202" s="6"/>
      <c r="J202" s="6"/>
      <c r="K202" s="7"/>
      <c r="L202" s="21" t="str">
        <f>микс!$H$10</f>
        <v>продажа со склада</v>
      </c>
      <c r="M202" s="22"/>
      <c r="N202" s="22"/>
      <c r="O202" s="22" t="s">
        <v>138</v>
      </c>
      <c r="P202" s="23" t="str">
        <f>микс!$H$49</f>
        <v>Товары для детей</v>
      </c>
      <c r="Q202" s="21" t="s">
        <v>63</v>
      </c>
      <c r="R202" s="25">
        <v>1</v>
      </c>
      <c r="S202" s="28"/>
      <c r="T202" s="31">
        <v>42258</v>
      </c>
      <c r="U202" s="33">
        <v>2415</v>
      </c>
      <c r="V202" s="36">
        <f t="shared" ref="V202:V265" si="17">$R202*U202</f>
        <v>2415</v>
      </c>
      <c r="W202" s="28"/>
      <c r="X202" s="31">
        <v>42326</v>
      </c>
      <c r="Y202" s="33">
        <v>2240</v>
      </c>
      <c r="Z202" s="189">
        <f t="shared" ref="Z202:Z265" si="18">$R202*Y202</f>
        <v>2240</v>
      </c>
      <c r="AA202" s="190"/>
      <c r="AB202" s="31">
        <v>42268</v>
      </c>
      <c r="AC202" s="36">
        <v>2415</v>
      </c>
      <c r="AD202" s="8"/>
      <c r="AE202" s="6"/>
      <c r="AF202" s="52">
        <f t="shared" si="15"/>
        <v>102053070</v>
      </c>
      <c r="AG202" s="25">
        <f t="shared" si="16"/>
        <v>94810240</v>
      </c>
      <c r="AH202" s="52">
        <f t="shared" ref="AH202:AH265" si="19">AB202*AC202</f>
        <v>102077220</v>
      </c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spans="1:44">
      <c r="A203" s="6"/>
      <c r="B203" s="6"/>
      <c r="C203" s="6"/>
      <c r="D203" s="6"/>
      <c r="E203" s="6"/>
      <c r="F203" s="6"/>
      <c r="G203" s="11"/>
      <c r="H203" s="6"/>
      <c r="I203" s="6"/>
      <c r="J203" s="6"/>
      <c r="K203" s="7"/>
      <c r="L203" s="21" t="str">
        <f>микс!$H$11</f>
        <v>продажа под заказ</v>
      </c>
      <c r="M203" s="22"/>
      <c r="N203" s="22"/>
      <c r="O203" s="22" t="s">
        <v>134</v>
      </c>
      <c r="P203" s="23" t="str">
        <f>микс!$H$49</f>
        <v>Товары для детей</v>
      </c>
      <c r="Q203" s="21" t="s">
        <v>63</v>
      </c>
      <c r="R203" s="25">
        <v>1</v>
      </c>
      <c r="S203" s="28"/>
      <c r="T203" s="31">
        <v>42309</v>
      </c>
      <c r="U203" s="33">
        <v>1990</v>
      </c>
      <c r="V203" s="36">
        <f t="shared" si="17"/>
        <v>1990</v>
      </c>
      <c r="W203" s="28"/>
      <c r="X203" s="31">
        <v>42320</v>
      </c>
      <c r="Y203" s="33">
        <v>2148</v>
      </c>
      <c r="Z203" s="189">
        <f t="shared" si="18"/>
        <v>2148</v>
      </c>
      <c r="AA203" s="190"/>
      <c r="AB203" s="31">
        <v>42329</v>
      </c>
      <c r="AC203" s="36">
        <v>1990</v>
      </c>
      <c r="AD203" s="8"/>
      <c r="AE203" s="6"/>
      <c r="AF203" s="52">
        <f t="shared" si="15"/>
        <v>84194910</v>
      </c>
      <c r="AG203" s="25">
        <f t="shared" si="16"/>
        <v>90903360</v>
      </c>
      <c r="AH203" s="52">
        <f t="shared" si="19"/>
        <v>84234710</v>
      </c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spans="1:44">
      <c r="A204" s="6"/>
      <c r="B204" s="6"/>
      <c r="C204" s="6"/>
      <c r="D204" s="6"/>
      <c r="E204" s="6"/>
      <c r="F204" s="6"/>
      <c r="G204" s="11"/>
      <c r="H204" s="6"/>
      <c r="I204" s="6"/>
      <c r="J204" s="6"/>
      <c r="K204" s="7"/>
      <c r="L204" s="21" t="str">
        <f>микс!$H$11</f>
        <v>продажа под заказ</v>
      </c>
      <c r="M204" s="22"/>
      <c r="N204" s="22"/>
      <c r="O204" s="22" t="s">
        <v>134</v>
      </c>
      <c r="P204" s="23" t="str">
        <f>микс!$H$49</f>
        <v>Товары для детей</v>
      </c>
      <c r="Q204" s="21" t="s">
        <v>63</v>
      </c>
      <c r="R204" s="25">
        <v>1</v>
      </c>
      <c r="S204" s="28"/>
      <c r="T204" s="31">
        <v>42333</v>
      </c>
      <c r="U204" s="33">
        <v>1930</v>
      </c>
      <c r="V204" s="36">
        <f t="shared" si="17"/>
        <v>1930</v>
      </c>
      <c r="W204" s="28"/>
      <c r="X204" s="31">
        <v>42342</v>
      </c>
      <c r="Y204" s="33">
        <v>2240</v>
      </c>
      <c r="Z204" s="189">
        <f t="shared" si="18"/>
        <v>2240</v>
      </c>
      <c r="AA204" s="190"/>
      <c r="AB204" s="31">
        <v>42363</v>
      </c>
      <c r="AC204" s="36">
        <v>1930</v>
      </c>
      <c r="AD204" s="8"/>
      <c r="AE204" s="6"/>
      <c r="AF204" s="52">
        <f t="shared" si="15"/>
        <v>81702690</v>
      </c>
      <c r="AG204" s="25">
        <f t="shared" si="16"/>
        <v>94846080</v>
      </c>
      <c r="AH204" s="52">
        <f t="shared" si="19"/>
        <v>81760590</v>
      </c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spans="1:44">
      <c r="A205" s="6"/>
      <c r="B205" s="6"/>
      <c r="C205" s="6"/>
      <c r="D205" s="6"/>
      <c r="E205" s="6"/>
      <c r="F205" s="6"/>
      <c r="G205" s="11"/>
      <c r="H205" s="6"/>
      <c r="I205" s="6"/>
      <c r="J205" s="6"/>
      <c r="K205" s="7"/>
      <c r="L205" s="21" t="str">
        <f>микс!$H$11</f>
        <v>продажа под заказ</v>
      </c>
      <c r="M205" s="22"/>
      <c r="N205" s="22"/>
      <c r="O205" s="22" t="s">
        <v>137</v>
      </c>
      <c r="P205" s="23" t="str">
        <f>микс!$H$46</f>
        <v>Электроника и бытовая техника</v>
      </c>
      <c r="Q205" s="21" t="s">
        <v>69</v>
      </c>
      <c r="R205" s="25">
        <v>1</v>
      </c>
      <c r="S205" s="28"/>
      <c r="T205" s="31">
        <v>42336</v>
      </c>
      <c r="U205" s="33">
        <v>4660.38</v>
      </c>
      <c r="V205" s="36">
        <f t="shared" si="17"/>
        <v>4660.38</v>
      </c>
      <c r="W205" s="28"/>
      <c r="X205" s="31">
        <v>42342</v>
      </c>
      <c r="Y205" s="33">
        <v>4990</v>
      </c>
      <c r="Z205" s="189">
        <f t="shared" si="18"/>
        <v>4990</v>
      </c>
      <c r="AA205" s="190"/>
      <c r="AB205" s="31">
        <v>42366</v>
      </c>
      <c r="AC205" s="36">
        <v>4660.38</v>
      </c>
      <c r="AD205" s="8"/>
      <c r="AE205" s="6"/>
      <c r="AF205" s="52">
        <f t="shared" si="15"/>
        <v>197301847.68000001</v>
      </c>
      <c r="AG205" s="25">
        <f t="shared" si="16"/>
        <v>211286580</v>
      </c>
      <c r="AH205" s="52">
        <f t="shared" si="19"/>
        <v>197441659.08000001</v>
      </c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spans="1:44">
      <c r="A206" s="6"/>
      <c r="B206" s="6"/>
      <c r="C206" s="6"/>
      <c r="D206" s="6"/>
      <c r="E206" s="6"/>
      <c r="F206" s="6"/>
      <c r="G206" s="11"/>
      <c r="H206" s="6"/>
      <c r="I206" s="6"/>
      <c r="J206" s="6"/>
      <c r="K206" s="7"/>
      <c r="L206" s="21" t="str">
        <f>микс!$H$11</f>
        <v>продажа под заказ</v>
      </c>
      <c r="M206" s="22"/>
      <c r="N206" s="22"/>
      <c r="O206" s="22" t="s">
        <v>150</v>
      </c>
      <c r="P206" s="23" t="str">
        <f>микс!$H$49</f>
        <v>Товары для детей</v>
      </c>
      <c r="Q206" s="21" t="s">
        <v>63</v>
      </c>
      <c r="R206" s="25">
        <v>1</v>
      </c>
      <c r="S206" s="28"/>
      <c r="T206" s="31">
        <v>42326</v>
      </c>
      <c r="U206" s="33">
        <v>1025.1300000000001</v>
      </c>
      <c r="V206" s="36">
        <f t="shared" si="17"/>
        <v>1025.1300000000001</v>
      </c>
      <c r="W206" s="28"/>
      <c r="X206" s="31">
        <v>42329</v>
      </c>
      <c r="Y206" s="33">
        <v>1483</v>
      </c>
      <c r="Z206" s="189">
        <f t="shared" si="18"/>
        <v>1483</v>
      </c>
      <c r="AA206" s="190"/>
      <c r="AB206" s="31"/>
      <c r="AC206" s="36"/>
      <c r="AD206" s="8"/>
      <c r="AE206" s="6"/>
      <c r="AF206" s="52">
        <f t="shared" si="15"/>
        <v>43389652.380000003</v>
      </c>
      <c r="AG206" s="25">
        <f t="shared" si="16"/>
        <v>62773907</v>
      </c>
      <c r="AH206" s="52">
        <f t="shared" si="19"/>
        <v>0</v>
      </c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spans="1:44">
      <c r="A207" s="6"/>
      <c r="B207" s="6"/>
      <c r="C207" s="6"/>
      <c r="D207" s="6"/>
      <c r="E207" s="6"/>
      <c r="F207" s="6"/>
      <c r="G207" s="11"/>
      <c r="H207" s="6"/>
      <c r="I207" s="6"/>
      <c r="J207" s="6"/>
      <c r="K207" s="7"/>
      <c r="L207" s="21" t="str">
        <f>микс!$H$10</f>
        <v>продажа со склада</v>
      </c>
      <c r="M207" s="22"/>
      <c r="N207" s="22"/>
      <c r="O207" s="22" t="s">
        <v>150</v>
      </c>
      <c r="P207" s="23" t="str">
        <f>микс!$H$49</f>
        <v>Товары для детей</v>
      </c>
      <c r="Q207" s="21" t="s">
        <v>63</v>
      </c>
      <c r="R207" s="25">
        <v>1</v>
      </c>
      <c r="S207" s="28"/>
      <c r="T207" s="31">
        <v>42261</v>
      </c>
      <c r="U207" s="33">
        <v>96.69</v>
      </c>
      <c r="V207" s="36">
        <f t="shared" si="17"/>
        <v>96.69</v>
      </c>
      <c r="W207" s="28"/>
      <c r="X207" s="31">
        <v>42327</v>
      </c>
      <c r="Y207" s="33">
        <v>180</v>
      </c>
      <c r="Z207" s="189">
        <f t="shared" si="18"/>
        <v>180</v>
      </c>
      <c r="AA207" s="190"/>
      <c r="AB207" s="31">
        <v>42321</v>
      </c>
      <c r="AC207" s="36">
        <v>96.69</v>
      </c>
      <c r="AD207" s="8"/>
      <c r="AE207" s="6"/>
      <c r="AF207" s="52">
        <f t="shared" si="15"/>
        <v>4086216.09</v>
      </c>
      <c r="AG207" s="25">
        <f t="shared" si="16"/>
        <v>7618860</v>
      </c>
      <c r="AH207" s="52">
        <f t="shared" si="19"/>
        <v>4092017.4899999998</v>
      </c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spans="1:44">
      <c r="A208" s="6"/>
      <c r="B208" s="6"/>
      <c r="C208" s="6"/>
      <c r="D208" s="6"/>
      <c r="E208" s="6"/>
      <c r="F208" s="6"/>
      <c r="G208" s="11"/>
      <c r="H208" s="6"/>
      <c r="I208" s="6"/>
      <c r="J208" s="6"/>
      <c r="K208" s="7"/>
      <c r="L208" s="21" t="str">
        <f>микс!$H$10</f>
        <v>продажа со склада</v>
      </c>
      <c r="M208" s="22"/>
      <c r="N208" s="22"/>
      <c r="O208" s="22" t="s">
        <v>136</v>
      </c>
      <c r="P208" s="23" t="str">
        <f>микс!$H$48</f>
        <v>Спортивный инвентарь</v>
      </c>
      <c r="Q208" s="21" t="s">
        <v>70</v>
      </c>
      <c r="R208" s="25">
        <v>1</v>
      </c>
      <c r="S208" s="28"/>
      <c r="T208" s="31">
        <v>42247</v>
      </c>
      <c r="U208" s="33">
        <v>225.4</v>
      </c>
      <c r="V208" s="36">
        <f t="shared" si="17"/>
        <v>225.4</v>
      </c>
      <c r="W208" s="28"/>
      <c r="X208" s="31">
        <v>42321</v>
      </c>
      <c r="Y208" s="33">
        <v>293</v>
      </c>
      <c r="Z208" s="189">
        <f t="shared" si="18"/>
        <v>293</v>
      </c>
      <c r="AA208" s="190"/>
      <c r="AB208" s="31">
        <v>42297</v>
      </c>
      <c r="AC208" s="36">
        <v>225.4</v>
      </c>
      <c r="AD208" s="8"/>
      <c r="AE208" s="6"/>
      <c r="AF208" s="52">
        <f t="shared" si="15"/>
        <v>9522473.8000000007</v>
      </c>
      <c r="AG208" s="25">
        <f t="shared" si="16"/>
        <v>12400053</v>
      </c>
      <c r="AH208" s="52">
        <f t="shared" si="19"/>
        <v>9533743.8000000007</v>
      </c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spans="1:44">
      <c r="A209" s="6"/>
      <c r="B209" s="6"/>
      <c r="C209" s="6"/>
      <c r="D209" s="6"/>
      <c r="E209" s="6"/>
      <c r="F209" s="6"/>
      <c r="G209" s="11"/>
      <c r="H209" s="6"/>
      <c r="I209" s="6"/>
      <c r="J209" s="6"/>
      <c r="K209" s="7"/>
      <c r="L209" s="21" t="str">
        <f>микс!$H$11</f>
        <v>продажа под заказ</v>
      </c>
      <c r="M209" s="22"/>
      <c r="N209" s="22"/>
      <c r="O209" s="22" t="s">
        <v>136</v>
      </c>
      <c r="P209" s="23" t="str">
        <f>микс!$H$48</f>
        <v>Спортивный инвентарь</v>
      </c>
      <c r="Q209" s="21" t="s">
        <v>70</v>
      </c>
      <c r="R209" s="25">
        <v>2</v>
      </c>
      <c r="S209" s="28"/>
      <c r="T209" s="31">
        <v>42307</v>
      </c>
      <c r="U209" s="33">
        <v>225.4</v>
      </c>
      <c r="V209" s="36">
        <f t="shared" si="17"/>
        <v>450.8</v>
      </c>
      <c r="W209" s="28"/>
      <c r="X209" s="31">
        <v>42318</v>
      </c>
      <c r="Y209" s="33">
        <v>456</v>
      </c>
      <c r="Z209" s="189">
        <f t="shared" si="18"/>
        <v>912</v>
      </c>
      <c r="AA209" s="190"/>
      <c r="AB209" s="31">
        <v>42367</v>
      </c>
      <c r="AC209" s="36">
        <v>450.8</v>
      </c>
      <c r="AD209" s="8"/>
      <c r="AE209" s="6"/>
      <c r="AF209" s="52">
        <f t="shared" si="15"/>
        <v>19071995.600000001</v>
      </c>
      <c r="AG209" s="25">
        <f t="shared" si="16"/>
        <v>38594016</v>
      </c>
      <c r="AH209" s="52">
        <f t="shared" si="19"/>
        <v>19099043.600000001</v>
      </c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spans="1:44">
      <c r="A210" s="6"/>
      <c r="B210" s="6"/>
      <c r="C210" s="6"/>
      <c r="D210" s="6"/>
      <c r="E210" s="6"/>
      <c r="F210" s="6"/>
      <c r="G210" s="11"/>
      <c r="H210" s="6"/>
      <c r="I210" s="6"/>
      <c r="J210" s="6"/>
      <c r="K210" s="7"/>
      <c r="L210" s="21" t="str">
        <f>микс!$H$10</f>
        <v>продажа со склада</v>
      </c>
      <c r="M210" s="22"/>
      <c r="N210" s="22"/>
      <c r="O210" s="22" t="s">
        <v>150</v>
      </c>
      <c r="P210" s="23" t="str">
        <f>микс!$H$49</f>
        <v>Товары для детей</v>
      </c>
      <c r="Q210" s="21" t="s">
        <v>63</v>
      </c>
      <c r="R210" s="25">
        <v>1</v>
      </c>
      <c r="S210" s="28"/>
      <c r="T210" s="31">
        <v>42233</v>
      </c>
      <c r="U210" s="33">
        <v>1115.4000000000001</v>
      </c>
      <c r="V210" s="36">
        <f t="shared" si="17"/>
        <v>1115.4000000000001</v>
      </c>
      <c r="W210" s="28"/>
      <c r="X210" s="31">
        <v>42299</v>
      </c>
      <c r="Y210" s="33">
        <v>707</v>
      </c>
      <c r="Z210" s="189">
        <f t="shared" si="18"/>
        <v>707</v>
      </c>
      <c r="AA210" s="190"/>
      <c r="AB210" s="31">
        <v>42263</v>
      </c>
      <c r="AC210" s="36">
        <v>1115.4000000000001</v>
      </c>
      <c r="AD210" s="8"/>
      <c r="AE210" s="6"/>
      <c r="AF210" s="52">
        <f t="shared" si="15"/>
        <v>47106688.200000003</v>
      </c>
      <c r="AG210" s="25">
        <f t="shared" si="16"/>
        <v>29905393</v>
      </c>
      <c r="AH210" s="52">
        <f t="shared" si="19"/>
        <v>47140150.200000003</v>
      </c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spans="1:44">
      <c r="A211" s="6"/>
      <c r="B211" s="6"/>
      <c r="C211" s="6"/>
      <c r="D211" s="6"/>
      <c r="E211" s="6"/>
      <c r="F211" s="6"/>
      <c r="G211" s="11"/>
      <c r="H211" s="6"/>
      <c r="I211" s="6"/>
      <c r="J211" s="6"/>
      <c r="K211" s="7"/>
      <c r="L211" s="21" t="str">
        <f>микс!$H$10</f>
        <v>продажа со склада</v>
      </c>
      <c r="M211" s="22"/>
      <c r="N211" s="22"/>
      <c r="O211" s="22" t="s">
        <v>150</v>
      </c>
      <c r="P211" s="23" t="str">
        <f>микс!$H$49</f>
        <v>Товары для детей</v>
      </c>
      <c r="Q211" s="21" t="s">
        <v>63</v>
      </c>
      <c r="R211" s="25">
        <v>1</v>
      </c>
      <c r="S211" s="28"/>
      <c r="T211" s="31">
        <v>42231</v>
      </c>
      <c r="U211" s="33">
        <v>126.72</v>
      </c>
      <c r="V211" s="36">
        <f t="shared" si="17"/>
        <v>126.72</v>
      </c>
      <c r="W211" s="28"/>
      <c r="X211" s="31">
        <v>42327</v>
      </c>
      <c r="Y211" s="33">
        <v>260</v>
      </c>
      <c r="Z211" s="189">
        <f t="shared" si="18"/>
        <v>260</v>
      </c>
      <c r="AA211" s="190"/>
      <c r="AB211" s="31">
        <v>42251</v>
      </c>
      <c r="AC211" s="36">
        <v>126.72</v>
      </c>
      <c r="AD211" s="8"/>
      <c r="AE211" s="6"/>
      <c r="AF211" s="52">
        <f t="shared" si="15"/>
        <v>5351512.32</v>
      </c>
      <c r="AG211" s="25">
        <f t="shared" si="16"/>
        <v>11005020</v>
      </c>
      <c r="AH211" s="52">
        <f t="shared" si="19"/>
        <v>5354046.72</v>
      </c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spans="1:44">
      <c r="A212" s="6"/>
      <c r="B212" s="6"/>
      <c r="C212" s="6"/>
      <c r="D212" s="6"/>
      <c r="E212" s="6"/>
      <c r="F212" s="6"/>
      <c r="G212" s="11"/>
      <c r="H212" s="6"/>
      <c r="I212" s="6"/>
      <c r="J212" s="6"/>
      <c r="K212" s="7"/>
      <c r="L212" s="21" t="str">
        <f>микс!$H$11</f>
        <v>продажа под заказ</v>
      </c>
      <c r="M212" s="22"/>
      <c r="N212" s="22"/>
      <c r="O212" s="22" t="s">
        <v>150</v>
      </c>
      <c r="P212" s="23" t="str">
        <f>микс!$H$49</f>
        <v>Товары для детей</v>
      </c>
      <c r="Q212" s="21" t="s">
        <v>63</v>
      </c>
      <c r="R212" s="25">
        <v>1</v>
      </c>
      <c r="S212" s="28"/>
      <c r="T212" s="31">
        <v>42321</v>
      </c>
      <c r="U212" s="33">
        <v>992</v>
      </c>
      <c r="V212" s="36">
        <f t="shared" si="17"/>
        <v>992</v>
      </c>
      <c r="W212" s="28"/>
      <c r="X212" s="31">
        <v>42336</v>
      </c>
      <c r="Y212" s="33">
        <v>1192</v>
      </c>
      <c r="Z212" s="189">
        <f t="shared" si="18"/>
        <v>1192</v>
      </c>
      <c r="AA212" s="190"/>
      <c r="AB212" s="31">
        <v>42331</v>
      </c>
      <c r="AC212" s="36">
        <v>992</v>
      </c>
      <c r="AD212" s="8"/>
      <c r="AE212" s="6"/>
      <c r="AF212" s="52">
        <f t="shared" si="15"/>
        <v>41982432</v>
      </c>
      <c r="AG212" s="25">
        <f t="shared" si="16"/>
        <v>50464512</v>
      </c>
      <c r="AH212" s="52">
        <f t="shared" si="19"/>
        <v>41992352</v>
      </c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spans="1:44">
      <c r="A213" s="6"/>
      <c r="B213" s="6"/>
      <c r="C213" s="6"/>
      <c r="D213" s="6"/>
      <c r="E213" s="6"/>
      <c r="F213" s="6"/>
      <c r="G213" s="11"/>
      <c r="H213" s="6"/>
      <c r="I213" s="6"/>
      <c r="J213" s="6"/>
      <c r="K213" s="7"/>
      <c r="L213" s="21" t="str">
        <f>микс!$H$10</f>
        <v>продажа со склада</v>
      </c>
      <c r="M213" s="22"/>
      <c r="N213" s="22"/>
      <c r="O213" s="22" t="s">
        <v>150</v>
      </c>
      <c r="P213" s="23" t="str">
        <f>микс!$H$49</f>
        <v>Товары для детей</v>
      </c>
      <c r="Q213" s="21" t="s">
        <v>63</v>
      </c>
      <c r="R213" s="25">
        <v>1</v>
      </c>
      <c r="S213" s="28"/>
      <c r="T213" s="31">
        <v>42229</v>
      </c>
      <c r="U213" s="33">
        <v>992</v>
      </c>
      <c r="V213" s="36">
        <f t="shared" si="17"/>
        <v>992</v>
      </c>
      <c r="W213" s="28"/>
      <c r="X213" s="31">
        <v>42334</v>
      </c>
      <c r="Y213" s="33">
        <v>1192</v>
      </c>
      <c r="Z213" s="189">
        <f t="shared" si="18"/>
        <v>1192</v>
      </c>
      <c r="AA213" s="190"/>
      <c r="AB213" s="31">
        <v>42239</v>
      </c>
      <c r="AC213" s="36">
        <v>992</v>
      </c>
      <c r="AD213" s="8"/>
      <c r="AE213" s="6"/>
      <c r="AF213" s="52">
        <f t="shared" si="15"/>
        <v>41891168</v>
      </c>
      <c r="AG213" s="25">
        <f t="shared" si="16"/>
        <v>50462128</v>
      </c>
      <c r="AH213" s="52">
        <f t="shared" si="19"/>
        <v>41901088</v>
      </c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spans="1:44">
      <c r="A214" s="6"/>
      <c r="B214" s="6"/>
      <c r="C214" s="6"/>
      <c r="D214" s="6"/>
      <c r="E214" s="6"/>
      <c r="F214" s="6"/>
      <c r="G214" s="11"/>
      <c r="H214" s="6"/>
      <c r="I214" s="6"/>
      <c r="J214" s="6"/>
      <c r="K214" s="7"/>
      <c r="L214" s="21" t="str">
        <f>микс!$H$10</f>
        <v>продажа со склада</v>
      </c>
      <c r="M214" s="22"/>
      <c r="N214" s="22"/>
      <c r="O214" s="22" t="s">
        <v>150</v>
      </c>
      <c r="P214" s="23" t="str">
        <f>микс!$H$49</f>
        <v>Товары для детей</v>
      </c>
      <c r="Q214" s="21" t="s">
        <v>63</v>
      </c>
      <c r="R214" s="25">
        <v>1</v>
      </c>
      <c r="S214" s="28"/>
      <c r="T214" s="31">
        <v>42211</v>
      </c>
      <c r="U214" s="33">
        <v>992</v>
      </c>
      <c r="V214" s="36">
        <f t="shared" si="17"/>
        <v>992</v>
      </c>
      <c r="W214" s="28"/>
      <c r="X214" s="31">
        <v>42307</v>
      </c>
      <c r="Y214" s="33">
        <v>1193</v>
      </c>
      <c r="Z214" s="189">
        <f t="shared" si="18"/>
        <v>1193</v>
      </c>
      <c r="AA214" s="190"/>
      <c r="AB214" s="31">
        <v>42241</v>
      </c>
      <c r="AC214" s="36">
        <v>992</v>
      </c>
      <c r="AD214" s="8"/>
      <c r="AE214" s="6"/>
      <c r="AF214" s="52">
        <f t="shared" si="15"/>
        <v>41873312</v>
      </c>
      <c r="AG214" s="25">
        <f t="shared" si="16"/>
        <v>50472251</v>
      </c>
      <c r="AH214" s="52">
        <f t="shared" si="19"/>
        <v>41903072</v>
      </c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spans="1:44">
      <c r="A215" s="6"/>
      <c r="B215" s="6"/>
      <c r="C215" s="6"/>
      <c r="D215" s="6"/>
      <c r="E215" s="6"/>
      <c r="F215" s="6"/>
      <c r="G215" s="11"/>
      <c r="H215" s="6"/>
      <c r="I215" s="6"/>
      <c r="J215" s="6"/>
      <c r="K215" s="7"/>
      <c r="L215" s="21" t="str">
        <f>микс!$H$11</f>
        <v>продажа под заказ</v>
      </c>
      <c r="M215" s="22"/>
      <c r="N215" s="22"/>
      <c r="O215" s="22" t="s">
        <v>144</v>
      </c>
      <c r="P215" s="23" t="str">
        <f>микс!$H$48</f>
        <v>Спортивный инвентарь</v>
      </c>
      <c r="Q215" s="21" t="s">
        <v>71</v>
      </c>
      <c r="R215" s="25">
        <v>1</v>
      </c>
      <c r="S215" s="28"/>
      <c r="T215" s="31">
        <v>42336</v>
      </c>
      <c r="U215" s="33">
        <v>358.56</v>
      </c>
      <c r="V215" s="36">
        <f t="shared" si="17"/>
        <v>358.56</v>
      </c>
      <c r="W215" s="28"/>
      <c r="X215" s="31">
        <v>42341</v>
      </c>
      <c r="Y215" s="33">
        <v>477</v>
      </c>
      <c r="Z215" s="189">
        <f t="shared" si="18"/>
        <v>477</v>
      </c>
      <c r="AA215" s="190"/>
      <c r="AB215" s="31">
        <v>42357</v>
      </c>
      <c r="AC215" s="36">
        <v>358.56</v>
      </c>
      <c r="AD215" s="8"/>
      <c r="AE215" s="6"/>
      <c r="AF215" s="52">
        <f t="shared" si="15"/>
        <v>15179996.16</v>
      </c>
      <c r="AG215" s="25">
        <f t="shared" si="16"/>
        <v>20196657</v>
      </c>
      <c r="AH215" s="52">
        <f t="shared" si="19"/>
        <v>15187525.92</v>
      </c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spans="1:44">
      <c r="A216" s="6"/>
      <c r="B216" s="6"/>
      <c r="C216" s="6"/>
      <c r="D216" s="6"/>
      <c r="E216" s="6"/>
      <c r="F216" s="6"/>
      <c r="G216" s="11"/>
      <c r="H216" s="6"/>
      <c r="I216" s="6"/>
      <c r="J216" s="6"/>
      <c r="K216" s="7"/>
      <c r="L216" s="21" t="str">
        <f>микс!$H$11</f>
        <v>продажа под заказ</v>
      </c>
      <c r="M216" s="22"/>
      <c r="N216" s="22"/>
      <c r="O216" s="22" t="s">
        <v>144</v>
      </c>
      <c r="P216" s="23" t="str">
        <f>микс!$H$48</f>
        <v>Спортивный инвентарь</v>
      </c>
      <c r="Q216" s="21" t="s">
        <v>72</v>
      </c>
      <c r="R216" s="25">
        <v>1</v>
      </c>
      <c r="S216" s="28"/>
      <c r="T216" s="31">
        <v>42337</v>
      </c>
      <c r="U216" s="33">
        <v>1843</v>
      </c>
      <c r="V216" s="36">
        <f t="shared" si="17"/>
        <v>1843</v>
      </c>
      <c r="W216" s="28"/>
      <c r="X216" s="31">
        <v>42343</v>
      </c>
      <c r="Y216" s="33">
        <v>2418</v>
      </c>
      <c r="Z216" s="189">
        <f t="shared" si="18"/>
        <v>2418</v>
      </c>
      <c r="AA216" s="190"/>
      <c r="AB216" s="31"/>
      <c r="AC216" s="36"/>
      <c r="AD216" s="8"/>
      <c r="AE216" s="6"/>
      <c r="AF216" s="52">
        <f t="shared" si="15"/>
        <v>78027091</v>
      </c>
      <c r="AG216" s="25">
        <f t="shared" si="16"/>
        <v>102385374</v>
      </c>
      <c r="AH216" s="52">
        <f t="shared" si="19"/>
        <v>0</v>
      </c>
      <c r="AI216" s="6"/>
      <c r="AJ216" s="6"/>
      <c r="AK216" s="6"/>
      <c r="AL216" s="6"/>
      <c r="AM216" s="6"/>
      <c r="AN216" s="6"/>
      <c r="AO216" s="6"/>
      <c r="AP216" s="6"/>
      <c r="AQ216" s="6"/>
      <c r="AR216" s="6"/>
    </row>
    <row r="217" spans="1:44">
      <c r="A217" s="6"/>
      <c r="B217" s="6"/>
      <c r="C217" s="6"/>
      <c r="D217" s="6"/>
      <c r="E217" s="6"/>
      <c r="F217" s="6"/>
      <c r="G217" s="11"/>
      <c r="H217" s="6"/>
      <c r="I217" s="6"/>
      <c r="J217" s="6"/>
      <c r="K217" s="7"/>
      <c r="L217" s="21" t="str">
        <f>микс!$H$11</f>
        <v>продажа под заказ</v>
      </c>
      <c r="M217" s="22"/>
      <c r="N217" s="22"/>
      <c r="O217" s="22" t="s">
        <v>144</v>
      </c>
      <c r="P217" s="23" t="str">
        <f>микс!$H$48</f>
        <v>Спортивный инвентарь</v>
      </c>
      <c r="Q217" s="21" t="s">
        <v>72</v>
      </c>
      <c r="R217" s="25">
        <v>1</v>
      </c>
      <c r="S217" s="28"/>
      <c r="T217" s="31">
        <v>42337</v>
      </c>
      <c r="U217" s="33">
        <v>1843</v>
      </c>
      <c r="V217" s="36">
        <f t="shared" si="17"/>
        <v>1843</v>
      </c>
      <c r="W217" s="28"/>
      <c r="X217" s="31">
        <v>42339</v>
      </c>
      <c r="Y217" s="33">
        <v>2418</v>
      </c>
      <c r="Z217" s="189">
        <f t="shared" si="18"/>
        <v>2418</v>
      </c>
      <c r="AA217" s="190"/>
      <c r="AB217" s="31">
        <v>42367</v>
      </c>
      <c r="AC217" s="36">
        <v>1843</v>
      </c>
      <c r="AD217" s="8"/>
      <c r="AE217" s="6"/>
      <c r="AF217" s="52">
        <f t="shared" si="15"/>
        <v>78027091</v>
      </c>
      <c r="AG217" s="25">
        <f t="shared" si="16"/>
        <v>102375702</v>
      </c>
      <c r="AH217" s="52">
        <f t="shared" si="19"/>
        <v>78082381</v>
      </c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spans="1:44">
      <c r="A218" s="6"/>
      <c r="B218" s="6"/>
      <c r="C218" s="6"/>
      <c r="D218" s="6"/>
      <c r="E218" s="6"/>
      <c r="F218" s="6"/>
      <c r="G218" s="11"/>
      <c r="H218" s="6"/>
      <c r="I218" s="6"/>
      <c r="J218" s="6"/>
      <c r="K218" s="7"/>
      <c r="L218" s="21" t="str">
        <f>микс!$H$11</f>
        <v>продажа под заказ</v>
      </c>
      <c r="M218" s="22"/>
      <c r="N218" s="22"/>
      <c r="O218" s="22" t="s">
        <v>144</v>
      </c>
      <c r="P218" s="23" t="str">
        <f>микс!$H$48</f>
        <v>Спортивный инвентарь</v>
      </c>
      <c r="Q218" s="21" t="s">
        <v>72</v>
      </c>
      <c r="R218" s="25">
        <v>1</v>
      </c>
      <c r="S218" s="28"/>
      <c r="T218" s="31">
        <v>42329</v>
      </c>
      <c r="U218" s="33">
        <v>2350.04</v>
      </c>
      <c r="V218" s="36">
        <f t="shared" si="17"/>
        <v>2350.04</v>
      </c>
      <c r="W218" s="28"/>
      <c r="X218" s="31">
        <v>42335</v>
      </c>
      <c r="Y218" s="33">
        <v>2437</v>
      </c>
      <c r="Z218" s="189">
        <f t="shared" si="18"/>
        <v>2437</v>
      </c>
      <c r="AA218" s="190"/>
      <c r="AB218" s="31">
        <v>42344</v>
      </c>
      <c r="AC218" s="36">
        <v>2350.04</v>
      </c>
      <c r="AD218" s="8"/>
      <c r="AE218" s="6"/>
      <c r="AF218" s="52">
        <f t="shared" si="15"/>
        <v>99474843.159999996</v>
      </c>
      <c r="AG218" s="25">
        <f t="shared" si="16"/>
        <v>103170395</v>
      </c>
      <c r="AH218" s="52">
        <f t="shared" si="19"/>
        <v>99510093.760000005</v>
      </c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spans="1:44">
      <c r="A219" s="6"/>
      <c r="B219" s="6"/>
      <c r="C219" s="6"/>
      <c r="D219" s="6"/>
      <c r="E219" s="6"/>
      <c r="F219" s="6"/>
      <c r="G219" s="11"/>
      <c r="H219" s="6"/>
      <c r="I219" s="6"/>
      <c r="J219" s="6"/>
      <c r="K219" s="7"/>
      <c r="L219" s="21" t="str">
        <f>микс!$H$10</f>
        <v>продажа со склада</v>
      </c>
      <c r="M219" s="22"/>
      <c r="N219" s="22"/>
      <c r="O219" s="22" t="s">
        <v>144</v>
      </c>
      <c r="P219" s="23" t="str">
        <f>микс!$H$48</f>
        <v>Спортивный инвентарь</v>
      </c>
      <c r="Q219" s="21" t="s">
        <v>72</v>
      </c>
      <c r="R219" s="25">
        <v>1</v>
      </c>
      <c r="S219" s="28"/>
      <c r="T219" s="31">
        <v>42240</v>
      </c>
      <c r="U219" s="33">
        <v>1593.93</v>
      </c>
      <c r="V219" s="36">
        <f t="shared" si="17"/>
        <v>1593.93</v>
      </c>
      <c r="W219" s="28"/>
      <c r="X219" s="31">
        <v>42347</v>
      </c>
      <c r="Y219" s="33">
        <v>2323</v>
      </c>
      <c r="Z219" s="189">
        <f t="shared" si="18"/>
        <v>2323</v>
      </c>
      <c r="AA219" s="190"/>
      <c r="AB219" s="31">
        <v>42262</v>
      </c>
      <c r="AC219" s="36">
        <v>1593.93</v>
      </c>
      <c r="AD219" s="8"/>
      <c r="AE219" s="6"/>
      <c r="AF219" s="52">
        <f t="shared" si="15"/>
        <v>67327603.200000003</v>
      </c>
      <c r="AG219" s="25">
        <f t="shared" si="16"/>
        <v>98372081</v>
      </c>
      <c r="AH219" s="52">
        <f t="shared" si="19"/>
        <v>67362669.659999996</v>
      </c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spans="1:44">
      <c r="A220" s="6"/>
      <c r="B220" s="6"/>
      <c r="C220" s="6"/>
      <c r="D220" s="6"/>
      <c r="E220" s="6"/>
      <c r="F220" s="6"/>
      <c r="G220" s="11"/>
      <c r="H220" s="6"/>
      <c r="I220" s="6"/>
      <c r="J220" s="6"/>
      <c r="K220" s="7"/>
      <c r="L220" s="21" t="str">
        <f>микс!$H$11</f>
        <v>продажа под заказ</v>
      </c>
      <c r="M220" s="22"/>
      <c r="N220" s="22"/>
      <c r="O220" s="22" t="s">
        <v>148</v>
      </c>
      <c r="P220" s="23" t="str">
        <f>микс!$H$49</f>
        <v>Товары для детей</v>
      </c>
      <c r="Q220" s="21" t="s">
        <v>73</v>
      </c>
      <c r="R220" s="25">
        <v>1</v>
      </c>
      <c r="S220" s="28"/>
      <c r="T220" s="31">
        <v>42335</v>
      </c>
      <c r="U220" s="33">
        <v>4750</v>
      </c>
      <c r="V220" s="36">
        <f t="shared" si="17"/>
        <v>4750</v>
      </c>
      <c r="W220" s="28"/>
      <c r="X220" s="31">
        <v>42339</v>
      </c>
      <c r="Y220" s="33">
        <v>5400</v>
      </c>
      <c r="Z220" s="189">
        <f t="shared" si="18"/>
        <v>5400</v>
      </c>
      <c r="AA220" s="190"/>
      <c r="AB220" s="31"/>
      <c r="AC220" s="36"/>
      <c r="AD220" s="8"/>
      <c r="AE220" s="6"/>
      <c r="AF220" s="52">
        <f t="shared" si="15"/>
        <v>201091250</v>
      </c>
      <c r="AG220" s="25">
        <f t="shared" si="16"/>
        <v>228630600</v>
      </c>
      <c r="AH220" s="52">
        <f t="shared" si="19"/>
        <v>0</v>
      </c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spans="1:44">
      <c r="A221" s="6"/>
      <c r="B221" s="6"/>
      <c r="C221" s="6"/>
      <c r="D221" s="6"/>
      <c r="E221" s="6"/>
      <c r="F221" s="6"/>
      <c r="G221" s="11"/>
      <c r="H221" s="6"/>
      <c r="I221" s="6"/>
      <c r="J221" s="6"/>
      <c r="K221" s="7"/>
      <c r="L221" s="21" t="str">
        <f>микс!$H$11</f>
        <v>продажа под заказ</v>
      </c>
      <c r="M221" s="22"/>
      <c r="N221" s="22"/>
      <c r="O221" s="22" t="s">
        <v>148</v>
      </c>
      <c r="P221" s="23" t="str">
        <f>микс!$H$49</f>
        <v>Товары для детей</v>
      </c>
      <c r="Q221" s="21" t="s">
        <v>73</v>
      </c>
      <c r="R221" s="25">
        <v>1</v>
      </c>
      <c r="S221" s="28"/>
      <c r="T221" s="31">
        <v>42334</v>
      </c>
      <c r="U221" s="33">
        <v>4750</v>
      </c>
      <c r="V221" s="36">
        <f t="shared" si="17"/>
        <v>4750</v>
      </c>
      <c r="W221" s="28"/>
      <c r="X221" s="31">
        <v>42337</v>
      </c>
      <c r="Y221" s="33">
        <v>5240</v>
      </c>
      <c r="Z221" s="189">
        <f t="shared" si="18"/>
        <v>5240</v>
      </c>
      <c r="AA221" s="190"/>
      <c r="AB221" s="31">
        <v>42339</v>
      </c>
      <c r="AC221" s="36">
        <v>4750</v>
      </c>
      <c r="AD221" s="8"/>
      <c r="AE221" s="6"/>
      <c r="AF221" s="52">
        <f t="shared" si="15"/>
        <v>201086500</v>
      </c>
      <c r="AG221" s="25">
        <f t="shared" si="16"/>
        <v>221845880</v>
      </c>
      <c r="AH221" s="52">
        <f t="shared" si="19"/>
        <v>201110250</v>
      </c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spans="1:44">
      <c r="A222" s="6"/>
      <c r="B222" s="6"/>
      <c r="C222" s="6"/>
      <c r="D222" s="6"/>
      <c r="E222" s="6"/>
      <c r="F222" s="6"/>
      <c r="G222" s="11"/>
      <c r="H222" s="6"/>
      <c r="I222" s="6"/>
      <c r="J222" s="6"/>
      <c r="K222" s="7"/>
      <c r="L222" s="21" t="str">
        <f>микс!$H$11</f>
        <v>продажа под заказ</v>
      </c>
      <c r="M222" s="22"/>
      <c r="N222" s="22"/>
      <c r="O222" s="22" t="s">
        <v>148</v>
      </c>
      <c r="P222" s="23" t="str">
        <f>микс!$H$49</f>
        <v>Товары для детей</v>
      </c>
      <c r="Q222" s="21" t="s">
        <v>73</v>
      </c>
      <c r="R222" s="25">
        <v>1</v>
      </c>
      <c r="S222" s="28"/>
      <c r="T222" s="31">
        <v>42334</v>
      </c>
      <c r="U222" s="33">
        <v>4750</v>
      </c>
      <c r="V222" s="36">
        <f t="shared" si="17"/>
        <v>4750</v>
      </c>
      <c r="W222" s="28"/>
      <c r="X222" s="31">
        <v>42338</v>
      </c>
      <c r="Y222" s="33">
        <v>5400</v>
      </c>
      <c r="Z222" s="189">
        <f t="shared" si="18"/>
        <v>5400</v>
      </c>
      <c r="AA222" s="190"/>
      <c r="AB222" s="31"/>
      <c r="AC222" s="36"/>
      <c r="AD222" s="8"/>
      <c r="AE222" s="6"/>
      <c r="AF222" s="52">
        <f t="shared" si="15"/>
        <v>201086500</v>
      </c>
      <c r="AG222" s="25">
        <f t="shared" si="16"/>
        <v>228625200</v>
      </c>
      <c r="AH222" s="52">
        <f t="shared" si="19"/>
        <v>0</v>
      </c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spans="1:44">
      <c r="A223" s="6"/>
      <c r="B223" s="6"/>
      <c r="C223" s="6"/>
      <c r="D223" s="6"/>
      <c r="E223" s="6"/>
      <c r="F223" s="6"/>
      <c r="G223" s="11"/>
      <c r="H223" s="6"/>
      <c r="I223" s="6"/>
      <c r="J223" s="6"/>
      <c r="K223" s="7"/>
      <c r="L223" s="21" t="str">
        <f>микс!$H$11</f>
        <v>продажа под заказ</v>
      </c>
      <c r="M223" s="22"/>
      <c r="N223" s="22"/>
      <c r="O223" s="22" t="s">
        <v>148</v>
      </c>
      <c r="P223" s="23" t="str">
        <f>микс!$H$49</f>
        <v>Товары для детей</v>
      </c>
      <c r="Q223" s="21" t="s">
        <v>73</v>
      </c>
      <c r="R223" s="25">
        <v>1</v>
      </c>
      <c r="S223" s="28"/>
      <c r="T223" s="31">
        <v>42333</v>
      </c>
      <c r="U223" s="33">
        <v>4750</v>
      </c>
      <c r="V223" s="36">
        <f t="shared" si="17"/>
        <v>4750</v>
      </c>
      <c r="W223" s="28"/>
      <c r="X223" s="31">
        <v>42338</v>
      </c>
      <c r="Y223" s="33">
        <v>5240</v>
      </c>
      <c r="Z223" s="189">
        <f t="shared" si="18"/>
        <v>5240</v>
      </c>
      <c r="AA223" s="190"/>
      <c r="AB223" s="31">
        <v>42368</v>
      </c>
      <c r="AC223" s="36">
        <v>4750</v>
      </c>
      <c r="AD223" s="8"/>
      <c r="AE223" s="6"/>
      <c r="AF223" s="52">
        <f t="shared" si="15"/>
        <v>201081750</v>
      </c>
      <c r="AG223" s="25">
        <f t="shared" si="16"/>
        <v>221851120</v>
      </c>
      <c r="AH223" s="52">
        <f t="shared" si="19"/>
        <v>201248000</v>
      </c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spans="1:44">
      <c r="A224" s="6"/>
      <c r="B224" s="6"/>
      <c r="C224" s="6"/>
      <c r="D224" s="6"/>
      <c r="E224" s="6"/>
      <c r="F224" s="6"/>
      <c r="G224" s="11"/>
      <c r="H224" s="6"/>
      <c r="I224" s="6"/>
      <c r="J224" s="6"/>
      <c r="K224" s="7"/>
      <c r="L224" s="21" t="str">
        <f>микс!$H$11</f>
        <v>продажа под заказ</v>
      </c>
      <c r="M224" s="22"/>
      <c r="N224" s="22"/>
      <c r="O224" s="22" t="s">
        <v>148</v>
      </c>
      <c r="P224" s="23" t="str">
        <f>микс!$H$49</f>
        <v>Товары для детей</v>
      </c>
      <c r="Q224" s="21" t="s">
        <v>73</v>
      </c>
      <c r="R224" s="25">
        <v>1</v>
      </c>
      <c r="S224" s="28"/>
      <c r="T224" s="31">
        <v>42334</v>
      </c>
      <c r="U224" s="33">
        <v>4750</v>
      </c>
      <c r="V224" s="36">
        <f t="shared" si="17"/>
        <v>4750</v>
      </c>
      <c r="W224" s="28"/>
      <c r="X224" s="31">
        <v>42342</v>
      </c>
      <c r="Y224" s="33">
        <v>5240</v>
      </c>
      <c r="Z224" s="189">
        <f t="shared" si="18"/>
        <v>5240</v>
      </c>
      <c r="AA224" s="190"/>
      <c r="AB224" s="31">
        <v>42349</v>
      </c>
      <c r="AC224" s="36">
        <v>4750</v>
      </c>
      <c r="AD224" s="8"/>
      <c r="AE224" s="6"/>
      <c r="AF224" s="52">
        <f t="shared" si="15"/>
        <v>201086500</v>
      </c>
      <c r="AG224" s="25">
        <f t="shared" si="16"/>
        <v>221872080</v>
      </c>
      <c r="AH224" s="52">
        <f t="shared" si="19"/>
        <v>201157750</v>
      </c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spans="1:44">
      <c r="A225" s="6"/>
      <c r="B225" s="6"/>
      <c r="C225" s="6"/>
      <c r="D225" s="6"/>
      <c r="E225" s="6"/>
      <c r="F225" s="6"/>
      <c r="G225" s="11"/>
      <c r="H225" s="6"/>
      <c r="I225" s="6"/>
      <c r="J225" s="6"/>
      <c r="K225" s="7"/>
      <c r="L225" s="21" t="str">
        <f>микс!$H$11</f>
        <v>продажа под заказ</v>
      </c>
      <c r="M225" s="22"/>
      <c r="N225" s="22"/>
      <c r="O225" s="22" t="s">
        <v>148</v>
      </c>
      <c r="P225" s="23" t="str">
        <f>микс!$H$49</f>
        <v>Товары для детей</v>
      </c>
      <c r="Q225" s="21" t="s">
        <v>73</v>
      </c>
      <c r="R225" s="25">
        <v>1</v>
      </c>
      <c r="S225" s="28"/>
      <c r="T225" s="31">
        <v>42334</v>
      </c>
      <c r="U225" s="33">
        <v>4750</v>
      </c>
      <c r="V225" s="36">
        <f t="shared" si="17"/>
        <v>4750</v>
      </c>
      <c r="W225" s="28"/>
      <c r="X225" s="31">
        <v>42337</v>
      </c>
      <c r="Y225" s="33">
        <v>5400</v>
      </c>
      <c r="Z225" s="189">
        <f t="shared" si="18"/>
        <v>5400</v>
      </c>
      <c r="AA225" s="190"/>
      <c r="AB225" s="31"/>
      <c r="AC225" s="36"/>
      <c r="AD225" s="8"/>
      <c r="AE225" s="6"/>
      <c r="AF225" s="52">
        <f t="shared" si="15"/>
        <v>201086500</v>
      </c>
      <c r="AG225" s="25">
        <f t="shared" si="16"/>
        <v>228619800</v>
      </c>
      <c r="AH225" s="52">
        <f t="shared" si="19"/>
        <v>0</v>
      </c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spans="1:44">
      <c r="A226" s="6"/>
      <c r="B226" s="6"/>
      <c r="C226" s="6"/>
      <c r="D226" s="6"/>
      <c r="E226" s="6"/>
      <c r="F226" s="6"/>
      <c r="G226" s="11"/>
      <c r="H226" s="6"/>
      <c r="I226" s="6"/>
      <c r="J226" s="6"/>
      <c r="K226" s="7"/>
      <c r="L226" s="21" t="str">
        <f>микс!$H$11</f>
        <v>продажа под заказ</v>
      </c>
      <c r="M226" s="22"/>
      <c r="N226" s="22"/>
      <c r="O226" s="22" t="s">
        <v>148</v>
      </c>
      <c r="P226" s="23" t="str">
        <f>микс!$H$49</f>
        <v>Товары для детей</v>
      </c>
      <c r="Q226" s="21" t="s">
        <v>73</v>
      </c>
      <c r="R226" s="25">
        <v>1</v>
      </c>
      <c r="S226" s="28"/>
      <c r="T226" s="31">
        <v>42335</v>
      </c>
      <c r="U226" s="33">
        <v>4750</v>
      </c>
      <c r="V226" s="36">
        <f t="shared" si="17"/>
        <v>4750</v>
      </c>
      <c r="W226" s="28"/>
      <c r="X226" s="31">
        <v>42338</v>
      </c>
      <c r="Y226" s="33">
        <v>5233</v>
      </c>
      <c r="Z226" s="189">
        <f t="shared" si="18"/>
        <v>5233</v>
      </c>
      <c r="AA226" s="190"/>
      <c r="AB226" s="31">
        <v>42355</v>
      </c>
      <c r="AC226" s="36">
        <v>4750</v>
      </c>
      <c r="AD226" s="8"/>
      <c r="AE226" s="6"/>
      <c r="AF226" s="52">
        <f t="shared" si="15"/>
        <v>201091250</v>
      </c>
      <c r="AG226" s="25">
        <f t="shared" si="16"/>
        <v>221554754</v>
      </c>
      <c r="AH226" s="52">
        <f t="shared" si="19"/>
        <v>201186250</v>
      </c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spans="1:44">
      <c r="A227" s="6"/>
      <c r="B227" s="6"/>
      <c r="C227" s="6"/>
      <c r="D227" s="6"/>
      <c r="E227" s="6"/>
      <c r="F227" s="6"/>
      <c r="G227" s="11"/>
      <c r="H227" s="6"/>
      <c r="I227" s="6"/>
      <c r="J227" s="6"/>
      <c r="K227" s="7"/>
      <c r="L227" s="21" t="str">
        <f>микс!$H$11</f>
        <v>продажа под заказ</v>
      </c>
      <c r="M227" s="22"/>
      <c r="N227" s="22"/>
      <c r="O227" s="22" t="s">
        <v>148</v>
      </c>
      <c r="P227" s="23" t="str">
        <f>микс!$H$49</f>
        <v>Товары для детей</v>
      </c>
      <c r="Q227" s="21" t="s">
        <v>73</v>
      </c>
      <c r="R227" s="25">
        <v>1</v>
      </c>
      <c r="S227" s="28"/>
      <c r="T227" s="31">
        <v>42333</v>
      </c>
      <c r="U227" s="33">
        <v>4750</v>
      </c>
      <c r="V227" s="36">
        <f t="shared" si="17"/>
        <v>4750</v>
      </c>
      <c r="W227" s="28"/>
      <c r="X227" s="31">
        <v>42335</v>
      </c>
      <c r="Y227" s="33">
        <v>5240</v>
      </c>
      <c r="Z227" s="189">
        <f t="shared" si="18"/>
        <v>5240</v>
      </c>
      <c r="AA227" s="190"/>
      <c r="AB227" s="31">
        <v>42363</v>
      </c>
      <c r="AC227" s="36">
        <v>4750</v>
      </c>
      <c r="AD227" s="8"/>
      <c r="AE227" s="6"/>
      <c r="AF227" s="52">
        <f t="shared" si="15"/>
        <v>201081750</v>
      </c>
      <c r="AG227" s="25">
        <f t="shared" si="16"/>
        <v>221835400</v>
      </c>
      <c r="AH227" s="52">
        <f t="shared" si="19"/>
        <v>201224250</v>
      </c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spans="1:44">
      <c r="A228" s="6"/>
      <c r="B228" s="6"/>
      <c r="C228" s="6"/>
      <c r="D228" s="6"/>
      <c r="E228" s="6"/>
      <c r="F228" s="6"/>
      <c r="G228" s="11"/>
      <c r="H228" s="6"/>
      <c r="I228" s="6"/>
      <c r="J228" s="6"/>
      <c r="K228" s="7"/>
      <c r="L228" s="21" t="str">
        <f>микс!$H$11</f>
        <v>продажа под заказ</v>
      </c>
      <c r="M228" s="22"/>
      <c r="N228" s="22"/>
      <c r="O228" s="22" t="s">
        <v>148</v>
      </c>
      <c r="P228" s="23" t="str">
        <f>микс!$H$49</f>
        <v>Товары для детей</v>
      </c>
      <c r="Q228" s="21" t="s">
        <v>73</v>
      </c>
      <c r="R228" s="25">
        <v>1</v>
      </c>
      <c r="S228" s="28"/>
      <c r="T228" s="31">
        <v>42332</v>
      </c>
      <c r="U228" s="33">
        <v>4750</v>
      </c>
      <c r="V228" s="36">
        <f t="shared" si="17"/>
        <v>4750</v>
      </c>
      <c r="W228" s="28"/>
      <c r="X228" s="31">
        <v>42336</v>
      </c>
      <c r="Y228" s="33">
        <v>5240</v>
      </c>
      <c r="Z228" s="189">
        <f t="shared" si="18"/>
        <v>5240</v>
      </c>
      <c r="AA228" s="190"/>
      <c r="AB228" s="31">
        <v>42357</v>
      </c>
      <c r="AC228" s="36">
        <v>4750</v>
      </c>
      <c r="AD228" s="8"/>
      <c r="AE228" s="6"/>
      <c r="AF228" s="52">
        <f t="shared" si="15"/>
        <v>201077000</v>
      </c>
      <c r="AG228" s="25">
        <f t="shared" si="16"/>
        <v>221840640</v>
      </c>
      <c r="AH228" s="52">
        <f t="shared" si="19"/>
        <v>201195750</v>
      </c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spans="1:44">
      <c r="A229" s="6"/>
      <c r="B229" s="6"/>
      <c r="C229" s="6"/>
      <c r="D229" s="6"/>
      <c r="E229" s="6"/>
      <c r="F229" s="6"/>
      <c r="G229" s="11"/>
      <c r="H229" s="6"/>
      <c r="I229" s="6"/>
      <c r="J229" s="6"/>
      <c r="K229" s="7"/>
      <c r="L229" s="21" t="str">
        <f>микс!$H$11</f>
        <v>продажа под заказ</v>
      </c>
      <c r="M229" s="22"/>
      <c r="N229" s="22"/>
      <c r="O229" s="22" t="s">
        <v>148</v>
      </c>
      <c r="P229" s="23" t="str">
        <f>микс!$H$49</f>
        <v>Товары для детей</v>
      </c>
      <c r="Q229" s="21" t="s">
        <v>73</v>
      </c>
      <c r="R229" s="25">
        <v>1</v>
      </c>
      <c r="S229" s="28"/>
      <c r="T229" s="31">
        <v>42336</v>
      </c>
      <c r="U229" s="33">
        <v>4750</v>
      </c>
      <c r="V229" s="36">
        <f t="shared" si="17"/>
        <v>4750</v>
      </c>
      <c r="W229" s="28"/>
      <c r="X229" s="31">
        <v>42342</v>
      </c>
      <c r="Y229" s="33">
        <v>5233</v>
      </c>
      <c r="Z229" s="189">
        <f t="shared" si="18"/>
        <v>5233</v>
      </c>
      <c r="AA229" s="190"/>
      <c r="AB229" s="31"/>
      <c r="AC229" s="36"/>
      <c r="AD229" s="8"/>
      <c r="AE229" s="6"/>
      <c r="AF229" s="52">
        <f t="shared" si="15"/>
        <v>201096000</v>
      </c>
      <c r="AG229" s="25">
        <f t="shared" si="16"/>
        <v>221575686</v>
      </c>
      <c r="AH229" s="52">
        <f t="shared" si="19"/>
        <v>0</v>
      </c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spans="1:44">
      <c r="A230" s="6"/>
      <c r="B230" s="6"/>
      <c r="C230" s="6"/>
      <c r="D230" s="6"/>
      <c r="E230" s="6"/>
      <c r="F230" s="6"/>
      <c r="G230" s="11"/>
      <c r="H230" s="6"/>
      <c r="I230" s="6"/>
      <c r="J230" s="6"/>
      <c r="K230" s="7"/>
      <c r="L230" s="21" t="str">
        <f>микс!$H$11</f>
        <v>продажа под заказ</v>
      </c>
      <c r="M230" s="22"/>
      <c r="N230" s="22"/>
      <c r="O230" s="22" t="s">
        <v>148</v>
      </c>
      <c r="P230" s="23" t="str">
        <f>микс!$H$49</f>
        <v>Товары для детей</v>
      </c>
      <c r="Q230" s="21" t="s">
        <v>73</v>
      </c>
      <c r="R230" s="25">
        <v>1</v>
      </c>
      <c r="S230" s="28"/>
      <c r="T230" s="31">
        <v>42332</v>
      </c>
      <c r="U230" s="33">
        <v>4750</v>
      </c>
      <c r="V230" s="36">
        <f t="shared" si="17"/>
        <v>4750</v>
      </c>
      <c r="W230" s="28"/>
      <c r="X230" s="31">
        <v>42335</v>
      </c>
      <c r="Y230" s="33">
        <v>5240</v>
      </c>
      <c r="Z230" s="189">
        <f t="shared" si="18"/>
        <v>5240</v>
      </c>
      <c r="AA230" s="190"/>
      <c r="AB230" s="31"/>
      <c r="AC230" s="36"/>
      <c r="AD230" s="8"/>
      <c r="AE230" s="6"/>
      <c r="AF230" s="52">
        <f t="shared" si="15"/>
        <v>201077000</v>
      </c>
      <c r="AG230" s="25">
        <f t="shared" si="16"/>
        <v>221835400</v>
      </c>
      <c r="AH230" s="52">
        <f t="shared" si="19"/>
        <v>0</v>
      </c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spans="1:44">
      <c r="A231" s="6"/>
      <c r="B231" s="6"/>
      <c r="C231" s="6"/>
      <c r="D231" s="6"/>
      <c r="E231" s="6"/>
      <c r="F231" s="6"/>
      <c r="G231" s="11"/>
      <c r="H231" s="6"/>
      <c r="I231" s="6"/>
      <c r="J231" s="6"/>
      <c r="K231" s="7"/>
      <c r="L231" s="21" t="str">
        <f>микс!$H$11</f>
        <v>продажа под заказ</v>
      </c>
      <c r="M231" s="22"/>
      <c r="N231" s="22"/>
      <c r="O231" s="22" t="s">
        <v>148</v>
      </c>
      <c r="P231" s="23" t="str">
        <f>микс!$H$49</f>
        <v>Товары для детей</v>
      </c>
      <c r="Q231" s="21" t="s">
        <v>73</v>
      </c>
      <c r="R231" s="25">
        <v>1</v>
      </c>
      <c r="S231" s="28"/>
      <c r="T231" s="31">
        <v>42332</v>
      </c>
      <c r="U231" s="33">
        <v>4750</v>
      </c>
      <c r="V231" s="36">
        <f t="shared" si="17"/>
        <v>4750</v>
      </c>
      <c r="W231" s="28"/>
      <c r="X231" s="31">
        <v>42335</v>
      </c>
      <c r="Y231" s="33">
        <v>5240</v>
      </c>
      <c r="Z231" s="189">
        <f t="shared" si="18"/>
        <v>5240</v>
      </c>
      <c r="AA231" s="190"/>
      <c r="AB231" s="31">
        <v>42354</v>
      </c>
      <c r="AC231" s="36">
        <v>4750</v>
      </c>
      <c r="AD231" s="8"/>
      <c r="AE231" s="6"/>
      <c r="AF231" s="52">
        <f t="shared" si="15"/>
        <v>201077000</v>
      </c>
      <c r="AG231" s="25">
        <f t="shared" si="16"/>
        <v>221835400</v>
      </c>
      <c r="AH231" s="52">
        <f t="shared" si="19"/>
        <v>201181500</v>
      </c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spans="1:44">
      <c r="A232" s="6"/>
      <c r="B232" s="6"/>
      <c r="C232" s="6"/>
      <c r="D232" s="6"/>
      <c r="E232" s="6"/>
      <c r="F232" s="6"/>
      <c r="G232" s="11"/>
      <c r="H232" s="6"/>
      <c r="I232" s="6"/>
      <c r="J232" s="6"/>
      <c r="K232" s="7"/>
      <c r="L232" s="21" t="str">
        <f>микс!$H$11</f>
        <v>продажа под заказ</v>
      </c>
      <c r="M232" s="22"/>
      <c r="N232" s="22"/>
      <c r="O232" s="22" t="s">
        <v>148</v>
      </c>
      <c r="P232" s="23" t="str">
        <f>микс!$H$49</f>
        <v>Товары для детей</v>
      </c>
      <c r="Q232" s="21" t="s">
        <v>73</v>
      </c>
      <c r="R232" s="25">
        <v>1</v>
      </c>
      <c r="S232" s="28"/>
      <c r="T232" s="31">
        <v>42332</v>
      </c>
      <c r="U232" s="33">
        <v>4750</v>
      </c>
      <c r="V232" s="36">
        <f t="shared" si="17"/>
        <v>4750</v>
      </c>
      <c r="W232" s="28"/>
      <c r="X232" s="31">
        <v>42343</v>
      </c>
      <c r="Y232" s="33">
        <v>5240</v>
      </c>
      <c r="Z232" s="189">
        <f t="shared" si="18"/>
        <v>5240</v>
      </c>
      <c r="AA232" s="190"/>
      <c r="AB232" s="31">
        <v>42364</v>
      </c>
      <c r="AC232" s="36">
        <v>4750</v>
      </c>
      <c r="AD232" s="8"/>
      <c r="AE232" s="6"/>
      <c r="AF232" s="52">
        <f t="shared" si="15"/>
        <v>201077000</v>
      </c>
      <c r="AG232" s="25">
        <f t="shared" si="16"/>
        <v>221877320</v>
      </c>
      <c r="AH232" s="52">
        <f t="shared" si="19"/>
        <v>201229000</v>
      </c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spans="1:44">
      <c r="A233" s="6"/>
      <c r="B233" s="6"/>
      <c r="C233" s="6"/>
      <c r="D233" s="6"/>
      <c r="E233" s="6"/>
      <c r="F233" s="6"/>
      <c r="G233" s="11"/>
      <c r="H233" s="6"/>
      <c r="I233" s="6"/>
      <c r="J233" s="6"/>
      <c r="K233" s="7"/>
      <c r="L233" s="21" t="str">
        <f>микс!$H$11</f>
        <v>продажа под заказ</v>
      </c>
      <c r="M233" s="22"/>
      <c r="N233" s="22"/>
      <c r="O233" s="22" t="s">
        <v>148</v>
      </c>
      <c r="P233" s="23" t="str">
        <f>микс!$H$49</f>
        <v>Товары для детей</v>
      </c>
      <c r="Q233" s="21" t="s">
        <v>73</v>
      </c>
      <c r="R233" s="25">
        <v>1</v>
      </c>
      <c r="S233" s="28"/>
      <c r="T233" s="31">
        <v>42336</v>
      </c>
      <c r="U233" s="33">
        <v>4750</v>
      </c>
      <c r="V233" s="36">
        <f t="shared" si="17"/>
        <v>4750</v>
      </c>
      <c r="W233" s="28"/>
      <c r="X233" s="31">
        <v>42341</v>
      </c>
      <c r="Y233" s="33">
        <v>5233</v>
      </c>
      <c r="Z233" s="189">
        <f t="shared" si="18"/>
        <v>5233</v>
      </c>
      <c r="AA233" s="190"/>
      <c r="AB233" s="31"/>
      <c r="AC233" s="36"/>
      <c r="AD233" s="8"/>
      <c r="AE233" s="6"/>
      <c r="AF233" s="52">
        <f t="shared" si="15"/>
        <v>201096000</v>
      </c>
      <c r="AG233" s="25">
        <f t="shared" si="16"/>
        <v>221570453</v>
      </c>
      <c r="AH233" s="52">
        <f t="shared" si="19"/>
        <v>0</v>
      </c>
      <c r="AI233" s="6"/>
      <c r="AJ233" s="6"/>
      <c r="AK233" s="6"/>
      <c r="AL233" s="6"/>
      <c r="AM233" s="6"/>
      <c r="AN233" s="6"/>
      <c r="AO233" s="6"/>
      <c r="AP233" s="6"/>
      <c r="AQ233" s="6"/>
      <c r="AR233" s="6"/>
    </row>
    <row r="234" spans="1:44">
      <c r="A234" s="6"/>
      <c r="B234" s="6"/>
      <c r="C234" s="6"/>
      <c r="D234" s="6"/>
      <c r="E234" s="6"/>
      <c r="F234" s="6"/>
      <c r="G234" s="11"/>
      <c r="H234" s="6"/>
      <c r="I234" s="6"/>
      <c r="J234" s="6"/>
      <c r="K234" s="7"/>
      <c r="L234" s="21" t="str">
        <f>микс!$H$11</f>
        <v>продажа под заказ</v>
      </c>
      <c r="M234" s="22"/>
      <c r="N234" s="22"/>
      <c r="O234" s="22" t="s">
        <v>148</v>
      </c>
      <c r="P234" s="23" t="str">
        <f>микс!$H$49</f>
        <v>Товары для детей</v>
      </c>
      <c r="Q234" s="21" t="s">
        <v>73</v>
      </c>
      <c r="R234" s="25">
        <v>1</v>
      </c>
      <c r="S234" s="28"/>
      <c r="T234" s="31">
        <v>42336</v>
      </c>
      <c r="U234" s="33">
        <v>4750</v>
      </c>
      <c r="V234" s="36">
        <f t="shared" si="17"/>
        <v>4750</v>
      </c>
      <c r="W234" s="28"/>
      <c r="X234" s="31">
        <v>42341</v>
      </c>
      <c r="Y234" s="33">
        <v>5233</v>
      </c>
      <c r="Z234" s="189">
        <f t="shared" si="18"/>
        <v>5233</v>
      </c>
      <c r="AA234" s="190"/>
      <c r="AB234" s="31"/>
      <c r="AC234" s="36"/>
      <c r="AD234" s="8"/>
      <c r="AE234" s="6"/>
      <c r="AF234" s="52">
        <f t="shared" si="15"/>
        <v>201096000</v>
      </c>
      <c r="AG234" s="25">
        <f t="shared" si="16"/>
        <v>221570453</v>
      </c>
      <c r="AH234" s="52">
        <f t="shared" si="19"/>
        <v>0</v>
      </c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spans="1:44">
      <c r="A235" s="6"/>
      <c r="B235" s="6"/>
      <c r="C235" s="6"/>
      <c r="D235" s="6"/>
      <c r="E235" s="6"/>
      <c r="F235" s="6"/>
      <c r="G235" s="11"/>
      <c r="H235" s="6"/>
      <c r="I235" s="6"/>
      <c r="J235" s="6"/>
      <c r="K235" s="7"/>
      <c r="L235" s="21" t="str">
        <f>микс!$H$11</f>
        <v>продажа под заказ</v>
      </c>
      <c r="M235" s="22"/>
      <c r="N235" s="22"/>
      <c r="O235" s="22" t="s">
        <v>148</v>
      </c>
      <c r="P235" s="23" t="str">
        <f>микс!$H$49</f>
        <v>Товары для детей</v>
      </c>
      <c r="Q235" s="21" t="s">
        <v>73</v>
      </c>
      <c r="R235" s="25">
        <v>1</v>
      </c>
      <c r="S235" s="28"/>
      <c r="T235" s="31">
        <v>42332</v>
      </c>
      <c r="U235" s="33">
        <v>4750</v>
      </c>
      <c r="V235" s="36">
        <f t="shared" si="17"/>
        <v>4750</v>
      </c>
      <c r="W235" s="28"/>
      <c r="X235" s="31">
        <v>42339</v>
      </c>
      <c r="Y235" s="33">
        <v>5240</v>
      </c>
      <c r="Z235" s="189">
        <f t="shared" si="18"/>
        <v>5240</v>
      </c>
      <c r="AA235" s="190"/>
      <c r="AB235" s="31">
        <v>42344</v>
      </c>
      <c r="AC235" s="36">
        <v>4750</v>
      </c>
      <c r="AD235" s="8"/>
      <c r="AE235" s="6"/>
      <c r="AF235" s="52">
        <f t="shared" si="15"/>
        <v>201077000</v>
      </c>
      <c r="AG235" s="25">
        <f t="shared" si="16"/>
        <v>221856360</v>
      </c>
      <c r="AH235" s="52">
        <f t="shared" si="19"/>
        <v>201134000</v>
      </c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spans="1:44">
      <c r="A236" s="6"/>
      <c r="B236" s="6"/>
      <c r="C236" s="6"/>
      <c r="D236" s="6"/>
      <c r="E236" s="6"/>
      <c r="F236" s="6"/>
      <c r="G236" s="11"/>
      <c r="H236" s="6"/>
      <c r="I236" s="6"/>
      <c r="J236" s="6"/>
      <c r="K236" s="7"/>
      <c r="L236" s="21" t="str">
        <f>микс!$H$11</f>
        <v>продажа под заказ</v>
      </c>
      <c r="M236" s="22"/>
      <c r="N236" s="22"/>
      <c r="O236" s="22" t="s">
        <v>148</v>
      </c>
      <c r="P236" s="23" t="str">
        <f>микс!$H$49</f>
        <v>Товары для детей</v>
      </c>
      <c r="Q236" s="21" t="s">
        <v>73</v>
      </c>
      <c r="R236" s="25">
        <v>1</v>
      </c>
      <c r="S236" s="28"/>
      <c r="T236" s="31">
        <v>42337</v>
      </c>
      <c r="U236" s="33">
        <v>4750</v>
      </c>
      <c r="V236" s="36">
        <f t="shared" si="17"/>
        <v>4750</v>
      </c>
      <c r="W236" s="28"/>
      <c r="X236" s="31">
        <v>42341</v>
      </c>
      <c r="Y236" s="33">
        <v>5233</v>
      </c>
      <c r="Z236" s="189">
        <f t="shared" si="18"/>
        <v>5233</v>
      </c>
      <c r="AA236" s="190"/>
      <c r="AB236" s="31">
        <v>42347</v>
      </c>
      <c r="AC236" s="36">
        <v>4750</v>
      </c>
      <c r="AD236" s="8"/>
      <c r="AE236" s="6"/>
      <c r="AF236" s="52">
        <f t="shared" si="15"/>
        <v>201100750</v>
      </c>
      <c r="AG236" s="25">
        <f t="shared" si="16"/>
        <v>221570453</v>
      </c>
      <c r="AH236" s="52">
        <f t="shared" si="19"/>
        <v>201148250</v>
      </c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spans="1:44">
      <c r="A237" s="6"/>
      <c r="B237" s="6"/>
      <c r="C237" s="6"/>
      <c r="D237" s="6"/>
      <c r="E237" s="6"/>
      <c r="F237" s="6"/>
      <c r="G237" s="11"/>
      <c r="H237" s="6"/>
      <c r="I237" s="6"/>
      <c r="J237" s="6"/>
      <c r="K237" s="7"/>
      <c r="L237" s="21" t="str">
        <f>микс!$H$11</f>
        <v>продажа под заказ</v>
      </c>
      <c r="M237" s="22"/>
      <c r="N237" s="22"/>
      <c r="O237" s="22" t="s">
        <v>148</v>
      </c>
      <c r="P237" s="23" t="str">
        <f>микс!$H$49</f>
        <v>Товары для детей</v>
      </c>
      <c r="Q237" s="21" t="s">
        <v>73</v>
      </c>
      <c r="R237" s="25">
        <v>2</v>
      </c>
      <c r="S237" s="28"/>
      <c r="T237" s="31">
        <v>42336</v>
      </c>
      <c r="U237" s="33">
        <v>4750</v>
      </c>
      <c r="V237" s="36">
        <f t="shared" si="17"/>
        <v>9500</v>
      </c>
      <c r="W237" s="28"/>
      <c r="X237" s="31">
        <v>42349</v>
      </c>
      <c r="Y237" s="33">
        <v>5233</v>
      </c>
      <c r="Z237" s="189">
        <f t="shared" si="18"/>
        <v>10466</v>
      </c>
      <c r="AA237" s="190"/>
      <c r="AB237" s="31">
        <v>42356</v>
      </c>
      <c r="AC237" s="36">
        <v>9500</v>
      </c>
      <c r="AD237" s="8"/>
      <c r="AE237" s="6"/>
      <c r="AF237" s="52">
        <f t="shared" si="15"/>
        <v>402192000</v>
      </c>
      <c r="AG237" s="25">
        <f t="shared" si="16"/>
        <v>443224634</v>
      </c>
      <c r="AH237" s="52">
        <f t="shared" si="19"/>
        <v>402382000</v>
      </c>
      <c r="AI237" s="6"/>
      <c r="AJ237" s="6"/>
      <c r="AK237" s="6"/>
      <c r="AL237" s="6"/>
      <c r="AM237" s="6"/>
      <c r="AN237" s="6"/>
      <c r="AO237" s="6"/>
      <c r="AP237" s="6"/>
      <c r="AQ237" s="6"/>
      <c r="AR237" s="6"/>
    </row>
    <row r="238" spans="1:44">
      <c r="A238" s="6"/>
      <c r="B238" s="6"/>
      <c r="C238" s="6"/>
      <c r="D238" s="6"/>
      <c r="E238" s="6"/>
      <c r="F238" s="6"/>
      <c r="G238" s="11"/>
      <c r="H238" s="6"/>
      <c r="I238" s="6"/>
      <c r="J238" s="6"/>
      <c r="K238" s="7"/>
      <c r="L238" s="21" t="str">
        <f>микс!$H$10</f>
        <v>продажа со склада</v>
      </c>
      <c r="M238" s="22"/>
      <c r="N238" s="22"/>
      <c r="O238" s="22" t="s">
        <v>145</v>
      </c>
      <c r="P238" s="23" t="str">
        <f>микс!$H$46</f>
        <v>Электроника и бытовая техника</v>
      </c>
      <c r="Q238" s="21" t="s">
        <v>58</v>
      </c>
      <c r="R238" s="25">
        <v>1</v>
      </c>
      <c r="S238" s="28"/>
      <c r="T238" s="31">
        <v>42202</v>
      </c>
      <c r="U238" s="33">
        <v>5220</v>
      </c>
      <c r="V238" s="36">
        <f t="shared" si="17"/>
        <v>5220</v>
      </c>
      <c r="W238" s="28"/>
      <c r="X238" s="31">
        <v>42298</v>
      </c>
      <c r="Y238" s="33">
        <v>5900</v>
      </c>
      <c r="Z238" s="189">
        <f t="shared" si="18"/>
        <v>5900</v>
      </c>
      <c r="AA238" s="190"/>
      <c r="AB238" s="31">
        <v>42232</v>
      </c>
      <c r="AC238" s="36">
        <v>5220</v>
      </c>
      <c r="AD238" s="8"/>
      <c r="AE238" s="6"/>
      <c r="AF238" s="52">
        <f t="shared" si="15"/>
        <v>220294440</v>
      </c>
      <c r="AG238" s="25">
        <f t="shared" si="16"/>
        <v>249558200</v>
      </c>
      <c r="AH238" s="52">
        <f t="shared" si="19"/>
        <v>220451040</v>
      </c>
      <c r="AI238" s="6"/>
      <c r="AJ238" s="6"/>
      <c r="AK238" s="6"/>
      <c r="AL238" s="6"/>
      <c r="AM238" s="6"/>
      <c r="AN238" s="6"/>
      <c r="AO238" s="6"/>
      <c r="AP238" s="6"/>
      <c r="AQ238" s="6"/>
      <c r="AR238" s="6"/>
    </row>
    <row r="239" spans="1:44">
      <c r="A239" s="6"/>
      <c r="B239" s="6"/>
      <c r="C239" s="6"/>
      <c r="D239" s="6"/>
      <c r="E239" s="6"/>
      <c r="F239" s="6"/>
      <c r="G239" s="11"/>
      <c r="H239" s="6"/>
      <c r="I239" s="6"/>
      <c r="J239" s="6"/>
      <c r="K239" s="7"/>
      <c r="L239" s="21" t="str">
        <f>микс!$H$10</f>
        <v>продажа со склада</v>
      </c>
      <c r="M239" s="22"/>
      <c r="N239" s="22"/>
      <c r="O239" s="22" t="s">
        <v>145</v>
      </c>
      <c r="P239" s="23" t="str">
        <f>микс!$H$46</f>
        <v>Электроника и бытовая техника</v>
      </c>
      <c r="Q239" s="21" t="s">
        <v>58</v>
      </c>
      <c r="R239" s="25">
        <v>1</v>
      </c>
      <c r="S239" s="28"/>
      <c r="T239" s="31">
        <v>42205</v>
      </c>
      <c r="U239" s="33">
        <v>5220</v>
      </c>
      <c r="V239" s="36">
        <f t="shared" si="17"/>
        <v>5220</v>
      </c>
      <c r="W239" s="28"/>
      <c r="X239" s="31">
        <v>42301</v>
      </c>
      <c r="Y239" s="33">
        <v>5900</v>
      </c>
      <c r="Z239" s="189">
        <f t="shared" si="18"/>
        <v>5900</v>
      </c>
      <c r="AA239" s="190"/>
      <c r="AB239" s="31">
        <v>42235</v>
      </c>
      <c r="AC239" s="36">
        <v>5220</v>
      </c>
      <c r="AD239" s="8"/>
      <c r="AE239" s="6"/>
      <c r="AF239" s="52">
        <f t="shared" si="15"/>
        <v>220310100</v>
      </c>
      <c r="AG239" s="25">
        <f t="shared" si="16"/>
        <v>249575900</v>
      </c>
      <c r="AH239" s="52">
        <f t="shared" si="19"/>
        <v>220466700</v>
      </c>
      <c r="AI239" s="6"/>
      <c r="AJ239" s="6"/>
      <c r="AK239" s="6"/>
      <c r="AL239" s="6"/>
      <c r="AM239" s="6"/>
      <c r="AN239" s="6"/>
      <c r="AO239" s="6"/>
      <c r="AP239" s="6"/>
      <c r="AQ239" s="6"/>
      <c r="AR239" s="6"/>
    </row>
    <row r="240" spans="1:44">
      <c r="A240" s="6"/>
      <c r="B240" s="6"/>
      <c r="C240" s="6"/>
      <c r="D240" s="6"/>
      <c r="E240" s="6"/>
      <c r="F240" s="6"/>
      <c r="G240" s="11"/>
      <c r="H240" s="6"/>
      <c r="I240" s="6"/>
      <c r="J240" s="6"/>
      <c r="K240" s="7"/>
      <c r="L240" s="21" t="str">
        <f>микс!$H$10</f>
        <v>продажа со склада</v>
      </c>
      <c r="M240" s="22"/>
      <c r="N240" s="22"/>
      <c r="O240" s="22" t="s">
        <v>145</v>
      </c>
      <c r="P240" s="23" t="str">
        <f>микс!$H$46</f>
        <v>Электроника и бытовая техника</v>
      </c>
      <c r="Q240" s="21" t="s">
        <v>58</v>
      </c>
      <c r="R240" s="25">
        <v>1</v>
      </c>
      <c r="S240" s="28"/>
      <c r="T240" s="31">
        <v>42243</v>
      </c>
      <c r="U240" s="33">
        <v>6644</v>
      </c>
      <c r="V240" s="36">
        <f t="shared" si="17"/>
        <v>6644</v>
      </c>
      <c r="W240" s="28"/>
      <c r="X240" s="31">
        <v>42340</v>
      </c>
      <c r="Y240" s="33">
        <v>8150</v>
      </c>
      <c r="Z240" s="189">
        <f t="shared" si="18"/>
        <v>8150</v>
      </c>
      <c r="AA240" s="190"/>
      <c r="AB240" s="31">
        <v>42288</v>
      </c>
      <c r="AC240" s="36">
        <v>6644</v>
      </c>
      <c r="AD240" s="8"/>
      <c r="AE240" s="6"/>
      <c r="AF240" s="52">
        <f t="shared" si="15"/>
        <v>280662492</v>
      </c>
      <c r="AG240" s="25">
        <f t="shared" si="16"/>
        <v>345071000</v>
      </c>
      <c r="AH240" s="52">
        <f t="shared" si="19"/>
        <v>280961472</v>
      </c>
      <c r="AI240" s="6"/>
      <c r="AJ240" s="6"/>
      <c r="AK240" s="6"/>
      <c r="AL240" s="6"/>
      <c r="AM240" s="6"/>
      <c r="AN240" s="6"/>
      <c r="AO240" s="6"/>
      <c r="AP240" s="6"/>
      <c r="AQ240" s="6"/>
      <c r="AR240" s="6"/>
    </row>
    <row r="241" spans="1:44">
      <c r="A241" s="6"/>
      <c r="B241" s="6"/>
      <c r="C241" s="6"/>
      <c r="D241" s="6"/>
      <c r="E241" s="6"/>
      <c r="F241" s="6"/>
      <c r="G241" s="11"/>
      <c r="H241" s="6"/>
      <c r="I241" s="6"/>
      <c r="J241" s="6"/>
      <c r="K241" s="7"/>
      <c r="L241" s="21" t="str">
        <f>микс!$H$10</f>
        <v>продажа со склада</v>
      </c>
      <c r="M241" s="22"/>
      <c r="N241" s="22"/>
      <c r="O241" s="22" t="s">
        <v>137</v>
      </c>
      <c r="P241" s="23" t="str">
        <f>микс!$H$46</f>
        <v>Электроника и бытовая техника</v>
      </c>
      <c r="Q241" s="21" t="s">
        <v>74</v>
      </c>
      <c r="R241" s="25">
        <v>1</v>
      </c>
      <c r="S241" s="28"/>
      <c r="T241" s="31">
        <v>42224</v>
      </c>
      <c r="U241" s="33">
        <v>11783.96</v>
      </c>
      <c r="V241" s="36">
        <f t="shared" si="17"/>
        <v>11783.96</v>
      </c>
      <c r="W241" s="28"/>
      <c r="X241" s="31">
        <v>42325</v>
      </c>
      <c r="Y241" s="33">
        <v>11368</v>
      </c>
      <c r="Z241" s="189">
        <f t="shared" si="18"/>
        <v>11368</v>
      </c>
      <c r="AA241" s="190"/>
      <c r="AB241" s="31">
        <v>42284</v>
      </c>
      <c r="AC241" s="36">
        <v>11783.96</v>
      </c>
      <c r="AD241" s="8"/>
      <c r="AE241" s="6"/>
      <c r="AF241" s="52">
        <f t="shared" si="15"/>
        <v>497565927.03999996</v>
      </c>
      <c r="AG241" s="25">
        <f t="shared" si="16"/>
        <v>481150600</v>
      </c>
      <c r="AH241" s="52">
        <f t="shared" si="19"/>
        <v>498272964.63999999</v>
      </c>
      <c r="AI241" s="6"/>
      <c r="AJ241" s="6"/>
      <c r="AK241" s="6"/>
      <c r="AL241" s="6"/>
      <c r="AM241" s="6"/>
      <c r="AN241" s="6"/>
      <c r="AO241" s="6"/>
      <c r="AP241" s="6"/>
      <c r="AQ241" s="6"/>
      <c r="AR241" s="6"/>
    </row>
    <row r="242" spans="1:44">
      <c r="A242" s="6"/>
      <c r="B242" s="6"/>
      <c r="C242" s="6"/>
      <c r="D242" s="6"/>
      <c r="E242" s="6"/>
      <c r="F242" s="6"/>
      <c r="G242" s="11"/>
      <c r="H242" s="6"/>
      <c r="I242" s="6"/>
      <c r="J242" s="6"/>
      <c r="K242" s="7"/>
      <c r="L242" s="21" t="str">
        <f>микс!$H$11</f>
        <v>продажа под заказ</v>
      </c>
      <c r="M242" s="22"/>
      <c r="N242" s="22"/>
      <c r="O242" s="22" t="s">
        <v>149</v>
      </c>
      <c r="P242" s="23" t="str">
        <f>микс!$H$46</f>
        <v>Электроника и бытовая техника</v>
      </c>
      <c r="Q242" s="21" t="s">
        <v>75</v>
      </c>
      <c r="R242" s="25">
        <v>1</v>
      </c>
      <c r="S242" s="28"/>
      <c r="T242" s="31">
        <v>42333</v>
      </c>
      <c r="U242" s="33">
        <v>1650</v>
      </c>
      <c r="V242" s="36">
        <f t="shared" si="17"/>
        <v>1650</v>
      </c>
      <c r="W242" s="28"/>
      <c r="X242" s="31">
        <v>42339</v>
      </c>
      <c r="Y242" s="33">
        <v>1871</v>
      </c>
      <c r="Z242" s="189">
        <f t="shared" si="18"/>
        <v>1871</v>
      </c>
      <c r="AA242" s="190"/>
      <c r="AB242" s="31"/>
      <c r="AC242" s="36"/>
      <c r="AD242" s="8"/>
      <c r="AE242" s="6"/>
      <c r="AF242" s="52">
        <f t="shared" si="15"/>
        <v>69849450</v>
      </c>
      <c r="AG242" s="25">
        <f t="shared" si="16"/>
        <v>79216269</v>
      </c>
      <c r="AH242" s="52">
        <f t="shared" si="19"/>
        <v>0</v>
      </c>
      <c r="AI242" s="6"/>
      <c r="AJ242" s="6"/>
      <c r="AK242" s="6"/>
      <c r="AL242" s="6"/>
      <c r="AM242" s="6"/>
      <c r="AN242" s="6"/>
      <c r="AO242" s="6"/>
      <c r="AP242" s="6"/>
      <c r="AQ242" s="6"/>
      <c r="AR242" s="6"/>
    </row>
    <row r="243" spans="1:44">
      <c r="A243" s="6"/>
      <c r="B243" s="6"/>
      <c r="C243" s="6"/>
      <c r="D243" s="6"/>
      <c r="E243" s="6"/>
      <c r="F243" s="6"/>
      <c r="G243" s="11"/>
      <c r="H243" s="6"/>
      <c r="I243" s="6"/>
      <c r="J243" s="6"/>
      <c r="K243" s="7"/>
      <c r="L243" s="21" t="str">
        <f>микс!$H$10</f>
        <v>продажа со склада</v>
      </c>
      <c r="M243" s="22"/>
      <c r="N243" s="22"/>
      <c r="O243" s="22" t="s">
        <v>148</v>
      </c>
      <c r="P243" s="23" t="str">
        <f>микс!$H$49</f>
        <v>Товары для детей</v>
      </c>
      <c r="Q243" s="21" t="s">
        <v>60</v>
      </c>
      <c r="R243" s="25">
        <v>1</v>
      </c>
      <c r="S243" s="28"/>
      <c r="T243" s="31">
        <v>42228</v>
      </c>
      <c r="U243" s="33">
        <v>2498.5</v>
      </c>
      <c r="V243" s="36">
        <f t="shared" si="17"/>
        <v>2498.5</v>
      </c>
      <c r="W243" s="28"/>
      <c r="X243" s="31">
        <v>42325</v>
      </c>
      <c r="Y243" s="33">
        <v>2980</v>
      </c>
      <c r="Z243" s="189">
        <f t="shared" si="18"/>
        <v>2980</v>
      </c>
      <c r="AA243" s="190"/>
      <c r="AB243" s="31">
        <v>42288</v>
      </c>
      <c r="AC243" s="36">
        <v>2498.5</v>
      </c>
      <c r="AD243" s="8"/>
      <c r="AE243" s="6"/>
      <c r="AF243" s="52">
        <f t="shared" si="15"/>
        <v>105506658</v>
      </c>
      <c r="AG243" s="25">
        <f t="shared" si="16"/>
        <v>126128500</v>
      </c>
      <c r="AH243" s="52">
        <f t="shared" si="19"/>
        <v>105656568</v>
      </c>
      <c r="AI243" s="6"/>
      <c r="AJ243" s="6"/>
      <c r="AK243" s="6"/>
      <c r="AL243" s="6"/>
      <c r="AM243" s="6"/>
      <c r="AN243" s="6"/>
      <c r="AO243" s="6"/>
      <c r="AP243" s="6"/>
      <c r="AQ243" s="6"/>
      <c r="AR243" s="6"/>
    </row>
    <row r="244" spans="1:44">
      <c r="A244" s="6"/>
      <c r="B244" s="6"/>
      <c r="C244" s="6"/>
      <c r="D244" s="6"/>
      <c r="E244" s="6"/>
      <c r="F244" s="6"/>
      <c r="G244" s="11"/>
      <c r="H244" s="6"/>
      <c r="I244" s="6"/>
      <c r="J244" s="6"/>
      <c r="K244" s="7"/>
      <c r="L244" s="21" t="str">
        <f>микс!$H$11</f>
        <v>продажа под заказ</v>
      </c>
      <c r="M244" s="22"/>
      <c r="N244" s="22"/>
      <c r="O244" s="22" t="s">
        <v>148</v>
      </c>
      <c r="P244" s="23" t="str">
        <f>микс!$H$49</f>
        <v>Товары для детей</v>
      </c>
      <c r="Q244" s="21" t="s">
        <v>60</v>
      </c>
      <c r="R244" s="25">
        <v>1</v>
      </c>
      <c r="S244" s="28"/>
      <c r="T244" s="31">
        <v>42328</v>
      </c>
      <c r="U244" s="33">
        <v>2498.5</v>
      </c>
      <c r="V244" s="36">
        <f t="shared" si="17"/>
        <v>2498.5</v>
      </c>
      <c r="W244" s="28"/>
      <c r="X244" s="31">
        <v>42331</v>
      </c>
      <c r="Y244" s="33">
        <v>2980</v>
      </c>
      <c r="Z244" s="189">
        <f t="shared" si="18"/>
        <v>2980</v>
      </c>
      <c r="AA244" s="190"/>
      <c r="AB244" s="31">
        <v>42358</v>
      </c>
      <c r="AC244" s="36">
        <v>2498.5</v>
      </c>
      <c r="AD244" s="8"/>
      <c r="AE244" s="6"/>
      <c r="AF244" s="52">
        <f t="shared" si="15"/>
        <v>105756508</v>
      </c>
      <c r="AG244" s="25">
        <f t="shared" si="16"/>
        <v>126146380</v>
      </c>
      <c r="AH244" s="52">
        <f t="shared" si="19"/>
        <v>105831463</v>
      </c>
      <c r="AI244" s="6"/>
      <c r="AJ244" s="6"/>
      <c r="AK244" s="6"/>
      <c r="AL244" s="6"/>
      <c r="AM244" s="6"/>
      <c r="AN244" s="6"/>
      <c r="AO244" s="6"/>
      <c r="AP244" s="6"/>
      <c r="AQ244" s="6"/>
      <c r="AR244" s="6"/>
    </row>
    <row r="245" spans="1:44">
      <c r="A245" s="6"/>
      <c r="B245" s="6"/>
      <c r="C245" s="6"/>
      <c r="D245" s="6"/>
      <c r="E245" s="6"/>
      <c r="F245" s="6"/>
      <c r="G245" s="11"/>
      <c r="H245" s="6"/>
      <c r="I245" s="6"/>
      <c r="J245" s="6"/>
      <c r="K245" s="7"/>
      <c r="L245" s="21" t="str">
        <f>микс!$H$11</f>
        <v>продажа под заказ</v>
      </c>
      <c r="M245" s="22"/>
      <c r="N245" s="22"/>
      <c r="O245" s="22" t="s">
        <v>138</v>
      </c>
      <c r="P245" s="23" t="str">
        <f>микс!$H$49</f>
        <v>Товары для детей</v>
      </c>
      <c r="Q245" s="21" t="s">
        <v>59</v>
      </c>
      <c r="R245" s="25">
        <v>1</v>
      </c>
      <c r="S245" s="28"/>
      <c r="T245" s="31">
        <v>42334</v>
      </c>
      <c r="U245" s="33">
        <v>14465</v>
      </c>
      <c r="V245" s="36">
        <f t="shared" si="17"/>
        <v>14465</v>
      </c>
      <c r="W245" s="28"/>
      <c r="X245" s="31">
        <v>42344</v>
      </c>
      <c r="Y245" s="33">
        <v>15656</v>
      </c>
      <c r="Z245" s="189">
        <f t="shared" si="18"/>
        <v>15656</v>
      </c>
      <c r="AA245" s="190"/>
      <c r="AB245" s="31"/>
      <c r="AC245" s="36"/>
      <c r="AD245" s="8"/>
      <c r="AE245" s="6"/>
      <c r="AF245" s="52">
        <f t="shared" si="15"/>
        <v>612361310</v>
      </c>
      <c r="AG245" s="25">
        <f t="shared" si="16"/>
        <v>662937664</v>
      </c>
      <c r="AH245" s="52">
        <f t="shared" si="19"/>
        <v>0</v>
      </c>
      <c r="AI245" s="6"/>
      <c r="AJ245" s="6"/>
      <c r="AK245" s="6"/>
      <c r="AL245" s="6"/>
      <c r="AM245" s="6"/>
      <c r="AN245" s="6"/>
      <c r="AO245" s="6"/>
      <c r="AP245" s="6"/>
      <c r="AQ245" s="6"/>
      <c r="AR245" s="6"/>
    </row>
    <row r="246" spans="1:44">
      <c r="A246" s="6"/>
      <c r="B246" s="6"/>
      <c r="C246" s="6"/>
      <c r="D246" s="6"/>
      <c r="E246" s="6"/>
      <c r="F246" s="6"/>
      <c r="G246" s="11"/>
      <c r="H246" s="6"/>
      <c r="I246" s="6"/>
      <c r="J246" s="6"/>
      <c r="K246" s="7"/>
      <c r="L246" s="21" t="str">
        <f>микс!$H$11</f>
        <v>продажа под заказ</v>
      </c>
      <c r="M246" s="22"/>
      <c r="N246" s="22"/>
      <c r="O246" s="22" t="s">
        <v>138</v>
      </c>
      <c r="P246" s="23" t="str">
        <f>микс!$H$49</f>
        <v>Товары для детей</v>
      </c>
      <c r="Q246" s="21" t="s">
        <v>59</v>
      </c>
      <c r="R246" s="25">
        <v>1</v>
      </c>
      <c r="S246" s="28"/>
      <c r="T246" s="31">
        <v>42335</v>
      </c>
      <c r="U246" s="33">
        <v>14465</v>
      </c>
      <c r="V246" s="36">
        <f t="shared" si="17"/>
        <v>14465</v>
      </c>
      <c r="W246" s="28"/>
      <c r="X246" s="31">
        <v>42345</v>
      </c>
      <c r="Y246" s="33">
        <v>14743</v>
      </c>
      <c r="Z246" s="189">
        <f t="shared" si="18"/>
        <v>14743</v>
      </c>
      <c r="AA246" s="190"/>
      <c r="AB246" s="31">
        <v>42345</v>
      </c>
      <c r="AC246" s="36">
        <v>14465</v>
      </c>
      <c r="AD246" s="8"/>
      <c r="AE246" s="6"/>
      <c r="AF246" s="52">
        <f t="shared" si="15"/>
        <v>612375775</v>
      </c>
      <c r="AG246" s="25">
        <f t="shared" si="16"/>
        <v>624292335</v>
      </c>
      <c r="AH246" s="52">
        <f t="shared" si="19"/>
        <v>612520425</v>
      </c>
      <c r="AI246" s="6"/>
      <c r="AJ246" s="6"/>
      <c r="AK246" s="6"/>
      <c r="AL246" s="6"/>
      <c r="AM246" s="6"/>
      <c r="AN246" s="6"/>
      <c r="AO246" s="6"/>
      <c r="AP246" s="6"/>
      <c r="AQ246" s="6"/>
      <c r="AR246" s="6"/>
    </row>
    <row r="247" spans="1:44">
      <c r="A247" s="6"/>
      <c r="B247" s="6"/>
      <c r="C247" s="6"/>
      <c r="D247" s="6"/>
      <c r="E247" s="6"/>
      <c r="F247" s="6"/>
      <c r="G247" s="11"/>
      <c r="H247" s="6"/>
      <c r="I247" s="6"/>
      <c r="J247" s="6"/>
      <c r="K247" s="7"/>
      <c r="L247" s="21" t="str">
        <f>микс!$H$11</f>
        <v>продажа под заказ</v>
      </c>
      <c r="M247" s="22"/>
      <c r="N247" s="22"/>
      <c r="O247" s="22" t="s">
        <v>138</v>
      </c>
      <c r="P247" s="23" t="str">
        <f>микс!$H$49</f>
        <v>Товары для детей</v>
      </c>
      <c r="Q247" s="21" t="s">
        <v>59</v>
      </c>
      <c r="R247" s="25">
        <v>1</v>
      </c>
      <c r="S247" s="28"/>
      <c r="T247" s="31">
        <v>42336</v>
      </c>
      <c r="U247" s="33">
        <v>14465</v>
      </c>
      <c r="V247" s="36">
        <f t="shared" si="17"/>
        <v>14465</v>
      </c>
      <c r="W247" s="28"/>
      <c r="X247" s="31">
        <v>42341</v>
      </c>
      <c r="Y247" s="33">
        <v>14743</v>
      </c>
      <c r="Z247" s="189">
        <f t="shared" si="18"/>
        <v>14743</v>
      </c>
      <c r="AA247" s="190"/>
      <c r="AB247" s="31"/>
      <c r="AC247" s="36"/>
      <c r="AD247" s="8"/>
      <c r="AE247" s="6"/>
      <c r="AF247" s="52">
        <f t="shared" si="15"/>
        <v>612390240</v>
      </c>
      <c r="AG247" s="25">
        <f t="shared" si="16"/>
        <v>624233363</v>
      </c>
      <c r="AH247" s="52">
        <f t="shared" si="19"/>
        <v>0</v>
      </c>
      <c r="AI247" s="6"/>
      <c r="AJ247" s="6"/>
      <c r="AK247" s="6"/>
      <c r="AL247" s="6"/>
      <c r="AM247" s="6"/>
      <c r="AN247" s="6"/>
      <c r="AO247" s="6"/>
      <c r="AP247" s="6"/>
      <c r="AQ247" s="6"/>
      <c r="AR247" s="6"/>
    </row>
    <row r="248" spans="1:44">
      <c r="A248" s="6"/>
      <c r="B248" s="6"/>
      <c r="C248" s="6"/>
      <c r="D248" s="6"/>
      <c r="E248" s="6"/>
      <c r="F248" s="6"/>
      <c r="G248" s="11"/>
      <c r="H248" s="6"/>
      <c r="I248" s="6"/>
      <c r="J248" s="6"/>
      <c r="K248" s="7"/>
      <c r="L248" s="21" t="str">
        <f>микс!$H$11</f>
        <v>продажа под заказ</v>
      </c>
      <c r="M248" s="22"/>
      <c r="N248" s="22"/>
      <c r="O248" s="22" t="s">
        <v>138</v>
      </c>
      <c r="P248" s="23" t="str">
        <f>микс!$H$49</f>
        <v>Товары для детей</v>
      </c>
      <c r="Q248" s="21" t="s">
        <v>59</v>
      </c>
      <c r="R248" s="25">
        <v>1</v>
      </c>
      <c r="S248" s="28"/>
      <c r="T248" s="31">
        <v>42338</v>
      </c>
      <c r="U248" s="33">
        <v>14465</v>
      </c>
      <c r="V248" s="36">
        <f t="shared" si="17"/>
        <v>14465</v>
      </c>
      <c r="W248" s="28"/>
      <c r="X248" s="31">
        <v>42343</v>
      </c>
      <c r="Y248" s="33">
        <v>14743</v>
      </c>
      <c r="Z248" s="189">
        <f t="shared" si="18"/>
        <v>14743</v>
      </c>
      <c r="AA248" s="190"/>
      <c r="AB248" s="31">
        <v>42368</v>
      </c>
      <c r="AC248" s="36">
        <v>14465</v>
      </c>
      <c r="AD248" s="8"/>
      <c r="AE248" s="6"/>
      <c r="AF248" s="52">
        <f t="shared" si="15"/>
        <v>612419170</v>
      </c>
      <c r="AG248" s="25">
        <f t="shared" si="16"/>
        <v>624262849</v>
      </c>
      <c r="AH248" s="52">
        <f t="shared" si="19"/>
        <v>612853120</v>
      </c>
      <c r="AI248" s="6"/>
      <c r="AJ248" s="6"/>
      <c r="AK248" s="6"/>
      <c r="AL248" s="6"/>
      <c r="AM248" s="6"/>
      <c r="AN248" s="6"/>
      <c r="AO248" s="6"/>
      <c r="AP248" s="6"/>
      <c r="AQ248" s="6"/>
      <c r="AR248" s="6"/>
    </row>
    <row r="249" spans="1:44">
      <c r="A249" s="6"/>
      <c r="B249" s="6"/>
      <c r="C249" s="6"/>
      <c r="D249" s="6"/>
      <c r="E249" s="6"/>
      <c r="F249" s="6"/>
      <c r="G249" s="11"/>
      <c r="H249" s="6"/>
      <c r="I249" s="6"/>
      <c r="J249" s="6"/>
      <c r="K249" s="7"/>
      <c r="L249" s="21" t="str">
        <f>микс!$H$11</f>
        <v>продажа под заказ</v>
      </c>
      <c r="M249" s="22"/>
      <c r="N249" s="22"/>
      <c r="O249" s="22" t="s">
        <v>138</v>
      </c>
      <c r="P249" s="23" t="str">
        <f>микс!$H$49</f>
        <v>Товары для детей</v>
      </c>
      <c r="Q249" s="21" t="s">
        <v>59</v>
      </c>
      <c r="R249" s="25">
        <v>1</v>
      </c>
      <c r="S249" s="28"/>
      <c r="T249" s="31">
        <v>42338</v>
      </c>
      <c r="U249" s="33">
        <v>14465</v>
      </c>
      <c r="V249" s="36">
        <f t="shared" si="17"/>
        <v>14465</v>
      </c>
      <c r="W249" s="28"/>
      <c r="X249" s="31">
        <v>42345</v>
      </c>
      <c r="Y249" s="33">
        <v>14743</v>
      </c>
      <c r="Z249" s="189">
        <f t="shared" si="18"/>
        <v>14743</v>
      </c>
      <c r="AA249" s="190"/>
      <c r="AB249" s="31">
        <v>42359</v>
      </c>
      <c r="AC249" s="36">
        <v>14465</v>
      </c>
      <c r="AD249" s="8"/>
      <c r="AE249" s="6"/>
      <c r="AF249" s="52">
        <f t="shared" si="15"/>
        <v>612419170</v>
      </c>
      <c r="AG249" s="25">
        <f t="shared" si="16"/>
        <v>624292335</v>
      </c>
      <c r="AH249" s="52">
        <f t="shared" si="19"/>
        <v>612722935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</row>
    <row r="250" spans="1:44">
      <c r="A250" s="6"/>
      <c r="B250" s="6"/>
      <c r="C250" s="6"/>
      <c r="D250" s="6"/>
      <c r="E250" s="6"/>
      <c r="F250" s="6"/>
      <c r="G250" s="11"/>
      <c r="H250" s="6"/>
      <c r="I250" s="6"/>
      <c r="J250" s="6"/>
      <c r="K250" s="7"/>
      <c r="L250" s="21" t="str">
        <f>микс!$H$11</f>
        <v>продажа под заказ</v>
      </c>
      <c r="M250" s="22"/>
      <c r="N250" s="22"/>
      <c r="O250" s="22" t="s">
        <v>138</v>
      </c>
      <c r="P250" s="23" t="str">
        <f>микс!$H$49</f>
        <v>Товары для детей</v>
      </c>
      <c r="Q250" s="21" t="s">
        <v>133</v>
      </c>
      <c r="R250" s="25">
        <v>1</v>
      </c>
      <c r="S250" s="28"/>
      <c r="T250" s="31">
        <v>42338</v>
      </c>
      <c r="U250" s="33">
        <v>874</v>
      </c>
      <c r="V250" s="36">
        <f t="shared" si="17"/>
        <v>874</v>
      </c>
      <c r="W250" s="28"/>
      <c r="X250" s="31">
        <v>42341</v>
      </c>
      <c r="Y250" s="33">
        <v>990</v>
      </c>
      <c r="Z250" s="189">
        <f t="shared" si="18"/>
        <v>990</v>
      </c>
      <c r="AA250" s="190"/>
      <c r="AB250" s="31"/>
      <c r="AC250" s="36"/>
      <c r="AD250" s="8"/>
      <c r="AE250" s="6"/>
      <c r="AF250" s="52">
        <f t="shared" si="15"/>
        <v>37003412</v>
      </c>
      <c r="AG250" s="25">
        <f t="shared" si="16"/>
        <v>41917590</v>
      </c>
      <c r="AH250" s="52">
        <f t="shared" si="19"/>
        <v>0</v>
      </c>
      <c r="AI250" s="6"/>
      <c r="AJ250" s="6"/>
      <c r="AK250" s="6"/>
      <c r="AL250" s="6"/>
      <c r="AM250" s="6"/>
      <c r="AN250" s="6"/>
      <c r="AO250" s="6"/>
      <c r="AP250" s="6"/>
      <c r="AQ250" s="6"/>
      <c r="AR250" s="6"/>
    </row>
    <row r="251" spans="1:44">
      <c r="A251" s="6"/>
      <c r="B251" s="6"/>
      <c r="C251" s="6"/>
      <c r="D251" s="6"/>
      <c r="E251" s="6"/>
      <c r="F251" s="6"/>
      <c r="G251" s="11"/>
      <c r="H251" s="6"/>
      <c r="I251" s="6"/>
      <c r="J251" s="6"/>
      <c r="K251" s="7"/>
      <c r="L251" s="21" t="str">
        <f>микс!$H$11</f>
        <v>продажа под заказ</v>
      </c>
      <c r="M251" s="22"/>
      <c r="N251" s="22"/>
      <c r="O251" s="22" t="s">
        <v>144</v>
      </c>
      <c r="P251" s="23" t="str">
        <f>микс!$H$48</f>
        <v>Спортивный инвентарь</v>
      </c>
      <c r="Q251" s="21" t="s">
        <v>76</v>
      </c>
      <c r="R251" s="25">
        <v>1</v>
      </c>
      <c r="S251" s="28"/>
      <c r="T251" s="31">
        <v>42321</v>
      </c>
      <c r="U251" s="33">
        <v>1860</v>
      </c>
      <c r="V251" s="36">
        <f t="shared" si="17"/>
        <v>1860</v>
      </c>
      <c r="W251" s="28"/>
      <c r="X251" s="31">
        <v>42332</v>
      </c>
      <c r="Y251" s="33">
        <v>2243</v>
      </c>
      <c r="Z251" s="189">
        <f t="shared" si="18"/>
        <v>2243</v>
      </c>
      <c r="AA251" s="190"/>
      <c r="AB251" s="31">
        <v>42351</v>
      </c>
      <c r="AC251" s="36">
        <v>1860</v>
      </c>
      <c r="AD251" s="8"/>
      <c r="AE251" s="6"/>
      <c r="AF251" s="52">
        <f t="shared" si="15"/>
        <v>78717060</v>
      </c>
      <c r="AG251" s="25">
        <f t="shared" si="16"/>
        <v>94950676</v>
      </c>
      <c r="AH251" s="52">
        <f t="shared" si="19"/>
        <v>78772860</v>
      </c>
      <c r="AI251" s="6"/>
      <c r="AJ251" s="6"/>
      <c r="AK251" s="6"/>
      <c r="AL251" s="6"/>
      <c r="AM251" s="6"/>
      <c r="AN251" s="6"/>
      <c r="AO251" s="6"/>
      <c r="AP251" s="6"/>
      <c r="AQ251" s="6"/>
      <c r="AR251" s="6"/>
    </row>
    <row r="252" spans="1:44">
      <c r="A252" s="6"/>
      <c r="B252" s="6"/>
      <c r="C252" s="6"/>
      <c r="D252" s="6"/>
      <c r="E252" s="6"/>
      <c r="F252" s="6"/>
      <c r="G252" s="11"/>
      <c r="H252" s="6"/>
      <c r="I252" s="6"/>
      <c r="J252" s="6"/>
      <c r="K252" s="7"/>
      <c r="L252" s="21" t="str">
        <f>микс!$H$10</f>
        <v>продажа со склада</v>
      </c>
      <c r="M252" s="22"/>
      <c r="N252" s="22"/>
      <c r="O252" s="22" t="s">
        <v>138</v>
      </c>
      <c r="P252" s="23" t="str">
        <f>микс!$H$49</f>
        <v>Товары для детей</v>
      </c>
      <c r="Q252" s="21" t="s">
        <v>59</v>
      </c>
      <c r="R252" s="25">
        <v>1</v>
      </c>
      <c r="S252" s="28"/>
      <c r="T252" s="31">
        <v>42199</v>
      </c>
      <c r="U252" s="33">
        <v>12885</v>
      </c>
      <c r="V252" s="36">
        <f t="shared" si="17"/>
        <v>12885</v>
      </c>
      <c r="W252" s="28"/>
      <c r="X252" s="31">
        <v>42295</v>
      </c>
      <c r="Y252" s="33">
        <v>12999</v>
      </c>
      <c r="Z252" s="189">
        <f t="shared" si="18"/>
        <v>12999</v>
      </c>
      <c r="AA252" s="190"/>
      <c r="AB252" s="31">
        <v>42214</v>
      </c>
      <c r="AC252" s="36">
        <v>12885</v>
      </c>
      <c r="AD252" s="8"/>
      <c r="AE252" s="6"/>
      <c r="AF252" s="52">
        <f t="shared" si="15"/>
        <v>543734115</v>
      </c>
      <c r="AG252" s="25">
        <f t="shared" si="16"/>
        <v>549792705</v>
      </c>
      <c r="AH252" s="52">
        <f t="shared" si="19"/>
        <v>543927390</v>
      </c>
      <c r="AI252" s="6"/>
      <c r="AJ252" s="6"/>
      <c r="AK252" s="6"/>
      <c r="AL252" s="6"/>
      <c r="AM252" s="6"/>
      <c r="AN252" s="6"/>
      <c r="AO252" s="6"/>
      <c r="AP252" s="6"/>
      <c r="AQ252" s="6"/>
      <c r="AR252" s="6"/>
    </row>
    <row r="253" spans="1:44">
      <c r="A253" s="6"/>
      <c r="B253" s="6"/>
      <c r="C253" s="6"/>
      <c r="D253" s="6"/>
      <c r="E253" s="6"/>
      <c r="F253" s="6"/>
      <c r="G253" s="11"/>
      <c r="H253" s="6"/>
      <c r="I253" s="6"/>
      <c r="J253" s="6"/>
      <c r="K253" s="7"/>
      <c r="L253" s="21" t="str">
        <f>микс!$H$10</f>
        <v>продажа со склада</v>
      </c>
      <c r="M253" s="22"/>
      <c r="N253" s="22"/>
      <c r="O253" s="22" t="s">
        <v>138</v>
      </c>
      <c r="P253" s="23" t="str">
        <f>микс!$H$49</f>
        <v>Товары для детей</v>
      </c>
      <c r="Q253" s="21" t="s">
        <v>59</v>
      </c>
      <c r="R253" s="25">
        <v>1</v>
      </c>
      <c r="S253" s="28"/>
      <c r="T253" s="31">
        <v>42211</v>
      </c>
      <c r="U253" s="33">
        <v>12885</v>
      </c>
      <c r="V253" s="36">
        <f t="shared" si="17"/>
        <v>12885</v>
      </c>
      <c r="W253" s="28"/>
      <c r="X253" s="31">
        <v>42314</v>
      </c>
      <c r="Y253" s="33">
        <v>13961</v>
      </c>
      <c r="Z253" s="189">
        <f t="shared" si="18"/>
        <v>13961</v>
      </c>
      <c r="AA253" s="190"/>
      <c r="AB253" s="31">
        <v>42233</v>
      </c>
      <c r="AC253" s="36">
        <v>12885</v>
      </c>
      <c r="AD253" s="8"/>
      <c r="AE253" s="6"/>
      <c r="AF253" s="52">
        <f t="shared" si="15"/>
        <v>543888735</v>
      </c>
      <c r="AG253" s="25">
        <f t="shared" si="16"/>
        <v>590745754</v>
      </c>
      <c r="AH253" s="52">
        <f t="shared" si="19"/>
        <v>544172205</v>
      </c>
      <c r="AI253" s="6"/>
      <c r="AJ253" s="6"/>
      <c r="AK253" s="6"/>
      <c r="AL253" s="6"/>
      <c r="AM253" s="6"/>
      <c r="AN253" s="6"/>
      <c r="AO253" s="6"/>
      <c r="AP253" s="6"/>
      <c r="AQ253" s="6"/>
      <c r="AR253" s="6"/>
    </row>
    <row r="254" spans="1:44">
      <c r="A254" s="6"/>
      <c r="B254" s="6"/>
      <c r="C254" s="6"/>
      <c r="D254" s="6"/>
      <c r="E254" s="6"/>
      <c r="F254" s="6"/>
      <c r="G254" s="11"/>
      <c r="H254" s="6"/>
      <c r="I254" s="6"/>
      <c r="J254" s="6"/>
      <c r="K254" s="7"/>
      <c r="L254" s="21" t="str">
        <f>микс!$H$11</f>
        <v>продажа под заказ</v>
      </c>
      <c r="M254" s="22"/>
      <c r="N254" s="22"/>
      <c r="O254" s="22" t="s">
        <v>138</v>
      </c>
      <c r="P254" s="23" t="str">
        <f>микс!$H$49</f>
        <v>Товары для детей</v>
      </c>
      <c r="Q254" s="21" t="s">
        <v>59</v>
      </c>
      <c r="R254" s="25">
        <v>1</v>
      </c>
      <c r="S254" s="28"/>
      <c r="T254" s="31">
        <v>42336</v>
      </c>
      <c r="U254" s="33">
        <v>14465</v>
      </c>
      <c r="V254" s="36">
        <f t="shared" si="17"/>
        <v>14465</v>
      </c>
      <c r="W254" s="28"/>
      <c r="X254" s="31">
        <v>42347</v>
      </c>
      <c r="Y254" s="33">
        <v>14743</v>
      </c>
      <c r="Z254" s="189">
        <f t="shared" si="18"/>
        <v>14743</v>
      </c>
      <c r="AA254" s="190"/>
      <c r="AB254" s="31"/>
      <c r="AC254" s="36"/>
      <c r="AD254" s="8"/>
      <c r="AE254" s="6"/>
      <c r="AF254" s="52">
        <f t="shared" si="15"/>
        <v>612390240</v>
      </c>
      <c r="AG254" s="25">
        <f t="shared" si="16"/>
        <v>624321821</v>
      </c>
      <c r="AH254" s="52">
        <f t="shared" si="19"/>
        <v>0</v>
      </c>
      <c r="AI254" s="6"/>
      <c r="AJ254" s="6"/>
      <c r="AK254" s="6"/>
      <c r="AL254" s="6"/>
      <c r="AM254" s="6"/>
      <c r="AN254" s="6"/>
      <c r="AO254" s="6"/>
      <c r="AP254" s="6"/>
      <c r="AQ254" s="6"/>
      <c r="AR254" s="6"/>
    </row>
    <row r="255" spans="1:44">
      <c r="A255" s="6"/>
      <c r="B255" s="6"/>
      <c r="C255" s="6"/>
      <c r="D255" s="6"/>
      <c r="E255" s="6"/>
      <c r="F255" s="6"/>
      <c r="G255" s="11"/>
      <c r="H255" s="6"/>
      <c r="I255" s="6"/>
      <c r="J255" s="6"/>
      <c r="K255" s="7"/>
      <c r="L255" s="21" t="str">
        <f>микс!$H$11</f>
        <v>продажа под заказ</v>
      </c>
      <c r="M255" s="22"/>
      <c r="N255" s="22"/>
      <c r="O255" s="22" t="s">
        <v>138</v>
      </c>
      <c r="P255" s="23" t="str">
        <f>микс!$H$49</f>
        <v>Товары для детей</v>
      </c>
      <c r="Q255" s="21" t="s">
        <v>59</v>
      </c>
      <c r="R255" s="25">
        <v>1</v>
      </c>
      <c r="S255" s="28"/>
      <c r="T255" s="31">
        <v>42336</v>
      </c>
      <c r="U255" s="33">
        <v>14465</v>
      </c>
      <c r="V255" s="36">
        <f t="shared" si="17"/>
        <v>14465</v>
      </c>
      <c r="W255" s="28"/>
      <c r="X255" s="31">
        <v>42348</v>
      </c>
      <c r="Y255" s="33">
        <v>14743</v>
      </c>
      <c r="Z255" s="189">
        <f t="shared" si="18"/>
        <v>14743</v>
      </c>
      <c r="AA255" s="190"/>
      <c r="AB255" s="31">
        <v>42341</v>
      </c>
      <c r="AC255" s="36">
        <v>14465</v>
      </c>
      <c r="AD255" s="8"/>
      <c r="AE255" s="6"/>
      <c r="AF255" s="52">
        <f t="shared" si="15"/>
        <v>612390240</v>
      </c>
      <c r="AG255" s="25">
        <f t="shared" si="16"/>
        <v>624336564</v>
      </c>
      <c r="AH255" s="52">
        <f t="shared" si="19"/>
        <v>612462565</v>
      </c>
      <c r="AI255" s="6"/>
      <c r="AJ255" s="6"/>
      <c r="AK255" s="6"/>
      <c r="AL255" s="6"/>
      <c r="AM255" s="6"/>
      <c r="AN255" s="6"/>
      <c r="AO255" s="6"/>
      <c r="AP255" s="6"/>
      <c r="AQ255" s="6"/>
      <c r="AR255" s="6"/>
    </row>
    <row r="256" spans="1:44">
      <c r="A256" s="6"/>
      <c r="B256" s="6"/>
      <c r="C256" s="6"/>
      <c r="D256" s="6"/>
      <c r="E256" s="6"/>
      <c r="F256" s="6"/>
      <c r="G256" s="11"/>
      <c r="H256" s="6"/>
      <c r="I256" s="6"/>
      <c r="J256" s="6"/>
      <c r="K256" s="7"/>
      <c r="L256" s="21" t="str">
        <f>микс!$H$11</f>
        <v>продажа под заказ</v>
      </c>
      <c r="M256" s="22"/>
      <c r="N256" s="22"/>
      <c r="O256" s="22" t="s">
        <v>138</v>
      </c>
      <c r="P256" s="23" t="str">
        <f>микс!$H$49</f>
        <v>Товары для детей</v>
      </c>
      <c r="Q256" s="21" t="s">
        <v>59</v>
      </c>
      <c r="R256" s="25">
        <v>1</v>
      </c>
      <c r="S256" s="28"/>
      <c r="T256" s="31">
        <v>42337</v>
      </c>
      <c r="U256" s="33">
        <v>14465</v>
      </c>
      <c r="V256" s="36">
        <f t="shared" si="17"/>
        <v>14465</v>
      </c>
      <c r="W256" s="28"/>
      <c r="X256" s="31">
        <v>42341</v>
      </c>
      <c r="Y256" s="33">
        <v>14743</v>
      </c>
      <c r="Z256" s="189">
        <f t="shared" si="18"/>
        <v>14743</v>
      </c>
      <c r="AA256" s="190"/>
      <c r="AB256" s="31"/>
      <c r="AC256" s="36"/>
      <c r="AD256" s="8"/>
      <c r="AE256" s="6"/>
      <c r="AF256" s="52">
        <f t="shared" si="15"/>
        <v>612404705</v>
      </c>
      <c r="AG256" s="25">
        <f t="shared" si="16"/>
        <v>624233363</v>
      </c>
      <c r="AH256" s="52">
        <f t="shared" si="19"/>
        <v>0</v>
      </c>
      <c r="AI256" s="6"/>
      <c r="AJ256" s="6"/>
      <c r="AK256" s="6"/>
      <c r="AL256" s="6"/>
      <c r="AM256" s="6"/>
      <c r="AN256" s="6"/>
      <c r="AO256" s="6"/>
      <c r="AP256" s="6"/>
      <c r="AQ256" s="6"/>
      <c r="AR256" s="6"/>
    </row>
    <row r="257" spans="1:44">
      <c r="A257" s="6"/>
      <c r="B257" s="6"/>
      <c r="C257" s="6"/>
      <c r="D257" s="6"/>
      <c r="E257" s="6"/>
      <c r="F257" s="6"/>
      <c r="G257" s="11"/>
      <c r="H257" s="6"/>
      <c r="I257" s="6"/>
      <c r="J257" s="6"/>
      <c r="K257" s="7"/>
      <c r="L257" s="21" t="str">
        <f>микс!$H$11</f>
        <v>продажа под заказ</v>
      </c>
      <c r="M257" s="22"/>
      <c r="N257" s="22"/>
      <c r="O257" s="22" t="s">
        <v>138</v>
      </c>
      <c r="P257" s="23" t="str">
        <f>микс!$H$49</f>
        <v>Товары для детей</v>
      </c>
      <c r="Q257" s="21" t="s">
        <v>59</v>
      </c>
      <c r="R257" s="25">
        <v>1</v>
      </c>
      <c r="S257" s="28"/>
      <c r="T257" s="31">
        <v>42338</v>
      </c>
      <c r="U257" s="33">
        <v>14465</v>
      </c>
      <c r="V257" s="36">
        <f t="shared" si="17"/>
        <v>14465</v>
      </c>
      <c r="W257" s="28"/>
      <c r="X257" s="31">
        <v>42342</v>
      </c>
      <c r="Y257" s="33">
        <v>14743</v>
      </c>
      <c r="Z257" s="189">
        <f t="shared" si="18"/>
        <v>14743</v>
      </c>
      <c r="AA257" s="190"/>
      <c r="AB257" s="31"/>
      <c r="AC257" s="36"/>
      <c r="AD257" s="8"/>
      <c r="AE257" s="6"/>
      <c r="AF257" s="52">
        <f t="shared" si="15"/>
        <v>612419170</v>
      </c>
      <c r="AG257" s="25">
        <f t="shared" si="16"/>
        <v>624248106</v>
      </c>
      <c r="AH257" s="52">
        <f t="shared" si="19"/>
        <v>0</v>
      </c>
      <c r="AI257" s="6"/>
      <c r="AJ257" s="6"/>
      <c r="AK257" s="6"/>
      <c r="AL257" s="6"/>
      <c r="AM257" s="6"/>
      <c r="AN257" s="6"/>
      <c r="AO257" s="6"/>
      <c r="AP257" s="6"/>
      <c r="AQ257" s="6"/>
      <c r="AR257" s="6"/>
    </row>
    <row r="258" spans="1:44">
      <c r="A258" s="6"/>
      <c r="B258" s="6"/>
      <c r="C258" s="6"/>
      <c r="D258" s="6"/>
      <c r="E258" s="6"/>
      <c r="F258" s="6"/>
      <c r="G258" s="11"/>
      <c r="H258" s="6"/>
      <c r="I258" s="6"/>
      <c r="J258" s="6"/>
      <c r="K258" s="7"/>
      <c r="L258" s="21" t="str">
        <f>микс!$H$11</f>
        <v>продажа под заказ</v>
      </c>
      <c r="M258" s="22"/>
      <c r="N258" s="22"/>
      <c r="O258" s="22" t="s">
        <v>138</v>
      </c>
      <c r="P258" s="23" t="str">
        <f>микс!$H$49</f>
        <v>Товары для детей</v>
      </c>
      <c r="Q258" s="21" t="s">
        <v>59</v>
      </c>
      <c r="R258" s="25">
        <v>1</v>
      </c>
      <c r="S258" s="28"/>
      <c r="T258" s="31">
        <v>42338</v>
      </c>
      <c r="U258" s="33">
        <v>14465</v>
      </c>
      <c r="V258" s="36">
        <f t="shared" si="17"/>
        <v>14465</v>
      </c>
      <c r="W258" s="28"/>
      <c r="X258" s="31">
        <v>42348</v>
      </c>
      <c r="Y258" s="33">
        <v>14743</v>
      </c>
      <c r="Z258" s="189">
        <f t="shared" si="18"/>
        <v>14743</v>
      </c>
      <c r="AA258" s="190"/>
      <c r="AB258" s="31">
        <v>42353</v>
      </c>
      <c r="AC258" s="36">
        <v>14465</v>
      </c>
      <c r="AD258" s="8"/>
      <c r="AE258" s="6"/>
      <c r="AF258" s="52">
        <f t="shared" si="15"/>
        <v>612419170</v>
      </c>
      <c r="AG258" s="25">
        <f t="shared" si="16"/>
        <v>624336564</v>
      </c>
      <c r="AH258" s="52">
        <f t="shared" si="19"/>
        <v>612636145</v>
      </c>
      <c r="AI258" s="6"/>
      <c r="AJ258" s="6"/>
      <c r="AK258" s="6"/>
      <c r="AL258" s="6"/>
      <c r="AM258" s="6"/>
      <c r="AN258" s="6"/>
      <c r="AO258" s="6"/>
      <c r="AP258" s="6"/>
      <c r="AQ258" s="6"/>
      <c r="AR258" s="6"/>
    </row>
    <row r="259" spans="1:44">
      <c r="A259" s="6"/>
      <c r="B259" s="6"/>
      <c r="C259" s="6"/>
      <c r="D259" s="6"/>
      <c r="E259" s="6"/>
      <c r="F259" s="6"/>
      <c r="G259" s="11"/>
      <c r="H259" s="6"/>
      <c r="I259" s="6"/>
      <c r="J259" s="6"/>
      <c r="K259" s="7"/>
      <c r="L259" s="21" t="str">
        <f>микс!$H$11</f>
        <v>продажа под заказ</v>
      </c>
      <c r="M259" s="22"/>
      <c r="N259" s="22"/>
      <c r="O259" s="22" t="s">
        <v>138</v>
      </c>
      <c r="P259" s="23" t="str">
        <f>микс!$H$49</f>
        <v>Товары для детей</v>
      </c>
      <c r="Q259" s="21" t="s">
        <v>59</v>
      </c>
      <c r="R259" s="25">
        <v>1</v>
      </c>
      <c r="S259" s="28"/>
      <c r="T259" s="31">
        <v>42336</v>
      </c>
      <c r="U259" s="33">
        <v>14465</v>
      </c>
      <c r="V259" s="36">
        <f t="shared" si="17"/>
        <v>14465</v>
      </c>
      <c r="W259" s="28"/>
      <c r="X259" s="31">
        <v>42342</v>
      </c>
      <c r="Y259" s="33">
        <v>14743</v>
      </c>
      <c r="Z259" s="189">
        <f t="shared" si="18"/>
        <v>14743</v>
      </c>
      <c r="AA259" s="190"/>
      <c r="AB259" s="31"/>
      <c r="AC259" s="36"/>
      <c r="AD259" s="8"/>
      <c r="AE259" s="6"/>
      <c r="AF259" s="52">
        <f t="shared" si="15"/>
        <v>612390240</v>
      </c>
      <c r="AG259" s="25">
        <f t="shared" si="16"/>
        <v>624248106</v>
      </c>
      <c r="AH259" s="52">
        <f t="shared" si="19"/>
        <v>0</v>
      </c>
      <c r="AI259" s="6"/>
      <c r="AJ259" s="6"/>
      <c r="AK259" s="6"/>
      <c r="AL259" s="6"/>
      <c r="AM259" s="6"/>
      <c r="AN259" s="6"/>
      <c r="AO259" s="6"/>
      <c r="AP259" s="6"/>
      <c r="AQ259" s="6"/>
      <c r="AR259" s="6"/>
    </row>
    <row r="260" spans="1:44">
      <c r="A260" s="6"/>
      <c r="B260" s="6"/>
      <c r="C260" s="6"/>
      <c r="D260" s="6"/>
      <c r="E260" s="6"/>
      <c r="F260" s="6"/>
      <c r="G260" s="11"/>
      <c r="H260" s="6"/>
      <c r="I260" s="6"/>
      <c r="J260" s="6"/>
      <c r="K260" s="7"/>
      <c r="L260" s="21" t="str">
        <f>микс!$H$11</f>
        <v>продажа под заказ</v>
      </c>
      <c r="M260" s="22"/>
      <c r="N260" s="22"/>
      <c r="O260" s="22" t="s">
        <v>138</v>
      </c>
      <c r="P260" s="23" t="str">
        <f>микс!$H$49</f>
        <v>Товары для детей</v>
      </c>
      <c r="Q260" s="21" t="s">
        <v>59</v>
      </c>
      <c r="R260" s="25">
        <v>1</v>
      </c>
      <c r="S260" s="28"/>
      <c r="T260" s="31">
        <v>42338</v>
      </c>
      <c r="U260" s="33">
        <v>14465</v>
      </c>
      <c r="V260" s="36">
        <f t="shared" si="17"/>
        <v>14465</v>
      </c>
      <c r="W260" s="28"/>
      <c r="X260" s="31">
        <v>42341</v>
      </c>
      <c r="Y260" s="33">
        <v>14743</v>
      </c>
      <c r="Z260" s="189">
        <f t="shared" si="18"/>
        <v>14743</v>
      </c>
      <c r="AA260" s="190"/>
      <c r="AB260" s="31"/>
      <c r="AC260" s="36"/>
      <c r="AD260" s="8"/>
      <c r="AE260" s="6"/>
      <c r="AF260" s="52">
        <f t="shared" si="15"/>
        <v>612419170</v>
      </c>
      <c r="AG260" s="25">
        <f t="shared" si="16"/>
        <v>624233363</v>
      </c>
      <c r="AH260" s="52">
        <f t="shared" si="19"/>
        <v>0</v>
      </c>
      <c r="AI260" s="6"/>
      <c r="AJ260" s="6"/>
      <c r="AK260" s="6"/>
      <c r="AL260" s="6"/>
      <c r="AM260" s="6"/>
      <c r="AN260" s="6"/>
      <c r="AO260" s="6"/>
      <c r="AP260" s="6"/>
      <c r="AQ260" s="6"/>
      <c r="AR260" s="6"/>
    </row>
    <row r="261" spans="1:44">
      <c r="A261" s="6"/>
      <c r="B261" s="6"/>
      <c r="C261" s="6"/>
      <c r="D261" s="6"/>
      <c r="E261" s="6"/>
      <c r="F261" s="6"/>
      <c r="G261" s="11"/>
      <c r="H261" s="6"/>
      <c r="I261" s="6"/>
      <c r="J261" s="6"/>
      <c r="K261" s="7"/>
      <c r="L261" s="21" t="str">
        <f>микс!$H$11</f>
        <v>продажа под заказ</v>
      </c>
      <c r="M261" s="22"/>
      <c r="N261" s="22"/>
      <c r="O261" s="22" t="s">
        <v>138</v>
      </c>
      <c r="P261" s="23" t="str">
        <f>микс!$H$49</f>
        <v>Товары для детей</v>
      </c>
      <c r="Q261" s="21" t="s">
        <v>59</v>
      </c>
      <c r="R261" s="25">
        <v>1</v>
      </c>
      <c r="S261" s="28"/>
      <c r="T261" s="31">
        <v>42336</v>
      </c>
      <c r="U261" s="33">
        <v>14465</v>
      </c>
      <c r="V261" s="36">
        <f t="shared" si="17"/>
        <v>14465</v>
      </c>
      <c r="W261" s="28"/>
      <c r="X261" s="31">
        <v>42342</v>
      </c>
      <c r="Y261" s="33">
        <v>14743</v>
      </c>
      <c r="Z261" s="189">
        <f t="shared" si="18"/>
        <v>14743</v>
      </c>
      <c r="AA261" s="190"/>
      <c r="AB261" s="31">
        <v>42366</v>
      </c>
      <c r="AC261" s="36">
        <v>14465</v>
      </c>
      <c r="AD261" s="8"/>
      <c r="AE261" s="6"/>
      <c r="AF261" s="52">
        <f t="shared" si="15"/>
        <v>612390240</v>
      </c>
      <c r="AG261" s="25">
        <f t="shared" si="16"/>
        <v>624248106</v>
      </c>
      <c r="AH261" s="52">
        <f t="shared" si="19"/>
        <v>612824190</v>
      </c>
      <c r="AI261" s="6"/>
      <c r="AJ261" s="6"/>
      <c r="AK261" s="6"/>
      <c r="AL261" s="6"/>
      <c r="AM261" s="6"/>
      <c r="AN261" s="6"/>
      <c r="AO261" s="6"/>
      <c r="AP261" s="6"/>
      <c r="AQ261" s="6"/>
      <c r="AR261" s="6"/>
    </row>
    <row r="262" spans="1:44">
      <c r="A262" s="6"/>
      <c r="B262" s="6"/>
      <c r="C262" s="6"/>
      <c r="D262" s="6"/>
      <c r="E262" s="6"/>
      <c r="F262" s="6"/>
      <c r="G262" s="11"/>
      <c r="H262" s="6"/>
      <c r="I262" s="6"/>
      <c r="J262" s="6"/>
      <c r="K262" s="7"/>
      <c r="L262" s="21" t="str">
        <f>микс!$H$11</f>
        <v>продажа под заказ</v>
      </c>
      <c r="M262" s="22"/>
      <c r="N262" s="22"/>
      <c r="O262" s="22" t="s">
        <v>138</v>
      </c>
      <c r="P262" s="23" t="str">
        <f>микс!$H$49</f>
        <v>Товары для детей</v>
      </c>
      <c r="Q262" s="21" t="s">
        <v>59</v>
      </c>
      <c r="R262" s="25">
        <v>1</v>
      </c>
      <c r="S262" s="28"/>
      <c r="T262" s="31">
        <v>42335</v>
      </c>
      <c r="U262" s="33">
        <v>14465</v>
      </c>
      <c r="V262" s="36">
        <f t="shared" si="17"/>
        <v>14465</v>
      </c>
      <c r="W262" s="28"/>
      <c r="X262" s="31">
        <v>42337</v>
      </c>
      <c r="Y262" s="33">
        <v>14743</v>
      </c>
      <c r="Z262" s="189">
        <f t="shared" si="18"/>
        <v>14743</v>
      </c>
      <c r="AA262" s="190"/>
      <c r="AB262" s="31">
        <v>42360</v>
      </c>
      <c r="AC262" s="36">
        <v>14465</v>
      </c>
      <c r="AD262" s="8"/>
      <c r="AE262" s="6"/>
      <c r="AF262" s="52">
        <f t="shared" si="15"/>
        <v>612375775</v>
      </c>
      <c r="AG262" s="25">
        <f t="shared" si="16"/>
        <v>624174391</v>
      </c>
      <c r="AH262" s="52">
        <f t="shared" si="19"/>
        <v>612737400</v>
      </c>
      <c r="AI262" s="6"/>
      <c r="AJ262" s="6"/>
      <c r="AK262" s="6"/>
      <c r="AL262" s="6"/>
      <c r="AM262" s="6"/>
      <c r="AN262" s="6"/>
      <c r="AO262" s="6"/>
      <c r="AP262" s="6"/>
      <c r="AQ262" s="6"/>
      <c r="AR262" s="6"/>
    </row>
    <row r="263" spans="1:44">
      <c r="A263" s="6"/>
      <c r="B263" s="6"/>
      <c r="C263" s="6"/>
      <c r="D263" s="6"/>
      <c r="E263" s="6"/>
      <c r="F263" s="6"/>
      <c r="G263" s="11"/>
      <c r="H263" s="6"/>
      <c r="I263" s="6"/>
      <c r="J263" s="6"/>
      <c r="K263" s="7"/>
      <c r="L263" s="21" t="str">
        <f>микс!$H$10</f>
        <v>продажа со склада</v>
      </c>
      <c r="M263" s="22"/>
      <c r="N263" s="22"/>
      <c r="O263" s="22" t="s">
        <v>146</v>
      </c>
      <c r="P263" s="23" t="str">
        <f>микс!$H$49</f>
        <v>Товары для детей</v>
      </c>
      <c r="Q263" s="21" t="s">
        <v>133</v>
      </c>
      <c r="R263" s="25">
        <v>1</v>
      </c>
      <c r="S263" s="28"/>
      <c r="T263" s="31">
        <v>42238</v>
      </c>
      <c r="U263" s="33">
        <v>1860.42</v>
      </c>
      <c r="V263" s="36">
        <f t="shared" si="17"/>
        <v>1860.42</v>
      </c>
      <c r="W263" s="28"/>
      <c r="X263" s="31">
        <v>42335</v>
      </c>
      <c r="Y263" s="33">
        <v>2590</v>
      </c>
      <c r="Z263" s="189">
        <f t="shared" si="18"/>
        <v>2590</v>
      </c>
      <c r="AA263" s="190"/>
      <c r="AB263" s="31">
        <v>42248</v>
      </c>
      <c r="AC263" s="36">
        <v>1860.42</v>
      </c>
      <c r="AD263" s="8"/>
      <c r="AE263" s="6"/>
      <c r="AF263" s="52">
        <f t="shared" si="15"/>
        <v>78580419.960000008</v>
      </c>
      <c r="AG263" s="25">
        <f t="shared" si="16"/>
        <v>109647650</v>
      </c>
      <c r="AH263" s="52">
        <f t="shared" si="19"/>
        <v>78599024.159999996</v>
      </c>
      <c r="AI263" s="6"/>
      <c r="AJ263" s="6"/>
      <c r="AK263" s="6"/>
      <c r="AL263" s="6"/>
      <c r="AM263" s="6"/>
      <c r="AN263" s="6"/>
      <c r="AO263" s="6"/>
      <c r="AP263" s="6"/>
      <c r="AQ263" s="6"/>
      <c r="AR263" s="6"/>
    </row>
    <row r="264" spans="1:44">
      <c r="A264" s="6"/>
      <c r="B264" s="6"/>
      <c r="C264" s="6"/>
      <c r="D264" s="6"/>
      <c r="E264" s="6"/>
      <c r="F264" s="6"/>
      <c r="G264" s="11"/>
      <c r="H264" s="6"/>
      <c r="I264" s="6"/>
      <c r="J264" s="6"/>
      <c r="K264" s="7"/>
      <c r="L264" s="21" t="str">
        <f>микс!$H$11</f>
        <v>продажа под заказ</v>
      </c>
      <c r="M264" s="22"/>
      <c r="N264" s="22"/>
      <c r="O264" s="22" t="s">
        <v>146</v>
      </c>
      <c r="P264" s="23" t="str">
        <f>микс!$H$49</f>
        <v>Товары для детей</v>
      </c>
      <c r="Q264" s="21" t="s">
        <v>133</v>
      </c>
      <c r="R264" s="25">
        <v>1</v>
      </c>
      <c r="S264" s="28"/>
      <c r="T264" s="31">
        <v>42300</v>
      </c>
      <c r="U264" s="33">
        <v>1989.75</v>
      </c>
      <c r="V264" s="36">
        <f t="shared" si="17"/>
        <v>1989.75</v>
      </c>
      <c r="W264" s="28"/>
      <c r="X264" s="31">
        <v>42304</v>
      </c>
      <c r="Y264" s="33">
        <v>2667</v>
      </c>
      <c r="Z264" s="189">
        <f t="shared" si="18"/>
        <v>2667</v>
      </c>
      <c r="AA264" s="190"/>
      <c r="AB264" s="31"/>
      <c r="AC264" s="36"/>
      <c r="AD264" s="8"/>
      <c r="AE264" s="6"/>
      <c r="AF264" s="52">
        <f t="shared" si="15"/>
        <v>84166425</v>
      </c>
      <c r="AG264" s="25">
        <f t="shared" si="16"/>
        <v>112824768</v>
      </c>
      <c r="AH264" s="52">
        <f t="shared" si="19"/>
        <v>0</v>
      </c>
      <c r="AI264" s="6"/>
      <c r="AJ264" s="6"/>
      <c r="AK264" s="6"/>
      <c r="AL264" s="6"/>
      <c r="AM264" s="6"/>
      <c r="AN264" s="6"/>
      <c r="AO264" s="6"/>
      <c r="AP264" s="6"/>
      <c r="AQ264" s="6"/>
      <c r="AR264" s="6"/>
    </row>
    <row r="265" spans="1:44">
      <c r="A265" s="6"/>
      <c r="B265" s="6"/>
      <c r="C265" s="6"/>
      <c r="D265" s="6"/>
      <c r="E265" s="6"/>
      <c r="F265" s="6"/>
      <c r="G265" s="11"/>
      <c r="H265" s="6"/>
      <c r="I265" s="6"/>
      <c r="J265" s="6"/>
      <c r="K265" s="7"/>
      <c r="L265" s="21" t="str">
        <f>микс!$H$11</f>
        <v>продажа под заказ</v>
      </c>
      <c r="M265" s="22"/>
      <c r="N265" s="22"/>
      <c r="O265" s="22" t="s">
        <v>146</v>
      </c>
      <c r="P265" s="23" t="str">
        <f>микс!$H$49</f>
        <v>Товары для детей</v>
      </c>
      <c r="Q265" s="21" t="s">
        <v>133</v>
      </c>
      <c r="R265" s="25">
        <v>1</v>
      </c>
      <c r="S265" s="28"/>
      <c r="T265" s="31">
        <v>42301</v>
      </c>
      <c r="U265" s="33">
        <v>1731</v>
      </c>
      <c r="V265" s="36">
        <f t="shared" si="17"/>
        <v>1731</v>
      </c>
      <c r="W265" s="28"/>
      <c r="X265" s="31">
        <v>42307</v>
      </c>
      <c r="Y265" s="33">
        <v>2590</v>
      </c>
      <c r="Z265" s="189">
        <f t="shared" si="18"/>
        <v>2590</v>
      </c>
      <c r="AA265" s="190"/>
      <c r="AB265" s="31">
        <v>42323</v>
      </c>
      <c r="AC265" s="36">
        <v>1731</v>
      </c>
      <c r="AD265" s="8"/>
      <c r="AE265" s="6"/>
      <c r="AF265" s="52">
        <f t="shared" ref="AF265:AF328" si="20">T265*V265</f>
        <v>73223031</v>
      </c>
      <c r="AG265" s="25">
        <f t="shared" ref="AG265:AG328" si="21">X265*Z265</f>
        <v>109575130</v>
      </c>
      <c r="AH265" s="52">
        <f t="shared" si="19"/>
        <v>73261113</v>
      </c>
      <c r="AI265" s="6"/>
      <c r="AJ265" s="6"/>
      <c r="AK265" s="6"/>
      <c r="AL265" s="6"/>
      <c r="AM265" s="6"/>
      <c r="AN265" s="6"/>
      <c r="AO265" s="6"/>
      <c r="AP265" s="6"/>
      <c r="AQ265" s="6"/>
      <c r="AR265" s="6"/>
    </row>
    <row r="266" spans="1:44">
      <c r="A266" s="6"/>
      <c r="B266" s="6"/>
      <c r="C266" s="6"/>
      <c r="D266" s="6"/>
      <c r="E266" s="6"/>
      <c r="F266" s="6"/>
      <c r="G266" s="11"/>
      <c r="H266" s="6"/>
      <c r="I266" s="6"/>
      <c r="J266" s="6"/>
      <c r="K266" s="7"/>
      <c r="L266" s="21" t="str">
        <f>микс!$H$11</f>
        <v>продажа под заказ</v>
      </c>
      <c r="M266" s="22"/>
      <c r="N266" s="22"/>
      <c r="O266" s="22" t="s">
        <v>142</v>
      </c>
      <c r="P266" s="23" t="str">
        <f>микс!$H$47</f>
        <v>Домашнее хозяйство</v>
      </c>
      <c r="Q266" s="21" t="s">
        <v>66</v>
      </c>
      <c r="R266" s="25">
        <v>1</v>
      </c>
      <c r="S266" s="28"/>
      <c r="T266" s="31">
        <v>42321</v>
      </c>
      <c r="U266" s="33">
        <v>1085</v>
      </c>
      <c r="V266" s="36">
        <f t="shared" ref="V266:V329" si="22">$R266*U266</f>
        <v>1085</v>
      </c>
      <c r="W266" s="28"/>
      <c r="X266" s="31">
        <v>42323</v>
      </c>
      <c r="Y266" s="33">
        <v>1371</v>
      </c>
      <c r="Z266" s="189">
        <f t="shared" ref="Z266:Z329" si="23">$R266*Y266</f>
        <v>1371</v>
      </c>
      <c r="AA266" s="190"/>
      <c r="AB266" s="31">
        <v>42353</v>
      </c>
      <c r="AC266" s="36">
        <v>1085</v>
      </c>
      <c r="AD266" s="8"/>
      <c r="AE266" s="6"/>
      <c r="AF266" s="52">
        <f t="shared" si="20"/>
        <v>45918285</v>
      </c>
      <c r="AG266" s="25">
        <f t="shared" si="21"/>
        <v>58024833</v>
      </c>
      <c r="AH266" s="52">
        <f t="shared" ref="AH266:AH329" si="24">AB266*AC266</f>
        <v>45953005</v>
      </c>
      <c r="AI266" s="6"/>
      <c r="AJ266" s="6"/>
      <c r="AK266" s="6"/>
      <c r="AL266" s="6"/>
      <c r="AM266" s="6"/>
      <c r="AN266" s="6"/>
      <c r="AO266" s="6"/>
      <c r="AP266" s="6"/>
      <c r="AQ266" s="6"/>
      <c r="AR266" s="6"/>
    </row>
    <row r="267" spans="1:44">
      <c r="A267" s="6"/>
      <c r="B267" s="6"/>
      <c r="C267" s="6"/>
      <c r="D267" s="6"/>
      <c r="E267" s="6"/>
      <c r="F267" s="6"/>
      <c r="G267" s="11"/>
      <c r="H267" s="6"/>
      <c r="I267" s="6"/>
      <c r="J267" s="6"/>
      <c r="K267" s="7"/>
      <c r="L267" s="21" t="str">
        <f>микс!$H$10</f>
        <v>продажа со склада</v>
      </c>
      <c r="M267" s="22"/>
      <c r="N267" s="22"/>
      <c r="O267" s="22" t="s">
        <v>137</v>
      </c>
      <c r="P267" s="23" t="str">
        <f>микс!$H$46</f>
        <v>Электроника и бытовая техника</v>
      </c>
      <c r="Q267" s="21" t="s">
        <v>77</v>
      </c>
      <c r="R267" s="25">
        <v>1</v>
      </c>
      <c r="S267" s="28"/>
      <c r="T267" s="31">
        <v>42202</v>
      </c>
      <c r="U267" s="33">
        <v>8930.35</v>
      </c>
      <c r="V267" s="36">
        <f t="shared" si="22"/>
        <v>8930.35</v>
      </c>
      <c r="W267" s="28"/>
      <c r="X267" s="31">
        <v>42298</v>
      </c>
      <c r="Y267" s="33">
        <v>9603</v>
      </c>
      <c r="Z267" s="189">
        <f t="shared" si="23"/>
        <v>9603</v>
      </c>
      <c r="AA267" s="190"/>
      <c r="AB267" s="31">
        <v>42247</v>
      </c>
      <c r="AC267" s="36">
        <v>8930.35</v>
      </c>
      <c r="AD267" s="8"/>
      <c r="AE267" s="6"/>
      <c r="AF267" s="52">
        <f t="shared" si="20"/>
        <v>376878630.69999999</v>
      </c>
      <c r="AG267" s="25">
        <f t="shared" si="21"/>
        <v>406187694</v>
      </c>
      <c r="AH267" s="52">
        <f t="shared" si="24"/>
        <v>377280496.44999999</v>
      </c>
      <c r="AI267" s="6"/>
      <c r="AJ267" s="6"/>
      <c r="AK267" s="6"/>
      <c r="AL267" s="6"/>
      <c r="AM267" s="6"/>
      <c r="AN267" s="6"/>
      <c r="AO267" s="6"/>
      <c r="AP267" s="6"/>
      <c r="AQ267" s="6"/>
      <c r="AR267" s="6"/>
    </row>
    <row r="268" spans="1:44">
      <c r="A268" s="6"/>
      <c r="B268" s="6"/>
      <c r="C268" s="6"/>
      <c r="D268" s="6"/>
      <c r="E268" s="6"/>
      <c r="F268" s="6"/>
      <c r="G268" s="11"/>
      <c r="H268" s="6"/>
      <c r="I268" s="6"/>
      <c r="J268" s="6"/>
      <c r="K268" s="7"/>
      <c r="L268" s="21" t="str">
        <f>микс!$H$10</f>
        <v>продажа со склада</v>
      </c>
      <c r="M268" s="22"/>
      <c r="N268" s="22"/>
      <c r="O268" s="22" t="s">
        <v>144</v>
      </c>
      <c r="P268" s="23" t="str">
        <f>микс!$H$48</f>
        <v>Спортивный инвентарь</v>
      </c>
      <c r="Q268" s="21" t="s">
        <v>78</v>
      </c>
      <c r="R268" s="25">
        <v>1</v>
      </c>
      <c r="S268" s="28"/>
      <c r="T268" s="31">
        <v>42168</v>
      </c>
      <c r="U268" s="33">
        <v>932.4</v>
      </c>
      <c r="V268" s="36">
        <f t="shared" si="22"/>
        <v>932.4</v>
      </c>
      <c r="W268" s="28"/>
      <c r="X268" s="31">
        <v>42294</v>
      </c>
      <c r="Y268" s="33">
        <v>1214</v>
      </c>
      <c r="Z268" s="189">
        <f t="shared" si="23"/>
        <v>1214</v>
      </c>
      <c r="AA268" s="190"/>
      <c r="AB268" s="31"/>
      <c r="AC268" s="36"/>
      <c r="AD268" s="8"/>
      <c r="AE268" s="6"/>
      <c r="AF268" s="52">
        <f t="shared" si="20"/>
        <v>39317443.199999996</v>
      </c>
      <c r="AG268" s="25">
        <f t="shared" si="21"/>
        <v>51344916</v>
      </c>
      <c r="AH268" s="52">
        <f t="shared" si="24"/>
        <v>0</v>
      </c>
      <c r="AI268" s="6"/>
      <c r="AJ268" s="6"/>
      <c r="AK268" s="6"/>
      <c r="AL268" s="6"/>
      <c r="AM268" s="6"/>
      <c r="AN268" s="6"/>
      <c r="AO268" s="6"/>
      <c r="AP268" s="6"/>
      <c r="AQ268" s="6"/>
      <c r="AR268" s="6"/>
    </row>
    <row r="269" spans="1:44">
      <c r="A269" s="6"/>
      <c r="B269" s="6"/>
      <c r="C269" s="6"/>
      <c r="D269" s="6"/>
      <c r="E269" s="6"/>
      <c r="F269" s="6"/>
      <c r="G269" s="11"/>
      <c r="H269" s="6"/>
      <c r="I269" s="6"/>
      <c r="J269" s="6"/>
      <c r="K269" s="7"/>
      <c r="L269" s="21" t="str">
        <f>микс!$H$10</f>
        <v>продажа со склада</v>
      </c>
      <c r="M269" s="22"/>
      <c r="N269" s="22"/>
      <c r="O269" s="22" t="s">
        <v>144</v>
      </c>
      <c r="P269" s="23" t="str">
        <f>микс!$H$48</f>
        <v>Спортивный инвентарь</v>
      </c>
      <c r="Q269" s="21" t="s">
        <v>78</v>
      </c>
      <c r="R269" s="25">
        <v>1</v>
      </c>
      <c r="S269" s="28"/>
      <c r="T269" s="31">
        <v>42207</v>
      </c>
      <c r="U269" s="33">
        <v>932.4</v>
      </c>
      <c r="V269" s="36">
        <f t="shared" si="22"/>
        <v>932.4</v>
      </c>
      <c r="W269" s="28"/>
      <c r="X269" s="31">
        <v>42303</v>
      </c>
      <c r="Y269" s="33">
        <v>1183</v>
      </c>
      <c r="Z269" s="189">
        <f t="shared" si="23"/>
        <v>1183</v>
      </c>
      <c r="AA269" s="190"/>
      <c r="AB269" s="31">
        <v>42219</v>
      </c>
      <c r="AC269" s="36">
        <v>932.4</v>
      </c>
      <c r="AD269" s="8"/>
      <c r="AE269" s="6"/>
      <c r="AF269" s="52">
        <f t="shared" si="20"/>
        <v>39353806.799999997</v>
      </c>
      <c r="AG269" s="25">
        <f t="shared" si="21"/>
        <v>50044449</v>
      </c>
      <c r="AH269" s="52">
        <f t="shared" si="24"/>
        <v>39364995.600000001</v>
      </c>
      <c r="AI269" s="6"/>
      <c r="AJ269" s="6"/>
      <c r="AK269" s="6"/>
      <c r="AL269" s="6"/>
      <c r="AM269" s="6"/>
      <c r="AN269" s="6"/>
      <c r="AO269" s="6"/>
      <c r="AP269" s="6"/>
      <c r="AQ269" s="6"/>
      <c r="AR269" s="6"/>
    </row>
    <row r="270" spans="1:44">
      <c r="A270" s="6"/>
      <c r="B270" s="6"/>
      <c r="C270" s="6"/>
      <c r="D270" s="6"/>
      <c r="E270" s="6"/>
      <c r="F270" s="6"/>
      <c r="G270" s="11"/>
      <c r="H270" s="6"/>
      <c r="I270" s="6"/>
      <c r="J270" s="6"/>
      <c r="K270" s="7"/>
      <c r="L270" s="21" t="str">
        <f>микс!$H$11</f>
        <v>продажа под заказ</v>
      </c>
      <c r="M270" s="22"/>
      <c r="N270" s="22"/>
      <c r="O270" s="22" t="s">
        <v>142</v>
      </c>
      <c r="P270" s="23" t="str">
        <f>микс!$H$47</f>
        <v>Домашнее хозяйство</v>
      </c>
      <c r="Q270" s="21" t="s">
        <v>79</v>
      </c>
      <c r="R270" s="25">
        <v>1</v>
      </c>
      <c r="S270" s="28"/>
      <c r="T270" s="31">
        <v>42306</v>
      </c>
      <c r="U270" s="33">
        <v>4424</v>
      </c>
      <c r="V270" s="36">
        <f t="shared" si="22"/>
        <v>4424</v>
      </c>
      <c r="W270" s="28"/>
      <c r="X270" s="31">
        <v>42310</v>
      </c>
      <c r="Y270" s="33">
        <v>4801</v>
      </c>
      <c r="Z270" s="189">
        <f t="shared" si="23"/>
        <v>4801</v>
      </c>
      <c r="AA270" s="190"/>
      <c r="AB270" s="31">
        <v>42316</v>
      </c>
      <c r="AC270" s="36">
        <v>4424</v>
      </c>
      <c r="AD270" s="8"/>
      <c r="AE270" s="6"/>
      <c r="AF270" s="52">
        <f t="shared" si="20"/>
        <v>187161744</v>
      </c>
      <c r="AG270" s="25">
        <f t="shared" si="21"/>
        <v>203130310</v>
      </c>
      <c r="AH270" s="52">
        <f t="shared" si="24"/>
        <v>187205984</v>
      </c>
      <c r="AI270" s="6"/>
      <c r="AJ270" s="6"/>
      <c r="AK270" s="6"/>
      <c r="AL270" s="6"/>
      <c r="AM270" s="6"/>
      <c r="AN270" s="6"/>
      <c r="AO270" s="6"/>
      <c r="AP270" s="6"/>
      <c r="AQ270" s="6"/>
      <c r="AR270" s="6"/>
    </row>
    <row r="271" spans="1:44">
      <c r="A271" s="6"/>
      <c r="B271" s="6"/>
      <c r="C271" s="6"/>
      <c r="D271" s="6"/>
      <c r="E271" s="6"/>
      <c r="F271" s="6"/>
      <c r="G271" s="11"/>
      <c r="H271" s="6"/>
      <c r="I271" s="6"/>
      <c r="J271" s="6"/>
      <c r="K271" s="7"/>
      <c r="L271" s="21" t="str">
        <f>микс!$H$10</f>
        <v>продажа со склада</v>
      </c>
      <c r="M271" s="22"/>
      <c r="N271" s="22"/>
      <c r="O271" s="22" t="s">
        <v>146</v>
      </c>
      <c r="P271" s="23" t="str">
        <f>микс!$H$49</f>
        <v>Товары для детей</v>
      </c>
      <c r="Q271" s="21" t="s">
        <v>59</v>
      </c>
      <c r="R271" s="25">
        <v>1</v>
      </c>
      <c r="S271" s="28"/>
      <c r="T271" s="31">
        <v>42202</v>
      </c>
      <c r="U271" s="33">
        <v>6420</v>
      </c>
      <c r="V271" s="36">
        <f t="shared" si="22"/>
        <v>6420</v>
      </c>
      <c r="W271" s="28"/>
      <c r="X271" s="31">
        <v>42298</v>
      </c>
      <c r="Y271" s="33">
        <v>6450</v>
      </c>
      <c r="Z271" s="189">
        <f t="shared" si="23"/>
        <v>6450</v>
      </c>
      <c r="AA271" s="190"/>
      <c r="AB271" s="31">
        <v>42222</v>
      </c>
      <c r="AC271" s="36">
        <v>6420</v>
      </c>
      <c r="AD271" s="8"/>
      <c r="AE271" s="6"/>
      <c r="AF271" s="52">
        <f t="shared" si="20"/>
        <v>270936840</v>
      </c>
      <c r="AG271" s="25">
        <f t="shared" si="21"/>
        <v>272822100</v>
      </c>
      <c r="AH271" s="52">
        <f t="shared" si="24"/>
        <v>271065240</v>
      </c>
      <c r="AI271" s="6"/>
      <c r="AJ271" s="6"/>
      <c r="AK271" s="6"/>
      <c r="AL271" s="6"/>
      <c r="AM271" s="6"/>
      <c r="AN271" s="6"/>
      <c r="AO271" s="6"/>
      <c r="AP271" s="6"/>
      <c r="AQ271" s="6"/>
      <c r="AR271" s="6"/>
    </row>
    <row r="272" spans="1:44">
      <c r="A272" s="6"/>
      <c r="B272" s="6"/>
      <c r="C272" s="6"/>
      <c r="D272" s="6"/>
      <c r="E272" s="6"/>
      <c r="F272" s="6"/>
      <c r="G272" s="11"/>
      <c r="H272" s="6"/>
      <c r="I272" s="6"/>
      <c r="J272" s="6"/>
      <c r="K272" s="7"/>
      <c r="L272" s="21" t="str">
        <f>микс!$H$11</f>
        <v>продажа под заказ</v>
      </c>
      <c r="M272" s="22"/>
      <c r="N272" s="22"/>
      <c r="O272" s="22" t="s">
        <v>150</v>
      </c>
      <c r="P272" s="23" t="str">
        <f>микс!$H$49</f>
        <v>Товары для детей</v>
      </c>
      <c r="Q272" s="21" t="s">
        <v>133</v>
      </c>
      <c r="R272" s="25">
        <v>1</v>
      </c>
      <c r="S272" s="28"/>
      <c r="T272" s="31">
        <v>42327</v>
      </c>
      <c r="U272" s="33">
        <v>3415.77</v>
      </c>
      <c r="V272" s="36">
        <f t="shared" si="22"/>
        <v>3415.77</v>
      </c>
      <c r="W272" s="28"/>
      <c r="X272" s="31">
        <v>42331</v>
      </c>
      <c r="Y272" s="33">
        <v>3670</v>
      </c>
      <c r="Z272" s="189">
        <f t="shared" si="23"/>
        <v>3670</v>
      </c>
      <c r="AA272" s="190"/>
      <c r="AB272" s="31"/>
      <c r="AC272" s="36"/>
      <c r="AD272" s="8"/>
      <c r="AE272" s="6"/>
      <c r="AF272" s="52">
        <f t="shared" si="20"/>
        <v>144579296.78999999</v>
      </c>
      <c r="AG272" s="25">
        <f t="shared" si="21"/>
        <v>155354770</v>
      </c>
      <c r="AH272" s="52">
        <f t="shared" si="24"/>
        <v>0</v>
      </c>
      <c r="AI272" s="6"/>
      <c r="AJ272" s="6"/>
      <c r="AK272" s="6"/>
      <c r="AL272" s="6"/>
      <c r="AM272" s="6"/>
      <c r="AN272" s="6"/>
      <c r="AO272" s="6"/>
      <c r="AP272" s="6"/>
      <c r="AQ272" s="6"/>
      <c r="AR272" s="6"/>
    </row>
    <row r="273" spans="1:44">
      <c r="A273" s="6"/>
      <c r="B273" s="6"/>
      <c r="C273" s="6"/>
      <c r="D273" s="6"/>
      <c r="E273" s="6"/>
      <c r="F273" s="6"/>
      <c r="G273" s="11"/>
      <c r="H273" s="6"/>
      <c r="I273" s="6"/>
      <c r="J273" s="6"/>
      <c r="K273" s="7"/>
      <c r="L273" s="21" t="str">
        <f>микс!$H$11</f>
        <v>продажа под заказ</v>
      </c>
      <c r="M273" s="22"/>
      <c r="N273" s="22"/>
      <c r="O273" s="22" t="s">
        <v>150</v>
      </c>
      <c r="P273" s="23" t="str">
        <f>микс!$H$49</f>
        <v>Товары для детей</v>
      </c>
      <c r="Q273" s="21" t="s">
        <v>133</v>
      </c>
      <c r="R273" s="25">
        <v>1</v>
      </c>
      <c r="S273" s="28"/>
      <c r="T273" s="31">
        <v>42327</v>
      </c>
      <c r="U273" s="33">
        <v>3415.77</v>
      </c>
      <c r="V273" s="36">
        <f t="shared" si="22"/>
        <v>3415.77</v>
      </c>
      <c r="W273" s="28"/>
      <c r="X273" s="31">
        <v>42329</v>
      </c>
      <c r="Y273" s="33">
        <v>3670</v>
      </c>
      <c r="Z273" s="189">
        <f t="shared" si="23"/>
        <v>3670</v>
      </c>
      <c r="AA273" s="190"/>
      <c r="AB273" s="31">
        <v>42357</v>
      </c>
      <c r="AC273" s="36">
        <v>3415.77</v>
      </c>
      <c r="AD273" s="8"/>
      <c r="AE273" s="6"/>
      <c r="AF273" s="52">
        <f t="shared" si="20"/>
        <v>144579296.78999999</v>
      </c>
      <c r="AG273" s="25">
        <f t="shared" si="21"/>
        <v>155347430</v>
      </c>
      <c r="AH273" s="52">
        <f t="shared" si="24"/>
        <v>144681769.88999999</v>
      </c>
      <c r="AI273" s="6"/>
      <c r="AJ273" s="6"/>
      <c r="AK273" s="6"/>
      <c r="AL273" s="6"/>
      <c r="AM273" s="6"/>
      <c r="AN273" s="6"/>
      <c r="AO273" s="6"/>
      <c r="AP273" s="6"/>
      <c r="AQ273" s="6"/>
      <c r="AR273" s="6"/>
    </row>
    <row r="274" spans="1:44">
      <c r="A274" s="6"/>
      <c r="B274" s="6"/>
      <c r="C274" s="6"/>
      <c r="D274" s="6"/>
      <c r="E274" s="6"/>
      <c r="F274" s="6"/>
      <c r="G274" s="11"/>
      <c r="H274" s="6"/>
      <c r="I274" s="6"/>
      <c r="J274" s="6"/>
      <c r="K274" s="7"/>
      <c r="L274" s="21" t="str">
        <f>микс!$H$10</f>
        <v>продажа со склада</v>
      </c>
      <c r="M274" s="22"/>
      <c r="N274" s="22"/>
      <c r="O274" s="22" t="s">
        <v>150</v>
      </c>
      <c r="P274" s="23" t="str">
        <f>микс!$H$49</f>
        <v>Товары для детей</v>
      </c>
      <c r="Q274" s="21" t="s">
        <v>133</v>
      </c>
      <c r="R274" s="25">
        <v>1</v>
      </c>
      <c r="S274" s="28"/>
      <c r="T274" s="31">
        <v>42240</v>
      </c>
      <c r="U274" s="33">
        <v>3415.77</v>
      </c>
      <c r="V274" s="36">
        <f t="shared" si="22"/>
        <v>3415.77</v>
      </c>
      <c r="W274" s="28"/>
      <c r="X274" s="31">
        <v>42338</v>
      </c>
      <c r="Y274" s="33">
        <v>3685</v>
      </c>
      <c r="Z274" s="189">
        <f t="shared" si="23"/>
        <v>3685</v>
      </c>
      <c r="AA274" s="190"/>
      <c r="AB274" s="31">
        <v>42285</v>
      </c>
      <c r="AC274" s="36">
        <v>3415.77</v>
      </c>
      <c r="AD274" s="8"/>
      <c r="AE274" s="6"/>
      <c r="AF274" s="52">
        <f t="shared" si="20"/>
        <v>144282124.80000001</v>
      </c>
      <c r="AG274" s="25">
        <f t="shared" si="21"/>
        <v>156015530</v>
      </c>
      <c r="AH274" s="52">
        <f t="shared" si="24"/>
        <v>144435834.44999999</v>
      </c>
      <c r="AI274" s="6"/>
      <c r="AJ274" s="6"/>
      <c r="AK274" s="6"/>
      <c r="AL274" s="6"/>
      <c r="AM274" s="6"/>
      <c r="AN274" s="6"/>
      <c r="AO274" s="6"/>
      <c r="AP274" s="6"/>
      <c r="AQ274" s="6"/>
      <c r="AR274" s="6"/>
    </row>
    <row r="275" spans="1:44">
      <c r="A275" s="6"/>
      <c r="B275" s="6"/>
      <c r="C275" s="6"/>
      <c r="D275" s="6"/>
      <c r="E275" s="6"/>
      <c r="F275" s="6"/>
      <c r="G275" s="11"/>
      <c r="H275" s="6"/>
      <c r="I275" s="6"/>
      <c r="J275" s="6"/>
      <c r="K275" s="7"/>
      <c r="L275" s="21" t="str">
        <f>микс!$H$10</f>
        <v>продажа со склада</v>
      </c>
      <c r="M275" s="22"/>
      <c r="N275" s="22"/>
      <c r="O275" s="22" t="s">
        <v>150</v>
      </c>
      <c r="P275" s="23" t="str">
        <f>микс!$H$49</f>
        <v>Товары для детей</v>
      </c>
      <c r="Q275" s="21" t="s">
        <v>133</v>
      </c>
      <c r="R275" s="25">
        <v>1</v>
      </c>
      <c r="S275" s="28"/>
      <c r="T275" s="31">
        <v>42223</v>
      </c>
      <c r="U275" s="33">
        <v>143.22</v>
      </c>
      <c r="V275" s="36">
        <f t="shared" si="22"/>
        <v>143.22</v>
      </c>
      <c r="W275" s="28"/>
      <c r="X275" s="31">
        <v>42319</v>
      </c>
      <c r="Y275" s="33">
        <v>232</v>
      </c>
      <c r="Z275" s="189">
        <f t="shared" si="23"/>
        <v>232</v>
      </c>
      <c r="AA275" s="190"/>
      <c r="AB275" s="31">
        <v>42283</v>
      </c>
      <c r="AC275" s="36">
        <v>143.22</v>
      </c>
      <c r="AD275" s="8"/>
      <c r="AE275" s="6"/>
      <c r="AF275" s="52">
        <f t="shared" si="20"/>
        <v>6047178.0599999996</v>
      </c>
      <c r="AG275" s="25">
        <f t="shared" si="21"/>
        <v>9818008</v>
      </c>
      <c r="AH275" s="52">
        <f t="shared" si="24"/>
        <v>6055771.2599999998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</row>
    <row r="276" spans="1:44">
      <c r="A276" s="6"/>
      <c r="B276" s="6"/>
      <c r="C276" s="6"/>
      <c r="D276" s="6"/>
      <c r="E276" s="6"/>
      <c r="F276" s="6"/>
      <c r="G276" s="11"/>
      <c r="H276" s="6"/>
      <c r="I276" s="6"/>
      <c r="J276" s="6"/>
      <c r="K276" s="7"/>
      <c r="L276" s="21" t="str">
        <f>микс!$H$10</f>
        <v>продажа со склада</v>
      </c>
      <c r="M276" s="22"/>
      <c r="N276" s="22"/>
      <c r="O276" s="22" t="s">
        <v>150</v>
      </c>
      <c r="P276" s="23" t="str">
        <f>микс!$H$49</f>
        <v>Товары для детей</v>
      </c>
      <c r="Q276" s="21" t="s">
        <v>133</v>
      </c>
      <c r="R276" s="25">
        <v>1</v>
      </c>
      <c r="S276" s="28"/>
      <c r="T276" s="31">
        <v>42231</v>
      </c>
      <c r="U276" s="33">
        <v>199.43</v>
      </c>
      <c r="V276" s="36">
        <f t="shared" si="22"/>
        <v>199.43</v>
      </c>
      <c r="W276" s="28"/>
      <c r="X276" s="31">
        <v>42327</v>
      </c>
      <c r="Y276" s="33">
        <v>282</v>
      </c>
      <c r="Z276" s="189">
        <f t="shared" si="23"/>
        <v>282</v>
      </c>
      <c r="AA276" s="190"/>
      <c r="AB276" s="31"/>
      <c r="AC276" s="36"/>
      <c r="AD276" s="8"/>
      <c r="AE276" s="6"/>
      <c r="AF276" s="52">
        <f t="shared" si="20"/>
        <v>8422128.3300000001</v>
      </c>
      <c r="AG276" s="25">
        <f t="shared" si="21"/>
        <v>11936214</v>
      </c>
      <c r="AH276" s="52">
        <f t="shared" si="24"/>
        <v>0</v>
      </c>
      <c r="AI276" s="6"/>
      <c r="AJ276" s="6"/>
      <c r="AK276" s="6"/>
      <c r="AL276" s="6"/>
      <c r="AM276" s="6"/>
      <c r="AN276" s="6"/>
      <c r="AO276" s="6"/>
      <c r="AP276" s="6"/>
      <c r="AQ276" s="6"/>
      <c r="AR276" s="6"/>
    </row>
    <row r="277" spans="1:44">
      <c r="A277" s="6"/>
      <c r="B277" s="6"/>
      <c r="C277" s="6"/>
      <c r="D277" s="6"/>
      <c r="E277" s="6"/>
      <c r="F277" s="6"/>
      <c r="G277" s="11"/>
      <c r="H277" s="6"/>
      <c r="I277" s="6"/>
      <c r="J277" s="6"/>
      <c r="K277" s="7"/>
      <c r="L277" s="21" t="str">
        <f>микс!$H$10</f>
        <v>продажа со склада</v>
      </c>
      <c r="M277" s="22"/>
      <c r="N277" s="22"/>
      <c r="O277" s="22" t="s">
        <v>150</v>
      </c>
      <c r="P277" s="23" t="str">
        <f>микс!$H$49</f>
        <v>Товары для детей</v>
      </c>
      <c r="Q277" s="21" t="s">
        <v>133</v>
      </c>
      <c r="R277" s="25">
        <v>1</v>
      </c>
      <c r="S277" s="28"/>
      <c r="T277" s="31">
        <v>42241</v>
      </c>
      <c r="U277" s="33">
        <v>199.43</v>
      </c>
      <c r="V277" s="36">
        <f t="shared" si="22"/>
        <v>199.43</v>
      </c>
      <c r="W277" s="28"/>
      <c r="X277" s="31">
        <v>42347</v>
      </c>
      <c r="Y277" s="33">
        <v>282</v>
      </c>
      <c r="Z277" s="189">
        <f t="shared" si="23"/>
        <v>282</v>
      </c>
      <c r="AA277" s="190"/>
      <c r="AB277" s="31">
        <v>42301</v>
      </c>
      <c r="AC277" s="36">
        <v>199.43</v>
      </c>
      <c r="AD277" s="8"/>
      <c r="AE277" s="6"/>
      <c r="AF277" s="52">
        <f t="shared" si="20"/>
        <v>8424122.6300000008</v>
      </c>
      <c r="AG277" s="25">
        <f t="shared" si="21"/>
        <v>11941854</v>
      </c>
      <c r="AH277" s="52">
        <f t="shared" si="24"/>
        <v>8436088.4299999997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</row>
    <row r="278" spans="1:44">
      <c r="A278" s="6"/>
      <c r="B278" s="6"/>
      <c r="C278" s="6"/>
      <c r="D278" s="6"/>
      <c r="E278" s="6"/>
      <c r="F278" s="6"/>
      <c r="G278" s="11"/>
      <c r="H278" s="6"/>
      <c r="I278" s="6"/>
      <c r="J278" s="6"/>
      <c r="K278" s="7"/>
      <c r="L278" s="21" t="str">
        <f>микс!$H$11</f>
        <v>продажа под заказ</v>
      </c>
      <c r="M278" s="22"/>
      <c r="N278" s="22"/>
      <c r="O278" s="22" t="s">
        <v>150</v>
      </c>
      <c r="P278" s="23" t="str">
        <f>микс!$H$49</f>
        <v>Товары для детей</v>
      </c>
      <c r="Q278" s="21" t="s">
        <v>133</v>
      </c>
      <c r="R278" s="25">
        <v>1</v>
      </c>
      <c r="S278" s="28"/>
      <c r="T278" s="31">
        <v>42336</v>
      </c>
      <c r="U278" s="33">
        <v>2990</v>
      </c>
      <c r="V278" s="36">
        <f t="shared" si="22"/>
        <v>2990</v>
      </c>
      <c r="W278" s="28"/>
      <c r="X278" s="31">
        <v>42343</v>
      </c>
      <c r="Y278" s="33">
        <v>3131</v>
      </c>
      <c r="Z278" s="189">
        <f t="shared" si="23"/>
        <v>3131</v>
      </c>
      <c r="AA278" s="190"/>
      <c r="AB278" s="31">
        <v>42366</v>
      </c>
      <c r="AC278" s="36">
        <v>2990</v>
      </c>
      <c r="AD278" s="8"/>
      <c r="AE278" s="6"/>
      <c r="AF278" s="52">
        <f t="shared" si="20"/>
        <v>126584640</v>
      </c>
      <c r="AG278" s="25">
        <f t="shared" si="21"/>
        <v>132575933</v>
      </c>
      <c r="AH278" s="52">
        <f t="shared" si="24"/>
        <v>126674340</v>
      </c>
      <c r="AI278" s="6"/>
      <c r="AJ278" s="6"/>
      <c r="AK278" s="6"/>
      <c r="AL278" s="6"/>
      <c r="AM278" s="6"/>
      <c r="AN278" s="6"/>
      <c r="AO278" s="6"/>
      <c r="AP278" s="6"/>
      <c r="AQ278" s="6"/>
      <c r="AR278" s="6"/>
    </row>
    <row r="279" spans="1:44">
      <c r="A279" s="6"/>
      <c r="B279" s="6"/>
      <c r="C279" s="6"/>
      <c r="D279" s="6"/>
      <c r="E279" s="6"/>
      <c r="F279" s="6"/>
      <c r="G279" s="11"/>
      <c r="H279" s="6"/>
      <c r="I279" s="6"/>
      <c r="J279" s="6"/>
      <c r="K279" s="7"/>
      <c r="L279" s="21" t="str">
        <f>микс!$H$11</f>
        <v>продажа под заказ</v>
      </c>
      <c r="M279" s="22"/>
      <c r="N279" s="22"/>
      <c r="O279" s="22" t="s">
        <v>136</v>
      </c>
      <c r="P279" s="23" t="str">
        <f>микс!$H$48</f>
        <v>Спортивный инвентарь</v>
      </c>
      <c r="Q279" s="21" t="s">
        <v>80</v>
      </c>
      <c r="R279" s="25">
        <v>1</v>
      </c>
      <c r="S279" s="28"/>
      <c r="T279" s="31">
        <v>42312</v>
      </c>
      <c r="U279" s="33">
        <v>3280</v>
      </c>
      <c r="V279" s="36">
        <f t="shared" si="22"/>
        <v>3280</v>
      </c>
      <c r="W279" s="28"/>
      <c r="X279" s="31">
        <v>42316</v>
      </c>
      <c r="Y279" s="33">
        <v>3637</v>
      </c>
      <c r="Z279" s="189">
        <f t="shared" si="23"/>
        <v>3637</v>
      </c>
      <c r="AA279" s="190"/>
      <c r="AB279" s="31">
        <v>42332</v>
      </c>
      <c r="AC279" s="36">
        <v>3280</v>
      </c>
      <c r="AD279" s="8"/>
      <c r="AE279" s="6"/>
      <c r="AF279" s="52">
        <f t="shared" si="20"/>
        <v>138783360</v>
      </c>
      <c r="AG279" s="25">
        <f t="shared" si="21"/>
        <v>153903292</v>
      </c>
      <c r="AH279" s="52">
        <f t="shared" si="24"/>
        <v>138848960</v>
      </c>
      <c r="AI279" s="6"/>
      <c r="AJ279" s="6"/>
      <c r="AK279" s="6"/>
      <c r="AL279" s="6"/>
      <c r="AM279" s="6"/>
      <c r="AN279" s="6"/>
      <c r="AO279" s="6"/>
      <c r="AP279" s="6"/>
      <c r="AQ279" s="6"/>
      <c r="AR279" s="6"/>
    </row>
    <row r="280" spans="1:44">
      <c r="A280" s="6"/>
      <c r="B280" s="6"/>
      <c r="C280" s="6"/>
      <c r="D280" s="6"/>
      <c r="E280" s="6"/>
      <c r="F280" s="6"/>
      <c r="G280" s="11"/>
      <c r="H280" s="6"/>
      <c r="I280" s="6"/>
      <c r="J280" s="6"/>
      <c r="K280" s="7"/>
      <c r="L280" s="21" t="str">
        <f>микс!$H$10</f>
        <v>продажа со склада</v>
      </c>
      <c r="M280" s="22"/>
      <c r="N280" s="22"/>
      <c r="O280" s="22" t="s">
        <v>136</v>
      </c>
      <c r="P280" s="23" t="str">
        <f>микс!$H$48</f>
        <v>Спортивный инвентарь</v>
      </c>
      <c r="Q280" s="21" t="s">
        <v>71</v>
      </c>
      <c r="R280" s="25">
        <v>1</v>
      </c>
      <c r="S280" s="28"/>
      <c r="T280" s="31">
        <v>42215</v>
      </c>
      <c r="U280" s="33">
        <v>748</v>
      </c>
      <c r="V280" s="36">
        <f t="shared" si="22"/>
        <v>748</v>
      </c>
      <c r="W280" s="28"/>
      <c r="X280" s="31">
        <v>42319</v>
      </c>
      <c r="Y280" s="33">
        <v>748</v>
      </c>
      <c r="Z280" s="189">
        <f t="shared" si="23"/>
        <v>748</v>
      </c>
      <c r="AA280" s="190"/>
      <c r="AB280" s="31">
        <v>42225</v>
      </c>
      <c r="AC280" s="36">
        <v>748</v>
      </c>
      <c r="AD280" s="8"/>
      <c r="AE280" s="6"/>
      <c r="AF280" s="52">
        <f t="shared" si="20"/>
        <v>31576820</v>
      </c>
      <c r="AG280" s="25">
        <f t="shared" si="21"/>
        <v>31654612</v>
      </c>
      <c r="AH280" s="52">
        <f t="shared" si="24"/>
        <v>31584300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</row>
    <row r="281" spans="1:44">
      <c r="A281" s="6"/>
      <c r="B281" s="6"/>
      <c r="C281" s="6"/>
      <c r="D281" s="6"/>
      <c r="E281" s="6"/>
      <c r="F281" s="6"/>
      <c r="G281" s="11"/>
      <c r="H281" s="6"/>
      <c r="I281" s="6"/>
      <c r="J281" s="6"/>
      <c r="K281" s="7"/>
      <c r="L281" s="21" t="str">
        <f>микс!$H$11</f>
        <v>продажа под заказ</v>
      </c>
      <c r="M281" s="22"/>
      <c r="N281" s="22"/>
      <c r="O281" s="22" t="s">
        <v>145</v>
      </c>
      <c r="P281" s="23" t="str">
        <f>микс!$H$46</f>
        <v>Электроника и бытовая техника</v>
      </c>
      <c r="Q281" s="21" t="s">
        <v>58</v>
      </c>
      <c r="R281" s="25">
        <v>1</v>
      </c>
      <c r="S281" s="28"/>
      <c r="T281" s="31">
        <v>42331</v>
      </c>
      <c r="U281" s="33">
        <v>2856</v>
      </c>
      <c r="V281" s="36">
        <f t="shared" si="22"/>
        <v>2856</v>
      </c>
      <c r="W281" s="28"/>
      <c r="X281" s="31">
        <v>42336</v>
      </c>
      <c r="Y281" s="33">
        <v>3199</v>
      </c>
      <c r="Z281" s="189">
        <f t="shared" si="23"/>
        <v>3199</v>
      </c>
      <c r="AA281" s="190"/>
      <c r="AB281" s="31">
        <v>42341</v>
      </c>
      <c r="AC281" s="36">
        <v>2856</v>
      </c>
      <c r="AD281" s="8"/>
      <c r="AE281" s="6"/>
      <c r="AF281" s="52">
        <f t="shared" si="20"/>
        <v>120897336</v>
      </c>
      <c r="AG281" s="25">
        <f t="shared" si="21"/>
        <v>135432864</v>
      </c>
      <c r="AH281" s="52">
        <f t="shared" si="24"/>
        <v>120925896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</row>
    <row r="282" spans="1:44">
      <c r="A282" s="6"/>
      <c r="B282" s="6"/>
      <c r="C282" s="6"/>
      <c r="D282" s="6"/>
      <c r="E282" s="6"/>
      <c r="F282" s="6"/>
      <c r="G282" s="11"/>
      <c r="H282" s="6"/>
      <c r="I282" s="6"/>
      <c r="J282" s="6"/>
      <c r="K282" s="7"/>
      <c r="L282" s="21" t="str">
        <f>микс!$H$11</f>
        <v>продажа под заказ</v>
      </c>
      <c r="M282" s="22"/>
      <c r="N282" s="22"/>
      <c r="O282" s="22" t="s">
        <v>145</v>
      </c>
      <c r="P282" s="23" t="str">
        <f>микс!$H$46</f>
        <v>Электроника и бытовая техника</v>
      </c>
      <c r="Q282" s="21" t="s">
        <v>58</v>
      </c>
      <c r="R282" s="25">
        <v>1</v>
      </c>
      <c r="S282" s="28"/>
      <c r="T282" s="31">
        <v>42302</v>
      </c>
      <c r="U282" s="33">
        <v>6866.05</v>
      </c>
      <c r="V282" s="36">
        <f t="shared" si="22"/>
        <v>6866.05</v>
      </c>
      <c r="W282" s="28"/>
      <c r="X282" s="31">
        <v>42306</v>
      </c>
      <c r="Y282" s="33">
        <v>7500</v>
      </c>
      <c r="Z282" s="189">
        <f t="shared" si="23"/>
        <v>7500</v>
      </c>
      <c r="AA282" s="190"/>
      <c r="AB282" s="31">
        <v>42332</v>
      </c>
      <c r="AC282" s="36">
        <v>6866.05</v>
      </c>
      <c r="AD282" s="8"/>
      <c r="AE282" s="6"/>
      <c r="AF282" s="52">
        <f t="shared" si="20"/>
        <v>290447647.10000002</v>
      </c>
      <c r="AG282" s="25">
        <f t="shared" si="21"/>
        <v>317295000</v>
      </c>
      <c r="AH282" s="52">
        <f t="shared" si="24"/>
        <v>290653628.60000002</v>
      </c>
      <c r="AI282" s="6"/>
      <c r="AJ282" s="6"/>
      <c r="AK282" s="6"/>
      <c r="AL282" s="6"/>
      <c r="AM282" s="6"/>
      <c r="AN282" s="6"/>
      <c r="AO282" s="6"/>
      <c r="AP282" s="6"/>
      <c r="AQ282" s="6"/>
      <c r="AR282" s="6"/>
    </row>
    <row r="283" spans="1:44">
      <c r="A283" s="6"/>
      <c r="B283" s="6"/>
      <c r="C283" s="6"/>
      <c r="D283" s="6"/>
      <c r="E283" s="6"/>
      <c r="F283" s="6"/>
      <c r="G283" s="11"/>
      <c r="H283" s="6"/>
      <c r="I283" s="6"/>
      <c r="J283" s="6"/>
      <c r="K283" s="7"/>
      <c r="L283" s="21" t="str">
        <f>микс!$H$11</f>
        <v>продажа под заказ</v>
      </c>
      <c r="M283" s="22"/>
      <c r="N283" s="22"/>
      <c r="O283" s="22" t="s">
        <v>145</v>
      </c>
      <c r="P283" s="23" t="str">
        <f>микс!$H$46</f>
        <v>Электроника и бытовая техника</v>
      </c>
      <c r="Q283" s="21" t="s">
        <v>58</v>
      </c>
      <c r="R283" s="25">
        <v>1</v>
      </c>
      <c r="S283" s="28"/>
      <c r="T283" s="31">
        <v>42314</v>
      </c>
      <c r="U283" s="33">
        <v>6601</v>
      </c>
      <c r="V283" s="36">
        <f t="shared" si="22"/>
        <v>6601</v>
      </c>
      <c r="W283" s="28"/>
      <c r="X283" s="31">
        <v>42322</v>
      </c>
      <c r="Y283" s="33">
        <v>7725</v>
      </c>
      <c r="Z283" s="189">
        <f t="shared" si="23"/>
        <v>7725</v>
      </c>
      <c r="AA283" s="190"/>
      <c r="AB283" s="31">
        <v>42335</v>
      </c>
      <c r="AC283" s="36">
        <v>6601</v>
      </c>
      <c r="AD283" s="8"/>
      <c r="AE283" s="6"/>
      <c r="AF283" s="52">
        <f t="shared" si="20"/>
        <v>279314714</v>
      </c>
      <c r="AG283" s="25">
        <f t="shared" si="21"/>
        <v>326937450</v>
      </c>
      <c r="AH283" s="52">
        <f t="shared" si="24"/>
        <v>279453335</v>
      </c>
      <c r="AI283" s="6"/>
      <c r="AJ283" s="6"/>
      <c r="AK283" s="6"/>
      <c r="AL283" s="6"/>
      <c r="AM283" s="6"/>
      <c r="AN283" s="6"/>
      <c r="AO283" s="6"/>
      <c r="AP283" s="6"/>
      <c r="AQ283" s="6"/>
      <c r="AR283" s="6"/>
    </row>
    <row r="284" spans="1:44">
      <c r="A284" s="6"/>
      <c r="B284" s="6"/>
      <c r="C284" s="6"/>
      <c r="D284" s="6"/>
      <c r="E284" s="6"/>
      <c r="F284" s="6"/>
      <c r="G284" s="11"/>
      <c r="H284" s="6"/>
      <c r="I284" s="6"/>
      <c r="J284" s="6"/>
      <c r="K284" s="7"/>
      <c r="L284" s="21" t="str">
        <f>микс!$H$11</f>
        <v>продажа под заказ</v>
      </c>
      <c r="M284" s="22"/>
      <c r="N284" s="22"/>
      <c r="O284" s="22" t="s">
        <v>137</v>
      </c>
      <c r="P284" s="23" t="str">
        <f>микс!$H$46</f>
        <v>Электроника и бытовая техника</v>
      </c>
      <c r="Q284" s="21" t="s">
        <v>81</v>
      </c>
      <c r="R284" s="25">
        <v>1</v>
      </c>
      <c r="S284" s="28"/>
      <c r="T284" s="31">
        <v>42337</v>
      </c>
      <c r="U284" s="33">
        <v>7384.8</v>
      </c>
      <c r="V284" s="36">
        <f t="shared" si="22"/>
        <v>7384.8</v>
      </c>
      <c r="W284" s="28"/>
      <c r="X284" s="31">
        <v>42342</v>
      </c>
      <c r="Y284" s="33">
        <v>7799</v>
      </c>
      <c r="Z284" s="189">
        <f t="shared" si="23"/>
        <v>7799</v>
      </c>
      <c r="AA284" s="190"/>
      <c r="AB284" s="31"/>
      <c r="AC284" s="36"/>
      <c r="AD284" s="8"/>
      <c r="AE284" s="6"/>
      <c r="AF284" s="52">
        <f t="shared" si="20"/>
        <v>312650277.60000002</v>
      </c>
      <c r="AG284" s="25">
        <f t="shared" si="21"/>
        <v>330225258</v>
      </c>
      <c r="AH284" s="52">
        <f t="shared" si="24"/>
        <v>0</v>
      </c>
      <c r="AI284" s="6"/>
      <c r="AJ284" s="6"/>
      <c r="AK284" s="6"/>
      <c r="AL284" s="6"/>
      <c r="AM284" s="6"/>
      <c r="AN284" s="6"/>
      <c r="AO284" s="6"/>
      <c r="AP284" s="6"/>
      <c r="AQ284" s="6"/>
      <c r="AR284" s="6"/>
    </row>
    <row r="285" spans="1:44">
      <c r="A285" s="6"/>
      <c r="B285" s="6"/>
      <c r="C285" s="6"/>
      <c r="D285" s="6"/>
      <c r="E285" s="6"/>
      <c r="F285" s="6"/>
      <c r="G285" s="11"/>
      <c r="H285" s="6"/>
      <c r="I285" s="6"/>
      <c r="J285" s="6"/>
      <c r="K285" s="7"/>
      <c r="L285" s="21" t="str">
        <f>микс!$H$10</f>
        <v>продажа со склада</v>
      </c>
      <c r="M285" s="22"/>
      <c r="N285" s="22"/>
      <c r="O285" s="22" t="s">
        <v>136</v>
      </c>
      <c r="P285" s="23" t="str">
        <f>микс!$H$48</f>
        <v>Спортивный инвентарь</v>
      </c>
      <c r="Q285" s="21" t="s">
        <v>76</v>
      </c>
      <c r="R285" s="25">
        <v>1</v>
      </c>
      <c r="S285" s="28"/>
      <c r="T285" s="31">
        <v>42217</v>
      </c>
      <c r="U285" s="33">
        <v>476</v>
      </c>
      <c r="V285" s="36">
        <f t="shared" si="22"/>
        <v>476</v>
      </c>
      <c r="W285" s="28"/>
      <c r="X285" s="31">
        <v>42323</v>
      </c>
      <c r="Y285" s="33">
        <v>577</v>
      </c>
      <c r="Z285" s="189">
        <f t="shared" si="23"/>
        <v>577</v>
      </c>
      <c r="AA285" s="190"/>
      <c r="AB285" s="31">
        <v>42247</v>
      </c>
      <c r="AC285" s="36">
        <v>476</v>
      </c>
      <c r="AD285" s="8"/>
      <c r="AE285" s="6"/>
      <c r="AF285" s="52">
        <f t="shared" si="20"/>
        <v>20095292</v>
      </c>
      <c r="AG285" s="25">
        <f t="shared" si="21"/>
        <v>24420371</v>
      </c>
      <c r="AH285" s="52">
        <f t="shared" si="24"/>
        <v>20109572</v>
      </c>
      <c r="AI285" s="6"/>
      <c r="AJ285" s="6"/>
      <c r="AK285" s="6"/>
      <c r="AL285" s="6"/>
      <c r="AM285" s="6"/>
      <c r="AN285" s="6"/>
      <c r="AO285" s="6"/>
      <c r="AP285" s="6"/>
      <c r="AQ285" s="6"/>
      <c r="AR285" s="6"/>
    </row>
    <row r="286" spans="1:44">
      <c r="A286" s="6"/>
      <c r="B286" s="6"/>
      <c r="C286" s="6"/>
      <c r="D286" s="6"/>
      <c r="E286" s="6"/>
      <c r="F286" s="6"/>
      <c r="G286" s="11"/>
      <c r="H286" s="6"/>
      <c r="I286" s="6"/>
      <c r="J286" s="6"/>
      <c r="K286" s="7"/>
      <c r="L286" s="21" t="str">
        <f>микс!$H$11</f>
        <v>продажа под заказ</v>
      </c>
      <c r="M286" s="22"/>
      <c r="N286" s="22"/>
      <c r="O286" s="22" t="s">
        <v>150</v>
      </c>
      <c r="P286" s="23" t="str">
        <f>микс!$H$49</f>
        <v>Товары для детей</v>
      </c>
      <c r="Q286" s="21" t="s">
        <v>133</v>
      </c>
      <c r="R286" s="25">
        <v>1</v>
      </c>
      <c r="S286" s="28"/>
      <c r="T286" s="31">
        <v>42331</v>
      </c>
      <c r="U286" s="33">
        <v>735</v>
      </c>
      <c r="V286" s="36">
        <f t="shared" si="22"/>
        <v>735</v>
      </c>
      <c r="W286" s="28"/>
      <c r="X286" s="31">
        <v>42340</v>
      </c>
      <c r="Y286" s="33">
        <v>1095</v>
      </c>
      <c r="Z286" s="189">
        <f t="shared" si="23"/>
        <v>1095</v>
      </c>
      <c r="AA286" s="190"/>
      <c r="AB286" s="31">
        <v>42346</v>
      </c>
      <c r="AC286" s="36">
        <v>735</v>
      </c>
      <c r="AD286" s="8"/>
      <c r="AE286" s="6"/>
      <c r="AF286" s="52">
        <f t="shared" si="20"/>
        <v>31113285</v>
      </c>
      <c r="AG286" s="25">
        <f t="shared" si="21"/>
        <v>46362300</v>
      </c>
      <c r="AH286" s="52">
        <f t="shared" si="24"/>
        <v>31124310</v>
      </c>
      <c r="AI286" s="6"/>
      <c r="AJ286" s="6"/>
      <c r="AK286" s="6"/>
      <c r="AL286" s="6"/>
      <c r="AM286" s="6"/>
      <c r="AN286" s="6"/>
      <c r="AO286" s="6"/>
      <c r="AP286" s="6"/>
      <c r="AQ286" s="6"/>
      <c r="AR286" s="6"/>
    </row>
    <row r="287" spans="1:44">
      <c r="A287" s="6"/>
      <c r="B287" s="6"/>
      <c r="C287" s="6"/>
      <c r="D287" s="6"/>
      <c r="E287" s="6"/>
      <c r="F287" s="6"/>
      <c r="G287" s="11"/>
      <c r="H287" s="6"/>
      <c r="I287" s="6"/>
      <c r="J287" s="6"/>
      <c r="K287" s="7"/>
      <c r="L287" s="21" t="str">
        <f>микс!$H$11</f>
        <v>продажа под заказ</v>
      </c>
      <c r="M287" s="22"/>
      <c r="N287" s="22"/>
      <c r="O287" s="22" t="s">
        <v>151</v>
      </c>
      <c r="P287" s="23" t="str">
        <f>микс!$H$49</f>
        <v>Товары для детей</v>
      </c>
      <c r="Q287" s="21" t="s">
        <v>133</v>
      </c>
      <c r="R287" s="25">
        <v>1</v>
      </c>
      <c r="S287" s="28"/>
      <c r="T287" s="31">
        <v>42336</v>
      </c>
      <c r="U287" s="33">
        <v>560</v>
      </c>
      <c r="V287" s="36">
        <f t="shared" si="22"/>
        <v>560</v>
      </c>
      <c r="W287" s="28"/>
      <c r="X287" s="31">
        <v>42344</v>
      </c>
      <c r="Y287" s="33">
        <v>760</v>
      </c>
      <c r="Z287" s="189">
        <f t="shared" si="23"/>
        <v>760</v>
      </c>
      <c r="AA287" s="190"/>
      <c r="AB287" s="31">
        <v>42358</v>
      </c>
      <c r="AC287" s="36">
        <v>560</v>
      </c>
      <c r="AD287" s="8"/>
      <c r="AE287" s="6"/>
      <c r="AF287" s="52">
        <f t="shared" si="20"/>
        <v>23708160</v>
      </c>
      <c r="AG287" s="25">
        <f t="shared" si="21"/>
        <v>32181440</v>
      </c>
      <c r="AH287" s="52">
        <f t="shared" si="24"/>
        <v>23720480</v>
      </c>
      <c r="AI287" s="6"/>
      <c r="AJ287" s="6"/>
      <c r="AK287" s="6"/>
      <c r="AL287" s="6"/>
      <c r="AM287" s="6"/>
      <c r="AN287" s="6"/>
      <c r="AO287" s="6"/>
      <c r="AP287" s="6"/>
      <c r="AQ287" s="6"/>
      <c r="AR287" s="6"/>
    </row>
    <row r="288" spans="1:44">
      <c r="A288" s="6"/>
      <c r="B288" s="6"/>
      <c r="C288" s="6"/>
      <c r="D288" s="6"/>
      <c r="E288" s="6"/>
      <c r="F288" s="6"/>
      <c r="G288" s="11"/>
      <c r="H288" s="6"/>
      <c r="I288" s="6"/>
      <c r="J288" s="6"/>
      <c r="K288" s="7"/>
      <c r="L288" s="21" t="str">
        <f>микс!$H$11</f>
        <v>продажа под заказ</v>
      </c>
      <c r="M288" s="22"/>
      <c r="N288" s="22"/>
      <c r="O288" s="22" t="s">
        <v>151</v>
      </c>
      <c r="P288" s="23" t="str">
        <f>микс!$H$49</f>
        <v>Товары для детей</v>
      </c>
      <c r="Q288" s="21" t="s">
        <v>133</v>
      </c>
      <c r="R288" s="25">
        <v>1</v>
      </c>
      <c r="S288" s="28"/>
      <c r="T288" s="31">
        <v>42313</v>
      </c>
      <c r="U288" s="33">
        <v>560</v>
      </c>
      <c r="V288" s="36">
        <f t="shared" si="22"/>
        <v>560</v>
      </c>
      <c r="W288" s="28"/>
      <c r="X288" s="31">
        <v>42318</v>
      </c>
      <c r="Y288" s="33">
        <v>761</v>
      </c>
      <c r="Z288" s="189">
        <f t="shared" si="23"/>
        <v>761</v>
      </c>
      <c r="AA288" s="190"/>
      <c r="AB288" s="31"/>
      <c r="AC288" s="36"/>
      <c r="AD288" s="8"/>
      <c r="AE288" s="6"/>
      <c r="AF288" s="52">
        <f t="shared" si="20"/>
        <v>23695280</v>
      </c>
      <c r="AG288" s="25">
        <f t="shared" si="21"/>
        <v>32203998</v>
      </c>
      <c r="AH288" s="52">
        <f t="shared" si="24"/>
        <v>0</v>
      </c>
      <c r="AI288" s="6"/>
      <c r="AJ288" s="6"/>
      <c r="AK288" s="6"/>
      <c r="AL288" s="6"/>
      <c r="AM288" s="6"/>
      <c r="AN288" s="6"/>
      <c r="AO288" s="6"/>
      <c r="AP288" s="6"/>
      <c r="AQ288" s="6"/>
      <c r="AR288" s="6"/>
    </row>
    <row r="289" spans="1:44">
      <c r="A289" s="6"/>
      <c r="B289" s="6"/>
      <c r="C289" s="6"/>
      <c r="D289" s="6"/>
      <c r="E289" s="6"/>
      <c r="F289" s="6"/>
      <c r="G289" s="11"/>
      <c r="H289" s="6"/>
      <c r="I289" s="6"/>
      <c r="J289" s="6"/>
      <c r="K289" s="7"/>
      <c r="L289" s="21" t="str">
        <f>микс!$H$11</f>
        <v>продажа под заказ</v>
      </c>
      <c r="M289" s="22"/>
      <c r="N289" s="22"/>
      <c r="O289" s="22" t="s">
        <v>136</v>
      </c>
      <c r="P289" s="23" t="str">
        <f>микс!$H$48</f>
        <v>Спортивный инвентарь</v>
      </c>
      <c r="Q289" s="21" t="s">
        <v>80</v>
      </c>
      <c r="R289" s="25">
        <v>1</v>
      </c>
      <c r="S289" s="28"/>
      <c r="T289" s="31">
        <v>42306</v>
      </c>
      <c r="U289" s="33">
        <v>3510</v>
      </c>
      <c r="V289" s="36">
        <f t="shared" si="22"/>
        <v>3510</v>
      </c>
      <c r="W289" s="28"/>
      <c r="X289" s="31">
        <v>42314</v>
      </c>
      <c r="Y289" s="33">
        <v>5221</v>
      </c>
      <c r="Z289" s="189">
        <f t="shared" si="23"/>
        <v>5221</v>
      </c>
      <c r="AA289" s="190"/>
      <c r="AB289" s="31">
        <v>42311</v>
      </c>
      <c r="AC289" s="36">
        <v>3510</v>
      </c>
      <c r="AD289" s="8"/>
      <c r="AE289" s="6"/>
      <c r="AF289" s="52">
        <f t="shared" si="20"/>
        <v>148494060</v>
      </c>
      <c r="AG289" s="25">
        <f t="shared" si="21"/>
        <v>220921394</v>
      </c>
      <c r="AH289" s="52">
        <f t="shared" si="24"/>
        <v>148511610</v>
      </c>
      <c r="AI289" s="6"/>
      <c r="AJ289" s="6"/>
      <c r="AK289" s="6"/>
      <c r="AL289" s="6"/>
      <c r="AM289" s="6"/>
      <c r="AN289" s="6"/>
      <c r="AO289" s="6"/>
      <c r="AP289" s="6"/>
      <c r="AQ289" s="6"/>
      <c r="AR289" s="6"/>
    </row>
    <row r="290" spans="1:44">
      <c r="A290" s="6"/>
      <c r="B290" s="6"/>
      <c r="C290" s="6"/>
      <c r="D290" s="6"/>
      <c r="E290" s="6"/>
      <c r="F290" s="6"/>
      <c r="G290" s="11"/>
      <c r="H290" s="6"/>
      <c r="I290" s="6"/>
      <c r="J290" s="6"/>
      <c r="K290" s="7"/>
      <c r="L290" s="21" t="str">
        <f>микс!$H$11</f>
        <v>продажа под заказ</v>
      </c>
      <c r="M290" s="22"/>
      <c r="N290" s="22"/>
      <c r="O290" s="22" t="s">
        <v>136</v>
      </c>
      <c r="P290" s="23" t="str">
        <f>микс!$H$48</f>
        <v>Спортивный инвентарь</v>
      </c>
      <c r="Q290" s="21" t="s">
        <v>80</v>
      </c>
      <c r="R290" s="25">
        <v>1</v>
      </c>
      <c r="S290" s="28"/>
      <c r="T290" s="31">
        <v>42320</v>
      </c>
      <c r="U290" s="33">
        <v>4212</v>
      </c>
      <c r="V290" s="36">
        <f t="shared" si="22"/>
        <v>4212</v>
      </c>
      <c r="W290" s="28"/>
      <c r="X290" s="31">
        <v>42325</v>
      </c>
      <c r="Y290" s="33">
        <v>5125</v>
      </c>
      <c r="Z290" s="189">
        <f t="shared" si="23"/>
        <v>5125</v>
      </c>
      <c r="AA290" s="190"/>
      <c r="AB290" s="31">
        <v>42360</v>
      </c>
      <c r="AC290" s="36">
        <v>4212</v>
      </c>
      <c r="AD290" s="8"/>
      <c r="AE290" s="6"/>
      <c r="AF290" s="52">
        <f t="shared" si="20"/>
        <v>178251840</v>
      </c>
      <c r="AG290" s="25">
        <f t="shared" si="21"/>
        <v>216915625</v>
      </c>
      <c r="AH290" s="52">
        <f t="shared" si="24"/>
        <v>178420320</v>
      </c>
      <c r="AI290" s="6"/>
      <c r="AJ290" s="6"/>
      <c r="AK290" s="6"/>
      <c r="AL290" s="6"/>
      <c r="AM290" s="6"/>
      <c r="AN290" s="6"/>
      <c r="AO290" s="6"/>
      <c r="AP290" s="6"/>
      <c r="AQ290" s="6"/>
      <c r="AR290" s="6"/>
    </row>
    <row r="291" spans="1:44">
      <c r="A291" s="6"/>
      <c r="B291" s="6"/>
      <c r="C291" s="6"/>
      <c r="D291" s="6"/>
      <c r="E291" s="6"/>
      <c r="F291" s="6"/>
      <c r="G291" s="11"/>
      <c r="H291" s="6"/>
      <c r="I291" s="6"/>
      <c r="J291" s="6"/>
      <c r="K291" s="7"/>
      <c r="L291" s="21" t="str">
        <f>микс!$H$11</f>
        <v>продажа под заказ</v>
      </c>
      <c r="M291" s="22"/>
      <c r="N291" s="22"/>
      <c r="O291" s="22" t="s">
        <v>136</v>
      </c>
      <c r="P291" s="23" t="str">
        <f>микс!$H$48</f>
        <v>Спортивный инвентарь</v>
      </c>
      <c r="Q291" s="21" t="s">
        <v>80</v>
      </c>
      <c r="R291" s="25">
        <v>1</v>
      </c>
      <c r="S291" s="28"/>
      <c r="T291" s="31">
        <v>42335</v>
      </c>
      <c r="U291" s="33">
        <v>4212</v>
      </c>
      <c r="V291" s="36">
        <f t="shared" si="22"/>
        <v>4212</v>
      </c>
      <c r="W291" s="28"/>
      <c r="X291" s="31">
        <v>42342</v>
      </c>
      <c r="Y291" s="33">
        <v>4399</v>
      </c>
      <c r="Z291" s="189">
        <f t="shared" si="23"/>
        <v>4399</v>
      </c>
      <c r="AA291" s="190"/>
      <c r="AB291" s="31"/>
      <c r="AC291" s="36"/>
      <c r="AD291" s="8"/>
      <c r="AE291" s="6"/>
      <c r="AF291" s="52">
        <f t="shared" si="20"/>
        <v>178315020</v>
      </c>
      <c r="AG291" s="25">
        <f t="shared" si="21"/>
        <v>186262458</v>
      </c>
      <c r="AH291" s="52">
        <f t="shared" si="24"/>
        <v>0</v>
      </c>
      <c r="AI291" s="6"/>
      <c r="AJ291" s="6"/>
      <c r="AK291" s="6"/>
      <c r="AL291" s="6"/>
      <c r="AM291" s="6"/>
      <c r="AN291" s="6"/>
      <c r="AO291" s="6"/>
      <c r="AP291" s="6"/>
      <c r="AQ291" s="6"/>
      <c r="AR291" s="6"/>
    </row>
    <row r="292" spans="1:44">
      <c r="A292" s="6"/>
      <c r="B292" s="6"/>
      <c r="C292" s="6"/>
      <c r="D292" s="6"/>
      <c r="E292" s="6"/>
      <c r="F292" s="6"/>
      <c r="G292" s="11"/>
      <c r="H292" s="6"/>
      <c r="I292" s="6"/>
      <c r="J292" s="6"/>
      <c r="K292" s="7"/>
      <c r="L292" s="21" t="str">
        <f>микс!$H$11</f>
        <v>продажа под заказ</v>
      </c>
      <c r="M292" s="22"/>
      <c r="N292" s="22"/>
      <c r="O292" s="22" t="s">
        <v>136</v>
      </c>
      <c r="P292" s="23" t="str">
        <f>микс!$H$48</f>
        <v>Спортивный инвентарь</v>
      </c>
      <c r="Q292" s="21" t="s">
        <v>82</v>
      </c>
      <c r="R292" s="25">
        <v>1</v>
      </c>
      <c r="S292" s="28"/>
      <c r="T292" s="31">
        <v>42335</v>
      </c>
      <c r="U292" s="33">
        <v>558</v>
      </c>
      <c r="V292" s="36">
        <f t="shared" si="22"/>
        <v>558</v>
      </c>
      <c r="W292" s="28"/>
      <c r="X292" s="31">
        <v>42341</v>
      </c>
      <c r="Y292" s="33">
        <v>661</v>
      </c>
      <c r="Z292" s="189">
        <f t="shared" si="23"/>
        <v>661</v>
      </c>
      <c r="AA292" s="190"/>
      <c r="AB292" s="31">
        <v>42350</v>
      </c>
      <c r="AC292" s="36">
        <v>558</v>
      </c>
      <c r="AD292" s="8"/>
      <c r="AE292" s="6"/>
      <c r="AF292" s="52">
        <f t="shared" si="20"/>
        <v>23622930</v>
      </c>
      <c r="AG292" s="25">
        <f t="shared" si="21"/>
        <v>27987401</v>
      </c>
      <c r="AH292" s="52">
        <f t="shared" si="24"/>
        <v>23631300</v>
      </c>
      <c r="AI292" s="6"/>
      <c r="AJ292" s="6"/>
      <c r="AK292" s="6"/>
      <c r="AL292" s="6"/>
      <c r="AM292" s="6"/>
      <c r="AN292" s="6"/>
      <c r="AO292" s="6"/>
      <c r="AP292" s="6"/>
      <c r="AQ292" s="6"/>
      <c r="AR292" s="6"/>
    </row>
    <row r="293" spans="1:44">
      <c r="A293" s="6"/>
      <c r="B293" s="6"/>
      <c r="C293" s="6"/>
      <c r="D293" s="6"/>
      <c r="E293" s="6"/>
      <c r="F293" s="6"/>
      <c r="G293" s="11"/>
      <c r="H293" s="6"/>
      <c r="I293" s="6"/>
      <c r="J293" s="6"/>
      <c r="K293" s="7"/>
      <c r="L293" s="21" t="str">
        <f>микс!$H$11</f>
        <v>продажа под заказ</v>
      </c>
      <c r="M293" s="22"/>
      <c r="N293" s="22"/>
      <c r="O293" s="22" t="s">
        <v>136</v>
      </c>
      <c r="P293" s="23" t="str">
        <f>микс!$H$48</f>
        <v>Спортивный инвентарь</v>
      </c>
      <c r="Q293" s="21" t="s">
        <v>82</v>
      </c>
      <c r="R293" s="25">
        <v>1</v>
      </c>
      <c r="S293" s="28"/>
      <c r="T293" s="31">
        <v>42314</v>
      </c>
      <c r="U293" s="33">
        <v>533.20000000000005</v>
      </c>
      <c r="V293" s="36">
        <f t="shared" si="22"/>
        <v>533.20000000000005</v>
      </c>
      <c r="W293" s="28"/>
      <c r="X293" s="31">
        <v>42316</v>
      </c>
      <c r="Y293" s="33">
        <v>747</v>
      </c>
      <c r="Z293" s="189">
        <f t="shared" si="23"/>
        <v>747</v>
      </c>
      <c r="AA293" s="190"/>
      <c r="AB293" s="31">
        <v>42364</v>
      </c>
      <c r="AC293" s="36">
        <v>533.20000000000005</v>
      </c>
      <c r="AD293" s="8"/>
      <c r="AE293" s="6"/>
      <c r="AF293" s="52">
        <f t="shared" si="20"/>
        <v>22561824.800000001</v>
      </c>
      <c r="AG293" s="25">
        <f t="shared" si="21"/>
        <v>31610052</v>
      </c>
      <c r="AH293" s="52">
        <f t="shared" si="24"/>
        <v>22588484.800000001</v>
      </c>
      <c r="AI293" s="6"/>
      <c r="AJ293" s="6"/>
      <c r="AK293" s="6"/>
      <c r="AL293" s="6"/>
      <c r="AM293" s="6"/>
      <c r="AN293" s="6"/>
      <c r="AO293" s="6"/>
      <c r="AP293" s="6"/>
      <c r="AQ293" s="6"/>
      <c r="AR293" s="6"/>
    </row>
    <row r="294" spans="1:44">
      <c r="A294" s="6"/>
      <c r="B294" s="6"/>
      <c r="C294" s="6"/>
      <c r="D294" s="6"/>
      <c r="E294" s="6"/>
      <c r="F294" s="6"/>
      <c r="G294" s="11"/>
      <c r="H294" s="6"/>
      <c r="I294" s="6"/>
      <c r="J294" s="6"/>
      <c r="K294" s="7"/>
      <c r="L294" s="21" t="str">
        <f>микс!$H$11</f>
        <v>продажа под заказ</v>
      </c>
      <c r="M294" s="22"/>
      <c r="N294" s="22"/>
      <c r="O294" s="22" t="s">
        <v>151</v>
      </c>
      <c r="P294" s="23" t="str">
        <f>микс!$H$49</f>
        <v>Товары для детей</v>
      </c>
      <c r="Q294" s="21" t="s">
        <v>133</v>
      </c>
      <c r="R294" s="25">
        <v>1</v>
      </c>
      <c r="S294" s="28"/>
      <c r="T294" s="31">
        <v>42318</v>
      </c>
      <c r="U294" s="33">
        <v>1106</v>
      </c>
      <c r="V294" s="36">
        <f t="shared" si="22"/>
        <v>1106</v>
      </c>
      <c r="W294" s="28"/>
      <c r="X294" s="31">
        <v>42321</v>
      </c>
      <c r="Y294" s="33">
        <v>1385</v>
      </c>
      <c r="Z294" s="189">
        <f t="shared" si="23"/>
        <v>1385</v>
      </c>
      <c r="AA294" s="190"/>
      <c r="AB294" s="31">
        <v>42338</v>
      </c>
      <c r="AC294" s="36">
        <v>1106</v>
      </c>
      <c r="AD294" s="8"/>
      <c r="AE294" s="6"/>
      <c r="AF294" s="52">
        <f t="shared" si="20"/>
        <v>46803708</v>
      </c>
      <c r="AG294" s="25">
        <f t="shared" si="21"/>
        <v>58614585</v>
      </c>
      <c r="AH294" s="52">
        <f t="shared" si="24"/>
        <v>46825828</v>
      </c>
      <c r="AI294" s="6"/>
      <c r="AJ294" s="6"/>
      <c r="AK294" s="6"/>
      <c r="AL294" s="6"/>
      <c r="AM294" s="6"/>
      <c r="AN294" s="6"/>
      <c r="AO294" s="6"/>
      <c r="AP294" s="6"/>
      <c r="AQ294" s="6"/>
      <c r="AR294" s="6"/>
    </row>
    <row r="295" spans="1:44">
      <c r="A295" s="6"/>
      <c r="B295" s="6"/>
      <c r="C295" s="6"/>
      <c r="D295" s="6"/>
      <c r="E295" s="6"/>
      <c r="F295" s="6"/>
      <c r="G295" s="11"/>
      <c r="H295" s="6"/>
      <c r="I295" s="6"/>
      <c r="J295" s="6"/>
      <c r="K295" s="7"/>
      <c r="L295" s="21" t="str">
        <f>микс!$H$11</f>
        <v>продажа под заказ</v>
      </c>
      <c r="M295" s="22"/>
      <c r="N295" s="22"/>
      <c r="O295" s="22" t="s">
        <v>151</v>
      </c>
      <c r="P295" s="23" t="str">
        <f>микс!$H$49</f>
        <v>Товары для детей</v>
      </c>
      <c r="Q295" s="21" t="s">
        <v>133</v>
      </c>
      <c r="R295" s="25">
        <v>1</v>
      </c>
      <c r="S295" s="28"/>
      <c r="T295" s="31">
        <v>42328</v>
      </c>
      <c r="U295" s="33">
        <v>595</v>
      </c>
      <c r="V295" s="36">
        <f t="shared" si="22"/>
        <v>595</v>
      </c>
      <c r="W295" s="28"/>
      <c r="X295" s="31">
        <v>42332</v>
      </c>
      <c r="Y295" s="33">
        <v>740</v>
      </c>
      <c r="Z295" s="189">
        <f t="shared" si="23"/>
        <v>740</v>
      </c>
      <c r="AA295" s="190"/>
      <c r="AB295" s="31">
        <v>42358</v>
      </c>
      <c r="AC295" s="36">
        <v>595</v>
      </c>
      <c r="AD295" s="8"/>
      <c r="AE295" s="6"/>
      <c r="AF295" s="52">
        <f t="shared" si="20"/>
        <v>25185160</v>
      </c>
      <c r="AG295" s="25">
        <f t="shared" si="21"/>
        <v>31325680</v>
      </c>
      <c r="AH295" s="52">
        <f t="shared" si="24"/>
        <v>25203010</v>
      </c>
      <c r="AI295" s="6"/>
      <c r="AJ295" s="6"/>
      <c r="AK295" s="6"/>
      <c r="AL295" s="6"/>
      <c r="AM295" s="6"/>
      <c r="AN295" s="6"/>
      <c r="AO295" s="6"/>
      <c r="AP295" s="6"/>
      <c r="AQ295" s="6"/>
      <c r="AR295" s="6"/>
    </row>
    <row r="296" spans="1:44">
      <c r="A296" s="6"/>
      <c r="B296" s="6"/>
      <c r="C296" s="6"/>
      <c r="D296" s="6"/>
      <c r="E296" s="6"/>
      <c r="F296" s="6"/>
      <c r="G296" s="11"/>
      <c r="H296" s="6"/>
      <c r="I296" s="6"/>
      <c r="J296" s="6"/>
      <c r="K296" s="7"/>
      <c r="L296" s="21" t="str">
        <f>микс!$H$11</f>
        <v>продажа под заказ</v>
      </c>
      <c r="M296" s="22"/>
      <c r="N296" s="22"/>
      <c r="O296" s="22" t="s">
        <v>151</v>
      </c>
      <c r="P296" s="23" t="str">
        <f>микс!$H$49</f>
        <v>Товары для детей</v>
      </c>
      <c r="Q296" s="21" t="s">
        <v>133</v>
      </c>
      <c r="R296" s="25">
        <v>1</v>
      </c>
      <c r="S296" s="28"/>
      <c r="T296" s="31">
        <v>42334</v>
      </c>
      <c r="U296" s="33">
        <v>595</v>
      </c>
      <c r="V296" s="36">
        <f t="shared" si="22"/>
        <v>595</v>
      </c>
      <c r="W296" s="28"/>
      <c r="X296" s="31">
        <v>42339</v>
      </c>
      <c r="Y296" s="33">
        <v>819</v>
      </c>
      <c r="Z296" s="189">
        <f t="shared" si="23"/>
        <v>819</v>
      </c>
      <c r="AA296" s="190"/>
      <c r="AB296" s="31">
        <v>42359</v>
      </c>
      <c r="AC296" s="36">
        <v>595</v>
      </c>
      <c r="AD296" s="8"/>
      <c r="AE296" s="6"/>
      <c r="AF296" s="52">
        <f t="shared" si="20"/>
        <v>25188730</v>
      </c>
      <c r="AG296" s="25">
        <f t="shared" si="21"/>
        <v>34675641</v>
      </c>
      <c r="AH296" s="52">
        <f t="shared" si="24"/>
        <v>25203605</v>
      </c>
      <c r="AI296" s="6"/>
      <c r="AJ296" s="6"/>
      <c r="AK296" s="6"/>
      <c r="AL296" s="6"/>
      <c r="AM296" s="6"/>
      <c r="AN296" s="6"/>
      <c r="AO296" s="6"/>
      <c r="AP296" s="6"/>
      <c r="AQ296" s="6"/>
      <c r="AR296" s="6"/>
    </row>
    <row r="297" spans="1:44">
      <c r="A297" s="6"/>
      <c r="B297" s="6"/>
      <c r="C297" s="6"/>
      <c r="D297" s="6"/>
      <c r="E297" s="6"/>
      <c r="F297" s="6"/>
      <c r="G297" s="11"/>
      <c r="H297" s="6"/>
      <c r="I297" s="6"/>
      <c r="J297" s="6"/>
      <c r="K297" s="7"/>
      <c r="L297" s="21" t="str">
        <f>микс!$H$10</f>
        <v>продажа со склада</v>
      </c>
      <c r="M297" s="22"/>
      <c r="N297" s="22"/>
      <c r="O297" s="22" t="s">
        <v>128</v>
      </c>
      <c r="P297" s="23" t="str">
        <f>микс!$H$50</f>
        <v>Одежда и обувь</v>
      </c>
      <c r="Q297" s="21" t="s">
        <v>130</v>
      </c>
      <c r="R297" s="25">
        <v>1</v>
      </c>
      <c r="S297" s="28"/>
      <c r="T297" s="31">
        <v>42186</v>
      </c>
      <c r="U297" s="33">
        <v>6665</v>
      </c>
      <c r="V297" s="36">
        <f t="shared" si="22"/>
        <v>6665</v>
      </c>
      <c r="W297" s="28"/>
      <c r="X297" s="31">
        <v>42307</v>
      </c>
      <c r="Y297" s="33">
        <v>12000</v>
      </c>
      <c r="Z297" s="189">
        <f t="shared" si="23"/>
        <v>12000</v>
      </c>
      <c r="AA297" s="190"/>
      <c r="AB297" s="31">
        <v>42196</v>
      </c>
      <c r="AC297" s="36">
        <v>6665</v>
      </c>
      <c r="AD297" s="8"/>
      <c r="AE297" s="6"/>
      <c r="AF297" s="52">
        <f t="shared" si="20"/>
        <v>281169690</v>
      </c>
      <c r="AG297" s="25">
        <f t="shared" si="21"/>
        <v>507684000</v>
      </c>
      <c r="AH297" s="52">
        <f t="shared" si="24"/>
        <v>281236340</v>
      </c>
      <c r="AI297" s="6"/>
      <c r="AJ297" s="6"/>
      <c r="AK297" s="6"/>
      <c r="AL297" s="6"/>
      <c r="AM297" s="6"/>
      <c r="AN297" s="6"/>
      <c r="AO297" s="6"/>
      <c r="AP297" s="6"/>
      <c r="AQ297" s="6"/>
      <c r="AR297" s="6"/>
    </row>
    <row r="298" spans="1:44">
      <c r="A298" s="6"/>
      <c r="B298" s="6"/>
      <c r="C298" s="6"/>
      <c r="D298" s="6"/>
      <c r="E298" s="6"/>
      <c r="F298" s="6"/>
      <c r="G298" s="11"/>
      <c r="H298" s="6"/>
      <c r="I298" s="6"/>
      <c r="J298" s="6"/>
      <c r="K298" s="7"/>
      <c r="L298" s="21" t="str">
        <f>микс!$H$10</f>
        <v>продажа со склада</v>
      </c>
      <c r="M298" s="22"/>
      <c r="N298" s="22"/>
      <c r="O298" s="22" t="s">
        <v>145</v>
      </c>
      <c r="P298" s="23" t="str">
        <f>микс!$H$46</f>
        <v>Электроника и бытовая техника</v>
      </c>
      <c r="Q298" s="21" t="s">
        <v>58</v>
      </c>
      <c r="R298" s="25">
        <v>1</v>
      </c>
      <c r="S298" s="28"/>
      <c r="T298" s="31">
        <v>42207</v>
      </c>
      <c r="U298" s="33">
        <v>1906.39</v>
      </c>
      <c r="V298" s="36">
        <f t="shared" si="22"/>
        <v>1906.39</v>
      </c>
      <c r="W298" s="28"/>
      <c r="X298" s="31">
        <v>42335</v>
      </c>
      <c r="Y298" s="33">
        <v>2341</v>
      </c>
      <c r="Z298" s="189">
        <f t="shared" si="23"/>
        <v>2341</v>
      </c>
      <c r="AA298" s="190"/>
      <c r="AB298" s="31">
        <v>42214</v>
      </c>
      <c r="AC298" s="36">
        <v>1906.39</v>
      </c>
      <c r="AD298" s="8"/>
      <c r="AE298" s="6"/>
      <c r="AF298" s="52">
        <f t="shared" si="20"/>
        <v>80463002.730000004</v>
      </c>
      <c r="AG298" s="25">
        <f t="shared" si="21"/>
        <v>99106235</v>
      </c>
      <c r="AH298" s="52">
        <f t="shared" si="24"/>
        <v>80476347.460000008</v>
      </c>
      <c r="AI298" s="6"/>
      <c r="AJ298" s="6"/>
      <c r="AK298" s="6"/>
      <c r="AL298" s="6"/>
      <c r="AM298" s="6"/>
      <c r="AN298" s="6"/>
      <c r="AO298" s="6"/>
      <c r="AP298" s="6"/>
      <c r="AQ298" s="6"/>
      <c r="AR298" s="6"/>
    </row>
    <row r="299" spans="1:44">
      <c r="A299" s="6"/>
      <c r="B299" s="6"/>
      <c r="C299" s="6"/>
      <c r="D299" s="6"/>
      <c r="E299" s="6"/>
      <c r="F299" s="6"/>
      <c r="G299" s="11"/>
      <c r="H299" s="6"/>
      <c r="I299" s="6"/>
      <c r="J299" s="6"/>
      <c r="K299" s="7"/>
      <c r="L299" s="21" t="str">
        <f>микс!$H$10</f>
        <v>продажа со склада</v>
      </c>
      <c r="M299" s="22"/>
      <c r="N299" s="22"/>
      <c r="O299" s="22" t="s">
        <v>145</v>
      </c>
      <c r="P299" s="23" t="str">
        <f>микс!$H$46</f>
        <v>Электроника и бытовая техника</v>
      </c>
      <c r="Q299" s="21" t="s">
        <v>58</v>
      </c>
      <c r="R299" s="25">
        <v>2</v>
      </c>
      <c r="S299" s="28"/>
      <c r="T299" s="31">
        <v>42216</v>
      </c>
      <c r="U299" s="33">
        <v>1906.39</v>
      </c>
      <c r="V299" s="36">
        <f t="shared" si="22"/>
        <v>3812.78</v>
      </c>
      <c r="W299" s="28"/>
      <c r="X299" s="31">
        <v>42338</v>
      </c>
      <c r="Y299" s="33">
        <v>1977</v>
      </c>
      <c r="Z299" s="189">
        <f t="shared" si="23"/>
        <v>3954</v>
      </c>
      <c r="AA299" s="190"/>
      <c r="AB299" s="31"/>
      <c r="AC299" s="36"/>
      <c r="AD299" s="8"/>
      <c r="AE299" s="6"/>
      <c r="AF299" s="52">
        <f t="shared" si="20"/>
        <v>160960320.48000002</v>
      </c>
      <c r="AG299" s="25">
        <f t="shared" si="21"/>
        <v>167404452</v>
      </c>
      <c r="AH299" s="52">
        <f t="shared" si="24"/>
        <v>0</v>
      </c>
      <c r="AI299" s="6"/>
      <c r="AJ299" s="6"/>
      <c r="AK299" s="6"/>
      <c r="AL299" s="6"/>
      <c r="AM299" s="6"/>
      <c r="AN299" s="6"/>
      <c r="AO299" s="6"/>
      <c r="AP299" s="6"/>
      <c r="AQ299" s="6"/>
      <c r="AR299" s="6"/>
    </row>
    <row r="300" spans="1:44">
      <c r="A300" s="6"/>
      <c r="B300" s="6"/>
      <c r="C300" s="6"/>
      <c r="D300" s="6"/>
      <c r="E300" s="6"/>
      <c r="F300" s="6"/>
      <c r="G300" s="11"/>
      <c r="H300" s="6"/>
      <c r="I300" s="6"/>
      <c r="J300" s="6"/>
      <c r="K300" s="7"/>
      <c r="L300" s="21" t="str">
        <f>микс!$H$10</f>
        <v>продажа со склада</v>
      </c>
      <c r="M300" s="22"/>
      <c r="N300" s="22"/>
      <c r="O300" s="22" t="s">
        <v>145</v>
      </c>
      <c r="P300" s="23" t="str">
        <f>микс!$H$46</f>
        <v>Электроника и бытовая техника</v>
      </c>
      <c r="Q300" s="21" t="s">
        <v>58</v>
      </c>
      <c r="R300" s="25">
        <v>1</v>
      </c>
      <c r="S300" s="28"/>
      <c r="T300" s="31">
        <v>42217</v>
      </c>
      <c r="U300" s="33">
        <v>1906.39</v>
      </c>
      <c r="V300" s="36">
        <f t="shared" si="22"/>
        <v>1906.39</v>
      </c>
      <c r="W300" s="28"/>
      <c r="X300" s="31">
        <v>42339</v>
      </c>
      <c r="Y300" s="33">
        <v>1977</v>
      </c>
      <c r="Z300" s="189">
        <f t="shared" si="23"/>
        <v>1977</v>
      </c>
      <c r="AA300" s="190"/>
      <c r="AB300" s="31">
        <v>42249</v>
      </c>
      <c r="AC300" s="36">
        <v>1906.39</v>
      </c>
      <c r="AD300" s="8"/>
      <c r="AE300" s="6"/>
      <c r="AF300" s="52">
        <f t="shared" si="20"/>
        <v>80482066.63000001</v>
      </c>
      <c r="AG300" s="25">
        <f t="shared" si="21"/>
        <v>83704203</v>
      </c>
      <c r="AH300" s="52">
        <f t="shared" si="24"/>
        <v>80543071.109999999</v>
      </c>
      <c r="AI300" s="6"/>
      <c r="AJ300" s="6"/>
      <c r="AK300" s="6"/>
      <c r="AL300" s="6"/>
      <c r="AM300" s="6"/>
      <c r="AN300" s="6"/>
      <c r="AO300" s="6"/>
      <c r="AP300" s="6"/>
      <c r="AQ300" s="6"/>
      <c r="AR300" s="6"/>
    </row>
    <row r="301" spans="1:44">
      <c r="A301" s="6"/>
      <c r="B301" s="6"/>
      <c r="C301" s="6"/>
      <c r="D301" s="6"/>
      <c r="E301" s="6"/>
      <c r="F301" s="6"/>
      <c r="G301" s="11"/>
      <c r="H301" s="6"/>
      <c r="I301" s="6"/>
      <c r="J301" s="6"/>
      <c r="K301" s="7"/>
      <c r="L301" s="21" t="str">
        <f>микс!$H$10</f>
        <v>продажа со склада</v>
      </c>
      <c r="M301" s="22"/>
      <c r="N301" s="22"/>
      <c r="O301" s="22" t="s">
        <v>145</v>
      </c>
      <c r="P301" s="23" t="str">
        <f>микс!$H$46</f>
        <v>Электроника и бытовая техника</v>
      </c>
      <c r="Q301" s="21" t="s">
        <v>58</v>
      </c>
      <c r="R301" s="25">
        <v>1</v>
      </c>
      <c r="S301" s="28"/>
      <c r="T301" s="31">
        <v>42214</v>
      </c>
      <c r="U301" s="33">
        <v>1665.46</v>
      </c>
      <c r="V301" s="36">
        <f t="shared" si="22"/>
        <v>1665.46</v>
      </c>
      <c r="W301" s="28"/>
      <c r="X301" s="31">
        <v>42338</v>
      </c>
      <c r="Y301" s="33">
        <v>1699</v>
      </c>
      <c r="Z301" s="189">
        <f t="shared" si="23"/>
        <v>1699</v>
      </c>
      <c r="AA301" s="190"/>
      <c r="AB301" s="31">
        <v>42259</v>
      </c>
      <c r="AC301" s="36">
        <v>1665.46</v>
      </c>
      <c r="AD301" s="8"/>
      <c r="AE301" s="6"/>
      <c r="AF301" s="52">
        <f t="shared" si="20"/>
        <v>70305728.439999998</v>
      </c>
      <c r="AG301" s="25">
        <f t="shared" si="21"/>
        <v>71932262</v>
      </c>
      <c r="AH301" s="52">
        <f t="shared" si="24"/>
        <v>70380674.140000001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</row>
    <row r="302" spans="1:44">
      <c r="A302" s="6"/>
      <c r="B302" s="6"/>
      <c r="C302" s="6"/>
      <c r="D302" s="6"/>
      <c r="E302" s="6"/>
      <c r="F302" s="6"/>
      <c r="G302" s="11"/>
      <c r="H302" s="6"/>
      <c r="I302" s="6"/>
      <c r="J302" s="6"/>
      <c r="K302" s="7"/>
      <c r="L302" s="21" t="str">
        <f>микс!$H$10</f>
        <v>продажа со склада</v>
      </c>
      <c r="M302" s="22"/>
      <c r="N302" s="22"/>
      <c r="O302" s="22" t="s">
        <v>145</v>
      </c>
      <c r="P302" s="23" t="str">
        <f>микс!$H$46</f>
        <v>Электроника и бытовая техника</v>
      </c>
      <c r="Q302" s="21" t="s">
        <v>58</v>
      </c>
      <c r="R302" s="25">
        <v>1</v>
      </c>
      <c r="S302" s="28"/>
      <c r="T302" s="31">
        <v>42198</v>
      </c>
      <c r="U302" s="33">
        <v>1665.46</v>
      </c>
      <c r="V302" s="36">
        <f t="shared" si="22"/>
        <v>1665.46</v>
      </c>
      <c r="W302" s="28"/>
      <c r="X302" s="31">
        <v>42322</v>
      </c>
      <c r="Y302" s="33">
        <v>1999</v>
      </c>
      <c r="Z302" s="189">
        <f t="shared" si="23"/>
        <v>1999</v>
      </c>
      <c r="AA302" s="190"/>
      <c r="AB302" s="31">
        <v>42236</v>
      </c>
      <c r="AC302" s="36">
        <v>1665.46</v>
      </c>
      <c r="AD302" s="8"/>
      <c r="AE302" s="6"/>
      <c r="AF302" s="52">
        <f t="shared" si="20"/>
        <v>70279081.079999998</v>
      </c>
      <c r="AG302" s="25">
        <f t="shared" si="21"/>
        <v>84601678</v>
      </c>
      <c r="AH302" s="52">
        <f t="shared" si="24"/>
        <v>70342368.560000002</v>
      </c>
      <c r="AI302" s="6"/>
      <c r="AJ302" s="6"/>
      <c r="AK302" s="6"/>
      <c r="AL302" s="6"/>
      <c r="AM302" s="6"/>
      <c r="AN302" s="6"/>
      <c r="AO302" s="6"/>
      <c r="AP302" s="6"/>
      <c r="AQ302" s="6"/>
      <c r="AR302" s="6"/>
    </row>
    <row r="303" spans="1:44">
      <c r="A303" s="6"/>
      <c r="B303" s="6"/>
      <c r="C303" s="6"/>
      <c r="D303" s="6"/>
      <c r="E303" s="6"/>
      <c r="F303" s="6"/>
      <c r="G303" s="11"/>
      <c r="H303" s="6"/>
      <c r="I303" s="6"/>
      <c r="J303" s="6"/>
      <c r="K303" s="7"/>
      <c r="L303" s="21" t="str">
        <f>микс!$H$11</f>
        <v>продажа под заказ</v>
      </c>
      <c r="M303" s="22"/>
      <c r="N303" s="22"/>
      <c r="O303" s="22" t="s">
        <v>148</v>
      </c>
      <c r="P303" s="23" t="str">
        <f>микс!$H$49</f>
        <v>Товары для детей</v>
      </c>
      <c r="Q303" s="21" t="s">
        <v>60</v>
      </c>
      <c r="R303" s="25">
        <v>1</v>
      </c>
      <c r="S303" s="28"/>
      <c r="T303" s="31">
        <v>42333</v>
      </c>
      <c r="U303" s="33">
        <v>3078</v>
      </c>
      <c r="V303" s="36">
        <f t="shared" si="22"/>
        <v>3078</v>
      </c>
      <c r="W303" s="28"/>
      <c r="X303" s="31">
        <v>42342</v>
      </c>
      <c r="Y303" s="33">
        <v>3773</v>
      </c>
      <c r="Z303" s="189">
        <f t="shared" si="23"/>
        <v>3773</v>
      </c>
      <c r="AA303" s="190"/>
      <c r="AB303" s="31">
        <v>42345</v>
      </c>
      <c r="AC303" s="36">
        <v>3078</v>
      </c>
      <c r="AD303" s="8"/>
      <c r="AE303" s="6"/>
      <c r="AF303" s="52">
        <f t="shared" si="20"/>
        <v>130300974</v>
      </c>
      <c r="AG303" s="25">
        <f t="shared" si="21"/>
        <v>159756366</v>
      </c>
      <c r="AH303" s="52">
        <f t="shared" si="24"/>
        <v>130337910</v>
      </c>
      <c r="AI303" s="6"/>
      <c r="AJ303" s="6"/>
      <c r="AK303" s="6"/>
      <c r="AL303" s="6"/>
      <c r="AM303" s="6"/>
      <c r="AN303" s="6"/>
      <c r="AO303" s="6"/>
      <c r="AP303" s="6"/>
      <c r="AQ303" s="6"/>
      <c r="AR303" s="6"/>
    </row>
    <row r="304" spans="1:44">
      <c r="A304" s="6"/>
      <c r="B304" s="6"/>
      <c r="C304" s="6"/>
      <c r="D304" s="6"/>
      <c r="E304" s="6"/>
      <c r="F304" s="6"/>
      <c r="G304" s="11"/>
      <c r="H304" s="6"/>
      <c r="I304" s="6"/>
      <c r="J304" s="6"/>
      <c r="K304" s="7"/>
      <c r="L304" s="21" t="str">
        <f>микс!$H$11</f>
        <v>продажа под заказ</v>
      </c>
      <c r="M304" s="22"/>
      <c r="N304" s="22"/>
      <c r="O304" s="22" t="s">
        <v>148</v>
      </c>
      <c r="P304" s="23" t="str">
        <f>микс!$H$49</f>
        <v>Товары для детей</v>
      </c>
      <c r="Q304" s="21" t="s">
        <v>60</v>
      </c>
      <c r="R304" s="25">
        <v>1</v>
      </c>
      <c r="S304" s="28"/>
      <c r="T304" s="31">
        <v>42336</v>
      </c>
      <c r="U304" s="33">
        <v>3078</v>
      </c>
      <c r="V304" s="36">
        <f t="shared" si="22"/>
        <v>3078</v>
      </c>
      <c r="W304" s="28"/>
      <c r="X304" s="31">
        <v>42341</v>
      </c>
      <c r="Y304" s="33">
        <v>3655</v>
      </c>
      <c r="Z304" s="189">
        <f t="shared" si="23"/>
        <v>3655</v>
      </c>
      <c r="AA304" s="190"/>
      <c r="AB304" s="31">
        <v>42346</v>
      </c>
      <c r="AC304" s="36">
        <v>3078</v>
      </c>
      <c r="AD304" s="8"/>
      <c r="AE304" s="6"/>
      <c r="AF304" s="52">
        <f t="shared" si="20"/>
        <v>130310208</v>
      </c>
      <c r="AG304" s="25">
        <f t="shared" si="21"/>
        <v>154756355</v>
      </c>
      <c r="AH304" s="52">
        <f t="shared" si="24"/>
        <v>130340988</v>
      </c>
      <c r="AI304" s="6"/>
      <c r="AJ304" s="6"/>
      <c r="AK304" s="6"/>
      <c r="AL304" s="6"/>
      <c r="AM304" s="6"/>
      <c r="AN304" s="6"/>
      <c r="AO304" s="6"/>
      <c r="AP304" s="6"/>
      <c r="AQ304" s="6"/>
      <c r="AR304" s="6"/>
    </row>
    <row r="305" spans="1:44">
      <c r="A305" s="6"/>
      <c r="B305" s="6"/>
      <c r="C305" s="6"/>
      <c r="D305" s="6"/>
      <c r="E305" s="6"/>
      <c r="F305" s="6"/>
      <c r="G305" s="11"/>
      <c r="H305" s="6"/>
      <c r="I305" s="6"/>
      <c r="J305" s="6"/>
      <c r="K305" s="7"/>
      <c r="L305" s="21" t="str">
        <f>микс!$H$11</f>
        <v>продажа под заказ</v>
      </c>
      <c r="M305" s="22"/>
      <c r="N305" s="22"/>
      <c r="O305" s="22" t="s">
        <v>148</v>
      </c>
      <c r="P305" s="23" t="str">
        <f>микс!$H$49</f>
        <v>Товары для детей</v>
      </c>
      <c r="Q305" s="21" t="s">
        <v>60</v>
      </c>
      <c r="R305" s="25">
        <v>1</v>
      </c>
      <c r="S305" s="28"/>
      <c r="T305" s="31">
        <v>42336</v>
      </c>
      <c r="U305" s="33">
        <v>3078</v>
      </c>
      <c r="V305" s="36">
        <f t="shared" si="22"/>
        <v>3078</v>
      </c>
      <c r="W305" s="28"/>
      <c r="X305" s="31">
        <v>42347</v>
      </c>
      <c r="Y305" s="33">
        <v>3655</v>
      </c>
      <c r="Z305" s="189">
        <f t="shared" si="23"/>
        <v>3655</v>
      </c>
      <c r="AA305" s="190"/>
      <c r="AB305" s="31"/>
      <c r="AC305" s="36"/>
      <c r="AD305" s="8"/>
      <c r="AE305" s="6"/>
      <c r="AF305" s="52">
        <f t="shared" si="20"/>
        <v>130310208</v>
      </c>
      <c r="AG305" s="25">
        <f t="shared" si="21"/>
        <v>154778285</v>
      </c>
      <c r="AH305" s="52">
        <f t="shared" si="24"/>
        <v>0</v>
      </c>
      <c r="AI305" s="6"/>
      <c r="AJ305" s="6"/>
      <c r="AK305" s="6"/>
      <c r="AL305" s="6"/>
      <c r="AM305" s="6"/>
      <c r="AN305" s="6"/>
      <c r="AO305" s="6"/>
      <c r="AP305" s="6"/>
      <c r="AQ305" s="6"/>
      <c r="AR305" s="6"/>
    </row>
    <row r="306" spans="1:44">
      <c r="A306" s="6"/>
      <c r="B306" s="6"/>
      <c r="C306" s="6"/>
      <c r="D306" s="6"/>
      <c r="E306" s="6"/>
      <c r="F306" s="6"/>
      <c r="G306" s="11"/>
      <c r="H306" s="6"/>
      <c r="I306" s="6"/>
      <c r="J306" s="6"/>
      <c r="K306" s="7"/>
      <c r="L306" s="21" t="str">
        <f>микс!$H$11</f>
        <v>продажа под заказ</v>
      </c>
      <c r="M306" s="22"/>
      <c r="N306" s="22"/>
      <c r="O306" s="22" t="s">
        <v>138</v>
      </c>
      <c r="P306" s="23" t="str">
        <f>микс!$H$49</f>
        <v>Товары для детей</v>
      </c>
      <c r="Q306" s="21" t="s">
        <v>60</v>
      </c>
      <c r="R306" s="25">
        <v>1</v>
      </c>
      <c r="S306" s="28"/>
      <c r="T306" s="31">
        <v>42338</v>
      </c>
      <c r="U306" s="33">
        <v>1125</v>
      </c>
      <c r="V306" s="36">
        <f t="shared" si="22"/>
        <v>1125</v>
      </c>
      <c r="W306" s="28"/>
      <c r="X306" s="31">
        <v>42346</v>
      </c>
      <c r="Y306" s="33">
        <v>1224</v>
      </c>
      <c r="Z306" s="189">
        <f t="shared" si="23"/>
        <v>1224</v>
      </c>
      <c r="AA306" s="190"/>
      <c r="AB306" s="31">
        <v>42368</v>
      </c>
      <c r="AC306" s="36">
        <v>1125</v>
      </c>
      <c r="AD306" s="8"/>
      <c r="AE306" s="6"/>
      <c r="AF306" s="52">
        <f t="shared" si="20"/>
        <v>47630250</v>
      </c>
      <c r="AG306" s="25">
        <f t="shared" si="21"/>
        <v>51831504</v>
      </c>
      <c r="AH306" s="52">
        <f t="shared" si="24"/>
        <v>47664000</v>
      </c>
      <c r="AI306" s="6"/>
      <c r="AJ306" s="6"/>
      <c r="AK306" s="6"/>
      <c r="AL306" s="6"/>
      <c r="AM306" s="6"/>
      <c r="AN306" s="6"/>
      <c r="AO306" s="6"/>
      <c r="AP306" s="6"/>
      <c r="AQ306" s="6"/>
      <c r="AR306" s="6"/>
    </row>
    <row r="307" spans="1:44">
      <c r="A307" s="6"/>
      <c r="B307" s="6"/>
      <c r="C307" s="6"/>
      <c r="D307" s="6"/>
      <c r="E307" s="6"/>
      <c r="F307" s="6"/>
      <c r="G307" s="11"/>
      <c r="H307" s="6"/>
      <c r="I307" s="6"/>
      <c r="J307" s="6"/>
      <c r="K307" s="7"/>
      <c r="L307" s="21" t="str">
        <f>микс!$H$11</f>
        <v>продажа под заказ</v>
      </c>
      <c r="M307" s="22"/>
      <c r="N307" s="22"/>
      <c r="O307" s="22" t="s">
        <v>138</v>
      </c>
      <c r="P307" s="23" t="str">
        <f>микс!$H$49</f>
        <v>Товары для детей</v>
      </c>
      <c r="Q307" s="21" t="s">
        <v>60</v>
      </c>
      <c r="R307" s="25">
        <v>1</v>
      </c>
      <c r="S307" s="28"/>
      <c r="T307" s="31">
        <v>42338</v>
      </c>
      <c r="U307" s="33">
        <v>1125</v>
      </c>
      <c r="V307" s="36">
        <f t="shared" si="22"/>
        <v>1125</v>
      </c>
      <c r="W307" s="28"/>
      <c r="X307" s="31">
        <v>42348</v>
      </c>
      <c r="Y307" s="33">
        <v>1224</v>
      </c>
      <c r="Z307" s="189">
        <f t="shared" si="23"/>
        <v>1224</v>
      </c>
      <c r="AA307" s="190"/>
      <c r="AB307" s="31">
        <v>42368</v>
      </c>
      <c r="AC307" s="36">
        <v>1125</v>
      </c>
      <c r="AD307" s="8"/>
      <c r="AE307" s="6"/>
      <c r="AF307" s="52">
        <f t="shared" si="20"/>
        <v>47630250</v>
      </c>
      <c r="AG307" s="25">
        <f t="shared" si="21"/>
        <v>51833952</v>
      </c>
      <c r="AH307" s="52">
        <f t="shared" si="24"/>
        <v>47664000</v>
      </c>
      <c r="AI307" s="6"/>
      <c r="AJ307" s="6"/>
      <c r="AK307" s="6"/>
      <c r="AL307" s="6"/>
      <c r="AM307" s="6"/>
      <c r="AN307" s="6"/>
      <c r="AO307" s="6"/>
      <c r="AP307" s="6"/>
      <c r="AQ307" s="6"/>
      <c r="AR307" s="6"/>
    </row>
    <row r="308" spans="1:44">
      <c r="A308" s="6"/>
      <c r="B308" s="6"/>
      <c r="C308" s="6"/>
      <c r="D308" s="6"/>
      <c r="E308" s="6"/>
      <c r="F308" s="6"/>
      <c r="G308" s="11"/>
      <c r="H308" s="6"/>
      <c r="I308" s="6"/>
      <c r="J308" s="6"/>
      <c r="K308" s="7"/>
      <c r="L308" s="21" t="str">
        <f>микс!$H$11</f>
        <v>продажа под заказ</v>
      </c>
      <c r="M308" s="22"/>
      <c r="N308" s="22"/>
      <c r="O308" s="22" t="s">
        <v>138</v>
      </c>
      <c r="P308" s="23" t="str">
        <f>микс!$H$49</f>
        <v>Товары для детей</v>
      </c>
      <c r="Q308" s="21" t="s">
        <v>60</v>
      </c>
      <c r="R308" s="25">
        <v>1</v>
      </c>
      <c r="S308" s="28"/>
      <c r="T308" s="31">
        <v>42337</v>
      </c>
      <c r="U308" s="33">
        <v>1125</v>
      </c>
      <c r="V308" s="36">
        <f t="shared" si="22"/>
        <v>1125</v>
      </c>
      <c r="W308" s="28"/>
      <c r="X308" s="31">
        <v>42341</v>
      </c>
      <c r="Y308" s="33">
        <v>1224</v>
      </c>
      <c r="Z308" s="189">
        <f t="shared" si="23"/>
        <v>1224</v>
      </c>
      <c r="AA308" s="190"/>
      <c r="AB308" s="31"/>
      <c r="AC308" s="36"/>
      <c r="AD308" s="8"/>
      <c r="AE308" s="6"/>
      <c r="AF308" s="52">
        <f t="shared" si="20"/>
        <v>47629125</v>
      </c>
      <c r="AG308" s="25">
        <f t="shared" si="21"/>
        <v>51825384</v>
      </c>
      <c r="AH308" s="52">
        <f t="shared" si="24"/>
        <v>0</v>
      </c>
      <c r="AI308" s="6"/>
      <c r="AJ308" s="6"/>
      <c r="AK308" s="6"/>
      <c r="AL308" s="6"/>
      <c r="AM308" s="6"/>
      <c r="AN308" s="6"/>
      <c r="AO308" s="6"/>
      <c r="AP308" s="6"/>
      <c r="AQ308" s="6"/>
      <c r="AR308" s="6"/>
    </row>
    <row r="309" spans="1:44">
      <c r="A309" s="6"/>
      <c r="B309" s="6"/>
      <c r="C309" s="6"/>
      <c r="D309" s="6"/>
      <c r="E309" s="6"/>
      <c r="F309" s="6"/>
      <c r="G309" s="11"/>
      <c r="H309" s="6"/>
      <c r="I309" s="6"/>
      <c r="J309" s="6"/>
      <c r="K309" s="7"/>
      <c r="L309" s="21" t="str">
        <f>микс!$H$11</f>
        <v>продажа под заказ</v>
      </c>
      <c r="M309" s="22"/>
      <c r="N309" s="22"/>
      <c r="O309" s="22" t="s">
        <v>138</v>
      </c>
      <c r="P309" s="23" t="str">
        <f>микс!$H$49</f>
        <v>Товары для детей</v>
      </c>
      <c r="Q309" s="21" t="s">
        <v>60</v>
      </c>
      <c r="R309" s="25">
        <v>1</v>
      </c>
      <c r="S309" s="28"/>
      <c r="T309" s="31">
        <v>42335</v>
      </c>
      <c r="U309" s="33">
        <v>1124.99</v>
      </c>
      <c r="V309" s="36">
        <f t="shared" si="22"/>
        <v>1124.99</v>
      </c>
      <c r="W309" s="28"/>
      <c r="X309" s="31">
        <v>42347</v>
      </c>
      <c r="Y309" s="33">
        <v>1224</v>
      </c>
      <c r="Z309" s="189">
        <f t="shared" si="23"/>
        <v>1224</v>
      </c>
      <c r="AA309" s="190"/>
      <c r="AB309" s="31"/>
      <c r="AC309" s="36"/>
      <c r="AD309" s="8"/>
      <c r="AE309" s="6"/>
      <c r="AF309" s="52">
        <f t="shared" si="20"/>
        <v>47626451.649999999</v>
      </c>
      <c r="AG309" s="25">
        <f t="shared" si="21"/>
        <v>51832728</v>
      </c>
      <c r="AH309" s="52">
        <f t="shared" si="24"/>
        <v>0</v>
      </c>
      <c r="AI309" s="6"/>
      <c r="AJ309" s="6"/>
      <c r="AK309" s="6"/>
      <c r="AL309" s="6"/>
      <c r="AM309" s="6"/>
      <c r="AN309" s="6"/>
      <c r="AO309" s="6"/>
      <c r="AP309" s="6"/>
      <c r="AQ309" s="6"/>
      <c r="AR309" s="6"/>
    </row>
    <row r="310" spans="1:44">
      <c r="A310" s="6"/>
      <c r="B310" s="6"/>
      <c r="C310" s="6"/>
      <c r="D310" s="6"/>
      <c r="E310" s="6"/>
      <c r="F310" s="6"/>
      <c r="G310" s="11"/>
      <c r="H310" s="6"/>
      <c r="I310" s="6"/>
      <c r="J310" s="6"/>
      <c r="K310" s="7"/>
      <c r="L310" s="21" t="str">
        <f>микс!$H$10</f>
        <v>продажа со склада</v>
      </c>
      <c r="M310" s="22"/>
      <c r="N310" s="22"/>
      <c r="O310" s="22" t="s">
        <v>138</v>
      </c>
      <c r="P310" s="23" t="str">
        <f>микс!$H$49</f>
        <v>Товары для детей</v>
      </c>
      <c r="Q310" s="21" t="s">
        <v>60</v>
      </c>
      <c r="R310" s="25">
        <v>1</v>
      </c>
      <c r="S310" s="28"/>
      <c r="T310" s="31">
        <v>42214</v>
      </c>
      <c r="U310" s="33">
        <v>1124.99</v>
      </c>
      <c r="V310" s="36">
        <f t="shared" si="22"/>
        <v>1124.99</v>
      </c>
      <c r="W310" s="28"/>
      <c r="X310" s="31">
        <v>42341</v>
      </c>
      <c r="Y310" s="33">
        <v>1339</v>
      </c>
      <c r="Z310" s="189">
        <f t="shared" si="23"/>
        <v>1339</v>
      </c>
      <c r="AA310" s="190"/>
      <c r="AB310" s="31">
        <v>42264</v>
      </c>
      <c r="AC310" s="36">
        <v>1124.99</v>
      </c>
      <c r="AD310" s="8"/>
      <c r="AE310" s="6"/>
      <c r="AF310" s="52">
        <f t="shared" si="20"/>
        <v>47490327.859999999</v>
      </c>
      <c r="AG310" s="25">
        <f t="shared" si="21"/>
        <v>56694599</v>
      </c>
      <c r="AH310" s="52">
        <f t="shared" si="24"/>
        <v>47546577.359999999</v>
      </c>
      <c r="AI310" s="6"/>
      <c r="AJ310" s="6"/>
      <c r="AK310" s="6"/>
      <c r="AL310" s="6"/>
      <c r="AM310" s="6"/>
      <c r="AN310" s="6"/>
      <c r="AO310" s="6"/>
      <c r="AP310" s="6"/>
      <c r="AQ310" s="6"/>
      <c r="AR310" s="6"/>
    </row>
    <row r="311" spans="1:44">
      <c r="A311" s="6"/>
      <c r="B311" s="6"/>
      <c r="C311" s="6"/>
      <c r="D311" s="6"/>
      <c r="E311" s="6"/>
      <c r="F311" s="6"/>
      <c r="G311" s="11"/>
      <c r="H311" s="6"/>
      <c r="I311" s="6"/>
      <c r="J311" s="6"/>
      <c r="K311" s="7"/>
      <c r="L311" s="21" t="str">
        <f>микс!$H$10</f>
        <v>продажа со склада</v>
      </c>
      <c r="M311" s="22"/>
      <c r="N311" s="22"/>
      <c r="O311" s="22" t="s">
        <v>138</v>
      </c>
      <c r="P311" s="23" t="str">
        <f>микс!$H$49</f>
        <v>Товары для детей</v>
      </c>
      <c r="Q311" s="21" t="s">
        <v>60</v>
      </c>
      <c r="R311" s="25">
        <v>1</v>
      </c>
      <c r="S311" s="28"/>
      <c r="T311" s="31">
        <v>42203</v>
      </c>
      <c r="U311" s="33">
        <v>1125</v>
      </c>
      <c r="V311" s="36">
        <f t="shared" si="22"/>
        <v>1125</v>
      </c>
      <c r="W311" s="28"/>
      <c r="X311" s="31">
        <v>42324</v>
      </c>
      <c r="Y311" s="33">
        <v>1723</v>
      </c>
      <c r="Z311" s="189">
        <f t="shared" si="23"/>
        <v>1723</v>
      </c>
      <c r="AA311" s="190"/>
      <c r="AB311" s="31">
        <v>42263</v>
      </c>
      <c r="AC311" s="36">
        <v>1125</v>
      </c>
      <c r="AD311" s="8"/>
      <c r="AE311" s="6"/>
      <c r="AF311" s="52">
        <f t="shared" si="20"/>
        <v>47478375</v>
      </c>
      <c r="AG311" s="25">
        <f t="shared" si="21"/>
        <v>72924252</v>
      </c>
      <c r="AH311" s="52">
        <f t="shared" si="24"/>
        <v>47545875</v>
      </c>
      <c r="AI311" s="6"/>
      <c r="AJ311" s="6"/>
      <c r="AK311" s="6"/>
      <c r="AL311" s="6"/>
      <c r="AM311" s="6"/>
      <c r="AN311" s="6"/>
      <c r="AO311" s="6"/>
      <c r="AP311" s="6"/>
      <c r="AQ311" s="6"/>
      <c r="AR311" s="6"/>
    </row>
    <row r="312" spans="1:44">
      <c r="A312" s="6"/>
      <c r="B312" s="6"/>
      <c r="C312" s="6"/>
      <c r="D312" s="6"/>
      <c r="E312" s="6"/>
      <c r="F312" s="6"/>
      <c r="G312" s="11"/>
      <c r="H312" s="6"/>
      <c r="I312" s="6"/>
      <c r="J312" s="6"/>
      <c r="K312" s="7"/>
      <c r="L312" s="21" t="str">
        <f>микс!$H$10</f>
        <v>продажа со склада</v>
      </c>
      <c r="M312" s="22"/>
      <c r="N312" s="22"/>
      <c r="O312" s="22" t="s">
        <v>138</v>
      </c>
      <c r="P312" s="23" t="str">
        <f>микс!$H$49</f>
        <v>Товары для детей</v>
      </c>
      <c r="Q312" s="21" t="s">
        <v>60</v>
      </c>
      <c r="R312" s="25">
        <v>1</v>
      </c>
      <c r="S312" s="28"/>
      <c r="T312" s="31">
        <v>42201</v>
      </c>
      <c r="U312" s="33">
        <v>1125</v>
      </c>
      <c r="V312" s="36">
        <f t="shared" si="22"/>
        <v>1125</v>
      </c>
      <c r="W312" s="28"/>
      <c r="X312" s="31">
        <v>42323</v>
      </c>
      <c r="Y312" s="33">
        <v>1723</v>
      </c>
      <c r="Z312" s="189">
        <f t="shared" si="23"/>
        <v>1723</v>
      </c>
      <c r="AA312" s="190"/>
      <c r="AB312" s="31">
        <v>42231</v>
      </c>
      <c r="AC312" s="36">
        <v>1125</v>
      </c>
      <c r="AD312" s="8"/>
      <c r="AE312" s="6"/>
      <c r="AF312" s="52">
        <f t="shared" si="20"/>
        <v>47476125</v>
      </c>
      <c r="AG312" s="25">
        <f t="shared" si="21"/>
        <v>72922529</v>
      </c>
      <c r="AH312" s="52">
        <f t="shared" si="24"/>
        <v>47509875</v>
      </c>
      <c r="AI312" s="6"/>
      <c r="AJ312" s="6"/>
      <c r="AK312" s="6"/>
      <c r="AL312" s="6"/>
      <c r="AM312" s="6"/>
      <c r="AN312" s="6"/>
      <c r="AO312" s="6"/>
      <c r="AP312" s="6"/>
      <c r="AQ312" s="6"/>
      <c r="AR312" s="6"/>
    </row>
    <row r="313" spans="1:44">
      <c r="A313" s="6"/>
      <c r="B313" s="6"/>
      <c r="C313" s="6"/>
      <c r="D313" s="6"/>
      <c r="E313" s="6"/>
      <c r="F313" s="6"/>
      <c r="G313" s="11"/>
      <c r="H313" s="6"/>
      <c r="I313" s="6"/>
      <c r="J313" s="6"/>
      <c r="K313" s="7"/>
      <c r="L313" s="21" t="str">
        <f>микс!$H$11</f>
        <v>продажа под заказ</v>
      </c>
      <c r="M313" s="22"/>
      <c r="N313" s="22"/>
      <c r="O313" s="22" t="s">
        <v>138</v>
      </c>
      <c r="P313" s="23" t="str">
        <f>микс!$H$49</f>
        <v>Товары для детей</v>
      </c>
      <c r="Q313" s="21" t="s">
        <v>60</v>
      </c>
      <c r="R313" s="25">
        <v>1</v>
      </c>
      <c r="S313" s="28"/>
      <c r="T313" s="31">
        <v>42301</v>
      </c>
      <c r="U313" s="33">
        <v>1125</v>
      </c>
      <c r="V313" s="36">
        <f t="shared" si="22"/>
        <v>1125</v>
      </c>
      <c r="W313" s="28"/>
      <c r="X313" s="31">
        <v>42305</v>
      </c>
      <c r="Y313" s="33">
        <v>1491</v>
      </c>
      <c r="Z313" s="189">
        <f t="shared" si="23"/>
        <v>1491</v>
      </c>
      <c r="AA313" s="190"/>
      <c r="AB313" s="31">
        <v>42321</v>
      </c>
      <c r="AC313" s="36">
        <v>1125</v>
      </c>
      <c r="AD313" s="8"/>
      <c r="AE313" s="6"/>
      <c r="AF313" s="52">
        <f t="shared" si="20"/>
        <v>47588625</v>
      </c>
      <c r="AG313" s="25">
        <f t="shared" si="21"/>
        <v>63076755</v>
      </c>
      <c r="AH313" s="52">
        <f t="shared" si="24"/>
        <v>47611125</v>
      </c>
      <c r="AI313" s="6"/>
      <c r="AJ313" s="6"/>
      <c r="AK313" s="6"/>
      <c r="AL313" s="6"/>
      <c r="AM313" s="6"/>
      <c r="AN313" s="6"/>
      <c r="AO313" s="6"/>
      <c r="AP313" s="6"/>
      <c r="AQ313" s="6"/>
      <c r="AR313" s="6"/>
    </row>
    <row r="314" spans="1:44">
      <c r="A314" s="6"/>
      <c r="B314" s="6"/>
      <c r="C314" s="6"/>
      <c r="D314" s="6"/>
      <c r="E314" s="6"/>
      <c r="F314" s="6"/>
      <c r="G314" s="11"/>
      <c r="H314" s="6"/>
      <c r="I314" s="6"/>
      <c r="J314" s="6"/>
      <c r="K314" s="7"/>
      <c r="L314" s="21" t="str">
        <f>микс!$H$10</f>
        <v>продажа со склада</v>
      </c>
      <c r="M314" s="22"/>
      <c r="N314" s="22"/>
      <c r="O314" s="22" t="s">
        <v>138</v>
      </c>
      <c r="P314" s="23" t="str">
        <f>микс!$H$49</f>
        <v>Товары для детей</v>
      </c>
      <c r="Q314" s="21" t="s">
        <v>60</v>
      </c>
      <c r="R314" s="25">
        <v>1</v>
      </c>
      <c r="S314" s="28"/>
      <c r="T314" s="31">
        <v>42186</v>
      </c>
      <c r="U314" s="33">
        <v>1305</v>
      </c>
      <c r="V314" s="36">
        <f t="shared" si="22"/>
        <v>1305</v>
      </c>
      <c r="W314" s="28"/>
      <c r="X314" s="31">
        <v>42316</v>
      </c>
      <c r="Y314" s="33">
        <v>1491</v>
      </c>
      <c r="Z314" s="189">
        <f t="shared" si="23"/>
        <v>1491</v>
      </c>
      <c r="AA314" s="190"/>
      <c r="AB314" s="31">
        <v>42196</v>
      </c>
      <c r="AC314" s="36">
        <v>1305</v>
      </c>
      <c r="AD314" s="8"/>
      <c r="AE314" s="6"/>
      <c r="AF314" s="52">
        <f t="shared" si="20"/>
        <v>55052730</v>
      </c>
      <c r="AG314" s="25">
        <f t="shared" si="21"/>
        <v>63093156</v>
      </c>
      <c r="AH314" s="52">
        <f t="shared" si="24"/>
        <v>55065780</v>
      </c>
      <c r="AI314" s="6"/>
      <c r="AJ314" s="6"/>
      <c r="AK314" s="6"/>
      <c r="AL314" s="6"/>
      <c r="AM314" s="6"/>
      <c r="AN314" s="6"/>
      <c r="AO314" s="6"/>
      <c r="AP314" s="6"/>
      <c r="AQ314" s="6"/>
      <c r="AR314" s="6"/>
    </row>
    <row r="315" spans="1:44">
      <c r="A315" s="6"/>
      <c r="B315" s="6"/>
      <c r="C315" s="6"/>
      <c r="D315" s="6"/>
      <c r="E315" s="6"/>
      <c r="F315" s="6"/>
      <c r="G315" s="11"/>
      <c r="H315" s="6"/>
      <c r="I315" s="6"/>
      <c r="J315" s="6"/>
      <c r="K315" s="7"/>
      <c r="L315" s="21" t="str">
        <f>микс!$H$10</f>
        <v>продажа со склада</v>
      </c>
      <c r="M315" s="22"/>
      <c r="N315" s="22"/>
      <c r="O315" s="22" t="s">
        <v>138</v>
      </c>
      <c r="P315" s="23" t="str">
        <f>микс!$H$49</f>
        <v>Товары для детей</v>
      </c>
      <c r="Q315" s="21" t="s">
        <v>60</v>
      </c>
      <c r="R315" s="25">
        <v>1</v>
      </c>
      <c r="S315" s="28"/>
      <c r="T315" s="31">
        <v>42166</v>
      </c>
      <c r="U315" s="33">
        <v>1125</v>
      </c>
      <c r="V315" s="36">
        <f t="shared" si="22"/>
        <v>1125</v>
      </c>
      <c r="W315" s="28"/>
      <c r="X315" s="31">
        <v>42317</v>
      </c>
      <c r="Y315" s="33">
        <v>1723</v>
      </c>
      <c r="Z315" s="189">
        <f t="shared" si="23"/>
        <v>1723</v>
      </c>
      <c r="AA315" s="190"/>
      <c r="AB315" s="31"/>
      <c r="AC315" s="36"/>
      <c r="AD315" s="8"/>
      <c r="AE315" s="6"/>
      <c r="AF315" s="52">
        <f t="shared" si="20"/>
        <v>47436750</v>
      </c>
      <c r="AG315" s="25">
        <f t="shared" si="21"/>
        <v>72912191</v>
      </c>
      <c r="AH315" s="52">
        <f t="shared" si="24"/>
        <v>0</v>
      </c>
      <c r="AI315" s="6"/>
      <c r="AJ315" s="6"/>
      <c r="AK315" s="6"/>
      <c r="AL315" s="6"/>
      <c r="AM315" s="6"/>
      <c r="AN315" s="6"/>
      <c r="AO315" s="6"/>
      <c r="AP315" s="6"/>
      <c r="AQ315" s="6"/>
      <c r="AR315" s="6"/>
    </row>
    <row r="316" spans="1:44">
      <c r="A316" s="6"/>
      <c r="B316" s="6"/>
      <c r="C316" s="6"/>
      <c r="D316" s="6"/>
      <c r="E316" s="6"/>
      <c r="F316" s="6"/>
      <c r="G316" s="11"/>
      <c r="H316" s="6"/>
      <c r="I316" s="6"/>
      <c r="J316" s="6"/>
      <c r="K316" s="7"/>
      <c r="L316" s="21" t="str">
        <f>микс!$H$11</f>
        <v>продажа под заказ</v>
      </c>
      <c r="M316" s="22"/>
      <c r="N316" s="22"/>
      <c r="O316" s="22" t="s">
        <v>138</v>
      </c>
      <c r="P316" s="23" t="str">
        <f>микс!$H$49</f>
        <v>Товары для детей</v>
      </c>
      <c r="Q316" s="21" t="s">
        <v>60</v>
      </c>
      <c r="R316" s="25">
        <v>1</v>
      </c>
      <c r="S316" s="28"/>
      <c r="T316" s="31">
        <v>42298</v>
      </c>
      <c r="U316" s="33">
        <v>1125</v>
      </c>
      <c r="V316" s="36">
        <f t="shared" si="22"/>
        <v>1125</v>
      </c>
      <c r="W316" s="28"/>
      <c r="X316" s="31">
        <v>42301</v>
      </c>
      <c r="Y316" s="33">
        <v>1491</v>
      </c>
      <c r="Z316" s="189">
        <f t="shared" si="23"/>
        <v>1491</v>
      </c>
      <c r="AA316" s="190"/>
      <c r="AB316" s="31">
        <v>42328</v>
      </c>
      <c r="AC316" s="36">
        <v>1125</v>
      </c>
      <c r="AD316" s="8"/>
      <c r="AE316" s="6"/>
      <c r="AF316" s="52">
        <f t="shared" si="20"/>
        <v>47585250</v>
      </c>
      <c r="AG316" s="25">
        <f t="shared" si="21"/>
        <v>63070791</v>
      </c>
      <c r="AH316" s="52">
        <f t="shared" si="24"/>
        <v>47619000</v>
      </c>
      <c r="AI316" s="6"/>
      <c r="AJ316" s="6"/>
      <c r="AK316" s="6"/>
      <c r="AL316" s="6"/>
      <c r="AM316" s="6"/>
      <c r="AN316" s="6"/>
      <c r="AO316" s="6"/>
      <c r="AP316" s="6"/>
      <c r="AQ316" s="6"/>
      <c r="AR316" s="6"/>
    </row>
    <row r="317" spans="1:44">
      <c r="A317" s="6"/>
      <c r="B317" s="6"/>
      <c r="C317" s="6"/>
      <c r="D317" s="6"/>
      <c r="E317" s="6"/>
      <c r="F317" s="6"/>
      <c r="G317" s="11"/>
      <c r="H317" s="6"/>
      <c r="I317" s="6"/>
      <c r="J317" s="6"/>
      <c r="K317" s="7"/>
      <c r="L317" s="21" t="str">
        <f>микс!$H$11</f>
        <v>продажа под заказ</v>
      </c>
      <c r="M317" s="22"/>
      <c r="N317" s="22"/>
      <c r="O317" s="22" t="s">
        <v>138</v>
      </c>
      <c r="P317" s="23" t="str">
        <f>микс!$H$49</f>
        <v>Товары для детей</v>
      </c>
      <c r="Q317" s="21" t="s">
        <v>60</v>
      </c>
      <c r="R317" s="25">
        <v>1</v>
      </c>
      <c r="S317" s="28"/>
      <c r="T317" s="31">
        <v>42294</v>
      </c>
      <c r="U317" s="33">
        <v>1125</v>
      </c>
      <c r="V317" s="36">
        <f t="shared" si="22"/>
        <v>1125</v>
      </c>
      <c r="W317" s="28"/>
      <c r="X317" s="31">
        <v>42298</v>
      </c>
      <c r="Y317" s="33">
        <v>1491</v>
      </c>
      <c r="Z317" s="189">
        <f t="shared" si="23"/>
        <v>1491</v>
      </c>
      <c r="AA317" s="190"/>
      <c r="AB317" s="31">
        <v>42315</v>
      </c>
      <c r="AC317" s="36">
        <v>1125</v>
      </c>
      <c r="AD317" s="8"/>
      <c r="AE317" s="6"/>
      <c r="AF317" s="52">
        <f t="shared" si="20"/>
        <v>47580750</v>
      </c>
      <c r="AG317" s="25">
        <f t="shared" si="21"/>
        <v>63066318</v>
      </c>
      <c r="AH317" s="52">
        <f t="shared" si="24"/>
        <v>47604375</v>
      </c>
      <c r="AI317" s="6"/>
      <c r="AJ317" s="6"/>
      <c r="AK317" s="6"/>
      <c r="AL317" s="6"/>
      <c r="AM317" s="6"/>
      <c r="AN317" s="6"/>
      <c r="AO317" s="6"/>
      <c r="AP317" s="6"/>
      <c r="AQ317" s="6"/>
      <c r="AR317" s="6"/>
    </row>
    <row r="318" spans="1:44">
      <c r="A318" s="6"/>
      <c r="B318" s="6"/>
      <c r="C318" s="6"/>
      <c r="D318" s="6"/>
      <c r="E318" s="6"/>
      <c r="F318" s="6"/>
      <c r="G318" s="11"/>
      <c r="H318" s="6"/>
      <c r="I318" s="6"/>
      <c r="J318" s="6"/>
      <c r="K318" s="7"/>
      <c r="L318" s="21" t="str">
        <f>микс!$H$11</f>
        <v>продажа под заказ</v>
      </c>
      <c r="M318" s="22"/>
      <c r="N318" s="22"/>
      <c r="O318" s="22" t="s">
        <v>138</v>
      </c>
      <c r="P318" s="23" t="str">
        <f>микс!$H$49</f>
        <v>Товары для детей</v>
      </c>
      <c r="Q318" s="21" t="s">
        <v>60</v>
      </c>
      <c r="R318" s="25">
        <v>1</v>
      </c>
      <c r="S318" s="28"/>
      <c r="T318" s="31">
        <v>42296</v>
      </c>
      <c r="U318" s="33">
        <v>1125</v>
      </c>
      <c r="V318" s="36">
        <f t="shared" si="22"/>
        <v>1125</v>
      </c>
      <c r="W318" s="28"/>
      <c r="X318" s="31">
        <v>42298</v>
      </c>
      <c r="Y318" s="33">
        <v>1491</v>
      </c>
      <c r="Z318" s="189">
        <f t="shared" si="23"/>
        <v>1491</v>
      </c>
      <c r="AA318" s="190"/>
      <c r="AB318" s="31"/>
      <c r="AC318" s="36"/>
      <c r="AD318" s="8"/>
      <c r="AE318" s="6"/>
      <c r="AF318" s="52">
        <f t="shared" si="20"/>
        <v>47583000</v>
      </c>
      <c r="AG318" s="25">
        <f t="shared" si="21"/>
        <v>63066318</v>
      </c>
      <c r="AH318" s="52">
        <f t="shared" si="24"/>
        <v>0</v>
      </c>
      <c r="AI318" s="6"/>
      <c r="AJ318" s="6"/>
      <c r="AK318" s="6"/>
      <c r="AL318" s="6"/>
      <c r="AM318" s="6"/>
      <c r="AN318" s="6"/>
      <c r="AO318" s="6"/>
      <c r="AP318" s="6"/>
      <c r="AQ318" s="6"/>
      <c r="AR318" s="6"/>
    </row>
    <row r="319" spans="1:44">
      <c r="A319" s="6"/>
      <c r="B319" s="6"/>
      <c r="C319" s="6"/>
      <c r="D319" s="6"/>
      <c r="E319" s="6"/>
      <c r="F319" s="6"/>
      <c r="G319" s="11"/>
      <c r="H319" s="6"/>
      <c r="I319" s="6"/>
      <c r="J319" s="6"/>
      <c r="K319" s="7"/>
      <c r="L319" s="21" t="str">
        <f>микс!$H$11</f>
        <v>продажа под заказ</v>
      </c>
      <c r="M319" s="22"/>
      <c r="N319" s="22"/>
      <c r="O319" s="22" t="s">
        <v>138</v>
      </c>
      <c r="P319" s="23" t="str">
        <f>микс!$H$49</f>
        <v>Товары для детей</v>
      </c>
      <c r="Q319" s="21" t="s">
        <v>60</v>
      </c>
      <c r="R319" s="25">
        <v>1</v>
      </c>
      <c r="S319" s="28"/>
      <c r="T319" s="31">
        <v>42297</v>
      </c>
      <c r="U319" s="33">
        <v>1125</v>
      </c>
      <c r="V319" s="36">
        <f t="shared" si="22"/>
        <v>1125</v>
      </c>
      <c r="W319" s="28"/>
      <c r="X319" s="31">
        <v>42301</v>
      </c>
      <c r="Y319" s="33">
        <v>1491</v>
      </c>
      <c r="Z319" s="189">
        <f t="shared" si="23"/>
        <v>1491</v>
      </c>
      <c r="AA319" s="190"/>
      <c r="AB319" s="31">
        <v>42327</v>
      </c>
      <c r="AC319" s="36">
        <v>1125</v>
      </c>
      <c r="AD319" s="8"/>
      <c r="AE319" s="6"/>
      <c r="AF319" s="52">
        <f t="shared" si="20"/>
        <v>47584125</v>
      </c>
      <c r="AG319" s="25">
        <f t="shared" si="21"/>
        <v>63070791</v>
      </c>
      <c r="AH319" s="52">
        <f t="shared" si="24"/>
        <v>47617875</v>
      </c>
      <c r="AI319" s="6"/>
      <c r="AJ319" s="6"/>
      <c r="AK319" s="6"/>
      <c r="AL319" s="6"/>
      <c r="AM319" s="6"/>
      <c r="AN319" s="6"/>
      <c r="AO319" s="6"/>
      <c r="AP319" s="6"/>
      <c r="AQ319" s="6"/>
      <c r="AR319" s="6"/>
    </row>
    <row r="320" spans="1:44">
      <c r="A320" s="6"/>
      <c r="B320" s="6"/>
      <c r="C320" s="6"/>
      <c r="D320" s="6"/>
      <c r="E320" s="6"/>
      <c r="F320" s="6"/>
      <c r="G320" s="11"/>
      <c r="H320" s="6"/>
      <c r="I320" s="6"/>
      <c r="J320" s="6"/>
      <c r="K320" s="7"/>
      <c r="L320" s="21" t="str">
        <f>микс!$H$11</f>
        <v>продажа под заказ</v>
      </c>
      <c r="M320" s="22"/>
      <c r="N320" s="22"/>
      <c r="O320" s="22" t="s">
        <v>138</v>
      </c>
      <c r="P320" s="23" t="str">
        <f>микс!$H$49</f>
        <v>Товары для детей</v>
      </c>
      <c r="Q320" s="21" t="s">
        <v>60</v>
      </c>
      <c r="R320" s="25">
        <v>1</v>
      </c>
      <c r="S320" s="28"/>
      <c r="T320" s="31">
        <v>42297</v>
      </c>
      <c r="U320" s="33">
        <v>1125</v>
      </c>
      <c r="V320" s="36">
        <f t="shared" si="22"/>
        <v>1125</v>
      </c>
      <c r="W320" s="28"/>
      <c r="X320" s="31">
        <v>42301</v>
      </c>
      <c r="Y320" s="33">
        <v>1491</v>
      </c>
      <c r="Z320" s="189">
        <f t="shared" si="23"/>
        <v>1491</v>
      </c>
      <c r="AA320" s="190"/>
      <c r="AB320" s="31">
        <v>42312</v>
      </c>
      <c r="AC320" s="36">
        <v>1125</v>
      </c>
      <c r="AD320" s="8"/>
      <c r="AE320" s="6"/>
      <c r="AF320" s="52">
        <f t="shared" si="20"/>
        <v>47584125</v>
      </c>
      <c r="AG320" s="25">
        <f t="shared" si="21"/>
        <v>63070791</v>
      </c>
      <c r="AH320" s="52">
        <f t="shared" si="24"/>
        <v>47601000</v>
      </c>
      <c r="AI320" s="6"/>
      <c r="AJ320" s="6"/>
      <c r="AK320" s="6"/>
      <c r="AL320" s="6"/>
      <c r="AM320" s="6"/>
      <c r="AN320" s="6"/>
      <c r="AO320" s="6"/>
      <c r="AP320" s="6"/>
      <c r="AQ320" s="6"/>
      <c r="AR320" s="6"/>
    </row>
    <row r="321" spans="1:44">
      <c r="A321" s="6"/>
      <c r="B321" s="6"/>
      <c r="C321" s="6"/>
      <c r="D321" s="6"/>
      <c r="E321" s="6"/>
      <c r="F321" s="6"/>
      <c r="G321" s="11"/>
      <c r="H321" s="6"/>
      <c r="I321" s="6"/>
      <c r="J321" s="6"/>
      <c r="K321" s="7"/>
      <c r="L321" s="21" t="str">
        <f>микс!$H$10</f>
        <v>продажа со склада</v>
      </c>
      <c r="M321" s="22"/>
      <c r="N321" s="22"/>
      <c r="O321" s="22" t="s">
        <v>138</v>
      </c>
      <c r="P321" s="23" t="str">
        <f>микс!$H$49</f>
        <v>Товары для детей</v>
      </c>
      <c r="Q321" s="21" t="s">
        <v>60</v>
      </c>
      <c r="R321" s="25">
        <v>1</v>
      </c>
      <c r="S321" s="28"/>
      <c r="T321" s="31">
        <v>42151</v>
      </c>
      <c r="U321" s="33">
        <v>1125</v>
      </c>
      <c r="V321" s="36">
        <f t="shared" si="22"/>
        <v>1125</v>
      </c>
      <c r="W321" s="28"/>
      <c r="X321" s="31">
        <v>42304</v>
      </c>
      <c r="Y321" s="33">
        <v>1491</v>
      </c>
      <c r="Z321" s="189">
        <f t="shared" si="23"/>
        <v>1491</v>
      </c>
      <c r="AA321" s="190"/>
      <c r="AB321" s="31">
        <v>42173</v>
      </c>
      <c r="AC321" s="36">
        <v>1125</v>
      </c>
      <c r="AD321" s="8"/>
      <c r="AE321" s="6"/>
      <c r="AF321" s="52">
        <f t="shared" si="20"/>
        <v>47419875</v>
      </c>
      <c r="AG321" s="25">
        <f t="shared" si="21"/>
        <v>63075264</v>
      </c>
      <c r="AH321" s="52">
        <f t="shared" si="24"/>
        <v>47444625</v>
      </c>
      <c r="AI321" s="6"/>
      <c r="AJ321" s="6"/>
      <c r="AK321" s="6"/>
      <c r="AL321" s="6"/>
      <c r="AM321" s="6"/>
      <c r="AN321" s="6"/>
      <c r="AO321" s="6"/>
      <c r="AP321" s="6"/>
      <c r="AQ321" s="6"/>
      <c r="AR321" s="6"/>
    </row>
    <row r="322" spans="1:44">
      <c r="A322" s="6"/>
      <c r="B322" s="6"/>
      <c r="C322" s="6"/>
      <c r="D322" s="6"/>
      <c r="E322" s="6"/>
      <c r="F322" s="6"/>
      <c r="G322" s="11"/>
      <c r="H322" s="6"/>
      <c r="I322" s="6"/>
      <c r="J322" s="6"/>
      <c r="K322" s="7"/>
      <c r="L322" s="21" t="str">
        <f>микс!$H$10</f>
        <v>продажа со склада</v>
      </c>
      <c r="M322" s="22"/>
      <c r="N322" s="22"/>
      <c r="O322" s="22" t="s">
        <v>138</v>
      </c>
      <c r="P322" s="23" t="str">
        <f>микс!$H$49</f>
        <v>Товары для детей</v>
      </c>
      <c r="Q322" s="21" t="s">
        <v>60</v>
      </c>
      <c r="R322" s="25">
        <v>1</v>
      </c>
      <c r="S322" s="28"/>
      <c r="T322" s="31">
        <v>42162</v>
      </c>
      <c r="U322" s="33">
        <v>3092.57</v>
      </c>
      <c r="V322" s="36">
        <f t="shared" si="22"/>
        <v>3092.57</v>
      </c>
      <c r="W322" s="28"/>
      <c r="X322" s="31">
        <v>42316</v>
      </c>
      <c r="Y322" s="33">
        <v>3470</v>
      </c>
      <c r="Z322" s="189">
        <f t="shared" si="23"/>
        <v>3470</v>
      </c>
      <c r="AA322" s="190"/>
      <c r="AB322" s="31"/>
      <c r="AC322" s="36"/>
      <c r="AD322" s="8"/>
      <c r="AE322" s="6"/>
      <c r="AF322" s="52">
        <f t="shared" si="20"/>
        <v>130388936.34</v>
      </c>
      <c r="AG322" s="25">
        <f t="shared" si="21"/>
        <v>146836520</v>
      </c>
      <c r="AH322" s="52">
        <f t="shared" si="24"/>
        <v>0</v>
      </c>
      <c r="AI322" s="6"/>
      <c r="AJ322" s="6"/>
      <c r="AK322" s="6"/>
      <c r="AL322" s="6"/>
      <c r="AM322" s="6"/>
      <c r="AN322" s="6"/>
      <c r="AO322" s="6"/>
      <c r="AP322" s="6"/>
      <c r="AQ322" s="6"/>
      <c r="AR322" s="6"/>
    </row>
    <row r="323" spans="1:44">
      <c r="A323" s="6"/>
      <c r="B323" s="6"/>
      <c r="C323" s="6"/>
      <c r="D323" s="6"/>
      <c r="E323" s="6"/>
      <c r="F323" s="6"/>
      <c r="G323" s="11"/>
      <c r="H323" s="6"/>
      <c r="I323" s="6"/>
      <c r="J323" s="6"/>
      <c r="K323" s="7"/>
      <c r="L323" s="21" t="str">
        <f>микс!$H$10</f>
        <v>продажа со склада</v>
      </c>
      <c r="M323" s="22"/>
      <c r="N323" s="22"/>
      <c r="O323" s="22" t="s">
        <v>138</v>
      </c>
      <c r="P323" s="23" t="str">
        <f>микс!$H$49</f>
        <v>Товары для детей</v>
      </c>
      <c r="Q323" s="21" t="s">
        <v>60</v>
      </c>
      <c r="R323" s="25">
        <v>1</v>
      </c>
      <c r="S323" s="28"/>
      <c r="T323" s="31">
        <v>42170</v>
      </c>
      <c r="U323" s="33">
        <v>3092.57</v>
      </c>
      <c r="V323" s="36">
        <f t="shared" si="22"/>
        <v>3092.57</v>
      </c>
      <c r="W323" s="28"/>
      <c r="X323" s="31">
        <v>42325</v>
      </c>
      <c r="Y323" s="33">
        <v>4690</v>
      </c>
      <c r="Z323" s="189">
        <f t="shared" si="23"/>
        <v>4690</v>
      </c>
      <c r="AA323" s="190"/>
      <c r="AB323" s="31">
        <v>42175</v>
      </c>
      <c r="AC323" s="36">
        <v>3092.57</v>
      </c>
      <c r="AD323" s="8"/>
      <c r="AE323" s="6"/>
      <c r="AF323" s="52">
        <f t="shared" si="20"/>
        <v>130413676.90000001</v>
      </c>
      <c r="AG323" s="25">
        <f t="shared" si="21"/>
        <v>198504250</v>
      </c>
      <c r="AH323" s="52">
        <f t="shared" si="24"/>
        <v>130429139.75</v>
      </c>
      <c r="AI323" s="6"/>
      <c r="AJ323" s="6"/>
      <c r="AK323" s="6"/>
      <c r="AL323" s="6"/>
      <c r="AM323" s="6"/>
      <c r="AN323" s="6"/>
      <c r="AO323" s="6"/>
      <c r="AP323" s="6"/>
      <c r="AQ323" s="6"/>
      <c r="AR323" s="6"/>
    </row>
    <row r="324" spans="1:44">
      <c r="A324" s="6"/>
      <c r="B324" s="6"/>
      <c r="C324" s="6"/>
      <c r="D324" s="6"/>
      <c r="E324" s="6"/>
      <c r="F324" s="6"/>
      <c r="G324" s="11"/>
      <c r="H324" s="6"/>
      <c r="I324" s="6"/>
      <c r="J324" s="6"/>
      <c r="K324" s="7"/>
      <c r="L324" s="21" t="str">
        <f>микс!$H$11</f>
        <v>продажа под заказ</v>
      </c>
      <c r="M324" s="22"/>
      <c r="N324" s="22"/>
      <c r="O324" s="22" t="s">
        <v>148</v>
      </c>
      <c r="P324" s="23" t="str">
        <f>микс!$H$49</f>
        <v>Товары для детей</v>
      </c>
      <c r="Q324" s="21" t="s">
        <v>60</v>
      </c>
      <c r="R324" s="25">
        <v>1</v>
      </c>
      <c r="S324" s="28"/>
      <c r="T324" s="31">
        <v>42319</v>
      </c>
      <c r="U324" s="33">
        <v>3078</v>
      </c>
      <c r="V324" s="36">
        <f t="shared" si="22"/>
        <v>3078</v>
      </c>
      <c r="W324" s="28"/>
      <c r="X324" s="31">
        <v>42321</v>
      </c>
      <c r="Y324" s="33">
        <v>3590</v>
      </c>
      <c r="Z324" s="189">
        <f t="shared" si="23"/>
        <v>3590</v>
      </c>
      <c r="AA324" s="190"/>
      <c r="AB324" s="31">
        <v>42359</v>
      </c>
      <c r="AC324" s="36">
        <v>3078</v>
      </c>
      <c r="AD324" s="8"/>
      <c r="AE324" s="6"/>
      <c r="AF324" s="52">
        <f t="shared" si="20"/>
        <v>130257882</v>
      </c>
      <c r="AG324" s="25">
        <f t="shared" si="21"/>
        <v>151932390</v>
      </c>
      <c r="AH324" s="52">
        <f t="shared" si="24"/>
        <v>130381002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</row>
    <row r="325" spans="1:44">
      <c r="A325" s="6"/>
      <c r="B325" s="6"/>
      <c r="C325" s="6"/>
      <c r="D325" s="6"/>
      <c r="E325" s="6"/>
      <c r="F325" s="6"/>
      <c r="G325" s="11"/>
      <c r="H325" s="6"/>
      <c r="I325" s="6"/>
      <c r="J325" s="6"/>
      <c r="K325" s="7"/>
      <c r="L325" s="21" t="str">
        <f>микс!$H$11</f>
        <v>продажа под заказ</v>
      </c>
      <c r="M325" s="22"/>
      <c r="N325" s="22"/>
      <c r="O325" s="22" t="s">
        <v>148</v>
      </c>
      <c r="P325" s="23" t="str">
        <f>микс!$H$49</f>
        <v>Товары для детей</v>
      </c>
      <c r="Q325" s="21" t="s">
        <v>60</v>
      </c>
      <c r="R325" s="25">
        <v>1</v>
      </c>
      <c r="S325" s="28"/>
      <c r="T325" s="31">
        <v>42316</v>
      </c>
      <c r="U325" s="33">
        <v>3078</v>
      </c>
      <c r="V325" s="36">
        <f t="shared" si="22"/>
        <v>3078</v>
      </c>
      <c r="W325" s="28"/>
      <c r="X325" s="31">
        <v>42324</v>
      </c>
      <c r="Y325" s="33">
        <v>3590</v>
      </c>
      <c r="Z325" s="189">
        <f t="shared" si="23"/>
        <v>3590</v>
      </c>
      <c r="AA325" s="190"/>
      <c r="AB325" s="31">
        <v>42351</v>
      </c>
      <c r="AC325" s="36">
        <v>3078</v>
      </c>
      <c r="AD325" s="8"/>
      <c r="AE325" s="6"/>
      <c r="AF325" s="52">
        <f t="shared" si="20"/>
        <v>130248648</v>
      </c>
      <c r="AG325" s="25">
        <f t="shared" si="21"/>
        <v>151943160</v>
      </c>
      <c r="AH325" s="52">
        <f t="shared" si="24"/>
        <v>130356378</v>
      </c>
      <c r="AI325" s="6"/>
      <c r="AJ325" s="6"/>
      <c r="AK325" s="6"/>
      <c r="AL325" s="6"/>
      <c r="AM325" s="6"/>
      <c r="AN325" s="6"/>
      <c r="AO325" s="6"/>
      <c r="AP325" s="6"/>
      <c r="AQ325" s="6"/>
      <c r="AR325" s="6"/>
    </row>
    <row r="326" spans="1:44">
      <c r="A326" s="6"/>
      <c r="B326" s="6"/>
      <c r="C326" s="6"/>
      <c r="D326" s="6"/>
      <c r="E326" s="6"/>
      <c r="F326" s="6"/>
      <c r="G326" s="11"/>
      <c r="H326" s="6"/>
      <c r="I326" s="6"/>
      <c r="J326" s="6"/>
      <c r="K326" s="7"/>
      <c r="L326" s="21" t="str">
        <f>микс!$H$10</f>
        <v>продажа со склада</v>
      </c>
      <c r="M326" s="22"/>
      <c r="N326" s="22"/>
      <c r="O326" s="22" t="s">
        <v>148</v>
      </c>
      <c r="P326" s="23" t="str">
        <f>микс!$H$49</f>
        <v>Товары для детей</v>
      </c>
      <c r="Q326" s="21" t="s">
        <v>60</v>
      </c>
      <c r="R326" s="25">
        <v>1</v>
      </c>
      <c r="S326" s="28"/>
      <c r="T326" s="31">
        <v>42177</v>
      </c>
      <c r="U326" s="33">
        <v>3078</v>
      </c>
      <c r="V326" s="36">
        <f t="shared" si="22"/>
        <v>3078</v>
      </c>
      <c r="W326" s="28"/>
      <c r="X326" s="31">
        <v>42335</v>
      </c>
      <c r="Y326" s="33">
        <v>3890</v>
      </c>
      <c r="Z326" s="189">
        <f t="shared" si="23"/>
        <v>3890</v>
      </c>
      <c r="AA326" s="190"/>
      <c r="AB326" s="31">
        <v>42192</v>
      </c>
      <c r="AC326" s="36">
        <v>3078</v>
      </c>
      <c r="AD326" s="8"/>
      <c r="AE326" s="6"/>
      <c r="AF326" s="52">
        <f t="shared" si="20"/>
        <v>129820806</v>
      </c>
      <c r="AG326" s="25">
        <f t="shared" si="21"/>
        <v>164683150</v>
      </c>
      <c r="AH326" s="52">
        <f t="shared" si="24"/>
        <v>129866976</v>
      </c>
      <c r="AI326" s="6"/>
      <c r="AJ326" s="6"/>
      <c r="AK326" s="6"/>
      <c r="AL326" s="6"/>
      <c r="AM326" s="6"/>
      <c r="AN326" s="6"/>
      <c r="AO326" s="6"/>
      <c r="AP326" s="6"/>
      <c r="AQ326" s="6"/>
      <c r="AR326" s="6"/>
    </row>
    <row r="327" spans="1:44">
      <c r="A327" s="6"/>
      <c r="B327" s="6"/>
      <c r="C327" s="6"/>
      <c r="D327" s="6"/>
      <c r="E327" s="6"/>
      <c r="F327" s="6"/>
      <c r="G327" s="11"/>
      <c r="H327" s="6"/>
      <c r="I327" s="6"/>
      <c r="J327" s="6"/>
      <c r="K327" s="7"/>
      <c r="L327" s="21" t="str">
        <f>микс!$H$10</f>
        <v>продажа со склада</v>
      </c>
      <c r="M327" s="22"/>
      <c r="N327" s="22"/>
      <c r="O327" s="22" t="s">
        <v>148</v>
      </c>
      <c r="P327" s="23" t="str">
        <f>микс!$H$49</f>
        <v>Товары для детей</v>
      </c>
      <c r="Q327" s="21" t="s">
        <v>60</v>
      </c>
      <c r="R327" s="25">
        <v>1</v>
      </c>
      <c r="S327" s="28"/>
      <c r="T327" s="31">
        <v>42177</v>
      </c>
      <c r="U327" s="33">
        <v>3078</v>
      </c>
      <c r="V327" s="36">
        <f t="shared" si="22"/>
        <v>3078</v>
      </c>
      <c r="W327" s="28"/>
      <c r="X327" s="31">
        <v>42335</v>
      </c>
      <c r="Y327" s="33">
        <v>3890</v>
      </c>
      <c r="Z327" s="189">
        <f t="shared" si="23"/>
        <v>3890</v>
      </c>
      <c r="AA327" s="190"/>
      <c r="AB327" s="31">
        <v>42227</v>
      </c>
      <c r="AC327" s="36">
        <v>3078</v>
      </c>
      <c r="AD327" s="8"/>
      <c r="AE327" s="6"/>
      <c r="AF327" s="52">
        <f t="shared" si="20"/>
        <v>129820806</v>
      </c>
      <c r="AG327" s="25">
        <f t="shared" si="21"/>
        <v>164683150</v>
      </c>
      <c r="AH327" s="52">
        <f t="shared" si="24"/>
        <v>129974706</v>
      </c>
      <c r="AI327" s="6"/>
      <c r="AJ327" s="6"/>
      <c r="AK327" s="6"/>
      <c r="AL327" s="6"/>
      <c r="AM327" s="6"/>
      <c r="AN327" s="6"/>
      <c r="AO327" s="6"/>
      <c r="AP327" s="6"/>
      <c r="AQ327" s="6"/>
      <c r="AR327" s="6"/>
    </row>
    <row r="328" spans="1:44">
      <c r="A328" s="6"/>
      <c r="B328" s="6"/>
      <c r="C328" s="6"/>
      <c r="D328" s="6"/>
      <c r="E328" s="6"/>
      <c r="F328" s="6"/>
      <c r="G328" s="11"/>
      <c r="H328" s="6"/>
      <c r="I328" s="6"/>
      <c r="J328" s="6"/>
      <c r="K328" s="7"/>
      <c r="L328" s="21" t="str">
        <f>микс!$H$11</f>
        <v>продажа под заказ</v>
      </c>
      <c r="M328" s="22"/>
      <c r="N328" s="22"/>
      <c r="O328" s="22" t="s">
        <v>148</v>
      </c>
      <c r="P328" s="23" t="str">
        <f>микс!$H$49</f>
        <v>Товары для детей</v>
      </c>
      <c r="Q328" s="21" t="s">
        <v>60</v>
      </c>
      <c r="R328" s="25">
        <v>1</v>
      </c>
      <c r="S328" s="28"/>
      <c r="T328" s="31">
        <v>42299</v>
      </c>
      <c r="U328" s="33">
        <v>3078</v>
      </c>
      <c r="V328" s="36">
        <f t="shared" si="22"/>
        <v>3078</v>
      </c>
      <c r="W328" s="28"/>
      <c r="X328" s="31">
        <v>42301</v>
      </c>
      <c r="Y328" s="33">
        <v>3590</v>
      </c>
      <c r="Z328" s="189">
        <f t="shared" si="23"/>
        <v>3590</v>
      </c>
      <c r="AA328" s="190"/>
      <c r="AB328" s="31"/>
      <c r="AC328" s="36"/>
      <c r="AD328" s="8"/>
      <c r="AE328" s="6"/>
      <c r="AF328" s="52">
        <f t="shared" si="20"/>
        <v>130196322</v>
      </c>
      <c r="AG328" s="25">
        <f t="shared" si="21"/>
        <v>151860590</v>
      </c>
      <c r="AH328" s="52">
        <f t="shared" si="24"/>
        <v>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</row>
    <row r="329" spans="1:44">
      <c r="A329" s="6"/>
      <c r="B329" s="6"/>
      <c r="C329" s="6"/>
      <c r="D329" s="6"/>
      <c r="E329" s="6"/>
      <c r="F329" s="6"/>
      <c r="G329" s="11"/>
      <c r="H329" s="6"/>
      <c r="I329" s="6"/>
      <c r="J329" s="6"/>
      <c r="K329" s="7"/>
      <c r="L329" s="21" t="str">
        <f>микс!$H$11</f>
        <v>продажа под заказ</v>
      </c>
      <c r="M329" s="22"/>
      <c r="N329" s="22"/>
      <c r="O329" s="22" t="s">
        <v>148</v>
      </c>
      <c r="P329" s="23" t="str">
        <f>микс!$H$49</f>
        <v>Товары для детей</v>
      </c>
      <c r="Q329" s="21" t="s">
        <v>60</v>
      </c>
      <c r="R329" s="25">
        <v>1</v>
      </c>
      <c r="S329" s="28"/>
      <c r="T329" s="31">
        <v>42299</v>
      </c>
      <c r="U329" s="33">
        <v>3078</v>
      </c>
      <c r="V329" s="36">
        <f t="shared" si="22"/>
        <v>3078</v>
      </c>
      <c r="W329" s="28"/>
      <c r="X329" s="31">
        <v>42301</v>
      </c>
      <c r="Y329" s="33">
        <v>3590</v>
      </c>
      <c r="Z329" s="189">
        <f t="shared" si="23"/>
        <v>3590</v>
      </c>
      <c r="AA329" s="190"/>
      <c r="AB329" s="31">
        <v>42329</v>
      </c>
      <c r="AC329" s="36">
        <v>3078</v>
      </c>
      <c r="AD329" s="8"/>
      <c r="AE329" s="6"/>
      <c r="AF329" s="52">
        <f t="shared" ref="AF329:AF392" si="25">T329*V329</f>
        <v>130196322</v>
      </c>
      <c r="AG329" s="25">
        <f t="shared" ref="AG329:AG392" si="26">X329*Z329</f>
        <v>151860590</v>
      </c>
      <c r="AH329" s="52">
        <f t="shared" si="24"/>
        <v>130288662</v>
      </c>
      <c r="AI329" s="6"/>
      <c r="AJ329" s="6"/>
      <c r="AK329" s="6"/>
      <c r="AL329" s="6"/>
      <c r="AM329" s="6"/>
      <c r="AN329" s="6"/>
      <c r="AO329" s="6"/>
      <c r="AP329" s="6"/>
      <c r="AQ329" s="6"/>
      <c r="AR329" s="6"/>
    </row>
    <row r="330" spans="1:44">
      <c r="A330" s="6"/>
      <c r="B330" s="6"/>
      <c r="C330" s="6"/>
      <c r="D330" s="6"/>
      <c r="E330" s="6"/>
      <c r="F330" s="6"/>
      <c r="G330" s="11"/>
      <c r="H330" s="6"/>
      <c r="I330" s="6"/>
      <c r="J330" s="6"/>
      <c r="K330" s="7"/>
      <c r="L330" s="21" t="str">
        <f>микс!$H$11</f>
        <v>продажа под заказ</v>
      </c>
      <c r="M330" s="22"/>
      <c r="N330" s="22"/>
      <c r="O330" s="22" t="s">
        <v>148</v>
      </c>
      <c r="P330" s="23" t="str">
        <f>микс!$H$49</f>
        <v>Товары для детей</v>
      </c>
      <c r="Q330" s="21" t="s">
        <v>60</v>
      </c>
      <c r="R330" s="25">
        <v>1</v>
      </c>
      <c r="S330" s="28"/>
      <c r="T330" s="31">
        <v>42333</v>
      </c>
      <c r="U330" s="33">
        <v>3078</v>
      </c>
      <c r="V330" s="36">
        <f t="shared" ref="V330:V393" si="27">$R330*U330</f>
        <v>3078</v>
      </c>
      <c r="W330" s="28"/>
      <c r="X330" s="31">
        <v>42335</v>
      </c>
      <c r="Y330" s="33">
        <v>3880</v>
      </c>
      <c r="Z330" s="189">
        <f t="shared" ref="Z330:Z393" si="28">$R330*Y330</f>
        <v>3880</v>
      </c>
      <c r="AA330" s="190"/>
      <c r="AB330" s="31">
        <v>42358</v>
      </c>
      <c r="AC330" s="36">
        <v>3078</v>
      </c>
      <c r="AD330" s="8"/>
      <c r="AE330" s="6"/>
      <c r="AF330" s="52">
        <f t="shared" si="25"/>
        <v>130300974</v>
      </c>
      <c r="AG330" s="25">
        <f t="shared" si="26"/>
        <v>164259800</v>
      </c>
      <c r="AH330" s="52">
        <f t="shared" ref="AH330:AH393" si="29">AB330*AC330</f>
        <v>130377924</v>
      </c>
      <c r="AI330" s="6"/>
      <c r="AJ330" s="6"/>
      <c r="AK330" s="6"/>
      <c r="AL330" s="6"/>
      <c r="AM330" s="6"/>
      <c r="AN330" s="6"/>
      <c r="AO330" s="6"/>
      <c r="AP330" s="6"/>
      <c r="AQ330" s="6"/>
      <c r="AR330" s="6"/>
    </row>
    <row r="331" spans="1:44">
      <c r="A331" s="6"/>
      <c r="B331" s="6"/>
      <c r="C331" s="6"/>
      <c r="D331" s="6"/>
      <c r="E331" s="6"/>
      <c r="F331" s="6"/>
      <c r="G331" s="11"/>
      <c r="H331" s="6"/>
      <c r="I331" s="6"/>
      <c r="J331" s="6"/>
      <c r="K331" s="7"/>
      <c r="L331" s="21" t="str">
        <f>микс!$H$11</f>
        <v>продажа под заказ</v>
      </c>
      <c r="M331" s="22"/>
      <c r="N331" s="22"/>
      <c r="O331" s="22" t="s">
        <v>148</v>
      </c>
      <c r="P331" s="23" t="str">
        <f>микс!$H$49</f>
        <v>Товары для детей</v>
      </c>
      <c r="Q331" s="21" t="s">
        <v>60</v>
      </c>
      <c r="R331" s="25">
        <v>1</v>
      </c>
      <c r="S331" s="28"/>
      <c r="T331" s="31">
        <v>42333</v>
      </c>
      <c r="U331" s="33">
        <v>3078</v>
      </c>
      <c r="V331" s="36">
        <f t="shared" si="27"/>
        <v>3078</v>
      </c>
      <c r="W331" s="28"/>
      <c r="X331" s="31">
        <v>42336</v>
      </c>
      <c r="Y331" s="33">
        <v>3880</v>
      </c>
      <c r="Z331" s="189">
        <f t="shared" si="28"/>
        <v>3880</v>
      </c>
      <c r="AA331" s="190"/>
      <c r="AB331" s="31"/>
      <c r="AC331" s="36"/>
      <c r="AD331" s="8"/>
      <c r="AE331" s="6"/>
      <c r="AF331" s="52">
        <f t="shared" si="25"/>
        <v>130300974</v>
      </c>
      <c r="AG331" s="25">
        <f t="shared" si="26"/>
        <v>164263680</v>
      </c>
      <c r="AH331" s="52">
        <f t="shared" si="29"/>
        <v>0</v>
      </c>
      <c r="AI331" s="6"/>
      <c r="AJ331" s="6"/>
      <c r="AK331" s="6"/>
      <c r="AL331" s="6"/>
      <c r="AM331" s="6"/>
      <c r="AN331" s="6"/>
      <c r="AO331" s="6"/>
      <c r="AP331" s="6"/>
      <c r="AQ331" s="6"/>
      <c r="AR331" s="6"/>
    </row>
    <row r="332" spans="1:44">
      <c r="A332" s="6"/>
      <c r="B332" s="6"/>
      <c r="C332" s="6"/>
      <c r="D332" s="6"/>
      <c r="E332" s="6"/>
      <c r="F332" s="6"/>
      <c r="G332" s="11"/>
      <c r="H332" s="6"/>
      <c r="I332" s="6"/>
      <c r="J332" s="6"/>
      <c r="K332" s="7"/>
      <c r="L332" s="21" t="str">
        <f>микс!$H$11</f>
        <v>продажа под заказ</v>
      </c>
      <c r="M332" s="22"/>
      <c r="N332" s="22"/>
      <c r="O332" s="22" t="s">
        <v>148</v>
      </c>
      <c r="P332" s="23" t="str">
        <f>микс!$H$49</f>
        <v>Товары для детей</v>
      </c>
      <c r="Q332" s="21" t="s">
        <v>60</v>
      </c>
      <c r="R332" s="25">
        <v>1</v>
      </c>
      <c r="S332" s="28"/>
      <c r="T332" s="31">
        <v>42335</v>
      </c>
      <c r="U332" s="33">
        <v>3078</v>
      </c>
      <c r="V332" s="36">
        <f t="shared" si="27"/>
        <v>3078</v>
      </c>
      <c r="W332" s="28"/>
      <c r="X332" s="31">
        <v>42346</v>
      </c>
      <c r="Y332" s="33">
        <v>3655</v>
      </c>
      <c r="Z332" s="189">
        <f t="shared" si="28"/>
        <v>3655</v>
      </c>
      <c r="AA332" s="190"/>
      <c r="AB332" s="31">
        <v>42342</v>
      </c>
      <c r="AC332" s="36">
        <v>3078</v>
      </c>
      <c r="AD332" s="8"/>
      <c r="AE332" s="6"/>
      <c r="AF332" s="52">
        <f t="shared" si="25"/>
        <v>130307130</v>
      </c>
      <c r="AG332" s="25">
        <f t="shared" si="26"/>
        <v>154774630</v>
      </c>
      <c r="AH332" s="52">
        <f t="shared" si="29"/>
        <v>130328676</v>
      </c>
      <c r="AI332" s="6"/>
      <c r="AJ332" s="6"/>
      <c r="AK332" s="6"/>
      <c r="AL332" s="6"/>
      <c r="AM332" s="6"/>
      <c r="AN332" s="6"/>
      <c r="AO332" s="6"/>
      <c r="AP332" s="6"/>
      <c r="AQ332" s="6"/>
      <c r="AR332" s="6"/>
    </row>
    <row r="333" spans="1:44">
      <c r="A333" s="6"/>
      <c r="B333" s="6"/>
      <c r="C333" s="6"/>
      <c r="D333" s="6"/>
      <c r="E333" s="6"/>
      <c r="F333" s="6"/>
      <c r="G333" s="11"/>
      <c r="H333" s="6"/>
      <c r="I333" s="6"/>
      <c r="J333" s="6"/>
      <c r="K333" s="7"/>
      <c r="L333" s="21" t="str">
        <f>микс!$H$10</f>
        <v>продажа со склада</v>
      </c>
      <c r="M333" s="22"/>
      <c r="N333" s="22"/>
      <c r="O333" s="22" t="s">
        <v>148</v>
      </c>
      <c r="P333" s="23" t="str">
        <f>микс!$H$49</f>
        <v>Товары для детей</v>
      </c>
      <c r="Q333" s="21" t="s">
        <v>60</v>
      </c>
      <c r="R333" s="25">
        <v>1</v>
      </c>
      <c r="S333" s="28"/>
      <c r="T333" s="31">
        <v>42185</v>
      </c>
      <c r="U333" s="33">
        <v>1668.92</v>
      </c>
      <c r="V333" s="36">
        <f t="shared" si="27"/>
        <v>1668.92</v>
      </c>
      <c r="W333" s="28"/>
      <c r="X333" s="31">
        <v>42340</v>
      </c>
      <c r="Y333" s="33">
        <v>2490</v>
      </c>
      <c r="Z333" s="189">
        <f t="shared" si="28"/>
        <v>2490</v>
      </c>
      <c r="AA333" s="190"/>
      <c r="AB333" s="31">
        <v>42207</v>
      </c>
      <c r="AC333" s="36">
        <v>1668.92</v>
      </c>
      <c r="AD333" s="8"/>
      <c r="AE333" s="6"/>
      <c r="AF333" s="52">
        <f t="shared" si="25"/>
        <v>70403390.200000003</v>
      </c>
      <c r="AG333" s="25">
        <f t="shared" si="26"/>
        <v>105426600</v>
      </c>
      <c r="AH333" s="52">
        <f t="shared" si="29"/>
        <v>70440106.439999998</v>
      </c>
      <c r="AI333" s="6"/>
      <c r="AJ333" s="6"/>
      <c r="AK333" s="6"/>
      <c r="AL333" s="6"/>
      <c r="AM333" s="6"/>
      <c r="AN333" s="6"/>
      <c r="AO333" s="6"/>
      <c r="AP333" s="6"/>
      <c r="AQ333" s="6"/>
      <c r="AR333" s="6"/>
    </row>
    <row r="334" spans="1:44">
      <c r="A334" s="6"/>
      <c r="B334" s="6"/>
      <c r="C334" s="6"/>
      <c r="D334" s="6"/>
      <c r="E334" s="6"/>
      <c r="F334" s="6"/>
      <c r="G334" s="11"/>
      <c r="H334" s="6"/>
      <c r="I334" s="6"/>
      <c r="J334" s="6"/>
      <c r="K334" s="7"/>
      <c r="L334" s="21" t="str">
        <f>микс!$H$10</f>
        <v>продажа со склада</v>
      </c>
      <c r="M334" s="22"/>
      <c r="N334" s="22"/>
      <c r="O334" s="22" t="s">
        <v>148</v>
      </c>
      <c r="P334" s="23" t="str">
        <f>микс!$H$49</f>
        <v>Товары для детей</v>
      </c>
      <c r="Q334" s="21" t="s">
        <v>60</v>
      </c>
      <c r="R334" s="25">
        <v>1</v>
      </c>
      <c r="S334" s="28"/>
      <c r="T334" s="31">
        <v>42186</v>
      </c>
      <c r="U334" s="33">
        <v>1668.92</v>
      </c>
      <c r="V334" s="36">
        <f t="shared" si="27"/>
        <v>1668.92</v>
      </c>
      <c r="W334" s="28"/>
      <c r="X334" s="31">
        <v>42338</v>
      </c>
      <c r="Y334" s="33">
        <v>2112</v>
      </c>
      <c r="Z334" s="189">
        <f t="shared" si="28"/>
        <v>2112</v>
      </c>
      <c r="AA334" s="190"/>
      <c r="AB334" s="31">
        <v>42218</v>
      </c>
      <c r="AC334" s="36">
        <v>1668.92</v>
      </c>
      <c r="AD334" s="8"/>
      <c r="AE334" s="6"/>
      <c r="AF334" s="52">
        <f t="shared" si="25"/>
        <v>70405059.120000005</v>
      </c>
      <c r="AG334" s="25">
        <f t="shared" si="26"/>
        <v>89417856</v>
      </c>
      <c r="AH334" s="52">
        <f t="shared" si="29"/>
        <v>70458464.560000002</v>
      </c>
      <c r="AI334" s="6"/>
      <c r="AJ334" s="6"/>
      <c r="AK334" s="6"/>
      <c r="AL334" s="6"/>
      <c r="AM334" s="6"/>
      <c r="AN334" s="6"/>
      <c r="AO334" s="6"/>
      <c r="AP334" s="6"/>
      <c r="AQ334" s="6"/>
      <c r="AR334" s="6"/>
    </row>
    <row r="335" spans="1:44">
      <c r="A335" s="6"/>
      <c r="B335" s="6"/>
      <c r="C335" s="6"/>
      <c r="D335" s="6"/>
      <c r="E335" s="6"/>
      <c r="F335" s="6"/>
      <c r="G335" s="11"/>
      <c r="H335" s="6"/>
      <c r="I335" s="6"/>
      <c r="J335" s="6"/>
      <c r="K335" s="7"/>
      <c r="L335" s="21" t="str">
        <f>микс!$H$10</f>
        <v>продажа со склада</v>
      </c>
      <c r="M335" s="22"/>
      <c r="N335" s="22"/>
      <c r="O335" s="22" t="s">
        <v>148</v>
      </c>
      <c r="P335" s="23" t="str">
        <f>микс!$H$49</f>
        <v>Товары для детей</v>
      </c>
      <c r="Q335" s="21" t="s">
        <v>60</v>
      </c>
      <c r="R335" s="25">
        <v>1</v>
      </c>
      <c r="S335" s="28"/>
      <c r="T335" s="31">
        <v>42149</v>
      </c>
      <c r="U335" s="33">
        <v>1668.92</v>
      </c>
      <c r="V335" s="36">
        <f t="shared" si="27"/>
        <v>1668.92</v>
      </c>
      <c r="W335" s="28"/>
      <c r="X335" s="31">
        <v>42315</v>
      </c>
      <c r="Y335" s="33">
        <v>2390</v>
      </c>
      <c r="Z335" s="189">
        <f t="shared" si="28"/>
        <v>2390</v>
      </c>
      <c r="AA335" s="190"/>
      <c r="AB335" s="31"/>
      <c r="AC335" s="36"/>
      <c r="AD335" s="8"/>
      <c r="AE335" s="6"/>
      <c r="AF335" s="52">
        <f t="shared" si="25"/>
        <v>70343309.079999998</v>
      </c>
      <c r="AG335" s="25">
        <f t="shared" si="26"/>
        <v>101132850</v>
      </c>
      <c r="AH335" s="52">
        <f t="shared" si="29"/>
        <v>0</v>
      </c>
      <c r="AI335" s="6"/>
      <c r="AJ335" s="6"/>
      <c r="AK335" s="6"/>
      <c r="AL335" s="6"/>
      <c r="AM335" s="6"/>
      <c r="AN335" s="6"/>
      <c r="AO335" s="6"/>
      <c r="AP335" s="6"/>
      <c r="AQ335" s="6"/>
      <c r="AR335" s="6"/>
    </row>
    <row r="336" spans="1:44">
      <c r="A336" s="6"/>
      <c r="B336" s="6"/>
      <c r="C336" s="6"/>
      <c r="D336" s="6"/>
      <c r="E336" s="6"/>
      <c r="F336" s="6"/>
      <c r="G336" s="11"/>
      <c r="H336" s="6"/>
      <c r="I336" s="6"/>
      <c r="J336" s="6"/>
      <c r="K336" s="7"/>
      <c r="L336" s="21" t="str">
        <f>микс!$H$10</f>
        <v>продажа со склада</v>
      </c>
      <c r="M336" s="22"/>
      <c r="N336" s="22"/>
      <c r="O336" s="22" t="s">
        <v>148</v>
      </c>
      <c r="P336" s="23" t="str">
        <f>микс!$H$49</f>
        <v>Товары для детей</v>
      </c>
      <c r="Q336" s="21" t="s">
        <v>60</v>
      </c>
      <c r="R336" s="25">
        <v>1</v>
      </c>
      <c r="S336" s="28"/>
      <c r="T336" s="31">
        <v>42160</v>
      </c>
      <c r="U336" s="33">
        <v>1668.92</v>
      </c>
      <c r="V336" s="36">
        <f t="shared" si="27"/>
        <v>1668.92</v>
      </c>
      <c r="W336" s="28"/>
      <c r="X336" s="31">
        <v>42315</v>
      </c>
      <c r="Y336" s="33">
        <v>1900</v>
      </c>
      <c r="Z336" s="189">
        <f t="shared" si="28"/>
        <v>1900</v>
      </c>
      <c r="AA336" s="190"/>
      <c r="AB336" s="31">
        <v>42198</v>
      </c>
      <c r="AC336" s="36">
        <v>1668.92</v>
      </c>
      <c r="AD336" s="8"/>
      <c r="AE336" s="6"/>
      <c r="AF336" s="52">
        <f t="shared" si="25"/>
        <v>70361667.200000003</v>
      </c>
      <c r="AG336" s="25">
        <f t="shared" si="26"/>
        <v>80398500</v>
      </c>
      <c r="AH336" s="52">
        <f t="shared" si="29"/>
        <v>70425086.159999996</v>
      </c>
      <c r="AI336" s="6"/>
      <c r="AJ336" s="6"/>
      <c r="AK336" s="6"/>
      <c r="AL336" s="6"/>
      <c r="AM336" s="6"/>
      <c r="AN336" s="6"/>
      <c r="AO336" s="6"/>
      <c r="AP336" s="6"/>
      <c r="AQ336" s="6"/>
      <c r="AR336" s="6"/>
    </row>
    <row r="337" spans="1:44">
      <c r="A337" s="6"/>
      <c r="B337" s="6"/>
      <c r="C337" s="6"/>
      <c r="D337" s="6"/>
      <c r="E337" s="6"/>
      <c r="F337" s="6"/>
      <c r="G337" s="11"/>
      <c r="H337" s="6"/>
      <c r="I337" s="6"/>
      <c r="J337" s="6"/>
      <c r="K337" s="7"/>
      <c r="L337" s="21" t="str">
        <f>микс!$H$11</f>
        <v>продажа под заказ</v>
      </c>
      <c r="M337" s="22"/>
      <c r="N337" s="22"/>
      <c r="O337" s="22" t="s">
        <v>136</v>
      </c>
      <c r="P337" s="23" t="str">
        <f>микс!$H$48</f>
        <v>Спортивный инвентарь</v>
      </c>
      <c r="Q337" s="21" t="s">
        <v>83</v>
      </c>
      <c r="R337" s="25">
        <v>1</v>
      </c>
      <c r="S337" s="28"/>
      <c r="T337" s="31">
        <v>42309</v>
      </c>
      <c r="U337" s="33">
        <v>3214.4</v>
      </c>
      <c r="V337" s="36">
        <f t="shared" si="27"/>
        <v>3214.4</v>
      </c>
      <c r="W337" s="28"/>
      <c r="X337" s="31">
        <v>42315</v>
      </c>
      <c r="Y337" s="33">
        <v>3519</v>
      </c>
      <c r="Z337" s="189">
        <f t="shared" si="28"/>
        <v>3519</v>
      </c>
      <c r="AA337" s="190"/>
      <c r="AB337" s="31">
        <v>42321</v>
      </c>
      <c r="AC337" s="36">
        <v>3214.4</v>
      </c>
      <c r="AD337" s="8"/>
      <c r="AE337" s="6"/>
      <c r="AF337" s="52">
        <f t="shared" si="25"/>
        <v>135998049.59999999</v>
      </c>
      <c r="AG337" s="25">
        <f t="shared" si="26"/>
        <v>148906485</v>
      </c>
      <c r="AH337" s="52">
        <f t="shared" si="29"/>
        <v>136036622.40000001</v>
      </c>
      <c r="AI337" s="6"/>
      <c r="AJ337" s="6"/>
      <c r="AK337" s="6"/>
      <c r="AL337" s="6"/>
      <c r="AM337" s="6"/>
      <c r="AN337" s="6"/>
      <c r="AO337" s="6"/>
      <c r="AP337" s="6"/>
      <c r="AQ337" s="6"/>
      <c r="AR337" s="6"/>
    </row>
    <row r="338" spans="1:44">
      <c r="A338" s="6"/>
      <c r="B338" s="6"/>
      <c r="C338" s="6"/>
      <c r="D338" s="6"/>
      <c r="E338" s="6"/>
      <c r="F338" s="6"/>
      <c r="G338" s="11"/>
      <c r="H338" s="6"/>
      <c r="I338" s="6"/>
      <c r="J338" s="6"/>
      <c r="K338" s="7"/>
      <c r="L338" s="21" t="str">
        <f>микс!$H$11</f>
        <v>продажа под заказ</v>
      </c>
      <c r="M338" s="22"/>
      <c r="N338" s="22"/>
      <c r="O338" s="22" t="s">
        <v>138</v>
      </c>
      <c r="P338" s="23" t="str">
        <f>микс!$H$49</f>
        <v>Товары для детей</v>
      </c>
      <c r="Q338" s="21" t="s">
        <v>60</v>
      </c>
      <c r="R338" s="25">
        <v>1</v>
      </c>
      <c r="S338" s="28"/>
      <c r="T338" s="31">
        <v>42337</v>
      </c>
      <c r="U338" s="33">
        <v>525</v>
      </c>
      <c r="V338" s="36">
        <f t="shared" si="27"/>
        <v>525</v>
      </c>
      <c r="W338" s="28"/>
      <c r="X338" s="31">
        <v>42342</v>
      </c>
      <c r="Y338" s="33">
        <v>625</v>
      </c>
      <c r="Z338" s="189">
        <f t="shared" si="28"/>
        <v>625</v>
      </c>
      <c r="AA338" s="190"/>
      <c r="AB338" s="31">
        <v>42347</v>
      </c>
      <c r="AC338" s="36">
        <v>525</v>
      </c>
      <c r="AD338" s="8"/>
      <c r="AE338" s="6"/>
      <c r="AF338" s="52">
        <f t="shared" si="25"/>
        <v>22226925</v>
      </c>
      <c r="AG338" s="25">
        <f t="shared" si="26"/>
        <v>26463750</v>
      </c>
      <c r="AH338" s="52">
        <f t="shared" si="29"/>
        <v>22232175</v>
      </c>
      <c r="AI338" s="6"/>
      <c r="AJ338" s="6"/>
      <c r="AK338" s="6"/>
      <c r="AL338" s="6"/>
      <c r="AM338" s="6"/>
      <c r="AN338" s="6"/>
      <c r="AO338" s="6"/>
      <c r="AP338" s="6"/>
      <c r="AQ338" s="6"/>
      <c r="AR338" s="6"/>
    </row>
    <row r="339" spans="1:44">
      <c r="A339" s="6"/>
      <c r="B339" s="6"/>
      <c r="C339" s="6"/>
      <c r="D339" s="6"/>
      <c r="E339" s="6"/>
      <c r="F339" s="6"/>
      <c r="G339" s="11"/>
      <c r="H339" s="6"/>
      <c r="I339" s="6"/>
      <c r="J339" s="6"/>
      <c r="K339" s="7"/>
      <c r="L339" s="21" t="str">
        <f>микс!$H$10</f>
        <v>продажа со склада</v>
      </c>
      <c r="M339" s="22"/>
      <c r="N339" s="22"/>
      <c r="O339" s="22" t="s">
        <v>127</v>
      </c>
      <c r="P339" s="23" t="str">
        <f>микс!$H$51</f>
        <v>Авто</v>
      </c>
      <c r="Q339" s="21" t="s">
        <v>84</v>
      </c>
      <c r="R339" s="25">
        <v>1</v>
      </c>
      <c r="S339" s="28"/>
      <c r="T339" s="31">
        <v>42145</v>
      </c>
      <c r="U339" s="33">
        <v>5100</v>
      </c>
      <c r="V339" s="36">
        <f t="shared" si="27"/>
        <v>5100</v>
      </c>
      <c r="W339" s="28"/>
      <c r="X339" s="31">
        <v>42297</v>
      </c>
      <c r="Y339" s="33">
        <v>3230</v>
      </c>
      <c r="Z339" s="189">
        <f t="shared" si="28"/>
        <v>3230</v>
      </c>
      <c r="AA339" s="190"/>
      <c r="AB339" s="31">
        <v>42165</v>
      </c>
      <c r="AC339" s="36">
        <v>5100</v>
      </c>
      <c r="AD339" s="8"/>
      <c r="AE339" s="6"/>
      <c r="AF339" s="52">
        <f t="shared" si="25"/>
        <v>214939500</v>
      </c>
      <c r="AG339" s="25">
        <f t="shared" si="26"/>
        <v>136619310</v>
      </c>
      <c r="AH339" s="52">
        <f t="shared" si="29"/>
        <v>215041500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</row>
    <row r="340" spans="1:44">
      <c r="A340" s="6"/>
      <c r="B340" s="6"/>
      <c r="C340" s="6"/>
      <c r="D340" s="6"/>
      <c r="E340" s="6"/>
      <c r="F340" s="6"/>
      <c r="G340" s="11"/>
      <c r="H340" s="6"/>
      <c r="I340" s="6"/>
      <c r="J340" s="6"/>
      <c r="K340" s="7"/>
      <c r="L340" s="21" t="str">
        <f>микс!$H$10</f>
        <v>продажа со склада</v>
      </c>
      <c r="M340" s="22"/>
      <c r="N340" s="22"/>
      <c r="O340" s="22" t="s">
        <v>127</v>
      </c>
      <c r="P340" s="23" t="str">
        <f>микс!$H$51</f>
        <v>Авто</v>
      </c>
      <c r="Q340" s="21" t="s">
        <v>84</v>
      </c>
      <c r="R340" s="25">
        <v>1</v>
      </c>
      <c r="S340" s="28"/>
      <c r="T340" s="31">
        <v>42146</v>
      </c>
      <c r="U340" s="33">
        <v>5100</v>
      </c>
      <c r="V340" s="36">
        <f t="shared" si="27"/>
        <v>5100</v>
      </c>
      <c r="W340" s="28"/>
      <c r="X340" s="31">
        <v>42299</v>
      </c>
      <c r="Y340" s="33">
        <v>3230</v>
      </c>
      <c r="Z340" s="189">
        <f t="shared" si="28"/>
        <v>3230</v>
      </c>
      <c r="AA340" s="190"/>
      <c r="AB340" s="31">
        <v>42176</v>
      </c>
      <c r="AC340" s="36">
        <v>5100</v>
      </c>
      <c r="AD340" s="8"/>
      <c r="AE340" s="6"/>
      <c r="AF340" s="52">
        <f t="shared" si="25"/>
        <v>214944600</v>
      </c>
      <c r="AG340" s="25">
        <f t="shared" si="26"/>
        <v>136625770</v>
      </c>
      <c r="AH340" s="52">
        <f t="shared" si="29"/>
        <v>215097600</v>
      </c>
      <c r="AI340" s="6"/>
      <c r="AJ340" s="6"/>
      <c r="AK340" s="6"/>
      <c r="AL340" s="6"/>
      <c r="AM340" s="6"/>
      <c r="AN340" s="6"/>
      <c r="AO340" s="6"/>
      <c r="AP340" s="6"/>
      <c r="AQ340" s="6"/>
      <c r="AR340" s="6"/>
    </row>
    <row r="341" spans="1:44">
      <c r="A341" s="6"/>
      <c r="B341" s="6"/>
      <c r="C341" s="6"/>
      <c r="D341" s="6"/>
      <c r="E341" s="6"/>
      <c r="F341" s="6"/>
      <c r="G341" s="11"/>
      <c r="H341" s="6"/>
      <c r="I341" s="6"/>
      <c r="J341" s="6"/>
      <c r="K341" s="7"/>
      <c r="L341" s="21" t="str">
        <f>микс!$H$10</f>
        <v>продажа со склада</v>
      </c>
      <c r="M341" s="22"/>
      <c r="N341" s="22"/>
      <c r="O341" s="22" t="s">
        <v>127</v>
      </c>
      <c r="P341" s="23" t="str">
        <f>микс!$H$51</f>
        <v>Авто</v>
      </c>
      <c r="Q341" s="21" t="s">
        <v>84</v>
      </c>
      <c r="R341" s="25">
        <v>1</v>
      </c>
      <c r="S341" s="28"/>
      <c r="T341" s="31">
        <v>42151</v>
      </c>
      <c r="U341" s="33">
        <v>5100</v>
      </c>
      <c r="V341" s="36">
        <f t="shared" si="27"/>
        <v>5100</v>
      </c>
      <c r="W341" s="28"/>
      <c r="X341" s="31">
        <v>42329</v>
      </c>
      <c r="Y341" s="33">
        <v>3230</v>
      </c>
      <c r="Z341" s="189">
        <f t="shared" si="28"/>
        <v>3230</v>
      </c>
      <c r="AA341" s="190"/>
      <c r="AB341" s="31">
        <v>42181</v>
      </c>
      <c r="AC341" s="36">
        <v>5100</v>
      </c>
      <c r="AD341" s="8"/>
      <c r="AE341" s="6"/>
      <c r="AF341" s="52">
        <f t="shared" si="25"/>
        <v>214970100</v>
      </c>
      <c r="AG341" s="25">
        <f t="shared" si="26"/>
        <v>136722670</v>
      </c>
      <c r="AH341" s="52">
        <f t="shared" si="29"/>
        <v>215123100</v>
      </c>
      <c r="AI341" s="6"/>
      <c r="AJ341" s="6"/>
      <c r="AK341" s="6"/>
      <c r="AL341" s="6"/>
      <c r="AM341" s="6"/>
      <c r="AN341" s="6"/>
      <c r="AO341" s="6"/>
      <c r="AP341" s="6"/>
      <c r="AQ341" s="6"/>
      <c r="AR341" s="6"/>
    </row>
    <row r="342" spans="1:44">
      <c r="A342" s="6"/>
      <c r="B342" s="6"/>
      <c r="C342" s="6"/>
      <c r="D342" s="6"/>
      <c r="E342" s="6"/>
      <c r="F342" s="6"/>
      <c r="G342" s="11"/>
      <c r="H342" s="6"/>
      <c r="I342" s="6"/>
      <c r="J342" s="6"/>
      <c r="K342" s="7"/>
      <c r="L342" s="21" t="str">
        <f>микс!$H$11</f>
        <v>продажа под заказ</v>
      </c>
      <c r="M342" s="22"/>
      <c r="N342" s="22"/>
      <c r="O342" s="22" t="s">
        <v>149</v>
      </c>
      <c r="P342" s="23" t="str">
        <f>микс!$H$46</f>
        <v>Электроника и бытовая техника</v>
      </c>
      <c r="Q342" s="21" t="s">
        <v>64</v>
      </c>
      <c r="R342" s="25">
        <v>1</v>
      </c>
      <c r="S342" s="28"/>
      <c r="T342" s="31">
        <v>42336</v>
      </c>
      <c r="U342" s="33">
        <v>3000</v>
      </c>
      <c r="V342" s="36">
        <f t="shared" si="27"/>
        <v>3000</v>
      </c>
      <c r="W342" s="28"/>
      <c r="X342" s="31">
        <v>42341</v>
      </c>
      <c r="Y342" s="33">
        <v>3126</v>
      </c>
      <c r="Z342" s="189">
        <f t="shared" si="28"/>
        <v>3126</v>
      </c>
      <c r="AA342" s="190"/>
      <c r="AB342" s="31"/>
      <c r="AC342" s="36"/>
      <c r="AD342" s="8"/>
      <c r="AE342" s="6"/>
      <c r="AF342" s="52">
        <f t="shared" si="25"/>
        <v>127008000</v>
      </c>
      <c r="AG342" s="25">
        <f t="shared" si="26"/>
        <v>132357966</v>
      </c>
      <c r="AH342" s="52">
        <f t="shared" si="29"/>
        <v>0</v>
      </c>
      <c r="AI342" s="6"/>
      <c r="AJ342" s="6"/>
      <c r="AK342" s="6"/>
      <c r="AL342" s="6"/>
      <c r="AM342" s="6"/>
      <c r="AN342" s="6"/>
      <c r="AO342" s="6"/>
      <c r="AP342" s="6"/>
      <c r="AQ342" s="6"/>
      <c r="AR342" s="6"/>
    </row>
    <row r="343" spans="1:44">
      <c r="A343" s="6"/>
      <c r="B343" s="6"/>
      <c r="C343" s="6"/>
      <c r="D343" s="6"/>
      <c r="E343" s="6"/>
      <c r="F343" s="6"/>
      <c r="G343" s="11"/>
      <c r="H343" s="6"/>
      <c r="I343" s="6"/>
      <c r="J343" s="6"/>
      <c r="K343" s="7"/>
      <c r="L343" s="21" t="str">
        <f>микс!$H$11</f>
        <v>продажа под заказ</v>
      </c>
      <c r="M343" s="22"/>
      <c r="N343" s="22"/>
      <c r="O343" s="22" t="s">
        <v>151</v>
      </c>
      <c r="P343" s="23" t="str">
        <f>микс!$H$49</f>
        <v>Товары для детей</v>
      </c>
      <c r="Q343" s="21" t="s">
        <v>133</v>
      </c>
      <c r="R343" s="25">
        <v>1</v>
      </c>
      <c r="S343" s="28"/>
      <c r="T343" s="31">
        <v>42337</v>
      </c>
      <c r="U343" s="33">
        <v>1490</v>
      </c>
      <c r="V343" s="36">
        <f t="shared" si="27"/>
        <v>1490</v>
      </c>
      <c r="W343" s="28"/>
      <c r="X343" s="31">
        <v>42342</v>
      </c>
      <c r="Y343" s="33">
        <v>2021</v>
      </c>
      <c r="Z343" s="189">
        <f t="shared" si="28"/>
        <v>2021</v>
      </c>
      <c r="AA343" s="190"/>
      <c r="AB343" s="31"/>
      <c r="AC343" s="36"/>
      <c r="AD343" s="8"/>
      <c r="AE343" s="6"/>
      <c r="AF343" s="52">
        <f t="shared" si="25"/>
        <v>63082130</v>
      </c>
      <c r="AG343" s="25">
        <f t="shared" si="26"/>
        <v>85573182</v>
      </c>
      <c r="AH343" s="52">
        <f t="shared" si="29"/>
        <v>0</v>
      </c>
      <c r="AI343" s="6"/>
      <c r="AJ343" s="6"/>
      <c r="AK343" s="6"/>
      <c r="AL343" s="6"/>
      <c r="AM343" s="6"/>
      <c r="AN343" s="6"/>
      <c r="AO343" s="6"/>
      <c r="AP343" s="6"/>
      <c r="AQ343" s="6"/>
      <c r="AR343" s="6"/>
    </row>
    <row r="344" spans="1:44">
      <c r="A344" s="6"/>
      <c r="B344" s="6"/>
      <c r="C344" s="6"/>
      <c r="D344" s="6"/>
      <c r="E344" s="6"/>
      <c r="F344" s="6"/>
      <c r="G344" s="11"/>
      <c r="H344" s="6"/>
      <c r="I344" s="6"/>
      <c r="J344" s="6"/>
      <c r="K344" s="7"/>
      <c r="L344" s="21" t="str">
        <f>микс!$H$11</f>
        <v>продажа под заказ</v>
      </c>
      <c r="M344" s="22"/>
      <c r="N344" s="22"/>
      <c r="O344" s="22" t="s">
        <v>151</v>
      </c>
      <c r="P344" s="23" t="str">
        <f>микс!$H$49</f>
        <v>Товары для детей</v>
      </c>
      <c r="Q344" s="21" t="s">
        <v>133</v>
      </c>
      <c r="R344" s="25">
        <v>1</v>
      </c>
      <c r="S344" s="28"/>
      <c r="T344" s="31">
        <v>42306</v>
      </c>
      <c r="U344" s="33">
        <v>1366</v>
      </c>
      <c r="V344" s="36">
        <f t="shared" si="27"/>
        <v>1366</v>
      </c>
      <c r="W344" s="28"/>
      <c r="X344" s="31">
        <v>42308</v>
      </c>
      <c r="Y344" s="33">
        <v>1649</v>
      </c>
      <c r="Z344" s="189">
        <f t="shared" si="28"/>
        <v>1649</v>
      </c>
      <c r="AA344" s="190"/>
      <c r="AB344" s="31">
        <v>42356</v>
      </c>
      <c r="AC344" s="36">
        <v>1366</v>
      </c>
      <c r="AD344" s="8"/>
      <c r="AE344" s="6"/>
      <c r="AF344" s="52">
        <f t="shared" si="25"/>
        <v>57789996</v>
      </c>
      <c r="AG344" s="25">
        <f t="shared" si="26"/>
        <v>69765892</v>
      </c>
      <c r="AH344" s="52">
        <f t="shared" si="29"/>
        <v>57858296</v>
      </c>
      <c r="AI344" s="6"/>
      <c r="AJ344" s="6"/>
      <c r="AK344" s="6"/>
      <c r="AL344" s="6"/>
      <c r="AM344" s="6"/>
      <c r="AN344" s="6"/>
      <c r="AO344" s="6"/>
      <c r="AP344" s="6"/>
      <c r="AQ344" s="6"/>
      <c r="AR344" s="6"/>
    </row>
    <row r="345" spans="1:44">
      <c r="A345" s="6"/>
      <c r="B345" s="6"/>
      <c r="C345" s="6"/>
      <c r="D345" s="6"/>
      <c r="E345" s="6"/>
      <c r="F345" s="6"/>
      <c r="G345" s="11"/>
      <c r="H345" s="6"/>
      <c r="I345" s="6"/>
      <c r="J345" s="6"/>
      <c r="K345" s="7"/>
      <c r="L345" s="21" t="str">
        <f>микс!$H$11</f>
        <v>продажа под заказ</v>
      </c>
      <c r="M345" s="22"/>
      <c r="N345" s="22"/>
      <c r="O345" s="22" t="s">
        <v>151</v>
      </c>
      <c r="P345" s="23" t="str">
        <f>микс!$H$49</f>
        <v>Товары для детей</v>
      </c>
      <c r="Q345" s="21" t="s">
        <v>133</v>
      </c>
      <c r="R345" s="25">
        <v>1</v>
      </c>
      <c r="S345" s="28"/>
      <c r="T345" s="31">
        <v>42307</v>
      </c>
      <c r="U345" s="33">
        <v>1490</v>
      </c>
      <c r="V345" s="36">
        <f t="shared" si="27"/>
        <v>1490</v>
      </c>
      <c r="W345" s="28"/>
      <c r="X345" s="31">
        <v>42313</v>
      </c>
      <c r="Y345" s="33">
        <v>1649</v>
      </c>
      <c r="Z345" s="189">
        <f t="shared" si="28"/>
        <v>1649</v>
      </c>
      <c r="AA345" s="190"/>
      <c r="AB345" s="31">
        <v>42367</v>
      </c>
      <c r="AC345" s="36">
        <v>1490</v>
      </c>
      <c r="AD345" s="8"/>
      <c r="AE345" s="6"/>
      <c r="AF345" s="52">
        <f t="shared" si="25"/>
        <v>63037430</v>
      </c>
      <c r="AG345" s="25">
        <f t="shared" si="26"/>
        <v>69774137</v>
      </c>
      <c r="AH345" s="52">
        <f t="shared" si="29"/>
        <v>63126830</v>
      </c>
      <c r="AI345" s="6"/>
      <c r="AJ345" s="6"/>
      <c r="AK345" s="6"/>
      <c r="AL345" s="6"/>
      <c r="AM345" s="6"/>
      <c r="AN345" s="6"/>
      <c r="AO345" s="6"/>
      <c r="AP345" s="6"/>
      <c r="AQ345" s="6"/>
      <c r="AR345" s="6"/>
    </row>
    <row r="346" spans="1:44">
      <c r="A346" s="6"/>
      <c r="B346" s="6"/>
      <c r="C346" s="6"/>
      <c r="D346" s="6"/>
      <c r="E346" s="6"/>
      <c r="F346" s="6"/>
      <c r="G346" s="11"/>
      <c r="H346" s="6"/>
      <c r="I346" s="6"/>
      <c r="J346" s="6"/>
      <c r="K346" s="7"/>
      <c r="L346" s="21" t="str">
        <f>микс!$H$11</f>
        <v>продажа под заказ</v>
      </c>
      <c r="M346" s="22"/>
      <c r="N346" s="22"/>
      <c r="O346" s="22" t="s">
        <v>151</v>
      </c>
      <c r="P346" s="23" t="str">
        <f>микс!$H$49</f>
        <v>Товары для детей</v>
      </c>
      <c r="Q346" s="21" t="s">
        <v>133</v>
      </c>
      <c r="R346" s="25">
        <v>1</v>
      </c>
      <c r="S346" s="28"/>
      <c r="T346" s="31">
        <v>42308</v>
      </c>
      <c r="U346" s="33">
        <v>1490</v>
      </c>
      <c r="V346" s="36">
        <f t="shared" si="27"/>
        <v>1490</v>
      </c>
      <c r="W346" s="28"/>
      <c r="X346" s="31">
        <v>42315</v>
      </c>
      <c r="Y346" s="33">
        <v>1615</v>
      </c>
      <c r="Z346" s="189">
        <f t="shared" si="28"/>
        <v>1615</v>
      </c>
      <c r="AA346" s="190"/>
      <c r="AB346" s="31">
        <v>42338</v>
      </c>
      <c r="AC346" s="36">
        <v>1490</v>
      </c>
      <c r="AD346" s="8"/>
      <c r="AE346" s="6"/>
      <c r="AF346" s="52">
        <f t="shared" si="25"/>
        <v>63038920</v>
      </c>
      <c r="AG346" s="25">
        <f t="shared" si="26"/>
        <v>68338725</v>
      </c>
      <c r="AH346" s="52">
        <f t="shared" si="29"/>
        <v>63083620</v>
      </c>
      <c r="AI346" s="6"/>
      <c r="AJ346" s="6"/>
      <c r="AK346" s="6"/>
      <c r="AL346" s="6"/>
      <c r="AM346" s="6"/>
      <c r="AN346" s="6"/>
      <c r="AO346" s="6"/>
      <c r="AP346" s="6"/>
      <c r="AQ346" s="6"/>
      <c r="AR346" s="6"/>
    </row>
    <row r="347" spans="1:44">
      <c r="A347" s="6"/>
      <c r="B347" s="6"/>
      <c r="C347" s="6"/>
      <c r="D347" s="6"/>
      <c r="E347" s="6"/>
      <c r="F347" s="6"/>
      <c r="G347" s="11"/>
      <c r="H347" s="6"/>
      <c r="I347" s="6"/>
      <c r="J347" s="6"/>
      <c r="K347" s="7"/>
      <c r="L347" s="21" t="str">
        <f>микс!$H$11</f>
        <v>продажа под заказ</v>
      </c>
      <c r="M347" s="22"/>
      <c r="N347" s="22"/>
      <c r="O347" s="22" t="s">
        <v>151</v>
      </c>
      <c r="P347" s="23" t="str">
        <f>микс!$H$49</f>
        <v>Товары для детей</v>
      </c>
      <c r="Q347" s="21" t="s">
        <v>133</v>
      </c>
      <c r="R347" s="25">
        <v>1</v>
      </c>
      <c r="S347" s="28"/>
      <c r="T347" s="31">
        <v>42310</v>
      </c>
      <c r="U347" s="33">
        <v>1490</v>
      </c>
      <c r="V347" s="36">
        <f t="shared" si="27"/>
        <v>1490</v>
      </c>
      <c r="W347" s="28"/>
      <c r="X347" s="31">
        <v>42315</v>
      </c>
      <c r="Y347" s="33">
        <v>1615</v>
      </c>
      <c r="Z347" s="189">
        <f t="shared" si="28"/>
        <v>1615</v>
      </c>
      <c r="AA347" s="190"/>
      <c r="AB347" s="31">
        <v>42330</v>
      </c>
      <c r="AC347" s="36">
        <v>1490</v>
      </c>
      <c r="AD347" s="8"/>
      <c r="AE347" s="6"/>
      <c r="AF347" s="52">
        <f t="shared" si="25"/>
        <v>63041900</v>
      </c>
      <c r="AG347" s="25">
        <f t="shared" si="26"/>
        <v>68338725</v>
      </c>
      <c r="AH347" s="52">
        <f t="shared" si="29"/>
        <v>63071700</v>
      </c>
      <c r="AI347" s="6"/>
      <c r="AJ347" s="6"/>
      <c r="AK347" s="6"/>
      <c r="AL347" s="6"/>
      <c r="AM347" s="6"/>
      <c r="AN347" s="6"/>
      <c r="AO347" s="6"/>
      <c r="AP347" s="6"/>
      <c r="AQ347" s="6"/>
      <c r="AR347" s="6"/>
    </row>
    <row r="348" spans="1:44">
      <c r="A348" s="6"/>
      <c r="B348" s="6"/>
      <c r="C348" s="6"/>
      <c r="D348" s="6"/>
      <c r="E348" s="6"/>
      <c r="F348" s="6"/>
      <c r="G348" s="11"/>
      <c r="H348" s="6"/>
      <c r="I348" s="6"/>
      <c r="J348" s="6"/>
      <c r="K348" s="7"/>
      <c r="L348" s="21" t="str">
        <f>микс!$H$11</f>
        <v>продажа под заказ</v>
      </c>
      <c r="M348" s="22"/>
      <c r="N348" s="22"/>
      <c r="O348" s="22" t="s">
        <v>151</v>
      </c>
      <c r="P348" s="23" t="str">
        <f>микс!$H$49</f>
        <v>Товары для детей</v>
      </c>
      <c r="Q348" s="21" t="s">
        <v>133</v>
      </c>
      <c r="R348" s="25">
        <v>1</v>
      </c>
      <c r="S348" s="28"/>
      <c r="T348" s="31">
        <v>42312</v>
      </c>
      <c r="U348" s="33">
        <v>1490</v>
      </c>
      <c r="V348" s="36">
        <f t="shared" si="27"/>
        <v>1490</v>
      </c>
      <c r="W348" s="28"/>
      <c r="X348" s="31">
        <v>42315</v>
      </c>
      <c r="Y348" s="33">
        <v>1615</v>
      </c>
      <c r="Z348" s="189">
        <f t="shared" si="28"/>
        <v>1615</v>
      </c>
      <c r="AA348" s="190"/>
      <c r="AB348" s="31"/>
      <c r="AC348" s="36"/>
      <c r="AD348" s="8"/>
      <c r="AE348" s="6"/>
      <c r="AF348" s="52">
        <f t="shared" si="25"/>
        <v>63044880</v>
      </c>
      <c r="AG348" s="25">
        <f t="shared" si="26"/>
        <v>68338725</v>
      </c>
      <c r="AH348" s="52">
        <f t="shared" si="29"/>
        <v>0</v>
      </c>
      <c r="AI348" s="6"/>
      <c r="AJ348" s="6"/>
      <c r="AK348" s="6"/>
      <c r="AL348" s="6"/>
      <c r="AM348" s="6"/>
      <c r="AN348" s="6"/>
      <c r="AO348" s="6"/>
      <c r="AP348" s="6"/>
      <c r="AQ348" s="6"/>
      <c r="AR348" s="6"/>
    </row>
    <row r="349" spans="1:44">
      <c r="A349" s="6"/>
      <c r="B349" s="6"/>
      <c r="C349" s="6"/>
      <c r="D349" s="6"/>
      <c r="E349" s="6"/>
      <c r="F349" s="6"/>
      <c r="G349" s="11"/>
      <c r="H349" s="6"/>
      <c r="I349" s="6"/>
      <c r="J349" s="6"/>
      <c r="K349" s="7"/>
      <c r="L349" s="21" t="str">
        <f>микс!$H$11</f>
        <v>продажа под заказ</v>
      </c>
      <c r="M349" s="22"/>
      <c r="N349" s="22"/>
      <c r="O349" s="22" t="s">
        <v>151</v>
      </c>
      <c r="P349" s="23" t="str">
        <f>микс!$H$49</f>
        <v>Товары для детей</v>
      </c>
      <c r="Q349" s="21" t="s">
        <v>133</v>
      </c>
      <c r="R349" s="25">
        <v>1</v>
      </c>
      <c r="S349" s="28"/>
      <c r="T349" s="31">
        <v>42314</v>
      </c>
      <c r="U349" s="33">
        <v>1490</v>
      </c>
      <c r="V349" s="36">
        <f t="shared" si="27"/>
        <v>1490</v>
      </c>
      <c r="W349" s="28"/>
      <c r="X349" s="31">
        <v>42325</v>
      </c>
      <c r="Y349" s="33">
        <v>1698</v>
      </c>
      <c r="Z349" s="189">
        <f t="shared" si="28"/>
        <v>1698</v>
      </c>
      <c r="AA349" s="190"/>
      <c r="AB349" s="31">
        <v>42324</v>
      </c>
      <c r="AC349" s="36">
        <v>1490</v>
      </c>
      <c r="AD349" s="8"/>
      <c r="AE349" s="6"/>
      <c r="AF349" s="52">
        <f t="shared" si="25"/>
        <v>63047860</v>
      </c>
      <c r="AG349" s="25">
        <f t="shared" si="26"/>
        <v>71867850</v>
      </c>
      <c r="AH349" s="52">
        <f t="shared" si="29"/>
        <v>63062760</v>
      </c>
      <c r="AI349" s="6"/>
      <c r="AJ349" s="6"/>
      <c r="AK349" s="6"/>
      <c r="AL349" s="6"/>
      <c r="AM349" s="6"/>
      <c r="AN349" s="6"/>
      <c r="AO349" s="6"/>
      <c r="AP349" s="6"/>
      <c r="AQ349" s="6"/>
      <c r="AR349" s="6"/>
    </row>
    <row r="350" spans="1:44">
      <c r="A350" s="6"/>
      <c r="B350" s="6"/>
      <c r="C350" s="6"/>
      <c r="D350" s="6"/>
      <c r="E350" s="6"/>
      <c r="F350" s="6"/>
      <c r="G350" s="11"/>
      <c r="H350" s="6"/>
      <c r="I350" s="6"/>
      <c r="J350" s="6"/>
      <c r="K350" s="7"/>
      <c r="L350" s="21" t="str">
        <f>микс!$H$10</f>
        <v>продажа со склада</v>
      </c>
      <c r="M350" s="22"/>
      <c r="N350" s="22"/>
      <c r="O350" s="22" t="s">
        <v>151</v>
      </c>
      <c r="P350" s="23" t="str">
        <f>микс!$H$49</f>
        <v>Товары для детей</v>
      </c>
      <c r="Q350" s="21" t="s">
        <v>133</v>
      </c>
      <c r="R350" s="25">
        <v>1</v>
      </c>
      <c r="S350" s="28"/>
      <c r="T350" s="31">
        <v>42152</v>
      </c>
      <c r="U350" s="33">
        <v>1490</v>
      </c>
      <c r="V350" s="36">
        <f t="shared" si="27"/>
        <v>1490</v>
      </c>
      <c r="W350" s="28"/>
      <c r="X350" s="31">
        <v>42306</v>
      </c>
      <c r="Y350" s="33">
        <v>1641</v>
      </c>
      <c r="Z350" s="189">
        <f t="shared" si="28"/>
        <v>1641</v>
      </c>
      <c r="AA350" s="190"/>
      <c r="AB350" s="31">
        <v>42182</v>
      </c>
      <c r="AC350" s="36">
        <v>1490</v>
      </c>
      <c r="AD350" s="8"/>
      <c r="AE350" s="6"/>
      <c r="AF350" s="52">
        <f t="shared" si="25"/>
        <v>62806480</v>
      </c>
      <c r="AG350" s="25">
        <f t="shared" si="26"/>
        <v>69424146</v>
      </c>
      <c r="AH350" s="52">
        <f t="shared" si="29"/>
        <v>62851180</v>
      </c>
      <c r="AI350" s="6"/>
      <c r="AJ350" s="6"/>
      <c r="AK350" s="6"/>
      <c r="AL350" s="6"/>
      <c r="AM350" s="6"/>
      <c r="AN350" s="6"/>
      <c r="AO350" s="6"/>
      <c r="AP350" s="6"/>
      <c r="AQ350" s="6"/>
      <c r="AR350" s="6"/>
    </row>
    <row r="351" spans="1:44">
      <c r="A351" s="6"/>
      <c r="B351" s="6"/>
      <c r="C351" s="6"/>
      <c r="D351" s="6"/>
      <c r="E351" s="6"/>
      <c r="F351" s="6"/>
      <c r="G351" s="11"/>
      <c r="H351" s="6"/>
      <c r="I351" s="6"/>
      <c r="J351" s="6"/>
      <c r="K351" s="7"/>
      <c r="L351" s="21" t="str">
        <f>микс!$H$10</f>
        <v>продажа со склада</v>
      </c>
      <c r="M351" s="22"/>
      <c r="N351" s="22"/>
      <c r="O351" s="22" t="s">
        <v>151</v>
      </c>
      <c r="P351" s="23" t="str">
        <f>микс!$H$49</f>
        <v>Товары для детей</v>
      </c>
      <c r="Q351" s="21" t="s">
        <v>133</v>
      </c>
      <c r="R351" s="25">
        <v>1</v>
      </c>
      <c r="S351" s="28"/>
      <c r="T351" s="31">
        <v>42144</v>
      </c>
      <c r="U351" s="33">
        <v>1366</v>
      </c>
      <c r="V351" s="36">
        <f t="shared" si="27"/>
        <v>1366</v>
      </c>
      <c r="W351" s="28"/>
      <c r="X351" s="31">
        <v>42295</v>
      </c>
      <c r="Y351" s="33">
        <v>1937</v>
      </c>
      <c r="Z351" s="189">
        <f t="shared" si="28"/>
        <v>1937</v>
      </c>
      <c r="AA351" s="190"/>
      <c r="AB351" s="31">
        <v>42165</v>
      </c>
      <c r="AC351" s="36">
        <v>1366</v>
      </c>
      <c r="AD351" s="8"/>
      <c r="AE351" s="6"/>
      <c r="AF351" s="52">
        <f t="shared" si="25"/>
        <v>57568704</v>
      </c>
      <c r="AG351" s="25">
        <f t="shared" si="26"/>
        <v>81925415</v>
      </c>
      <c r="AH351" s="52">
        <f t="shared" si="29"/>
        <v>57597390</v>
      </c>
      <c r="AI351" s="6"/>
      <c r="AJ351" s="6"/>
      <c r="AK351" s="6"/>
      <c r="AL351" s="6"/>
      <c r="AM351" s="6"/>
      <c r="AN351" s="6"/>
      <c r="AO351" s="6"/>
      <c r="AP351" s="6"/>
      <c r="AQ351" s="6"/>
      <c r="AR351" s="6"/>
    </row>
    <row r="352" spans="1:44">
      <c r="A352" s="6"/>
      <c r="B352" s="6"/>
      <c r="C352" s="6"/>
      <c r="D352" s="6"/>
      <c r="E352" s="6"/>
      <c r="F352" s="6"/>
      <c r="G352" s="11"/>
      <c r="H352" s="6"/>
      <c r="I352" s="6"/>
      <c r="J352" s="6"/>
      <c r="K352" s="7"/>
      <c r="L352" s="21" t="str">
        <f>микс!$H$10</f>
        <v>продажа со склада</v>
      </c>
      <c r="M352" s="22"/>
      <c r="N352" s="22"/>
      <c r="O352" s="22" t="s">
        <v>136</v>
      </c>
      <c r="P352" s="23" t="str">
        <f>микс!$H$48</f>
        <v>Спортивный инвентарь</v>
      </c>
      <c r="Q352" s="21" t="s">
        <v>71</v>
      </c>
      <c r="R352" s="25">
        <v>1</v>
      </c>
      <c r="S352" s="28"/>
      <c r="T352" s="31">
        <v>42114</v>
      </c>
      <c r="U352" s="33">
        <v>761.88</v>
      </c>
      <c r="V352" s="36">
        <f t="shared" si="27"/>
        <v>761.88</v>
      </c>
      <c r="W352" s="28"/>
      <c r="X352" s="31">
        <v>42297</v>
      </c>
      <c r="Y352" s="33">
        <v>748</v>
      </c>
      <c r="Z352" s="189">
        <f t="shared" si="28"/>
        <v>748</v>
      </c>
      <c r="AA352" s="190"/>
      <c r="AB352" s="31"/>
      <c r="AC352" s="36"/>
      <c r="AD352" s="8"/>
      <c r="AE352" s="6"/>
      <c r="AF352" s="52">
        <f t="shared" si="25"/>
        <v>32085814.32</v>
      </c>
      <c r="AG352" s="25">
        <f t="shared" si="26"/>
        <v>31638156</v>
      </c>
      <c r="AH352" s="52">
        <f t="shared" si="29"/>
        <v>0</v>
      </c>
      <c r="AI352" s="6"/>
      <c r="AJ352" s="6"/>
      <c r="AK352" s="6"/>
      <c r="AL352" s="6"/>
      <c r="AM352" s="6"/>
      <c r="AN352" s="6"/>
      <c r="AO352" s="6"/>
      <c r="AP352" s="6"/>
      <c r="AQ352" s="6"/>
      <c r="AR352" s="6"/>
    </row>
    <row r="353" spans="1:44">
      <c r="A353" s="6"/>
      <c r="B353" s="6"/>
      <c r="C353" s="6"/>
      <c r="D353" s="6"/>
      <c r="E353" s="6"/>
      <c r="F353" s="6"/>
      <c r="G353" s="11"/>
      <c r="H353" s="6"/>
      <c r="I353" s="6"/>
      <c r="J353" s="6"/>
      <c r="K353" s="7"/>
      <c r="L353" s="21" t="str">
        <f>микс!$H$10</f>
        <v>продажа со склада</v>
      </c>
      <c r="M353" s="22"/>
      <c r="N353" s="22"/>
      <c r="O353" s="22" t="s">
        <v>136</v>
      </c>
      <c r="P353" s="23" t="str">
        <f>микс!$H$48</f>
        <v>Спортивный инвентарь</v>
      </c>
      <c r="Q353" s="21" t="s">
        <v>71</v>
      </c>
      <c r="R353" s="25">
        <v>1</v>
      </c>
      <c r="S353" s="28"/>
      <c r="T353" s="31">
        <v>42123</v>
      </c>
      <c r="U353" s="33">
        <v>748</v>
      </c>
      <c r="V353" s="36">
        <f t="shared" si="27"/>
        <v>748</v>
      </c>
      <c r="W353" s="28"/>
      <c r="X353" s="31">
        <v>42304</v>
      </c>
      <c r="Y353" s="33">
        <v>748</v>
      </c>
      <c r="Z353" s="189">
        <f t="shared" si="28"/>
        <v>748</v>
      </c>
      <c r="AA353" s="190"/>
      <c r="AB353" s="31">
        <v>42153</v>
      </c>
      <c r="AC353" s="36">
        <v>748</v>
      </c>
      <c r="AD353" s="8"/>
      <c r="AE353" s="6"/>
      <c r="AF353" s="52">
        <f t="shared" si="25"/>
        <v>31508004</v>
      </c>
      <c r="AG353" s="25">
        <f t="shared" si="26"/>
        <v>31643392</v>
      </c>
      <c r="AH353" s="52">
        <f t="shared" si="29"/>
        <v>31530444</v>
      </c>
      <c r="AI353" s="6"/>
      <c r="AJ353" s="6"/>
      <c r="AK353" s="6"/>
      <c r="AL353" s="6"/>
      <c r="AM353" s="6"/>
      <c r="AN353" s="6"/>
      <c r="AO353" s="6"/>
      <c r="AP353" s="6"/>
      <c r="AQ353" s="6"/>
      <c r="AR353" s="6"/>
    </row>
    <row r="354" spans="1:44">
      <c r="A354" s="6"/>
      <c r="B354" s="6"/>
      <c r="C354" s="6"/>
      <c r="D354" s="6"/>
      <c r="E354" s="6"/>
      <c r="F354" s="6"/>
      <c r="G354" s="11"/>
      <c r="H354" s="6"/>
      <c r="I354" s="6"/>
      <c r="J354" s="6"/>
      <c r="K354" s="7"/>
      <c r="L354" s="21" t="str">
        <f>микс!$H$10</f>
        <v>продажа со склада</v>
      </c>
      <c r="M354" s="22"/>
      <c r="N354" s="22"/>
      <c r="O354" s="22" t="s">
        <v>136</v>
      </c>
      <c r="P354" s="23" t="str">
        <f>микс!$H$48</f>
        <v>Спортивный инвентарь</v>
      </c>
      <c r="Q354" s="21" t="s">
        <v>71</v>
      </c>
      <c r="R354" s="25">
        <v>1</v>
      </c>
      <c r="S354" s="28"/>
      <c r="T354" s="31">
        <v>42155</v>
      </c>
      <c r="U354" s="33">
        <v>761.88</v>
      </c>
      <c r="V354" s="36">
        <f t="shared" si="27"/>
        <v>761.88</v>
      </c>
      <c r="W354" s="28"/>
      <c r="X354" s="31">
        <v>42337</v>
      </c>
      <c r="Y354" s="33">
        <v>937</v>
      </c>
      <c r="Z354" s="189">
        <f t="shared" si="28"/>
        <v>937</v>
      </c>
      <c r="AA354" s="190"/>
      <c r="AB354" s="31">
        <v>42170</v>
      </c>
      <c r="AC354" s="36">
        <v>761.88</v>
      </c>
      <c r="AD354" s="8"/>
      <c r="AE354" s="6"/>
      <c r="AF354" s="52">
        <f t="shared" si="25"/>
        <v>32117051.399999999</v>
      </c>
      <c r="AG354" s="25">
        <f t="shared" si="26"/>
        <v>39669769</v>
      </c>
      <c r="AH354" s="52">
        <f t="shared" si="29"/>
        <v>32128479.600000001</v>
      </c>
      <c r="AI354" s="6"/>
      <c r="AJ354" s="6"/>
      <c r="AK354" s="6"/>
      <c r="AL354" s="6"/>
      <c r="AM354" s="6"/>
      <c r="AN354" s="6"/>
      <c r="AO354" s="6"/>
      <c r="AP354" s="6"/>
      <c r="AQ354" s="6"/>
      <c r="AR354" s="6"/>
    </row>
    <row r="355" spans="1:44">
      <c r="A355" s="6"/>
      <c r="B355" s="6"/>
      <c r="C355" s="6"/>
      <c r="D355" s="6"/>
      <c r="E355" s="6"/>
      <c r="F355" s="6"/>
      <c r="G355" s="11"/>
      <c r="H355" s="6"/>
      <c r="I355" s="6"/>
      <c r="J355" s="6"/>
      <c r="K355" s="7"/>
      <c r="L355" s="21" t="str">
        <f>микс!$H$11</f>
        <v>продажа под заказ</v>
      </c>
      <c r="M355" s="22"/>
      <c r="N355" s="22"/>
      <c r="O355" s="22" t="s">
        <v>136</v>
      </c>
      <c r="P355" s="23" t="str">
        <f>микс!$H$48</f>
        <v>Спортивный инвентарь</v>
      </c>
      <c r="Q355" s="21" t="s">
        <v>85</v>
      </c>
      <c r="R355" s="25">
        <v>7</v>
      </c>
      <c r="S355" s="28"/>
      <c r="T355" s="31">
        <v>42299</v>
      </c>
      <c r="U355" s="33">
        <v>2033</v>
      </c>
      <c r="V355" s="36">
        <f t="shared" si="27"/>
        <v>14231</v>
      </c>
      <c r="W355" s="28"/>
      <c r="X355" s="31">
        <v>42306</v>
      </c>
      <c r="Y355" s="33">
        <v>2033</v>
      </c>
      <c r="Z355" s="189">
        <f t="shared" si="28"/>
        <v>14231</v>
      </c>
      <c r="AA355" s="190"/>
      <c r="AB355" s="31">
        <v>42321</v>
      </c>
      <c r="AC355" s="36">
        <v>14231</v>
      </c>
      <c r="AD355" s="8"/>
      <c r="AE355" s="6"/>
      <c r="AF355" s="52">
        <f t="shared" si="25"/>
        <v>601957069</v>
      </c>
      <c r="AG355" s="25">
        <f t="shared" si="26"/>
        <v>602056686</v>
      </c>
      <c r="AH355" s="52">
        <f t="shared" si="29"/>
        <v>602270151</v>
      </c>
      <c r="AI355" s="6"/>
      <c r="AJ355" s="6"/>
      <c r="AK355" s="6"/>
      <c r="AL355" s="6"/>
      <c r="AM355" s="6"/>
      <c r="AN355" s="6"/>
      <c r="AO355" s="6"/>
      <c r="AP355" s="6"/>
      <c r="AQ355" s="6"/>
      <c r="AR355" s="6"/>
    </row>
    <row r="356" spans="1:44">
      <c r="A356" s="6"/>
      <c r="B356" s="6"/>
      <c r="C356" s="6"/>
      <c r="D356" s="6"/>
      <c r="E356" s="6"/>
      <c r="F356" s="6"/>
      <c r="G356" s="11"/>
      <c r="H356" s="6"/>
      <c r="I356" s="6"/>
      <c r="J356" s="6"/>
      <c r="K356" s="7"/>
      <c r="L356" s="21" t="str">
        <f>микс!$H$11</f>
        <v>продажа под заказ</v>
      </c>
      <c r="M356" s="22"/>
      <c r="N356" s="22"/>
      <c r="O356" s="22" t="s">
        <v>136</v>
      </c>
      <c r="P356" s="23" t="str">
        <f>микс!$H$48</f>
        <v>Спортивный инвентарь</v>
      </c>
      <c r="Q356" s="21" t="s">
        <v>85</v>
      </c>
      <c r="R356" s="25">
        <v>1</v>
      </c>
      <c r="S356" s="28"/>
      <c r="T356" s="31">
        <v>42306</v>
      </c>
      <c r="U356" s="33">
        <v>1659.84</v>
      </c>
      <c r="V356" s="36">
        <f t="shared" si="27"/>
        <v>1659.84</v>
      </c>
      <c r="W356" s="28"/>
      <c r="X356" s="31">
        <v>42309</v>
      </c>
      <c r="Y356" s="33">
        <v>1900</v>
      </c>
      <c r="Z356" s="189">
        <f t="shared" si="28"/>
        <v>1900</v>
      </c>
      <c r="AA356" s="190"/>
      <c r="AB356" s="31">
        <v>42366</v>
      </c>
      <c r="AC356" s="36">
        <v>1659.84</v>
      </c>
      <c r="AD356" s="8"/>
      <c r="AE356" s="6"/>
      <c r="AF356" s="52">
        <f t="shared" si="25"/>
        <v>70221191.039999992</v>
      </c>
      <c r="AG356" s="25">
        <f t="shared" si="26"/>
        <v>80387100</v>
      </c>
      <c r="AH356" s="52">
        <f t="shared" si="29"/>
        <v>70320781.439999998</v>
      </c>
      <c r="AI356" s="6"/>
      <c r="AJ356" s="6"/>
      <c r="AK356" s="6"/>
      <c r="AL356" s="6"/>
      <c r="AM356" s="6"/>
      <c r="AN356" s="6"/>
      <c r="AO356" s="6"/>
      <c r="AP356" s="6"/>
      <c r="AQ356" s="6"/>
      <c r="AR356" s="6"/>
    </row>
    <row r="357" spans="1:44">
      <c r="A357" s="6"/>
      <c r="B357" s="6"/>
      <c r="C357" s="6"/>
      <c r="D357" s="6"/>
      <c r="E357" s="6"/>
      <c r="F357" s="6"/>
      <c r="G357" s="11"/>
      <c r="H357" s="6"/>
      <c r="I357" s="6"/>
      <c r="J357" s="6"/>
      <c r="K357" s="7"/>
      <c r="L357" s="21" t="str">
        <f>микс!$H$11</f>
        <v>продажа под заказ</v>
      </c>
      <c r="M357" s="22"/>
      <c r="N357" s="22"/>
      <c r="O357" s="22" t="s">
        <v>136</v>
      </c>
      <c r="P357" s="23" t="str">
        <f>микс!$H$48</f>
        <v>Спортивный инвентарь</v>
      </c>
      <c r="Q357" s="21" t="s">
        <v>86</v>
      </c>
      <c r="R357" s="25">
        <v>1</v>
      </c>
      <c r="S357" s="28"/>
      <c r="T357" s="31">
        <v>42334</v>
      </c>
      <c r="U357" s="33">
        <v>1279</v>
      </c>
      <c r="V357" s="36">
        <f t="shared" si="27"/>
        <v>1279</v>
      </c>
      <c r="W357" s="28"/>
      <c r="X357" s="31">
        <v>42338</v>
      </c>
      <c r="Y357" s="33">
        <v>845</v>
      </c>
      <c r="Z357" s="189">
        <f t="shared" si="28"/>
        <v>845</v>
      </c>
      <c r="AA357" s="190"/>
      <c r="AB357" s="31">
        <v>42339</v>
      </c>
      <c r="AC357" s="36">
        <v>1279</v>
      </c>
      <c r="AD357" s="8"/>
      <c r="AE357" s="6"/>
      <c r="AF357" s="52">
        <f t="shared" si="25"/>
        <v>54145186</v>
      </c>
      <c r="AG357" s="25">
        <f t="shared" si="26"/>
        <v>35775610</v>
      </c>
      <c r="AH357" s="52">
        <f t="shared" si="29"/>
        <v>54151581</v>
      </c>
      <c r="AI357" s="6"/>
      <c r="AJ357" s="6"/>
      <c r="AK357" s="6"/>
      <c r="AL357" s="6"/>
      <c r="AM357" s="6"/>
      <c r="AN357" s="6"/>
      <c r="AO357" s="6"/>
      <c r="AP357" s="6"/>
      <c r="AQ357" s="6"/>
      <c r="AR357" s="6"/>
    </row>
    <row r="358" spans="1:44">
      <c r="A358" s="6"/>
      <c r="B358" s="6"/>
      <c r="C358" s="6"/>
      <c r="D358" s="6"/>
      <c r="E358" s="6"/>
      <c r="F358" s="6"/>
      <c r="G358" s="11"/>
      <c r="H358" s="6"/>
      <c r="I358" s="6"/>
      <c r="J358" s="6"/>
      <c r="K358" s="7"/>
      <c r="L358" s="21" t="str">
        <f>микс!$H$10</f>
        <v>продажа со склада</v>
      </c>
      <c r="M358" s="22"/>
      <c r="N358" s="22"/>
      <c r="O358" s="22" t="s">
        <v>134</v>
      </c>
      <c r="P358" s="23" t="str">
        <f>микс!$H$49</f>
        <v>Товары для детей</v>
      </c>
      <c r="Q358" s="21" t="s">
        <v>59</v>
      </c>
      <c r="R358" s="25">
        <v>1</v>
      </c>
      <c r="S358" s="28"/>
      <c r="T358" s="31">
        <v>42151</v>
      </c>
      <c r="U358" s="33">
        <v>3165.4</v>
      </c>
      <c r="V358" s="36">
        <f t="shared" si="27"/>
        <v>3165.4</v>
      </c>
      <c r="W358" s="28"/>
      <c r="X358" s="31">
        <v>42339</v>
      </c>
      <c r="Y358" s="33">
        <v>3243</v>
      </c>
      <c r="Z358" s="189">
        <f t="shared" si="28"/>
        <v>3243</v>
      </c>
      <c r="AA358" s="190"/>
      <c r="AB358" s="31"/>
      <c r="AC358" s="36"/>
      <c r="AD358" s="8"/>
      <c r="AE358" s="6"/>
      <c r="AF358" s="52">
        <f t="shared" si="25"/>
        <v>133424775.40000001</v>
      </c>
      <c r="AG358" s="25">
        <f t="shared" si="26"/>
        <v>137305377</v>
      </c>
      <c r="AH358" s="52">
        <f t="shared" si="29"/>
        <v>0</v>
      </c>
      <c r="AI358" s="6"/>
      <c r="AJ358" s="6"/>
      <c r="AK358" s="6"/>
      <c r="AL358" s="6"/>
      <c r="AM358" s="6"/>
      <c r="AN358" s="6"/>
      <c r="AO358" s="6"/>
      <c r="AP358" s="6"/>
      <c r="AQ358" s="6"/>
      <c r="AR358" s="6"/>
    </row>
    <row r="359" spans="1:44">
      <c r="A359" s="6"/>
      <c r="B359" s="6"/>
      <c r="C359" s="6"/>
      <c r="D359" s="6"/>
      <c r="E359" s="6"/>
      <c r="F359" s="6"/>
      <c r="G359" s="11"/>
      <c r="H359" s="6"/>
      <c r="I359" s="6"/>
      <c r="J359" s="6"/>
      <c r="K359" s="7"/>
      <c r="L359" s="21" t="str">
        <f>микс!$H$10</f>
        <v>продажа со склада</v>
      </c>
      <c r="M359" s="22"/>
      <c r="N359" s="22"/>
      <c r="O359" s="22" t="s">
        <v>134</v>
      </c>
      <c r="P359" s="23" t="str">
        <f>микс!$H$49</f>
        <v>Товары для детей</v>
      </c>
      <c r="Q359" s="21" t="s">
        <v>59</v>
      </c>
      <c r="R359" s="25">
        <v>1</v>
      </c>
      <c r="S359" s="28"/>
      <c r="T359" s="31">
        <v>42156</v>
      </c>
      <c r="U359" s="33">
        <v>3165.4</v>
      </c>
      <c r="V359" s="36">
        <f t="shared" si="27"/>
        <v>3165.4</v>
      </c>
      <c r="W359" s="28"/>
      <c r="X359" s="31">
        <v>42338</v>
      </c>
      <c r="Y359" s="33">
        <v>3240</v>
      </c>
      <c r="Z359" s="189">
        <f t="shared" si="28"/>
        <v>3240</v>
      </c>
      <c r="AA359" s="190"/>
      <c r="AB359" s="31">
        <v>42191</v>
      </c>
      <c r="AC359" s="36">
        <v>3165.4</v>
      </c>
      <c r="AD359" s="8"/>
      <c r="AE359" s="6"/>
      <c r="AF359" s="52">
        <f t="shared" si="25"/>
        <v>133440602.40000001</v>
      </c>
      <c r="AG359" s="25">
        <f t="shared" si="26"/>
        <v>137175120</v>
      </c>
      <c r="AH359" s="52">
        <f t="shared" si="29"/>
        <v>133551391.40000001</v>
      </c>
      <c r="AI359" s="6"/>
      <c r="AJ359" s="6"/>
      <c r="AK359" s="6"/>
      <c r="AL359" s="6"/>
      <c r="AM359" s="6"/>
      <c r="AN359" s="6"/>
      <c r="AO359" s="6"/>
      <c r="AP359" s="6"/>
      <c r="AQ359" s="6"/>
      <c r="AR359" s="6"/>
    </row>
    <row r="360" spans="1:44">
      <c r="A360" s="6"/>
      <c r="B360" s="6"/>
      <c r="C360" s="6"/>
      <c r="D360" s="6"/>
      <c r="E360" s="6"/>
      <c r="F360" s="6"/>
      <c r="G360" s="11"/>
      <c r="H360" s="6"/>
      <c r="I360" s="6"/>
      <c r="J360" s="6"/>
      <c r="K360" s="7"/>
      <c r="L360" s="21" t="str">
        <f>микс!$H$11</f>
        <v>продажа под заказ</v>
      </c>
      <c r="M360" s="22"/>
      <c r="N360" s="22"/>
      <c r="O360" s="22" t="s">
        <v>144</v>
      </c>
      <c r="P360" s="23" t="str">
        <f>микс!$H$48</f>
        <v>Спортивный инвентарь</v>
      </c>
      <c r="Q360" s="21" t="s">
        <v>87</v>
      </c>
      <c r="R360" s="25">
        <v>1</v>
      </c>
      <c r="S360" s="28"/>
      <c r="T360" s="31">
        <v>42330</v>
      </c>
      <c r="U360" s="33">
        <v>1653.76</v>
      </c>
      <c r="V360" s="36">
        <f t="shared" si="27"/>
        <v>1653.76</v>
      </c>
      <c r="W360" s="28"/>
      <c r="X360" s="31">
        <v>42337</v>
      </c>
      <c r="Y360" s="33">
        <v>2394</v>
      </c>
      <c r="Z360" s="189">
        <f t="shared" si="28"/>
        <v>2394</v>
      </c>
      <c r="AA360" s="190"/>
      <c r="AB360" s="31">
        <v>42345</v>
      </c>
      <c r="AC360" s="36">
        <v>1653.76</v>
      </c>
      <c r="AD360" s="8"/>
      <c r="AE360" s="6"/>
      <c r="AF360" s="52">
        <f t="shared" si="25"/>
        <v>70003660.799999997</v>
      </c>
      <c r="AG360" s="25">
        <f t="shared" si="26"/>
        <v>101354778</v>
      </c>
      <c r="AH360" s="52">
        <f t="shared" si="29"/>
        <v>70028467.200000003</v>
      </c>
      <c r="AI360" s="6"/>
      <c r="AJ360" s="6"/>
      <c r="AK360" s="6"/>
      <c r="AL360" s="6"/>
      <c r="AM360" s="6"/>
      <c r="AN360" s="6"/>
      <c r="AO360" s="6"/>
      <c r="AP360" s="6"/>
      <c r="AQ360" s="6"/>
      <c r="AR360" s="6"/>
    </row>
    <row r="361" spans="1:44">
      <c r="A361" s="6"/>
      <c r="B361" s="6"/>
      <c r="C361" s="6"/>
      <c r="D361" s="6"/>
      <c r="E361" s="6"/>
      <c r="F361" s="6"/>
      <c r="G361" s="11"/>
      <c r="H361" s="6"/>
      <c r="I361" s="6"/>
      <c r="J361" s="6"/>
      <c r="K361" s="7"/>
      <c r="L361" s="21" t="str">
        <f>микс!$H$10</f>
        <v>продажа со склада</v>
      </c>
      <c r="M361" s="22"/>
      <c r="N361" s="22"/>
      <c r="O361" s="22" t="s">
        <v>134</v>
      </c>
      <c r="P361" s="23" t="str">
        <f>микс!$H$49</f>
        <v>Товары для детей</v>
      </c>
      <c r="Q361" s="21" t="s">
        <v>59</v>
      </c>
      <c r="R361" s="25">
        <v>1</v>
      </c>
      <c r="S361" s="28"/>
      <c r="T361" s="31">
        <v>42150</v>
      </c>
      <c r="U361" s="33">
        <v>3799.6</v>
      </c>
      <c r="V361" s="36">
        <f t="shared" si="27"/>
        <v>3799.6</v>
      </c>
      <c r="W361" s="28"/>
      <c r="X361" s="31">
        <v>42333</v>
      </c>
      <c r="Y361" s="33">
        <v>4228</v>
      </c>
      <c r="Z361" s="189">
        <f t="shared" si="28"/>
        <v>4228</v>
      </c>
      <c r="AA361" s="190"/>
      <c r="AB361" s="31"/>
      <c r="AC361" s="36"/>
      <c r="AD361" s="8"/>
      <c r="AE361" s="6"/>
      <c r="AF361" s="52">
        <f t="shared" si="25"/>
        <v>160153140</v>
      </c>
      <c r="AG361" s="25">
        <f t="shared" si="26"/>
        <v>178983924</v>
      </c>
      <c r="AH361" s="52">
        <f t="shared" si="29"/>
        <v>0</v>
      </c>
      <c r="AI361" s="6"/>
      <c r="AJ361" s="6"/>
      <c r="AK361" s="6"/>
      <c r="AL361" s="6"/>
      <c r="AM361" s="6"/>
      <c r="AN361" s="6"/>
      <c r="AO361" s="6"/>
      <c r="AP361" s="6"/>
      <c r="AQ361" s="6"/>
      <c r="AR361" s="6"/>
    </row>
    <row r="362" spans="1:44">
      <c r="A362" s="6"/>
      <c r="B362" s="6"/>
      <c r="C362" s="6"/>
      <c r="D362" s="6"/>
      <c r="E362" s="6"/>
      <c r="F362" s="6"/>
      <c r="G362" s="11"/>
      <c r="H362" s="6"/>
      <c r="I362" s="6"/>
      <c r="J362" s="6"/>
      <c r="K362" s="7"/>
      <c r="L362" s="21" t="str">
        <f>микс!$H$10</f>
        <v>продажа со склада</v>
      </c>
      <c r="M362" s="22"/>
      <c r="N362" s="22"/>
      <c r="O362" s="22" t="s">
        <v>134</v>
      </c>
      <c r="P362" s="23" t="str">
        <f>микс!$H$49</f>
        <v>Товары для детей</v>
      </c>
      <c r="Q362" s="21" t="s">
        <v>59</v>
      </c>
      <c r="R362" s="25">
        <v>1</v>
      </c>
      <c r="S362" s="28"/>
      <c r="T362" s="31">
        <v>42155</v>
      </c>
      <c r="U362" s="33">
        <v>3799.6</v>
      </c>
      <c r="V362" s="36">
        <f t="shared" si="27"/>
        <v>3799.6</v>
      </c>
      <c r="W362" s="28"/>
      <c r="X362" s="31">
        <v>42347</v>
      </c>
      <c r="Y362" s="33">
        <v>4944</v>
      </c>
      <c r="Z362" s="189">
        <f t="shared" si="28"/>
        <v>4944</v>
      </c>
      <c r="AA362" s="190"/>
      <c r="AB362" s="31">
        <v>42175</v>
      </c>
      <c r="AC362" s="36">
        <v>3799.6</v>
      </c>
      <c r="AD362" s="8"/>
      <c r="AE362" s="6"/>
      <c r="AF362" s="52">
        <f t="shared" si="25"/>
        <v>160172138</v>
      </c>
      <c r="AG362" s="25">
        <f t="shared" si="26"/>
        <v>209363568</v>
      </c>
      <c r="AH362" s="52">
        <f t="shared" si="29"/>
        <v>160248130</v>
      </c>
      <c r="AI362" s="6"/>
      <c r="AJ362" s="6"/>
      <c r="AK362" s="6"/>
      <c r="AL362" s="6"/>
      <c r="AM362" s="6"/>
      <c r="AN362" s="6"/>
      <c r="AO362" s="6"/>
      <c r="AP362" s="6"/>
      <c r="AQ362" s="6"/>
      <c r="AR362" s="6"/>
    </row>
    <row r="363" spans="1:44">
      <c r="A363" s="6"/>
      <c r="B363" s="6"/>
      <c r="C363" s="6"/>
      <c r="D363" s="6"/>
      <c r="E363" s="6"/>
      <c r="F363" s="6"/>
      <c r="G363" s="11"/>
      <c r="H363" s="6"/>
      <c r="I363" s="6"/>
      <c r="J363" s="6"/>
      <c r="K363" s="7"/>
      <c r="L363" s="21" t="str">
        <f>микс!$H$11</f>
        <v>продажа под заказ</v>
      </c>
      <c r="M363" s="22"/>
      <c r="N363" s="22"/>
      <c r="O363" s="22" t="s">
        <v>134</v>
      </c>
      <c r="P363" s="23" t="str">
        <f>микс!$H$49</f>
        <v>Товары для детей</v>
      </c>
      <c r="Q363" s="21" t="s">
        <v>59</v>
      </c>
      <c r="R363" s="25">
        <v>1</v>
      </c>
      <c r="S363" s="28"/>
      <c r="T363" s="31">
        <v>42336</v>
      </c>
      <c r="U363" s="33">
        <v>4006</v>
      </c>
      <c r="V363" s="36">
        <f t="shared" si="27"/>
        <v>4006</v>
      </c>
      <c r="W363" s="28"/>
      <c r="X363" s="31">
        <v>42347</v>
      </c>
      <c r="Y363" s="33">
        <v>4944</v>
      </c>
      <c r="Z363" s="189">
        <f t="shared" si="28"/>
        <v>4944</v>
      </c>
      <c r="AA363" s="190"/>
      <c r="AB363" s="31">
        <v>42366</v>
      </c>
      <c r="AC363" s="36">
        <v>4006</v>
      </c>
      <c r="AD363" s="8"/>
      <c r="AE363" s="6"/>
      <c r="AF363" s="52">
        <f t="shared" si="25"/>
        <v>169598016</v>
      </c>
      <c r="AG363" s="25">
        <f t="shared" si="26"/>
        <v>209363568</v>
      </c>
      <c r="AH363" s="52">
        <f t="shared" si="29"/>
        <v>169718196</v>
      </c>
      <c r="AI363" s="6"/>
      <c r="AJ363" s="6"/>
      <c r="AK363" s="6"/>
      <c r="AL363" s="6"/>
      <c r="AM363" s="6"/>
      <c r="AN363" s="6"/>
      <c r="AO363" s="6"/>
      <c r="AP363" s="6"/>
      <c r="AQ363" s="6"/>
      <c r="AR363" s="6"/>
    </row>
    <row r="364" spans="1:44">
      <c r="A364" s="6"/>
      <c r="B364" s="6"/>
      <c r="C364" s="6"/>
      <c r="D364" s="6"/>
      <c r="E364" s="6"/>
      <c r="F364" s="6"/>
      <c r="G364" s="11"/>
      <c r="H364" s="6"/>
      <c r="I364" s="6"/>
      <c r="J364" s="6"/>
      <c r="K364" s="7"/>
      <c r="L364" s="21" t="str">
        <f>микс!$H$10</f>
        <v>продажа со склада</v>
      </c>
      <c r="M364" s="22"/>
      <c r="N364" s="22"/>
      <c r="O364" s="22" t="s">
        <v>134</v>
      </c>
      <c r="P364" s="23" t="str">
        <f>микс!$H$49</f>
        <v>Товары для детей</v>
      </c>
      <c r="Q364" s="21" t="s">
        <v>59</v>
      </c>
      <c r="R364" s="25">
        <v>1</v>
      </c>
      <c r="S364" s="28"/>
      <c r="T364" s="31">
        <v>42158</v>
      </c>
      <c r="U364" s="33">
        <v>3799.6</v>
      </c>
      <c r="V364" s="36">
        <f t="shared" si="27"/>
        <v>3799.6</v>
      </c>
      <c r="W364" s="28"/>
      <c r="X364" s="31">
        <v>42340</v>
      </c>
      <c r="Y364" s="33">
        <v>5358</v>
      </c>
      <c r="Z364" s="189">
        <f t="shared" si="28"/>
        <v>5358</v>
      </c>
      <c r="AA364" s="190"/>
      <c r="AB364" s="31"/>
      <c r="AC364" s="36"/>
      <c r="AD364" s="8"/>
      <c r="AE364" s="6"/>
      <c r="AF364" s="52">
        <f t="shared" si="25"/>
        <v>160183536.79999998</v>
      </c>
      <c r="AG364" s="25">
        <f t="shared" si="26"/>
        <v>226857720</v>
      </c>
      <c r="AH364" s="52">
        <f t="shared" si="29"/>
        <v>0</v>
      </c>
      <c r="AI364" s="6"/>
      <c r="AJ364" s="6"/>
      <c r="AK364" s="6"/>
      <c r="AL364" s="6"/>
      <c r="AM364" s="6"/>
      <c r="AN364" s="6"/>
      <c r="AO364" s="6"/>
      <c r="AP364" s="6"/>
      <c r="AQ364" s="6"/>
      <c r="AR364" s="6"/>
    </row>
    <row r="365" spans="1:44">
      <c r="A365" s="6"/>
      <c r="B365" s="6"/>
      <c r="C365" s="6"/>
      <c r="D365" s="6"/>
      <c r="E365" s="6"/>
      <c r="F365" s="6"/>
      <c r="G365" s="11"/>
      <c r="H365" s="6"/>
      <c r="I365" s="6"/>
      <c r="J365" s="6"/>
      <c r="K365" s="7"/>
      <c r="L365" s="21" t="str">
        <f>микс!$H$10</f>
        <v>продажа со склада</v>
      </c>
      <c r="M365" s="22"/>
      <c r="N365" s="22"/>
      <c r="O365" s="22" t="s">
        <v>134</v>
      </c>
      <c r="P365" s="23" t="str">
        <f>микс!$H$49</f>
        <v>Товары для детей</v>
      </c>
      <c r="Q365" s="21" t="s">
        <v>59</v>
      </c>
      <c r="R365" s="25">
        <v>1</v>
      </c>
      <c r="S365" s="28"/>
      <c r="T365" s="31">
        <v>42151</v>
      </c>
      <c r="U365" s="33">
        <v>3799.6</v>
      </c>
      <c r="V365" s="36">
        <f t="shared" si="27"/>
        <v>3799.6</v>
      </c>
      <c r="W365" s="28"/>
      <c r="X365" s="31">
        <v>42339</v>
      </c>
      <c r="Y365" s="33">
        <v>4228</v>
      </c>
      <c r="Z365" s="189">
        <f t="shared" si="28"/>
        <v>4228</v>
      </c>
      <c r="AA365" s="190"/>
      <c r="AB365" s="31">
        <v>42161</v>
      </c>
      <c r="AC365" s="36">
        <v>3799.6</v>
      </c>
      <c r="AD365" s="8"/>
      <c r="AE365" s="6"/>
      <c r="AF365" s="52">
        <f t="shared" si="25"/>
        <v>160156939.59999999</v>
      </c>
      <c r="AG365" s="25">
        <f t="shared" si="26"/>
        <v>179009292</v>
      </c>
      <c r="AH365" s="52">
        <f t="shared" si="29"/>
        <v>160194935.59999999</v>
      </c>
      <c r="AI365" s="6"/>
      <c r="AJ365" s="6"/>
      <c r="AK365" s="6"/>
      <c r="AL365" s="6"/>
      <c r="AM365" s="6"/>
      <c r="AN365" s="6"/>
      <c r="AO365" s="6"/>
      <c r="AP365" s="6"/>
      <c r="AQ365" s="6"/>
      <c r="AR365" s="6"/>
    </row>
    <row r="366" spans="1:44">
      <c r="A366" s="6"/>
      <c r="B366" s="6"/>
      <c r="C366" s="6"/>
      <c r="D366" s="6"/>
      <c r="E366" s="6"/>
      <c r="F366" s="6"/>
      <c r="G366" s="11"/>
      <c r="H366" s="6"/>
      <c r="I366" s="6"/>
      <c r="J366" s="6"/>
      <c r="K366" s="7"/>
      <c r="L366" s="21" t="str">
        <f>микс!$H$10</f>
        <v>продажа со склада</v>
      </c>
      <c r="M366" s="22"/>
      <c r="N366" s="22"/>
      <c r="O366" s="22" t="s">
        <v>144</v>
      </c>
      <c r="P366" s="23" t="str">
        <f>микс!$H$48</f>
        <v>Спортивный инвентарь</v>
      </c>
      <c r="Q366" s="21" t="s">
        <v>70</v>
      </c>
      <c r="R366" s="25">
        <v>1</v>
      </c>
      <c r="S366" s="28"/>
      <c r="T366" s="31">
        <v>42158</v>
      </c>
      <c r="U366" s="33">
        <v>225.4</v>
      </c>
      <c r="V366" s="36">
        <f t="shared" si="27"/>
        <v>225.4</v>
      </c>
      <c r="W366" s="28"/>
      <c r="X366" s="31">
        <v>42343</v>
      </c>
      <c r="Y366" s="33">
        <v>336</v>
      </c>
      <c r="Z366" s="189">
        <f t="shared" si="28"/>
        <v>336</v>
      </c>
      <c r="AA366" s="190"/>
      <c r="AB366" s="31">
        <v>42165</v>
      </c>
      <c r="AC366" s="36">
        <v>225.4</v>
      </c>
      <c r="AD366" s="8"/>
      <c r="AE366" s="6"/>
      <c r="AF366" s="52">
        <f t="shared" si="25"/>
        <v>9502413.2000000011</v>
      </c>
      <c r="AG366" s="25">
        <f t="shared" si="26"/>
        <v>14227248</v>
      </c>
      <c r="AH366" s="52">
        <f t="shared" si="29"/>
        <v>9503991</v>
      </c>
      <c r="AI366" s="6"/>
      <c r="AJ366" s="6"/>
      <c r="AK366" s="6"/>
      <c r="AL366" s="6"/>
      <c r="AM366" s="6"/>
      <c r="AN366" s="6"/>
      <c r="AO366" s="6"/>
      <c r="AP366" s="6"/>
      <c r="AQ366" s="6"/>
      <c r="AR366" s="6"/>
    </row>
    <row r="367" spans="1:44">
      <c r="A367" s="6"/>
      <c r="B367" s="6"/>
      <c r="C367" s="6"/>
      <c r="D367" s="6"/>
      <c r="E367" s="6"/>
      <c r="F367" s="6"/>
      <c r="G367" s="11"/>
      <c r="H367" s="6"/>
      <c r="I367" s="6"/>
      <c r="J367" s="6"/>
      <c r="K367" s="7"/>
      <c r="L367" s="21" t="str">
        <f>микс!$H$10</f>
        <v>продажа со склада</v>
      </c>
      <c r="M367" s="22"/>
      <c r="N367" s="22"/>
      <c r="O367" s="22" t="s">
        <v>144</v>
      </c>
      <c r="P367" s="23" t="str">
        <f>микс!$H$48</f>
        <v>Спортивный инвентарь</v>
      </c>
      <c r="Q367" s="21" t="s">
        <v>70</v>
      </c>
      <c r="R367" s="25">
        <v>1</v>
      </c>
      <c r="S367" s="28"/>
      <c r="T367" s="31">
        <v>42147</v>
      </c>
      <c r="U367" s="33">
        <v>225.4</v>
      </c>
      <c r="V367" s="36">
        <f t="shared" si="27"/>
        <v>225.4</v>
      </c>
      <c r="W367" s="28"/>
      <c r="X367" s="31">
        <v>42329</v>
      </c>
      <c r="Y367" s="33">
        <v>484</v>
      </c>
      <c r="Z367" s="189">
        <f t="shared" si="28"/>
        <v>484</v>
      </c>
      <c r="AA367" s="190"/>
      <c r="AB367" s="31">
        <v>42169</v>
      </c>
      <c r="AC367" s="36">
        <v>225.4</v>
      </c>
      <c r="AD367" s="8"/>
      <c r="AE367" s="6"/>
      <c r="AF367" s="52">
        <f t="shared" si="25"/>
        <v>9499933.8000000007</v>
      </c>
      <c r="AG367" s="25">
        <f t="shared" si="26"/>
        <v>20487236</v>
      </c>
      <c r="AH367" s="52">
        <f t="shared" si="29"/>
        <v>9504892.5999999996</v>
      </c>
      <c r="AI367" s="6"/>
      <c r="AJ367" s="6"/>
      <c r="AK367" s="6"/>
      <c r="AL367" s="6"/>
      <c r="AM367" s="6"/>
      <c r="AN367" s="6"/>
      <c r="AO367" s="6"/>
      <c r="AP367" s="6"/>
      <c r="AQ367" s="6"/>
      <c r="AR367" s="6"/>
    </row>
    <row r="368" spans="1:44">
      <c r="A368" s="6"/>
      <c r="B368" s="6"/>
      <c r="C368" s="6"/>
      <c r="D368" s="6"/>
      <c r="E368" s="6"/>
      <c r="F368" s="6"/>
      <c r="G368" s="11"/>
      <c r="H368" s="6"/>
      <c r="I368" s="6"/>
      <c r="J368" s="6"/>
      <c r="K368" s="7"/>
      <c r="L368" s="21" t="str">
        <f>микс!$H$10</f>
        <v>продажа со склада</v>
      </c>
      <c r="M368" s="22"/>
      <c r="N368" s="22"/>
      <c r="O368" s="22" t="s">
        <v>144</v>
      </c>
      <c r="P368" s="23" t="str">
        <f>микс!$H$48</f>
        <v>Спортивный инвентарь</v>
      </c>
      <c r="Q368" s="21" t="s">
        <v>70</v>
      </c>
      <c r="R368" s="25">
        <v>1</v>
      </c>
      <c r="S368" s="28"/>
      <c r="T368" s="31">
        <v>42155</v>
      </c>
      <c r="U368" s="33">
        <v>225.4</v>
      </c>
      <c r="V368" s="36">
        <f t="shared" si="27"/>
        <v>225.4</v>
      </c>
      <c r="W368" s="28"/>
      <c r="X368" s="31">
        <v>42337</v>
      </c>
      <c r="Y368" s="33">
        <v>336</v>
      </c>
      <c r="Z368" s="189">
        <f t="shared" si="28"/>
        <v>336</v>
      </c>
      <c r="AA368" s="190"/>
      <c r="AB368" s="31">
        <v>42187</v>
      </c>
      <c r="AC368" s="36">
        <v>225.4</v>
      </c>
      <c r="AD368" s="8"/>
      <c r="AE368" s="6"/>
      <c r="AF368" s="52">
        <f t="shared" si="25"/>
        <v>9501737</v>
      </c>
      <c r="AG368" s="25">
        <f t="shared" si="26"/>
        <v>14225232</v>
      </c>
      <c r="AH368" s="52">
        <f t="shared" si="29"/>
        <v>9508949.8000000007</v>
      </c>
      <c r="AI368" s="6"/>
      <c r="AJ368" s="6"/>
      <c r="AK368" s="6"/>
      <c r="AL368" s="6"/>
      <c r="AM368" s="6"/>
      <c r="AN368" s="6"/>
      <c r="AO368" s="6"/>
      <c r="AP368" s="6"/>
      <c r="AQ368" s="6"/>
      <c r="AR368" s="6"/>
    </row>
    <row r="369" spans="1:44">
      <c r="A369" s="6"/>
      <c r="B369" s="6"/>
      <c r="C369" s="6"/>
      <c r="D369" s="6"/>
      <c r="E369" s="6"/>
      <c r="F369" s="6"/>
      <c r="G369" s="11"/>
      <c r="H369" s="6"/>
      <c r="I369" s="6"/>
      <c r="J369" s="6"/>
      <c r="K369" s="7"/>
      <c r="L369" s="21" t="str">
        <f>микс!$H$10</f>
        <v>продажа со склада</v>
      </c>
      <c r="M369" s="22"/>
      <c r="N369" s="22"/>
      <c r="O369" s="22" t="s">
        <v>128</v>
      </c>
      <c r="P369" s="23" t="str">
        <f>микс!$H$50</f>
        <v>Одежда и обувь</v>
      </c>
      <c r="Q369" s="21" t="s">
        <v>129</v>
      </c>
      <c r="R369" s="25">
        <v>1</v>
      </c>
      <c r="S369" s="28"/>
      <c r="T369" s="31">
        <v>42122</v>
      </c>
      <c r="U369" s="33">
        <v>1200</v>
      </c>
      <c r="V369" s="36">
        <f t="shared" si="27"/>
        <v>1200</v>
      </c>
      <c r="W369" s="28"/>
      <c r="X369" s="31">
        <v>42312</v>
      </c>
      <c r="Y369" s="33">
        <v>1200</v>
      </c>
      <c r="Z369" s="189">
        <f t="shared" si="28"/>
        <v>1200</v>
      </c>
      <c r="AA369" s="190"/>
      <c r="AB369" s="31">
        <v>42167</v>
      </c>
      <c r="AC369" s="36">
        <v>1200</v>
      </c>
      <c r="AD369" s="8"/>
      <c r="AE369" s="6"/>
      <c r="AF369" s="52">
        <f t="shared" si="25"/>
        <v>50546400</v>
      </c>
      <c r="AG369" s="25">
        <f t="shared" si="26"/>
        <v>50774400</v>
      </c>
      <c r="AH369" s="52">
        <f t="shared" si="29"/>
        <v>50600400</v>
      </c>
      <c r="AI369" s="6"/>
      <c r="AJ369" s="6"/>
      <c r="AK369" s="6"/>
      <c r="AL369" s="6"/>
      <c r="AM369" s="6"/>
      <c r="AN369" s="6"/>
      <c r="AO369" s="6"/>
      <c r="AP369" s="6"/>
      <c r="AQ369" s="6"/>
      <c r="AR369" s="6"/>
    </row>
    <row r="370" spans="1:44">
      <c r="A370" s="6"/>
      <c r="B370" s="6"/>
      <c r="C370" s="6"/>
      <c r="D370" s="6"/>
      <c r="E370" s="6"/>
      <c r="F370" s="6"/>
      <c r="G370" s="11"/>
      <c r="H370" s="6"/>
      <c r="I370" s="6"/>
      <c r="J370" s="6"/>
      <c r="K370" s="7"/>
      <c r="L370" s="21" t="str">
        <f>микс!$H$10</f>
        <v>продажа со склада</v>
      </c>
      <c r="M370" s="22"/>
      <c r="N370" s="22"/>
      <c r="O370" s="22" t="s">
        <v>128</v>
      </c>
      <c r="P370" s="23" t="str">
        <f>микс!$H$50</f>
        <v>Одежда и обувь</v>
      </c>
      <c r="Q370" s="21" t="s">
        <v>129</v>
      </c>
      <c r="R370" s="25">
        <v>1</v>
      </c>
      <c r="S370" s="28"/>
      <c r="T370" s="31">
        <v>42121</v>
      </c>
      <c r="U370" s="33">
        <v>1200</v>
      </c>
      <c r="V370" s="36">
        <f t="shared" si="27"/>
        <v>1200</v>
      </c>
      <c r="W370" s="28"/>
      <c r="X370" s="31">
        <v>42308</v>
      </c>
      <c r="Y370" s="33">
        <v>1200</v>
      </c>
      <c r="Z370" s="189">
        <f t="shared" si="28"/>
        <v>1200</v>
      </c>
      <c r="AA370" s="190"/>
      <c r="AB370" s="31">
        <v>42159</v>
      </c>
      <c r="AC370" s="36">
        <v>1200</v>
      </c>
      <c r="AD370" s="8"/>
      <c r="AE370" s="6"/>
      <c r="AF370" s="52">
        <f t="shared" si="25"/>
        <v>50545200</v>
      </c>
      <c r="AG370" s="25">
        <f t="shared" si="26"/>
        <v>50769600</v>
      </c>
      <c r="AH370" s="52">
        <f t="shared" si="29"/>
        <v>50590800</v>
      </c>
      <c r="AI370" s="6"/>
      <c r="AJ370" s="6"/>
      <c r="AK370" s="6"/>
      <c r="AL370" s="6"/>
      <c r="AM370" s="6"/>
      <c r="AN370" s="6"/>
      <c r="AO370" s="6"/>
      <c r="AP370" s="6"/>
      <c r="AQ370" s="6"/>
      <c r="AR370" s="6"/>
    </row>
    <row r="371" spans="1:44">
      <c r="A371" s="6"/>
      <c r="B371" s="6"/>
      <c r="C371" s="6"/>
      <c r="D371" s="6"/>
      <c r="E371" s="6"/>
      <c r="F371" s="6"/>
      <c r="G371" s="11"/>
      <c r="H371" s="6"/>
      <c r="I371" s="6"/>
      <c r="J371" s="6"/>
      <c r="K371" s="7"/>
      <c r="L371" s="21" t="str">
        <f>микс!$H$11</f>
        <v>продажа под заказ</v>
      </c>
      <c r="M371" s="22"/>
      <c r="N371" s="22"/>
      <c r="O371" s="22" t="s">
        <v>144</v>
      </c>
      <c r="P371" s="23" t="str">
        <f>микс!$H$48</f>
        <v>Спортивный инвентарь</v>
      </c>
      <c r="Q371" s="21" t="s">
        <v>88</v>
      </c>
      <c r="R371" s="25">
        <v>2</v>
      </c>
      <c r="S371" s="28"/>
      <c r="T371" s="31">
        <v>42295</v>
      </c>
      <c r="U371" s="33">
        <v>397.44</v>
      </c>
      <c r="V371" s="36">
        <f t="shared" si="27"/>
        <v>794.88</v>
      </c>
      <c r="W371" s="28"/>
      <c r="X371" s="31">
        <v>42299</v>
      </c>
      <c r="Y371" s="33">
        <v>632</v>
      </c>
      <c r="Z371" s="189">
        <f t="shared" si="28"/>
        <v>1264</v>
      </c>
      <c r="AA371" s="190"/>
      <c r="AB371" s="31"/>
      <c r="AC371" s="36"/>
      <c r="AD371" s="8"/>
      <c r="AE371" s="6"/>
      <c r="AF371" s="52">
        <f t="shared" si="25"/>
        <v>33619449.600000001</v>
      </c>
      <c r="AG371" s="25">
        <f t="shared" si="26"/>
        <v>53465936</v>
      </c>
      <c r="AH371" s="52">
        <f t="shared" si="29"/>
        <v>0</v>
      </c>
      <c r="AI371" s="6"/>
      <c r="AJ371" s="6"/>
      <c r="AK371" s="6"/>
      <c r="AL371" s="6"/>
      <c r="AM371" s="6"/>
      <c r="AN371" s="6"/>
      <c r="AO371" s="6"/>
      <c r="AP371" s="6"/>
      <c r="AQ371" s="6"/>
      <c r="AR371" s="6"/>
    </row>
    <row r="372" spans="1:44">
      <c r="A372" s="6"/>
      <c r="B372" s="6"/>
      <c r="C372" s="6"/>
      <c r="D372" s="6"/>
      <c r="E372" s="6"/>
      <c r="F372" s="6"/>
      <c r="G372" s="11"/>
      <c r="H372" s="6"/>
      <c r="I372" s="6"/>
      <c r="J372" s="6"/>
      <c r="K372" s="7"/>
      <c r="L372" s="21" t="str">
        <f>микс!$H$10</f>
        <v>продажа со склада</v>
      </c>
      <c r="M372" s="22"/>
      <c r="N372" s="22"/>
      <c r="O372" s="22" t="s">
        <v>134</v>
      </c>
      <c r="P372" s="23" t="str">
        <f>микс!$H$49</f>
        <v>Товары для детей</v>
      </c>
      <c r="Q372" s="21" t="s">
        <v>59</v>
      </c>
      <c r="R372" s="25">
        <v>1</v>
      </c>
      <c r="S372" s="28"/>
      <c r="T372" s="31">
        <v>42120</v>
      </c>
      <c r="U372" s="33">
        <v>3732.38</v>
      </c>
      <c r="V372" s="36">
        <f t="shared" si="27"/>
        <v>3732.38</v>
      </c>
      <c r="W372" s="28"/>
      <c r="X372" s="31">
        <v>42301</v>
      </c>
      <c r="Y372" s="33">
        <v>4155</v>
      </c>
      <c r="Z372" s="189">
        <f t="shared" si="28"/>
        <v>4155</v>
      </c>
      <c r="AA372" s="190"/>
      <c r="AB372" s="31"/>
      <c r="AC372" s="36"/>
      <c r="AD372" s="8"/>
      <c r="AE372" s="6"/>
      <c r="AF372" s="52">
        <f t="shared" si="25"/>
        <v>157207845.59999999</v>
      </c>
      <c r="AG372" s="25">
        <f t="shared" si="26"/>
        <v>175760655</v>
      </c>
      <c r="AH372" s="52">
        <f t="shared" si="29"/>
        <v>0</v>
      </c>
      <c r="AI372" s="6"/>
      <c r="AJ372" s="6"/>
      <c r="AK372" s="6"/>
      <c r="AL372" s="6"/>
      <c r="AM372" s="6"/>
      <c r="AN372" s="6"/>
      <c r="AO372" s="6"/>
      <c r="AP372" s="6"/>
      <c r="AQ372" s="6"/>
      <c r="AR372" s="6"/>
    </row>
    <row r="373" spans="1:44">
      <c r="A373" s="6"/>
      <c r="B373" s="6"/>
      <c r="C373" s="6"/>
      <c r="D373" s="6"/>
      <c r="E373" s="6"/>
      <c r="F373" s="6"/>
      <c r="G373" s="11"/>
      <c r="H373" s="6"/>
      <c r="I373" s="6"/>
      <c r="J373" s="6"/>
      <c r="K373" s="7"/>
      <c r="L373" s="21" t="str">
        <f>микс!$H$10</f>
        <v>продажа со склада</v>
      </c>
      <c r="M373" s="22"/>
      <c r="N373" s="22"/>
      <c r="O373" s="22" t="s">
        <v>134</v>
      </c>
      <c r="P373" s="23" t="str">
        <f>микс!$H$49</f>
        <v>Товары для детей</v>
      </c>
      <c r="Q373" s="21" t="s">
        <v>59</v>
      </c>
      <c r="R373" s="25">
        <v>1</v>
      </c>
      <c r="S373" s="28"/>
      <c r="T373" s="31">
        <v>42139</v>
      </c>
      <c r="U373" s="33">
        <v>3732.38</v>
      </c>
      <c r="V373" s="36">
        <f t="shared" si="27"/>
        <v>3732.38</v>
      </c>
      <c r="W373" s="28"/>
      <c r="X373" s="31">
        <v>42328</v>
      </c>
      <c r="Y373" s="33">
        <v>3975</v>
      </c>
      <c r="Z373" s="189">
        <f t="shared" si="28"/>
        <v>3975</v>
      </c>
      <c r="AA373" s="190"/>
      <c r="AB373" s="31"/>
      <c r="AC373" s="36"/>
      <c r="AD373" s="8"/>
      <c r="AE373" s="6"/>
      <c r="AF373" s="52">
        <f t="shared" si="25"/>
        <v>157278760.81999999</v>
      </c>
      <c r="AG373" s="25">
        <f t="shared" si="26"/>
        <v>168253800</v>
      </c>
      <c r="AH373" s="52">
        <f t="shared" si="29"/>
        <v>0</v>
      </c>
      <c r="AI373" s="6"/>
      <c r="AJ373" s="6"/>
      <c r="AK373" s="6"/>
      <c r="AL373" s="6"/>
      <c r="AM373" s="6"/>
      <c r="AN373" s="6"/>
      <c r="AO373" s="6"/>
      <c r="AP373" s="6"/>
      <c r="AQ373" s="6"/>
      <c r="AR373" s="6"/>
    </row>
    <row r="374" spans="1:44">
      <c r="A374" s="6"/>
      <c r="B374" s="6"/>
      <c r="C374" s="6"/>
      <c r="D374" s="6"/>
      <c r="E374" s="6"/>
      <c r="F374" s="6"/>
      <c r="G374" s="11"/>
      <c r="H374" s="6"/>
      <c r="I374" s="6"/>
      <c r="J374" s="6"/>
      <c r="K374" s="7"/>
      <c r="L374" s="21" t="str">
        <f>микс!$H$10</f>
        <v>продажа со склада</v>
      </c>
      <c r="M374" s="22"/>
      <c r="N374" s="22"/>
      <c r="O374" s="22" t="s">
        <v>128</v>
      </c>
      <c r="P374" s="23" t="str">
        <f>микс!$H$50</f>
        <v>Одежда и обувь</v>
      </c>
      <c r="Q374" s="21" t="s">
        <v>129</v>
      </c>
      <c r="R374" s="25">
        <v>1</v>
      </c>
      <c r="S374" s="28"/>
      <c r="T374" s="31">
        <v>42153</v>
      </c>
      <c r="U374" s="33">
        <v>1369.79</v>
      </c>
      <c r="V374" s="36">
        <f t="shared" si="27"/>
        <v>1369.79</v>
      </c>
      <c r="W374" s="28"/>
      <c r="X374" s="31">
        <v>42337</v>
      </c>
      <c r="Y374" s="33">
        <v>2192</v>
      </c>
      <c r="Z374" s="189">
        <f t="shared" si="28"/>
        <v>2192</v>
      </c>
      <c r="AA374" s="190"/>
      <c r="AB374" s="31">
        <v>42183</v>
      </c>
      <c r="AC374" s="36">
        <v>1369.79</v>
      </c>
      <c r="AD374" s="8"/>
      <c r="AE374" s="6"/>
      <c r="AF374" s="52">
        <f t="shared" si="25"/>
        <v>57740757.869999997</v>
      </c>
      <c r="AG374" s="25">
        <f t="shared" si="26"/>
        <v>92802704</v>
      </c>
      <c r="AH374" s="52">
        <f t="shared" si="29"/>
        <v>57781851.57</v>
      </c>
      <c r="AI374" s="6"/>
      <c r="AJ374" s="6"/>
      <c r="AK374" s="6"/>
      <c r="AL374" s="6"/>
      <c r="AM374" s="6"/>
      <c r="AN374" s="6"/>
      <c r="AO374" s="6"/>
      <c r="AP374" s="6"/>
      <c r="AQ374" s="6"/>
      <c r="AR374" s="6"/>
    </row>
    <row r="375" spans="1:44">
      <c r="A375" s="6"/>
      <c r="B375" s="6"/>
      <c r="C375" s="6"/>
      <c r="D375" s="6"/>
      <c r="E375" s="6"/>
      <c r="F375" s="6"/>
      <c r="G375" s="11"/>
      <c r="H375" s="6"/>
      <c r="I375" s="6"/>
      <c r="J375" s="6"/>
      <c r="K375" s="7"/>
      <c r="L375" s="21" t="str">
        <f>микс!$H$10</f>
        <v>продажа со склада</v>
      </c>
      <c r="M375" s="22"/>
      <c r="N375" s="22"/>
      <c r="O375" s="22" t="s">
        <v>128</v>
      </c>
      <c r="P375" s="23" t="str">
        <f>микс!$H$50</f>
        <v>Одежда и обувь</v>
      </c>
      <c r="Q375" s="21" t="s">
        <v>129</v>
      </c>
      <c r="R375" s="25">
        <v>1</v>
      </c>
      <c r="S375" s="28"/>
      <c r="T375" s="31">
        <v>42153</v>
      </c>
      <c r="U375" s="33">
        <v>1369.79</v>
      </c>
      <c r="V375" s="36">
        <f t="shared" si="27"/>
        <v>1369.79</v>
      </c>
      <c r="W375" s="28"/>
      <c r="X375" s="31">
        <v>42335</v>
      </c>
      <c r="Y375" s="33">
        <v>2192</v>
      </c>
      <c r="Z375" s="189">
        <f t="shared" si="28"/>
        <v>2192</v>
      </c>
      <c r="AA375" s="190"/>
      <c r="AB375" s="31">
        <v>42183</v>
      </c>
      <c r="AC375" s="36">
        <v>1369.79</v>
      </c>
      <c r="AD375" s="8"/>
      <c r="AE375" s="6"/>
      <c r="AF375" s="52">
        <f t="shared" si="25"/>
        <v>57740757.869999997</v>
      </c>
      <c r="AG375" s="25">
        <f t="shared" si="26"/>
        <v>92798320</v>
      </c>
      <c r="AH375" s="52">
        <f t="shared" si="29"/>
        <v>57781851.57</v>
      </c>
      <c r="AI375" s="6"/>
      <c r="AJ375" s="6"/>
      <c r="AK375" s="6"/>
      <c r="AL375" s="6"/>
      <c r="AM375" s="6"/>
      <c r="AN375" s="6"/>
      <c r="AO375" s="6"/>
      <c r="AP375" s="6"/>
      <c r="AQ375" s="6"/>
      <c r="AR375" s="6"/>
    </row>
    <row r="376" spans="1:44">
      <c r="A376" s="6"/>
      <c r="B376" s="6"/>
      <c r="C376" s="6"/>
      <c r="D376" s="6"/>
      <c r="E376" s="6"/>
      <c r="F376" s="6"/>
      <c r="G376" s="11"/>
      <c r="H376" s="6"/>
      <c r="I376" s="6"/>
      <c r="J376" s="6"/>
      <c r="K376" s="7"/>
      <c r="L376" s="21" t="str">
        <f>микс!$H$10</f>
        <v>продажа со склада</v>
      </c>
      <c r="M376" s="22"/>
      <c r="N376" s="22"/>
      <c r="O376" s="22" t="s">
        <v>128</v>
      </c>
      <c r="P376" s="23" t="str">
        <f>микс!$H$50</f>
        <v>Одежда и обувь</v>
      </c>
      <c r="Q376" s="21" t="s">
        <v>129</v>
      </c>
      <c r="R376" s="25">
        <v>1</v>
      </c>
      <c r="S376" s="28"/>
      <c r="T376" s="31">
        <v>42157</v>
      </c>
      <c r="U376" s="33">
        <v>1369.79</v>
      </c>
      <c r="V376" s="36">
        <f t="shared" si="27"/>
        <v>1369.79</v>
      </c>
      <c r="W376" s="28"/>
      <c r="X376" s="31">
        <v>42339</v>
      </c>
      <c r="Y376" s="33">
        <v>1863</v>
      </c>
      <c r="Z376" s="189">
        <f t="shared" si="28"/>
        <v>1863</v>
      </c>
      <c r="AA376" s="190"/>
      <c r="AB376" s="31"/>
      <c r="AC376" s="36"/>
      <c r="AD376" s="8"/>
      <c r="AE376" s="6"/>
      <c r="AF376" s="52">
        <f t="shared" si="25"/>
        <v>57746237.030000001</v>
      </c>
      <c r="AG376" s="25">
        <f t="shared" si="26"/>
        <v>78877557</v>
      </c>
      <c r="AH376" s="52">
        <f t="shared" si="29"/>
        <v>0</v>
      </c>
      <c r="AI376" s="6"/>
      <c r="AJ376" s="6"/>
      <c r="AK376" s="6"/>
      <c r="AL376" s="6"/>
      <c r="AM376" s="6"/>
      <c r="AN376" s="6"/>
      <c r="AO376" s="6"/>
      <c r="AP376" s="6"/>
      <c r="AQ376" s="6"/>
      <c r="AR376" s="6"/>
    </row>
    <row r="377" spans="1:44">
      <c r="A377" s="6"/>
      <c r="B377" s="6"/>
      <c r="C377" s="6"/>
      <c r="D377" s="6"/>
      <c r="E377" s="6"/>
      <c r="F377" s="6"/>
      <c r="G377" s="11"/>
      <c r="H377" s="6"/>
      <c r="I377" s="6"/>
      <c r="J377" s="6"/>
      <c r="K377" s="7"/>
      <c r="L377" s="21" t="str">
        <f>микс!$H$10</f>
        <v>продажа со склада</v>
      </c>
      <c r="M377" s="22"/>
      <c r="N377" s="22"/>
      <c r="O377" s="22" t="s">
        <v>128</v>
      </c>
      <c r="P377" s="23" t="str">
        <f>микс!$H$50</f>
        <v>Одежда и обувь</v>
      </c>
      <c r="Q377" s="21" t="s">
        <v>129</v>
      </c>
      <c r="R377" s="25">
        <v>1</v>
      </c>
      <c r="S377" s="28"/>
      <c r="T377" s="31">
        <v>42157</v>
      </c>
      <c r="U377" s="33">
        <v>1369.79</v>
      </c>
      <c r="V377" s="36">
        <f t="shared" si="27"/>
        <v>1369.79</v>
      </c>
      <c r="W377" s="28"/>
      <c r="X377" s="31">
        <v>42340</v>
      </c>
      <c r="Y377" s="33">
        <v>1863</v>
      </c>
      <c r="Z377" s="189">
        <f t="shared" si="28"/>
        <v>1863</v>
      </c>
      <c r="AA377" s="190"/>
      <c r="AB377" s="31">
        <v>42217</v>
      </c>
      <c r="AC377" s="36">
        <v>1369.79</v>
      </c>
      <c r="AD377" s="8"/>
      <c r="AE377" s="6"/>
      <c r="AF377" s="52">
        <f t="shared" si="25"/>
        <v>57746237.030000001</v>
      </c>
      <c r="AG377" s="25">
        <f t="shared" si="26"/>
        <v>78879420</v>
      </c>
      <c r="AH377" s="52">
        <f t="shared" si="29"/>
        <v>57828424.43</v>
      </c>
      <c r="AI377" s="6"/>
      <c r="AJ377" s="6"/>
      <c r="AK377" s="6"/>
      <c r="AL377" s="6"/>
      <c r="AM377" s="6"/>
      <c r="AN377" s="6"/>
      <c r="AO377" s="6"/>
      <c r="AP377" s="6"/>
      <c r="AQ377" s="6"/>
      <c r="AR377" s="6"/>
    </row>
    <row r="378" spans="1:44">
      <c r="A378" s="6"/>
      <c r="B378" s="6"/>
      <c r="C378" s="6"/>
      <c r="D378" s="6"/>
      <c r="E378" s="6"/>
      <c r="F378" s="6"/>
      <c r="G378" s="11"/>
      <c r="H378" s="6"/>
      <c r="I378" s="6"/>
      <c r="J378" s="6"/>
      <c r="K378" s="7"/>
      <c r="L378" s="21" t="str">
        <f>микс!$H$10</f>
        <v>продажа со склада</v>
      </c>
      <c r="M378" s="22"/>
      <c r="N378" s="22"/>
      <c r="O378" s="22" t="s">
        <v>128</v>
      </c>
      <c r="P378" s="23" t="str">
        <f>микс!$H$50</f>
        <v>Одежда и обувь</v>
      </c>
      <c r="Q378" s="21" t="s">
        <v>129</v>
      </c>
      <c r="R378" s="25">
        <v>1</v>
      </c>
      <c r="S378" s="28"/>
      <c r="T378" s="31">
        <v>42153</v>
      </c>
      <c r="U378" s="33">
        <v>1369.79</v>
      </c>
      <c r="V378" s="36">
        <f t="shared" si="27"/>
        <v>1369.79</v>
      </c>
      <c r="W378" s="28"/>
      <c r="X378" s="31">
        <v>42339</v>
      </c>
      <c r="Y378" s="33">
        <v>2192</v>
      </c>
      <c r="Z378" s="189">
        <f t="shared" si="28"/>
        <v>2192</v>
      </c>
      <c r="AA378" s="190"/>
      <c r="AB378" s="31">
        <v>42203</v>
      </c>
      <c r="AC378" s="36">
        <v>1369.79</v>
      </c>
      <c r="AD378" s="8"/>
      <c r="AE378" s="6"/>
      <c r="AF378" s="52">
        <f t="shared" si="25"/>
        <v>57740757.869999997</v>
      </c>
      <c r="AG378" s="25">
        <f t="shared" si="26"/>
        <v>92807088</v>
      </c>
      <c r="AH378" s="52">
        <f t="shared" si="29"/>
        <v>57809247.369999997</v>
      </c>
      <c r="AI378" s="6"/>
      <c r="AJ378" s="6"/>
      <c r="AK378" s="6"/>
      <c r="AL378" s="6"/>
      <c r="AM378" s="6"/>
      <c r="AN378" s="6"/>
      <c r="AO378" s="6"/>
      <c r="AP378" s="6"/>
      <c r="AQ378" s="6"/>
      <c r="AR378" s="6"/>
    </row>
    <row r="379" spans="1:44">
      <c r="A379" s="6"/>
      <c r="B379" s="6"/>
      <c r="C379" s="6"/>
      <c r="D379" s="6"/>
      <c r="E379" s="6"/>
      <c r="F379" s="6"/>
      <c r="G379" s="11"/>
      <c r="H379" s="6"/>
      <c r="I379" s="6"/>
      <c r="J379" s="6"/>
      <c r="K379" s="7"/>
      <c r="L379" s="21" t="str">
        <f>микс!$H$10</f>
        <v>продажа со склада</v>
      </c>
      <c r="M379" s="22"/>
      <c r="N379" s="22"/>
      <c r="O379" s="22" t="s">
        <v>148</v>
      </c>
      <c r="P379" s="23" t="str">
        <f>микс!$H$49</f>
        <v>Товары для детей</v>
      </c>
      <c r="Q379" s="21" t="s">
        <v>73</v>
      </c>
      <c r="R379" s="25">
        <v>1</v>
      </c>
      <c r="S379" s="28"/>
      <c r="T379" s="31">
        <v>42148</v>
      </c>
      <c r="U379" s="33">
        <v>5292</v>
      </c>
      <c r="V379" s="36">
        <f t="shared" si="27"/>
        <v>5292</v>
      </c>
      <c r="W379" s="28"/>
      <c r="X379" s="31">
        <v>42339</v>
      </c>
      <c r="Y379" s="33">
        <v>5930</v>
      </c>
      <c r="Z379" s="189">
        <f t="shared" si="28"/>
        <v>5930</v>
      </c>
      <c r="AA379" s="190"/>
      <c r="AB379" s="31">
        <v>42208</v>
      </c>
      <c r="AC379" s="36">
        <v>5292</v>
      </c>
      <c r="AD379" s="8"/>
      <c r="AE379" s="6"/>
      <c r="AF379" s="52">
        <f t="shared" si="25"/>
        <v>223047216</v>
      </c>
      <c r="AG379" s="25">
        <f t="shared" si="26"/>
        <v>251070270</v>
      </c>
      <c r="AH379" s="52">
        <f t="shared" si="29"/>
        <v>223364736</v>
      </c>
      <c r="AI379" s="6"/>
      <c r="AJ379" s="6"/>
      <c r="AK379" s="6"/>
      <c r="AL379" s="6"/>
      <c r="AM379" s="6"/>
      <c r="AN379" s="6"/>
      <c r="AO379" s="6"/>
      <c r="AP379" s="6"/>
      <c r="AQ379" s="6"/>
      <c r="AR379" s="6"/>
    </row>
    <row r="380" spans="1:44">
      <c r="A380" s="6"/>
      <c r="B380" s="6"/>
      <c r="C380" s="6"/>
      <c r="D380" s="6"/>
      <c r="E380" s="6"/>
      <c r="F380" s="6"/>
      <c r="G380" s="11"/>
      <c r="H380" s="6"/>
      <c r="I380" s="6"/>
      <c r="J380" s="6"/>
      <c r="K380" s="7"/>
      <c r="L380" s="21" t="str">
        <f>микс!$H$11</f>
        <v>продажа под заказ</v>
      </c>
      <c r="M380" s="22"/>
      <c r="N380" s="22"/>
      <c r="O380" s="22" t="s">
        <v>148</v>
      </c>
      <c r="P380" s="23" t="str">
        <f>микс!$H$49</f>
        <v>Товары для детей</v>
      </c>
      <c r="Q380" s="21" t="s">
        <v>73</v>
      </c>
      <c r="R380" s="25">
        <v>1</v>
      </c>
      <c r="S380" s="28"/>
      <c r="T380" s="31">
        <v>42327</v>
      </c>
      <c r="U380" s="33">
        <v>5291.6</v>
      </c>
      <c r="V380" s="36">
        <f t="shared" si="27"/>
        <v>5291.6</v>
      </c>
      <c r="W380" s="28"/>
      <c r="X380" s="31">
        <v>42329</v>
      </c>
      <c r="Y380" s="33">
        <v>5930</v>
      </c>
      <c r="Z380" s="189">
        <f t="shared" si="28"/>
        <v>5930</v>
      </c>
      <c r="AA380" s="190"/>
      <c r="AB380" s="31">
        <v>42357</v>
      </c>
      <c r="AC380" s="36">
        <v>5291.6</v>
      </c>
      <c r="AD380" s="8"/>
      <c r="AE380" s="6"/>
      <c r="AF380" s="52">
        <f t="shared" si="25"/>
        <v>223977553.20000002</v>
      </c>
      <c r="AG380" s="25">
        <f t="shared" si="26"/>
        <v>251010970</v>
      </c>
      <c r="AH380" s="52">
        <f t="shared" si="29"/>
        <v>224136301.20000002</v>
      </c>
      <c r="AI380" s="6"/>
      <c r="AJ380" s="6"/>
      <c r="AK380" s="6"/>
      <c r="AL380" s="6"/>
      <c r="AM380" s="6"/>
      <c r="AN380" s="6"/>
      <c r="AO380" s="6"/>
      <c r="AP380" s="6"/>
      <c r="AQ380" s="6"/>
      <c r="AR380" s="6"/>
    </row>
    <row r="381" spans="1:44">
      <c r="A381" s="6"/>
      <c r="B381" s="6"/>
      <c r="C381" s="6"/>
      <c r="D381" s="6"/>
      <c r="E381" s="6"/>
      <c r="F381" s="6"/>
      <c r="G381" s="11"/>
      <c r="H381" s="6"/>
      <c r="I381" s="6"/>
      <c r="J381" s="6"/>
      <c r="K381" s="7"/>
      <c r="L381" s="21" t="str">
        <f>микс!$H$10</f>
        <v>продажа со склада</v>
      </c>
      <c r="M381" s="22"/>
      <c r="N381" s="22"/>
      <c r="O381" s="22" t="s">
        <v>146</v>
      </c>
      <c r="P381" s="23" t="str">
        <f>микс!$H$49</f>
        <v>Товары для детей</v>
      </c>
      <c r="Q381" s="21" t="s">
        <v>133</v>
      </c>
      <c r="R381" s="25">
        <v>1</v>
      </c>
      <c r="S381" s="28"/>
      <c r="T381" s="31">
        <v>42132</v>
      </c>
      <c r="U381" s="33">
        <v>1860.42</v>
      </c>
      <c r="V381" s="36">
        <f t="shared" si="27"/>
        <v>1860.42</v>
      </c>
      <c r="W381" s="28"/>
      <c r="X381" s="31">
        <v>42314</v>
      </c>
      <c r="Y381" s="33">
        <v>2590</v>
      </c>
      <c r="Z381" s="189">
        <f t="shared" si="28"/>
        <v>2590</v>
      </c>
      <c r="AA381" s="190"/>
      <c r="AB381" s="31">
        <v>42152</v>
      </c>
      <c r="AC381" s="36">
        <v>1860.42</v>
      </c>
      <c r="AD381" s="8"/>
      <c r="AE381" s="6"/>
      <c r="AF381" s="52">
        <f t="shared" si="25"/>
        <v>78383215.439999998</v>
      </c>
      <c r="AG381" s="25">
        <f t="shared" si="26"/>
        <v>109593260</v>
      </c>
      <c r="AH381" s="52">
        <f t="shared" si="29"/>
        <v>78420423.840000004</v>
      </c>
      <c r="AI381" s="6"/>
      <c r="AJ381" s="6"/>
      <c r="AK381" s="6"/>
      <c r="AL381" s="6"/>
      <c r="AM381" s="6"/>
      <c r="AN381" s="6"/>
      <c r="AO381" s="6"/>
      <c r="AP381" s="6"/>
      <c r="AQ381" s="6"/>
      <c r="AR381" s="6"/>
    </row>
    <row r="382" spans="1:44">
      <c r="A382" s="6"/>
      <c r="B382" s="6"/>
      <c r="C382" s="6"/>
      <c r="D382" s="6"/>
      <c r="E382" s="6"/>
      <c r="F382" s="6"/>
      <c r="G382" s="11"/>
      <c r="H382" s="6"/>
      <c r="I382" s="6"/>
      <c r="J382" s="6"/>
      <c r="K382" s="7"/>
      <c r="L382" s="21" t="str">
        <f>микс!$H$11</f>
        <v>продажа под заказ</v>
      </c>
      <c r="M382" s="22"/>
      <c r="N382" s="22"/>
      <c r="O382" s="22" t="s">
        <v>146</v>
      </c>
      <c r="P382" s="23" t="str">
        <f>микс!$H$49</f>
        <v>Товары для детей</v>
      </c>
      <c r="Q382" s="21" t="s">
        <v>133</v>
      </c>
      <c r="R382" s="25">
        <v>1</v>
      </c>
      <c r="S382" s="28"/>
      <c r="T382" s="31">
        <v>42313</v>
      </c>
      <c r="U382" s="33">
        <v>1860.42</v>
      </c>
      <c r="V382" s="36">
        <f t="shared" si="27"/>
        <v>1860.42</v>
      </c>
      <c r="W382" s="28"/>
      <c r="X382" s="31">
        <v>42320</v>
      </c>
      <c r="Y382" s="33">
        <v>2590</v>
      </c>
      <c r="Z382" s="189">
        <f t="shared" si="28"/>
        <v>2590</v>
      </c>
      <c r="AA382" s="190"/>
      <c r="AB382" s="31">
        <v>42323</v>
      </c>
      <c r="AC382" s="36">
        <v>1860.42</v>
      </c>
      <c r="AD382" s="8"/>
      <c r="AE382" s="6"/>
      <c r="AF382" s="52">
        <f t="shared" si="25"/>
        <v>78719951.460000008</v>
      </c>
      <c r="AG382" s="25">
        <f t="shared" si="26"/>
        <v>109608800</v>
      </c>
      <c r="AH382" s="52">
        <f t="shared" si="29"/>
        <v>78738555.659999996</v>
      </c>
      <c r="AI382" s="6"/>
      <c r="AJ382" s="6"/>
      <c r="AK382" s="6"/>
      <c r="AL382" s="6"/>
      <c r="AM382" s="6"/>
      <c r="AN382" s="6"/>
      <c r="AO382" s="6"/>
      <c r="AP382" s="6"/>
      <c r="AQ382" s="6"/>
      <c r="AR382" s="6"/>
    </row>
    <row r="383" spans="1:44">
      <c r="A383" s="6"/>
      <c r="B383" s="6"/>
      <c r="C383" s="6"/>
      <c r="D383" s="6"/>
      <c r="E383" s="6"/>
      <c r="F383" s="6"/>
      <c r="G383" s="11"/>
      <c r="H383" s="6"/>
      <c r="I383" s="6"/>
      <c r="J383" s="6"/>
      <c r="K383" s="7"/>
      <c r="L383" s="21" t="str">
        <f>микс!$H$11</f>
        <v>продажа под заказ</v>
      </c>
      <c r="M383" s="22"/>
      <c r="N383" s="22"/>
      <c r="O383" s="22" t="s">
        <v>146</v>
      </c>
      <c r="P383" s="23" t="str">
        <f>микс!$H$49</f>
        <v>Товары для детей</v>
      </c>
      <c r="Q383" s="21" t="s">
        <v>133</v>
      </c>
      <c r="R383" s="25">
        <v>1</v>
      </c>
      <c r="S383" s="28"/>
      <c r="T383" s="31">
        <v>42319</v>
      </c>
      <c r="U383" s="33">
        <v>1860.42</v>
      </c>
      <c r="V383" s="36">
        <f t="shared" si="27"/>
        <v>1860.42</v>
      </c>
      <c r="W383" s="28"/>
      <c r="X383" s="31">
        <v>42322</v>
      </c>
      <c r="Y383" s="33">
        <v>2590</v>
      </c>
      <c r="Z383" s="189">
        <f t="shared" si="28"/>
        <v>2590</v>
      </c>
      <c r="AA383" s="190"/>
      <c r="AB383" s="31">
        <v>42329</v>
      </c>
      <c r="AC383" s="36">
        <v>1860.42</v>
      </c>
      <c r="AD383" s="8"/>
      <c r="AE383" s="6"/>
      <c r="AF383" s="52">
        <f t="shared" si="25"/>
        <v>78731113.980000004</v>
      </c>
      <c r="AG383" s="25">
        <f t="shared" si="26"/>
        <v>109613980</v>
      </c>
      <c r="AH383" s="52">
        <f t="shared" si="29"/>
        <v>78749718.180000007</v>
      </c>
      <c r="AI383" s="6"/>
      <c r="AJ383" s="6"/>
      <c r="AK383" s="6"/>
      <c r="AL383" s="6"/>
      <c r="AM383" s="6"/>
      <c r="AN383" s="6"/>
      <c r="AO383" s="6"/>
      <c r="AP383" s="6"/>
      <c r="AQ383" s="6"/>
      <c r="AR383" s="6"/>
    </row>
    <row r="384" spans="1:44">
      <c r="A384" s="6"/>
      <c r="B384" s="6"/>
      <c r="C384" s="6"/>
      <c r="D384" s="6"/>
      <c r="E384" s="6"/>
      <c r="F384" s="6"/>
      <c r="G384" s="11"/>
      <c r="H384" s="6"/>
      <c r="I384" s="6"/>
      <c r="J384" s="6"/>
      <c r="K384" s="7"/>
      <c r="L384" s="21" t="str">
        <f>микс!$H$11</f>
        <v>продажа под заказ</v>
      </c>
      <c r="M384" s="22"/>
      <c r="N384" s="22"/>
      <c r="O384" s="22" t="s">
        <v>146</v>
      </c>
      <c r="P384" s="23" t="str">
        <f>микс!$H$49</f>
        <v>Товары для детей</v>
      </c>
      <c r="Q384" s="21" t="s">
        <v>133</v>
      </c>
      <c r="R384" s="25">
        <v>1</v>
      </c>
      <c r="S384" s="28"/>
      <c r="T384" s="31">
        <v>42319</v>
      </c>
      <c r="U384" s="33">
        <v>1860.42</v>
      </c>
      <c r="V384" s="36">
        <f t="shared" si="27"/>
        <v>1860.42</v>
      </c>
      <c r="W384" s="28"/>
      <c r="X384" s="31">
        <v>42322</v>
      </c>
      <c r="Y384" s="33">
        <v>2590</v>
      </c>
      <c r="Z384" s="189">
        <f t="shared" si="28"/>
        <v>2590</v>
      </c>
      <c r="AA384" s="190"/>
      <c r="AB384" s="31">
        <v>42349</v>
      </c>
      <c r="AC384" s="36">
        <v>1860.42</v>
      </c>
      <c r="AD384" s="8"/>
      <c r="AE384" s="6"/>
      <c r="AF384" s="52">
        <f t="shared" si="25"/>
        <v>78731113.980000004</v>
      </c>
      <c r="AG384" s="25">
        <f t="shared" si="26"/>
        <v>109613980</v>
      </c>
      <c r="AH384" s="52">
        <f t="shared" si="29"/>
        <v>78786926.579999998</v>
      </c>
      <c r="AI384" s="6"/>
      <c r="AJ384" s="6"/>
      <c r="AK384" s="6"/>
      <c r="AL384" s="6"/>
      <c r="AM384" s="6"/>
      <c r="AN384" s="6"/>
      <c r="AO384" s="6"/>
      <c r="AP384" s="6"/>
      <c r="AQ384" s="6"/>
      <c r="AR384" s="6"/>
    </row>
    <row r="385" spans="1:44">
      <c r="A385" s="6"/>
      <c r="B385" s="6"/>
      <c r="C385" s="6"/>
      <c r="D385" s="6"/>
      <c r="E385" s="6"/>
      <c r="F385" s="6"/>
      <c r="G385" s="11"/>
      <c r="H385" s="6"/>
      <c r="I385" s="6"/>
      <c r="J385" s="6"/>
      <c r="K385" s="7"/>
      <c r="L385" s="21" t="str">
        <f>микс!$H$11</f>
        <v>продажа под заказ</v>
      </c>
      <c r="M385" s="22"/>
      <c r="N385" s="22"/>
      <c r="O385" s="22" t="s">
        <v>146</v>
      </c>
      <c r="P385" s="23" t="str">
        <f>микс!$H$49</f>
        <v>Товары для детей</v>
      </c>
      <c r="Q385" s="21" t="s">
        <v>133</v>
      </c>
      <c r="R385" s="25">
        <v>1</v>
      </c>
      <c r="S385" s="28"/>
      <c r="T385" s="31">
        <v>42332</v>
      </c>
      <c r="U385" s="33">
        <v>1706</v>
      </c>
      <c r="V385" s="36">
        <f t="shared" si="27"/>
        <v>1706</v>
      </c>
      <c r="W385" s="28"/>
      <c r="X385" s="31">
        <v>42335</v>
      </c>
      <c r="Y385" s="33">
        <v>3060</v>
      </c>
      <c r="Z385" s="189">
        <f t="shared" si="28"/>
        <v>3060</v>
      </c>
      <c r="AA385" s="190"/>
      <c r="AB385" s="31">
        <v>42353</v>
      </c>
      <c r="AC385" s="36">
        <v>1706</v>
      </c>
      <c r="AD385" s="8"/>
      <c r="AE385" s="6"/>
      <c r="AF385" s="52">
        <f t="shared" si="25"/>
        <v>72218392</v>
      </c>
      <c r="AG385" s="25">
        <f t="shared" si="26"/>
        <v>129545100</v>
      </c>
      <c r="AH385" s="52">
        <f t="shared" si="29"/>
        <v>72254218</v>
      </c>
      <c r="AI385" s="6"/>
      <c r="AJ385" s="6"/>
      <c r="AK385" s="6"/>
      <c r="AL385" s="6"/>
      <c r="AM385" s="6"/>
      <c r="AN385" s="6"/>
      <c r="AO385" s="6"/>
      <c r="AP385" s="6"/>
      <c r="AQ385" s="6"/>
      <c r="AR385" s="6"/>
    </row>
    <row r="386" spans="1:44">
      <c r="A386" s="6"/>
      <c r="B386" s="6"/>
      <c r="C386" s="6"/>
      <c r="D386" s="6"/>
      <c r="E386" s="6"/>
      <c r="F386" s="6"/>
      <c r="G386" s="11"/>
      <c r="H386" s="6"/>
      <c r="I386" s="6"/>
      <c r="J386" s="6"/>
      <c r="K386" s="7"/>
      <c r="L386" s="21" t="str">
        <f>микс!$H$10</f>
        <v>продажа со склада</v>
      </c>
      <c r="M386" s="22"/>
      <c r="N386" s="22"/>
      <c r="O386" s="22" t="s">
        <v>146</v>
      </c>
      <c r="P386" s="23" t="str">
        <f>микс!$H$49</f>
        <v>Товары для детей</v>
      </c>
      <c r="Q386" s="21" t="s">
        <v>59</v>
      </c>
      <c r="R386" s="25">
        <v>2</v>
      </c>
      <c r="S386" s="28"/>
      <c r="T386" s="31">
        <v>42148</v>
      </c>
      <c r="U386" s="33">
        <v>3450</v>
      </c>
      <c r="V386" s="36">
        <f t="shared" si="27"/>
        <v>6900</v>
      </c>
      <c r="W386" s="28"/>
      <c r="X386" s="31">
        <v>42348</v>
      </c>
      <c r="Y386" s="33">
        <v>2775</v>
      </c>
      <c r="Z386" s="189">
        <f t="shared" si="28"/>
        <v>5550</v>
      </c>
      <c r="AA386" s="190"/>
      <c r="AB386" s="31"/>
      <c r="AC386" s="36"/>
      <c r="AD386" s="8"/>
      <c r="AE386" s="6"/>
      <c r="AF386" s="52">
        <f t="shared" si="25"/>
        <v>290821200</v>
      </c>
      <c r="AG386" s="25">
        <f t="shared" si="26"/>
        <v>235031400</v>
      </c>
      <c r="AH386" s="52">
        <f t="shared" si="29"/>
        <v>0</v>
      </c>
      <c r="AI386" s="6"/>
      <c r="AJ386" s="6"/>
      <c r="AK386" s="6"/>
      <c r="AL386" s="6"/>
      <c r="AM386" s="6"/>
      <c r="AN386" s="6"/>
      <c r="AO386" s="6"/>
      <c r="AP386" s="6"/>
      <c r="AQ386" s="6"/>
      <c r="AR386" s="6"/>
    </row>
    <row r="387" spans="1:44">
      <c r="A387" s="6"/>
      <c r="B387" s="6"/>
      <c r="C387" s="6"/>
      <c r="D387" s="6"/>
      <c r="E387" s="6"/>
      <c r="F387" s="6"/>
      <c r="G387" s="11"/>
      <c r="H387" s="6"/>
      <c r="I387" s="6"/>
      <c r="J387" s="6"/>
      <c r="K387" s="7"/>
      <c r="L387" s="21" t="str">
        <f>микс!$H$10</f>
        <v>продажа со склада</v>
      </c>
      <c r="M387" s="22"/>
      <c r="N387" s="22"/>
      <c r="O387" s="22" t="s">
        <v>135</v>
      </c>
      <c r="P387" s="23" t="str">
        <f>микс!$H$49</f>
        <v>Товары для детей</v>
      </c>
      <c r="Q387" s="21" t="s">
        <v>133</v>
      </c>
      <c r="R387" s="25">
        <v>1</v>
      </c>
      <c r="S387" s="28"/>
      <c r="T387" s="31">
        <v>42144</v>
      </c>
      <c r="U387" s="33">
        <v>638.5</v>
      </c>
      <c r="V387" s="36">
        <f t="shared" si="27"/>
        <v>638.5</v>
      </c>
      <c r="W387" s="28"/>
      <c r="X387" s="31">
        <v>42344</v>
      </c>
      <c r="Y387" s="33">
        <v>810</v>
      </c>
      <c r="Z387" s="189">
        <f t="shared" si="28"/>
        <v>810</v>
      </c>
      <c r="AA387" s="190"/>
      <c r="AB387" s="31">
        <v>42174</v>
      </c>
      <c r="AC387" s="36">
        <v>638.5</v>
      </c>
      <c r="AD387" s="8"/>
      <c r="AE387" s="6"/>
      <c r="AF387" s="52">
        <f t="shared" si="25"/>
        <v>26908944</v>
      </c>
      <c r="AG387" s="25">
        <f t="shared" si="26"/>
        <v>34298640</v>
      </c>
      <c r="AH387" s="52">
        <f t="shared" si="29"/>
        <v>26928099</v>
      </c>
      <c r="AI387" s="6"/>
      <c r="AJ387" s="6"/>
      <c r="AK387" s="6"/>
      <c r="AL387" s="6"/>
      <c r="AM387" s="6"/>
      <c r="AN387" s="6"/>
      <c r="AO387" s="6"/>
      <c r="AP387" s="6"/>
      <c r="AQ387" s="6"/>
      <c r="AR387" s="6"/>
    </row>
    <row r="388" spans="1:44">
      <c r="A388" s="6"/>
      <c r="B388" s="6"/>
      <c r="C388" s="6"/>
      <c r="D388" s="6"/>
      <c r="E388" s="6"/>
      <c r="F388" s="6"/>
      <c r="G388" s="11"/>
      <c r="H388" s="6"/>
      <c r="I388" s="6"/>
      <c r="J388" s="6"/>
      <c r="K388" s="7"/>
      <c r="L388" s="21" t="str">
        <f>микс!$H$11</f>
        <v>продажа под заказ</v>
      </c>
      <c r="M388" s="22"/>
      <c r="N388" s="22"/>
      <c r="O388" s="22" t="s">
        <v>135</v>
      </c>
      <c r="P388" s="23" t="str">
        <f>микс!$H$49</f>
        <v>Товары для детей</v>
      </c>
      <c r="Q388" s="21" t="s">
        <v>133</v>
      </c>
      <c r="R388" s="25">
        <v>1</v>
      </c>
      <c r="S388" s="28"/>
      <c r="T388" s="31">
        <v>42312</v>
      </c>
      <c r="U388" s="33">
        <v>638.5</v>
      </c>
      <c r="V388" s="36">
        <f t="shared" si="27"/>
        <v>638.5</v>
      </c>
      <c r="W388" s="28"/>
      <c r="X388" s="31">
        <v>42314</v>
      </c>
      <c r="Y388" s="33">
        <v>600</v>
      </c>
      <c r="Z388" s="189">
        <f t="shared" si="28"/>
        <v>600</v>
      </c>
      <c r="AA388" s="190"/>
      <c r="AB388" s="31">
        <v>42327</v>
      </c>
      <c r="AC388" s="36">
        <v>638.5</v>
      </c>
      <c r="AD388" s="8"/>
      <c r="AE388" s="6"/>
      <c r="AF388" s="52">
        <f t="shared" si="25"/>
        <v>27016212</v>
      </c>
      <c r="AG388" s="25">
        <f t="shared" si="26"/>
        <v>25388400</v>
      </c>
      <c r="AH388" s="52">
        <f t="shared" si="29"/>
        <v>27025789.5</v>
      </c>
      <c r="AI388" s="6"/>
      <c r="AJ388" s="6"/>
      <c r="AK388" s="6"/>
      <c r="AL388" s="6"/>
      <c r="AM388" s="6"/>
      <c r="AN388" s="6"/>
      <c r="AO388" s="6"/>
      <c r="AP388" s="6"/>
      <c r="AQ388" s="6"/>
      <c r="AR388" s="6"/>
    </row>
    <row r="389" spans="1:44">
      <c r="A389" s="6"/>
      <c r="B389" s="6"/>
      <c r="C389" s="6"/>
      <c r="D389" s="6"/>
      <c r="E389" s="6"/>
      <c r="F389" s="6"/>
      <c r="G389" s="11"/>
      <c r="H389" s="6"/>
      <c r="I389" s="6"/>
      <c r="J389" s="6"/>
      <c r="K389" s="7"/>
      <c r="L389" s="21" t="str">
        <f>микс!$H$11</f>
        <v>продажа под заказ</v>
      </c>
      <c r="M389" s="22"/>
      <c r="N389" s="22"/>
      <c r="O389" s="22" t="s">
        <v>135</v>
      </c>
      <c r="P389" s="23" t="str">
        <f>микс!$H$49</f>
        <v>Товары для детей</v>
      </c>
      <c r="Q389" s="21" t="s">
        <v>133</v>
      </c>
      <c r="R389" s="25">
        <v>1</v>
      </c>
      <c r="S389" s="28"/>
      <c r="T389" s="31">
        <v>42307</v>
      </c>
      <c r="U389" s="33">
        <v>638.5</v>
      </c>
      <c r="V389" s="36">
        <f t="shared" si="27"/>
        <v>638.5</v>
      </c>
      <c r="W389" s="28"/>
      <c r="X389" s="31">
        <v>42309</v>
      </c>
      <c r="Y389" s="33">
        <v>679</v>
      </c>
      <c r="Z389" s="189">
        <f t="shared" si="28"/>
        <v>679</v>
      </c>
      <c r="AA389" s="190"/>
      <c r="AB389" s="31">
        <v>42329</v>
      </c>
      <c r="AC389" s="36">
        <v>638.5</v>
      </c>
      <c r="AD389" s="8"/>
      <c r="AE389" s="6"/>
      <c r="AF389" s="52">
        <f t="shared" si="25"/>
        <v>27013019.5</v>
      </c>
      <c r="AG389" s="25">
        <f t="shared" si="26"/>
        <v>28727811</v>
      </c>
      <c r="AH389" s="52">
        <f t="shared" si="29"/>
        <v>27027066.5</v>
      </c>
      <c r="AI389" s="6"/>
      <c r="AJ389" s="6"/>
      <c r="AK389" s="6"/>
      <c r="AL389" s="6"/>
      <c r="AM389" s="6"/>
      <c r="AN389" s="6"/>
      <c r="AO389" s="6"/>
      <c r="AP389" s="6"/>
      <c r="AQ389" s="6"/>
      <c r="AR389" s="6"/>
    </row>
    <row r="390" spans="1:44">
      <c r="A390" s="6"/>
      <c r="B390" s="6"/>
      <c r="C390" s="6"/>
      <c r="D390" s="6"/>
      <c r="E390" s="6"/>
      <c r="F390" s="6"/>
      <c r="G390" s="11"/>
      <c r="H390" s="6"/>
      <c r="I390" s="6"/>
      <c r="J390" s="6"/>
      <c r="K390" s="7"/>
      <c r="L390" s="21" t="str">
        <f>микс!$H$11</f>
        <v>продажа под заказ</v>
      </c>
      <c r="M390" s="22"/>
      <c r="N390" s="22"/>
      <c r="O390" s="22" t="s">
        <v>138</v>
      </c>
      <c r="P390" s="23" t="str">
        <f>микс!$H$49</f>
        <v>Товары для детей</v>
      </c>
      <c r="Q390" s="21" t="s">
        <v>59</v>
      </c>
      <c r="R390" s="25">
        <v>1</v>
      </c>
      <c r="S390" s="28"/>
      <c r="T390" s="31">
        <v>42314</v>
      </c>
      <c r="U390" s="33">
        <v>3127.5</v>
      </c>
      <c r="V390" s="36">
        <f t="shared" si="27"/>
        <v>3127.5</v>
      </c>
      <c r="W390" s="28"/>
      <c r="X390" s="31">
        <v>42318</v>
      </c>
      <c r="Y390" s="33">
        <v>3950</v>
      </c>
      <c r="Z390" s="189">
        <f t="shared" si="28"/>
        <v>3950</v>
      </c>
      <c r="AA390" s="190"/>
      <c r="AB390" s="31"/>
      <c r="AC390" s="36"/>
      <c r="AD390" s="8"/>
      <c r="AE390" s="6"/>
      <c r="AF390" s="52">
        <f t="shared" si="25"/>
        <v>132337035</v>
      </c>
      <c r="AG390" s="25">
        <f t="shared" si="26"/>
        <v>167156100</v>
      </c>
      <c r="AH390" s="52">
        <f t="shared" si="29"/>
        <v>0</v>
      </c>
      <c r="AI390" s="6"/>
      <c r="AJ390" s="6"/>
      <c r="AK390" s="6"/>
      <c r="AL390" s="6"/>
      <c r="AM390" s="6"/>
      <c r="AN390" s="6"/>
      <c r="AO390" s="6"/>
      <c r="AP390" s="6"/>
      <c r="AQ390" s="6"/>
      <c r="AR390" s="6"/>
    </row>
    <row r="391" spans="1:44">
      <c r="A391" s="6"/>
      <c r="B391" s="6"/>
      <c r="C391" s="6"/>
      <c r="D391" s="6"/>
      <c r="E391" s="6"/>
      <c r="F391" s="6"/>
      <c r="G391" s="11"/>
      <c r="H391" s="6"/>
      <c r="I391" s="6"/>
      <c r="J391" s="6"/>
      <c r="K391" s="7"/>
      <c r="L391" s="21" t="str">
        <f>микс!$H$11</f>
        <v>продажа под заказ</v>
      </c>
      <c r="M391" s="22"/>
      <c r="N391" s="22"/>
      <c r="O391" s="22" t="s">
        <v>138</v>
      </c>
      <c r="P391" s="23" t="str">
        <f>микс!$H$49</f>
        <v>Товары для детей</v>
      </c>
      <c r="Q391" s="21" t="s">
        <v>59</v>
      </c>
      <c r="R391" s="25">
        <v>1</v>
      </c>
      <c r="S391" s="28"/>
      <c r="T391" s="31">
        <v>42329</v>
      </c>
      <c r="U391" s="33">
        <v>3127.5</v>
      </c>
      <c r="V391" s="36">
        <f t="shared" si="27"/>
        <v>3127.5</v>
      </c>
      <c r="W391" s="28"/>
      <c r="X391" s="31">
        <v>42334</v>
      </c>
      <c r="Y391" s="33">
        <v>3338</v>
      </c>
      <c r="Z391" s="189">
        <f t="shared" si="28"/>
        <v>3338</v>
      </c>
      <c r="AA391" s="190"/>
      <c r="AB391" s="31">
        <v>42334</v>
      </c>
      <c r="AC391" s="36">
        <v>3127.5</v>
      </c>
      <c r="AD391" s="8"/>
      <c r="AE391" s="6"/>
      <c r="AF391" s="52">
        <f t="shared" si="25"/>
        <v>132383947.5</v>
      </c>
      <c r="AG391" s="25">
        <f t="shared" si="26"/>
        <v>141310892</v>
      </c>
      <c r="AH391" s="52">
        <f t="shared" si="29"/>
        <v>132399585</v>
      </c>
      <c r="AI391" s="6"/>
      <c r="AJ391" s="6"/>
      <c r="AK391" s="6"/>
      <c r="AL391" s="6"/>
      <c r="AM391" s="6"/>
      <c r="AN391" s="6"/>
      <c r="AO391" s="6"/>
      <c r="AP391" s="6"/>
      <c r="AQ391" s="6"/>
      <c r="AR391" s="6"/>
    </row>
    <row r="392" spans="1:44">
      <c r="A392" s="6"/>
      <c r="B392" s="6"/>
      <c r="C392" s="6"/>
      <c r="D392" s="6"/>
      <c r="E392" s="6"/>
      <c r="F392" s="6"/>
      <c r="G392" s="11"/>
      <c r="H392" s="6"/>
      <c r="I392" s="6"/>
      <c r="J392" s="6"/>
      <c r="K392" s="7"/>
      <c r="L392" s="21" t="str">
        <f>микс!$H$11</f>
        <v>продажа под заказ</v>
      </c>
      <c r="M392" s="22"/>
      <c r="N392" s="22"/>
      <c r="O392" s="22" t="s">
        <v>138</v>
      </c>
      <c r="P392" s="23" t="str">
        <f>микс!$H$49</f>
        <v>Товары для детей</v>
      </c>
      <c r="Q392" s="21" t="s">
        <v>59</v>
      </c>
      <c r="R392" s="25">
        <v>1</v>
      </c>
      <c r="S392" s="28"/>
      <c r="T392" s="31">
        <v>42335</v>
      </c>
      <c r="U392" s="33">
        <v>3127.5</v>
      </c>
      <c r="V392" s="36">
        <f t="shared" si="27"/>
        <v>3127.5</v>
      </c>
      <c r="W392" s="28"/>
      <c r="X392" s="31">
        <v>42337</v>
      </c>
      <c r="Y392" s="33">
        <v>3430</v>
      </c>
      <c r="Z392" s="189">
        <f t="shared" si="28"/>
        <v>3430</v>
      </c>
      <c r="AA392" s="190"/>
      <c r="AB392" s="31"/>
      <c r="AC392" s="36"/>
      <c r="AD392" s="8"/>
      <c r="AE392" s="6"/>
      <c r="AF392" s="52">
        <f t="shared" si="25"/>
        <v>132402712.5</v>
      </c>
      <c r="AG392" s="25">
        <f t="shared" si="26"/>
        <v>145215910</v>
      </c>
      <c r="AH392" s="52">
        <f t="shared" si="29"/>
        <v>0</v>
      </c>
      <c r="AI392" s="6"/>
      <c r="AJ392" s="6"/>
      <c r="AK392" s="6"/>
      <c r="AL392" s="6"/>
      <c r="AM392" s="6"/>
      <c r="AN392" s="6"/>
      <c r="AO392" s="6"/>
      <c r="AP392" s="6"/>
      <c r="AQ392" s="6"/>
      <c r="AR392" s="6"/>
    </row>
    <row r="393" spans="1:44">
      <c r="A393" s="6"/>
      <c r="B393" s="6"/>
      <c r="C393" s="6"/>
      <c r="D393" s="6"/>
      <c r="E393" s="6"/>
      <c r="F393" s="6"/>
      <c r="G393" s="11"/>
      <c r="H393" s="6"/>
      <c r="I393" s="6"/>
      <c r="J393" s="6"/>
      <c r="K393" s="7"/>
      <c r="L393" s="21" t="str">
        <f>микс!$H$11</f>
        <v>продажа под заказ</v>
      </c>
      <c r="M393" s="22"/>
      <c r="N393" s="22"/>
      <c r="O393" s="22" t="s">
        <v>138</v>
      </c>
      <c r="P393" s="23" t="str">
        <f>микс!$H$49</f>
        <v>Товары для детей</v>
      </c>
      <c r="Q393" s="21" t="s">
        <v>59</v>
      </c>
      <c r="R393" s="25">
        <v>1</v>
      </c>
      <c r="S393" s="28"/>
      <c r="T393" s="31">
        <v>42336</v>
      </c>
      <c r="U393" s="33">
        <v>2990</v>
      </c>
      <c r="V393" s="36">
        <f t="shared" si="27"/>
        <v>2990</v>
      </c>
      <c r="W393" s="28"/>
      <c r="X393" s="31">
        <v>42341</v>
      </c>
      <c r="Y393" s="33">
        <v>3322</v>
      </c>
      <c r="Z393" s="189">
        <f t="shared" si="28"/>
        <v>3322</v>
      </c>
      <c r="AA393" s="190"/>
      <c r="AB393" s="31"/>
      <c r="AC393" s="36"/>
      <c r="AD393" s="8"/>
      <c r="AE393" s="6"/>
      <c r="AF393" s="52">
        <f t="shared" ref="AF393:AF456" si="30">T393*V393</f>
        <v>126584640</v>
      </c>
      <c r="AG393" s="25">
        <f t="shared" ref="AG393:AG456" si="31">X393*Z393</f>
        <v>140656802</v>
      </c>
      <c r="AH393" s="52">
        <f t="shared" si="29"/>
        <v>0</v>
      </c>
      <c r="AI393" s="6"/>
      <c r="AJ393" s="6"/>
      <c r="AK393" s="6"/>
      <c r="AL393" s="6"/>
      <c r="AM393" s="6"/>
      <c r="AN393" s="6"/>
      <c r="AO393" s="6"/>
      <c r="AP393" s="6"/>
      <c r="AQ393" s="6"/>
      <c r="AR393" s="6"/>
    </row>
    <row r="394" spans="1:44">
      <c r="A394" s="6"/>
      <c r="B394" s="6"/>
      <c r="C394" s="6"/>
      <c r="D394" s="6"/>
      <c r="E394" s="6"/>
      <c r="F394" s="6"/>
      <c r="G394" s="11"/>
      <c r="H394" s="6"/>
      <c r="I394" s="6"/>
      <c r="J394" s="6"/>
      <c r="K394" s="7"/>
      <c r="L394" s="21" t="str">
        <f>микс!$H$11</f>
        <v>продажа под заказ</v>
      </c>
      <c r="M394" s="22"/>
      <c r="N394" s="22"/>
      <c r="O394" s="22" t="s">
        <v>138</v>
      </c>
      <c r="P394" s="23" t="str">
        <f>микс!$H$49</f>
        <v>Товары для детей</v>
      </c>
      <c r="Q394" s="21" t="s">
        <v>59</v>
      </c>
      <c r="R394" s="25">
        <v>1</v>
      </c>
      <c r="S394" s="28"/>
      <c r="T394" s="31">
        <v>42336</v>
      </c>
      <c r="U394" s="33">
        <v>2990</v>
      </c>
      <c r="V394" s="36">
        <f t="shared" ref="V394:V457" si="32">$R394*U394</f>
        <v>2990</v>
      </c>
      <c r="W394" s="28"/>
      <c r="X394" s="31">
        <v>42342</v>
      </c>
      <c r="Y394" s="33">
        <v>3322</v>
      </c>
      <c r="Z394" s="189">
        <f t="shared" ref="Z394:Z457" si="33">$R394*Y394</f>
        <v>3322</v>
      </c>
      <c r="AA394" s="190"/>
      <c r="AB394" s="31">
        <v>42351</v>
      </c>
      <c r="AC394" s="36">
        <v>2990</v>
      </c>
      <c r="AD394" s="8"/>
      <c r="AE394" s="6"/>
      <c r="AF394" s="52">
        <f t="shared" si="30"/>
        <v>126584640</v>
      </c>
      <c r="AG394" s="25">
        <f t="shared" si="31"/>
        <v>140660124</v>
      </c>
      <c r="AH394" s="52">
        <f t="shared" ref="AH394:AH457" si="34">AB394*AC394</f>
        <v>126629490</v>
      </c>
      <c r="AI394" s="6"/>
      <c r="AJ394" s="6"/>
      <c r="AK394" s="6"/>
      <c r="AL394" s="6"/>
      <c r="AM394" s="6"/>
      <c r="AN394" s="6"/>
      <c r="AO394" s="6"/>
      <c r="AP394" s="6"/>
      <c r="AQ394" s="6"/>
      <c r="AR394" s="6"/>
    </row>
    <row r="395" spans="1:44">
      <c r="A395" s="6"/>
      <c r="B395" s="6"/>
      <c r="C395" s="6"/>
      <c r="D395" s="6"/>
      <c r="E395" s="6"/>
      <c r="F395" s="6"/>
      <c r="G395" s="11"/>
      <c r="H395" s="6"/>
      <c r="I395" s="6"/>
      <c r="J395" s="6"/>
      <c r="K395" s="7"/>
      <c r="L395" s="21" t="str">
        <f>микс!$H$11</f>
        <v>продажа под заказ</v>
      </c>
      <c r="M395" s="22"/>
      <c r="N395" s="22"/>
      <c r="O395" s="22" t="s">
        <v>148</v>
      </c>
      <c r="P395" s="23" t="str">
        <f>микс!$H$49</f>
        <v>Товары для детей</v>
      </c>
      <c r="Q395" s="21" t="s">
        <v>73</v>
      </c>
      <c r="R395" s="25">
        <v>1</v>
      </c>
      <c r="S395" s="28"/>
      <c r="T395" s="31">
        <v>42329</v>
      </c>
      <c r="U395" s="33">
        <v>5291.6</v>
      </c>
      <c r="V395" s="36">
        <f t="shared" si="32"/>
        <v>5291.6</v>
      </c>
      <c r="W395" s="28"/>
      <c r="X395" s="31">
        <v>42334</v>
      </c>
      <c r="Y395" s="33">
        <v>5930</v>
      </c>
      <c r="Z395" s="189">
        <f t="shared" si="33"/>
        <v>5930</v>
      </c>
      <c r="AA395" s="190"/>
      <c r="AB395" s="31"/>
      <c r="AC395" s="36"/>
      <c r="AD395" s="8"/>
      <c r="AE395" s="6"/>
      <c r="AF395" s="52">
        <f t="shared" si="30"/>
        <v>223988136.40000001</v>
      </c>
      <c r="AG395" s="25">
        <f t="shared" si="31"/>
        <v>251040620</v>
      </c>
      <c r="AH395" s="52">
        <f t="shared" si="34"/>
        <v>0</v>
      </c>
      <c r="AI395" s="6"/>
      <c r="AJ395" s="6"/>
      <c r="AK395" s="6"/>
      <c r="AL395" s="6"/>
      <c r="AM395" s="6"/>
      <c r="AN395" s="6"/>
      <c r="AO395" s="6"/>
      <c r="AP395" s="6"/>
      <c r="AQ395" s="6"/>
      <c r="AR395" s="6"/>
    </row>
    <row r="396" spans="1:44">
      <c r="A396" s="6"/>
      <c r="B396" s="6"/>
      <c r="C396" s="6"/>
      <c r="D396" s="6"/>
      <c r="E396" s="6"/>
      <c r="F396" s="6"/>
      <c r="G396" s="11"/>
      <c r="H396" s="6"/>
      <c r="I396" s="6"/>
      <c r="J396" s="6"/>
      <c r="K396" s="7"/>
      <c r="L396" s="21" t="str">
        <f>микс!$H$11</f>
        <v>продажа под заказ</v>
      </c>
      <c r="M396" s="22"/>
      <c r="N396" s="22"/>
      <c r="O396" s="22" t="s">
        <v>148</v>
      </c>
      <c r="P396" s="23" t="str">
        <f>микс!$H$49</f>
        <v>Товары для детей</v>
      </c>
      <c r="Q396" s="21" t="s">
        <v>73</v>
      </c>
      <c r="R396" s="25">
        <v>1</v>
      </c>
      <c r="S396" s="28"/>
      <c r="T396" s="31">
        <v>42327</v>
      </c>
      <c r="U396" s="33">
        <v>5291.6</v>
      </c>
      <c r="V396" s="36">
        <f t="shared" si="32"/>
        <v>5291.6</v>
      </c>
      <c r="W396" s="28"/>
      <c r="X396" s="31">
        <v>42329</v>
      </c>
      <c r="Y396" s="33">
        <v>5930</v>
      </c>
      <c r="Z396" s="189">
        <f t="shared" si="33"/>
        <v>5930</v>
      </c>
      <c r="AA396" s="190"/>
      <c r="AB396" s="31">
        <v>42347</v>
      </c>
      <c r="AC396" s="36">
        <v>5291.6</v>
      </c>
      <c r="AD396" s="8"/>
      <c r="AE396" s="6"/>
      <c r="AF396" s="52">
        <f t="shared" si="30"/>
        <v>223977553.20000002</v>
      </c>
      <c r="AG396" s="25">
        <f t="shared" si="31"/>
        <v>251010970</v>
      </c>
      <c r="AH396" s="52">
        <f t="shared" si="34"/>
        <v>224083385.20000002</v>
      </c>
      <c r="AI396" s="6"/>
      <c r="AJ396" s="6"/>
      <c r="AK396" s="6"/>
      <c r="AL396" s="6"/>
      <c r="AM396" s="6"/>
      <c r="AN396" s="6"/>
      <c r="AO396" s="6"/>
      <c r="AP396" s="6"/>
      <c r="AQ396" s="6"/>
      <c r="AR396" s="6"/>
    </row>
    <row r="397" spans="1:44">
      <c r="A397" s="6"/>
      <c r="B397" s="6"/>
      <c r="C397" s="6"/>
      <c r="D397" s="6"/>
      <c r="E397" s="6"/>
      <c r="F397" s="6"/>
      <c r="G397" s="11"/>
      <c r="H397" s="6"/>
      <c r="I397" s="6"/>
      <c r="J397" s="6"/>
      <c r="K397" s="7"/>
      <c r="L397" s="21" t="str">
        <f>микс!$H$11</f>
        <v>продажа под заказ</v>
      </c>
      <c r="M397" s="22"/>
      <c r="N397" s="22"/>
      <c r="O397" s="22" t="s">
        <v>148</v>
      </c>
      <c r="P397" s="23" t="str">
        <f>микс!$H$49</f>
        <v>Товары для детей</v>
      </c>
      <c r="Q397" s="21" t="s">
        <v>73</v>
      </c>
      <c r="R397" s="25">
        <v>1</v>
      </c>
      <c r="S397" s="28"/>
      <c r="T397" s="31">
        <v>42337</v>
      </c>
      <c r="U397" s="33">
        <v>5292</v>
      </c>
      <c r="V397" s="36">
        <f t="shared" si="32"/>
        <v>5292</v>
      </c>
      <c r="W397" s="28"/>
      <c r="X397" s="31">
        <v>42342</v>
      </c>
      <c r="Y397" s="33">
        <v>5864</v>
      </c>
      <c r="Z397" s="189">
        <f t="shared" si="33"/>
        <v>5864</v>
      </c>
      <c r="AA397" s="190"/>
      <c r="AB397" s="31">
        <v>42367</v>
      </c>
      <c r="AC397" s="36">
        <v>5292</v>
      </c>
      <c r="AD397" s="8"/>
      <c r="AE397" s="6"/>
      <c r="AF397" s="52">
        <f t="shared" si="30"/>
        <v>224047404</v>
      </c>
      <c r="AG397" s="25">
        <f t="shared" si="31"/>
        <v>248293488</v>
      </c>
      <c r="AH397" s="52">
        <f t="shared" si="34"/>
        <v>224206164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</row>
    <row r="398" spans="1:44">
      <c r="A398" s="6"/>
      <c r="B398" s="6"/>
      <c r="C398" s="6"/>
      <c r="D398" s="6"/>
      <c r="E398" s="6"/>
      <c r="F398" s="6"/>
      <c r="G398" s="11"/>
      <c r="H398" s="6"/>
      <c r="I398" s="6"/>
      <c r="J398" s="6"/>
      <c r="K398" s="7"/>
      <c r="L398" s="21" t="str">
        <f>микс!$H$11</f>
        <v>продажа под заказ</v>
      </c>
      <c r="M398" s="22"/>
      <c r="N398" s="22"/>
      <c r="O398" s="22" t="s">
        <v>148</v>
      </c>
      <c r="P398" s="23" t="str">
        <f>микс!$H$49</f>
        <v>Товары для детей</v>
      </c>
      <c r="Q398" s="21" t="s">
        <v>73</v>
      </c>
      <c r="R398" s="25">
        <v>1</v>
      </c>
      <c r="S398" s="28"/>
      <c r="T398" s="31">
        <v>42333</v>
      </c>
      <c r="U398" s="33">
        <v>5292</v>
      </c>
      <c r="V398" s="36">
        <f t="shared" si="32"/>
        <v>5292</v>
      </c>
      <c r="W398" s="28"/>
      <c r="X398" s="31">
        <v>42341</v>
      </c>
      <c r="Y398" s="33">
        <v>5920</v>
      </c>
      <c r="Z398" s="189">
        <f t="shared" si="33"/>
        <v>5920</v>
      </c>
      <c r="AA398" s="190"/>
      <c r="AB398" s="31">
        <v>42358</v>
      </c>
      <c r="AC398" s="36">
        <v>5292</v>
      </c>
      <c r="AD398" s="8"/>
      <c r="AE398" s="6"/>
      <c r="AF398" s="52">
        <f t="shared" si="30"/>
        <v>224026236</v>
      </c>
      <c r="AG398" s="25">
        <f t="shared" si="31"/>
        <v>250658720</v>
      </c>
      <c r="AH398" s="52">
        <f t="shared" si="34"/>
        <v>224158536</v>
      </c>
      <c r="AI398" s="6"/>
      <c r="AJ398" s="6"/>
      <c r="AK398" s="6"/>
      <c r="AL398" s="6"/>
      <c r="AM398" s="6"/>
      <c r="AN398" s="6"/>
      <c r="AO398" s="6"/>
      <c r="AP398" s="6"/>
      <c r="AQ398" s="6"/>
      <c r="AR398" s="6"/>
    </row>
    <row r="399" spans="1:44">
      <c r="A399" s="6"/>
      <c r="B399" s="6"/>
      <c r="C399" s="6"/>
      <c r="D399" s="6"/>
      <c r="E399" s="6"/>
      <c r="F399" s="6"/>
      <c r="G399" s="11"/>
      <c r="H399" s="6"/>
      <c r="I399" s="6"/>
      <c r="J399" s="6"/>
      <c r="K399" s="7"/>
      <c r="L399" s="21" t="str">
        <f>микс!$H$11</f>
        <v>продажа под заказ</v>
      </c>
      <c r="M399" s="22"/>
      <c r="N399" s="22"/>
      <c r="O399" s="22" t="s">
        <v>148</v>
      </c>
      <c r="P399" s="23" t="str">
        <f>микс!$H$49</f>
        <v>Товары для детей</v>
      </c>
      <c r="Q399" s="21" t="s">
        <v>73</v>
      </c>
      <c r="R399" s="25">
        <v>1</v>
      </c>
      <c r="S399" s="28"/>
      <c r="T399" s="31">
        <v>42333</v>
      </c>
      <c r="U399" s="33">
        <v>5292</v>
      </c>
      <c r="V399" s="36">
        <f t="shared" si="32"/>
        <v>5292</v>
      </c>
      <c r="W399" s="28"/>
      <c r="X399" s="31">
        <v>42336</v>
      </c>
      <c r="Y399" s="33">
        <v>5920</v>
      </c>
      <c r="Z399" s="189">
        <f t="shared" si="33"/>
        <v>5920</v>
      </c>
      <c r="AA399" s="190"/>
      <c r="AB399" s="31">
        <v>42343</v>
      </c>
      <c r="AC399" s="36">
        <v>5292</v>
      </c>
      <c r="AD399" s="8"/>
      <c r="AE399" s="6"/>
      <c r="AF399" s="52">
        <f t="shared" si="30"/>
        <v>224026236</v>
      </c>
      <c r="AG399" s="25">
        <f t="shared" si="31"/>
        <v>250629120</v>
      </c>
      <c r="AH399" s="52">
        <f t="shared" si="34"/>
        <v>224079156</v>
      </c>
      <c r="AI399" s="6"/>
      <c r="AJ399" s="6"/>
      <c r="AK399" s="6"/>
      <c r="AL399" s="6"/>
      <c r="AM399" s="6"/>
      <c r="AN399" s="6"/>
      <c r="AO399" s="6"/>
      <c r="AP399" s="6"/>
      <c r="AQ399" s="6"/>
      <c r="AR399" s="6"/>
    </row>
    <row r="400" spans="1:44">
      <c r="A400" s="6"/>
      <c r="B400" s="6"/>
      <c r="C400" s="6"/>
      <c r="D400" s="6"/>
      <c r="E400" s="6"/>
      <c r="F400" s="6"/>
      <c r="G400" s="11"/>
      <c r="H400" s="6"/>
      <c r="I400" s="6"/>
      <c r="J400" s="6"/>
      <c r="K400" s="7"/>
      <c r="L400" s="21" t="str">
        <f>микс!$H$11</f>
        <v>продажа под заказ</v>
      </c>
      <c r="M400" s="22"/>
      <c r="N400" s="22"/>
      <c r="O400" s="22" t="s">
        <v>148</v>
      </c>
      <c r="P400" s="23" t="str">
        <f>микс!$H$49</f>
        <v>Товары для детей</v>
      </c>
      <c r="Q400" s="21" t="s">
        <v>73</v>
      </c>
      <c r="R400" s="25">
        <v>1</v>
      </c>
      <c r="S400" s="28"/>
      <c r="T400" s="31">
        <v>42320</v>
      </c>
      <c r="U400" s="33">
        <v>5291.5</v>
      </c>
      <c r="V400" s="36">
        <f t="shared" si="32"/>
        <v>5291.5</v>
      </c>
      <c r="W400" s="28"/>
      <c r="X400" s="31">
        <v>42323</v>
      </c>
      <c r="Y400" s="33">
        <v>6700</v>
      </c>
      <c r="Z400" s="189">
        <f t="shared" si="33"/>
        <v>6700</v>
      </c>
      <c r="AA400" s="190"/>
      <c r="AB400" s="31">
        <v>42327</v>
      </c>
      <c r="AC400" s="36">
        <v>5291.5</v>
      </c>
      <c r="AD400" s="8"/>
      <c r="AE400" s="6"/>
      <c r="AF400" s="52">
        <f t="shared" si="30"/>
        <v>223936280</v>
      </c>
      <c r="AG400" s="25">
        <f t="shared" si="31"/>
        <v>283564100</v>
      </c>
      <c r="AH400" s="52">
        <f t="shared" si="34"/>
        <v>223973320.5</v>
      </c>
      <c r="AI400" s="6"/>
      <c r="AJ400" s="6"/>
      <c r="AK400" s="6"/>
      <c r="AL400" s="6"/>
      <c r="AM400" s="6"/>
      <c r="AN400" s="6"/>
      <c r="AO400" s="6"/>
      <c r="AP400" s="6"/>
      <c r="AQ400" s="6"/>
      <c r="AR400" s="6"/>
    </row>
    <row r="401" spans="1:44">
      <c r="A401" s="6"/>
      <c r="B401" s="6"/>
      <c r="C401" s="6"/>
      <c r="D401" s="6"/>
      <c r="E401" s="6"/>
      <c r="F401" s="6"/>
      <c r="G401" s="11"/>
      <c r="H401" s="6"/>
      <c r="I401" s="6"/>
      <c r="J401" s="6"/>
      <c r="K401" s="7"/>
      <c r="L401" s="21" t="str">
        <f>микс!$H$11</f>
        <v>продажа под заказ</v>
      </c>
      <c r="M401" s="22"/>
      <c r="N401" s="22"/>
      <c r="O401" s="22" t="s">
        <v>148</v>
      </c>
      <c r="P401" s="23" t="str">
        <f>микс!$H$49</f>
        <v>Товары для детей</v>
      </c>
      <c r="Q401" s="21" t="s">
        <v>73</v>
      </c>
      <c r="R401" s="25">
        <v>1</v>
      </c>
      <c r="S401" s="28"/>
      <c r="T401" s="31">
        <v>42304</v>
      </c>
      <c r="U401" s="33">
        <v>5292</v>
      </c>
      <c r="V401" s="36">
        <f t="shared" si="32"/>
        <v>5292</v>
      </c>
      <c r="W401" s="28"/>
      <c r="X401" s="31">
        <v>42312</v>
      </c>
      <c r="Y401" s="33">
        <v>5880</v>
      </c>
      <c r="Z401" s="189">
        <f t="shared" si="33"/>
        <v>5880</v>
      </c>
      <c r="AA401" s="190"/>
      <c r="AB401" s="31">
        <v>42326</v>
      </c>
      <c r="AC401" s="36">
        <v>5292</v>
      </c>
      <c r="AD401" s="8"/>
      <c r="AE401" s="6"/>
      <c r="AF401" s="52">
        <f t="shared" si="30"/>
        <v>223872768</v>
      </c>
      <c r="AG401" s="25">
        <f t="shared" si="31"/>
        <v>248794560</v>
      </c>
      <c r="AH401" s="52">
        <f t="shared" si="34"/>
        <v>223989192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</row>
    <row r="402" spans="1:44">
      <c r="A402" s="6"/>
      <c r="B402" s="6"/>
      <c r="C402" s="6"/>
      <c r="D402" s="6"/>
      <c r="E402" s="6"/>
      <c r="F402" s="6"/>
      <c r="G402" s="11"/>
      <c r="H402" s="6"/>
      <c r="I402" s="6"/>
      <c r="J402" s="6"/>
      <c r="K402" s="7"/>
      <c r="L402" s="21" t="str">
        <f>микс!$H$10</f>
        <v>продажа со склада</v>
      </c>
      <c r="M402" s="22"/>
      <c r="N402" s="22"/>
      <c r="O402" s="22" t="s">
        <v>148</v>
      </c>
      <c r="P402" s="23" t="str">
        <f>микс!$H$49</f>
        <v>Товары для детей</v>
      </c>
      <c r="Q402" s="21" t="s">
        <v>60</v>
      </c>
      <c r="R402" s="25">
        <v>1</v>
      </c>
      <c r="S402" s="28"/>
      <c r="T402" s="31">
        <v>42140</v>
      </c>
      <c r="U402" s="33">
        <v>1651.05</v>
      </c>
      <c r="V402" s="36">
        <f t="shared" si="32"/>
        <v>1651.05</v>
      </c>
      <c r="W402" s="28"/>
      <c r="X402" s="31">
        <v>42340</v>
      </c>
      <c r="Y402" s="33">
        <v>2266</v>
      </c>
      <c r="Z402" s="189">
        <f t="shared" si="33"/>
        <v>2266</v>
      </c>
      <c r="AA402" s="190"/>
      <c r="AB402" s="31"/>
      <c r="AC402" s="36"/>
      <c r="AD402" s="8"/>
      <c r="AE402" s="6"/>
      <c r="AF402" s="52">
        <f t="shared" si="30"/>
        <v>69575247</v>
      </c>
      <c r="AG402" s="25">
        <f t="shared" si="31"/>
        <v>95942440</v>
      </c>
      <c r="AH402" s="52">
        <f t="shared" si="34"/>
        <v>0</v>
      </c>
      <c r="AI402" s="6"/>
      <c r="AJ402" s="6"/>
      <c r="AK402" s="6"/>
      <c r="AL402" s="6"/>
      <c r="AM402" s="6"/>
      <c r="AN402" s="6"/>
      <c r="AO402" s="6"/>
      <c r="AP402" s="6"/>
      <c r="AQ402" s="6"/>
      <c r="AR402" s="6"/>
    </row>
    <row r="403" spans="1:44">
      <c r="A403" s="6"/>
      <c r="B403" s="6"/>
      <c r="C403" s="6"/>
      <c r="D403" s="6"/>
      <c r="E403" s="6"/>
      <c r="F403" s="6"/>
      <c r="G403" s="11"/>
      <c r="H403" s="6"/>
      <c r="I403" s="6"/>
      <c r="J403" s="6"/>
      <c r="K403" s="7"/>
      <c r="L403" s="21" t="str">
        <f>микс!$H$10</f>
        <v>продажа со склада</v>
      </c>
      <c r="M403" s="22"/>
      <c r="N403" s="22"/>
      <c r="O403" s="22" t="s">
        <v>148</v>
      </c>
      <c r="P403" s="23" t="str">
        <f>микс!$H$49</f>
        <v>Товары для детей</v>
      </c>
      <c r="Q403" s="21" t="s">
        <v>60</v>
      </c>
      <c r="R403" s="25">
        <v>1</v>
      </c>
      <c r="S403" s="28"/>
      <c r="T403" s="31">
        <v>42140</v>
      </c>
      <c r="U403" s="33">
        <v>3214.4</v>
      </c>
      <c r="V403" s="36">
        <f t="shared" si="32"/>
        <v>3214.4</v>
      </c>
      <c r="W403" s="28"/>
      <c r="X403" s="31">
        <v>42337</v>
      </c>
      <c r="Y403" s="33">
        <v>3289</v>
      </c>
      <c r="Z403" s="189">
        <f t="shared" si="33"/>
        <v>3289</v>
      </c>
      <c r="AA403" s="190"/>
      <c r="AB403" s="31">
        <v>42185</v>
      </c>
      <c r="AC403" s="36">
        <v>3214.4</v>
      </c>
      <c r="AD403" s="8"/>
      <c r="AE403" s="6"/>
      <c r="AF403" s="52">
        <f t="shared" si="30"/>
        <v>135454816</v>
      </c>
      <c r="AG403" s="25">
        <f t="shared" si="31"/>
        <v>139246393</v>
      </c>
      <c r="AH403" s="52">
        <f t="shared" si="34"/>
        <v>135599464</v>
      </c>
      <c r="AI403" s="6"/>
      <c r="AJ403" s="6"/>
      <c r="AK403" s="6"/>
      <c r="AL403" s="6"/>
      <c r="AM403" s="6"/>
      <c r="AN403" s="6"/>
      <c r="AO403" s="6"/>
      <c r="AP403" s="6"/>
      <c r="AQ403" s="6"/>
      <c r="AR403" s="6"/>
    </row>
    <row r="404" spans="1:44">
      <c r="A404" s="6"/>
      <c r="B404" s="6"/>
      <c r="C404" s="6"/>
      <c r="D404" s="6"/>
      <c r="E404" s="6"/>
      <c r="F404" s="6"/>
      <c r="G404" s="11"/>
      <c r="H404" s="6"/>
      <c r="I404" s="6"/>
      <c r="J404" s="6"/>
      <c r="K404" s="7"/>
      <c r="L404" s="21" t="str">
        <f>микс!$H$10</f>
        <v>продажа со склада</v>
      </c>
      <c r="M404" s="22"/>
      <c r="N404" s="22"/>
      <c r="O404" s="22" t="s">
        <v>148</v>
      </c>
      <c r="P404" s="23" t="str">
        <f>микс!$H$49</f>
        <v>Товары для детей</v>
      </c>
      <c r="Q404" s="21" t="s">
        <v>133</v>
      </c>
      <c r="R404" s="25">
        <v>1</v>
      </c>
      <c r="S404" s="28"/>
      <c r="T404" s="31">
        <v>42118</v>
      </c>
      <c r="U404" s="33">
        <v>427</v>
      </c>
      <c r="V404" s="36">
        <f t="shared" si="32"/>
        <v>427</v>
      </c>
      <c r="W404" s="28"/>
      <c r="X404" s="31">
        <v>42309</v>
      </c>
      <c r="Y404" s="33">
        <v>271</v>
      </c>
      <c r="Z404" s="189">
        <f t="shared" si="33"/>
        <v>271</v>
      </c>
      <c r="AA404" s="190"/>
      <c r="AB404" s="31">
        <v>42156</v>
      </c>
      <c r="AC404" s="36">
        <v>427</v>
      </c>
      <c r="AD404" s="8"/>
      <c r="AE404" s="6"/>
      <c r="AF404" s="52">
        <f t="shared" si="30"/>
        <v>17984386</v>
      </c>
      <c r="AG404" s="25">
        <f t="shared" si="31"/>
        <v>11465739</v>
      </c>
      <c r="AH404" s="52">
        <f t="shared" si="34"/>
        <v>18000612</v>
      </c>
      <c r="AI404" s="6"/>
      <c r="AJ404" s="6"/>
      <c r="AK404" s="6"/>
      <c r="AL404" s="6"/>
      <c r="AM404" s="6"/>
      <c r="AN404" s="6"/>
      <c r="AO404" s="6"/>
      <c r="AP404" s="6"/>
      <c r="AQ404" s="6"/>
      <c r="AR404" s="6"/>
    </row>
    <row r="405" spans="1:44">
      <c r="A405" s="6"/>
      <c r="B405" s="6"/>
      <c r="C405" s="6"/>
      <c r="D405" s="6"/>
      <c r="E405" s="6"/>
      <c r="F405" s="6"/>
      <c r="G405" s="11"/>
      <c r="H405" s="6"/>
      <c r="I405" s="6"/>
      <c r="J405" s="6"/>
      <c r="K405" s="7"/>
      <c r="L405" s="21" t="str">
        <f>микс!$H$11</f>
        <v>продажа под заказ</v>
      </c>
      <c r="M405" s="22"/>
      <c r="N405" s="22"/>
      <c r="O405" s="22" t="s">
        <v>140</v>
      </c>
      <c r="P405" s="23" t="str">
        <f>микс!$H$49</f>
        <v>Товары для детей</v>
      </c>
      <c r="Q405" s="21" t="s">
        <v>59</v>
      </c>
      <c r="R405" s="25">
        <v>1</v>
      </c>
      <c r="S405" s="28"/>
      <c r="T405" s="31">
        <v>42311</v>
      </c>
      <c r="U405" s="33">
        <v>5170</v>
      </c>
      <c r="V405" s="36">
        <f t="shared" si="32"/>
        <v>5170</v>
      </c>
      <c r="W405" s="28"/>
      <c r="X405" s="31">
        <v>42318</v>
      </c>
      <c r="Y405" s="33">
        <v>6980</v>
      </c>
      <c r="Z405" s="189">
        <f t="shared" si="33"/>
        <v>6980</v>
      </c>
      <c r="AA405" s="190"/>
      <c r="AB405" s="31">
        <v>42323</v>
      </c>
      <c r="AC405" s="36">
        <v>5170</v>
      </c>
      <c r="AD405" s="8"/>
      <c r="AE405" s="6"/>
      <c r="AF405" s="52">
        <f t="shared" si="30"/>
        <v>218747870</v>
      </c>
      <c r="AG405" s="25">
        <f t="shared" si="31"/>
        <v>295379640</v>
      </c>
      <c r="AH405" s="52">
        <f t="shared" si="34"/>
        <v>218809910</v>
      </c>
      <c r="AI405" s="6"/>
      <c r="AJ405" s="6"/>
      <c r="AK405" s="6"/>
      <c r="AL405" s="6"/>
      <c r="AM405" s="6"/>
      <c r="AN405" s="6"/>
      <c r="AO405" s="6"/>
      <c r="AP405" s="6"/>
      <c r="AQ405" s="6"/>
      <c r="AR405" s="6"/>
    </row>
    <row r="406" spans="1:44">
      <c r="A406" s="6"/>
      <c r="B406" s="6"/>
      <c r="C406" s="6"/>
      <c r="D406" s="6"/>
      <c r="E406" s="6"/>
      <c r="F406" s="6"/>
      <c r="G406" s="11"/>
      <c r="H406" s="6"/>
      <c r="I406" s="6"/>
      <c r="J406" s="6"/>
      <c r="K406" s="7"/>
      <c r="L406" s="21" t="str">
        <f>микс!$H$11</f>
        <v>продажа под заказ</v>
      </c>
      <c r="M406" s="22"/>
      <c r="N406" s="22"/>
      <c r="O406" s="22" t="s">
        <v>140</v>
      </c>
      <c r="P406" s="23" t="str">
        <f>микс!$H$49</f>
        <v>Товары для детей</v>
      </c>
      <c r="Q406" s="21" t="s">
        <v>59</v>
      </c>
      <c r="R406" s="25">
        <v>1</v>
      </c>
      <c r="S406" s="28"/>
      <c r="T406" s="31">
        <v>42325</v>
      </c>
      <c r="U406" s="33">
        <v>5170</v>
      </c>
      <c r="V406" s="36">
        <f t="shared" si="32"/>
        <v>5170</v>
      </c>
      <c r="W406" s="28"/>
      <c r="X406" s="31">
        <v>42328</v>
      </c>
      <c r="Y406" s="33">
        <v>6980</v>
      </c>
      <c r="Z406" s="189">
        <f t="shared" si="33"/>
        <v>6980</v>
      </c>
      <c r="AA406" s="190"/>
      <c r="AB406" s="31">
        <v>42335</v>
      </c>
      <c r="AC406" s="36">
        <v>5170</v>
      </c>
      <c r="AD406" s="8"/>
      <c r="AE406" s="6"/>
      <c r="AF406" s="52">
        <f t="shared" si="30"/>
        <v>218820250</v>
      </c>
      <c r="AG406" s="25">
        <f t="shared" si="31"/>
        <v>295449440</v>
      </c>
      <c r="AH406" s="52">
        <f t="shared" si="34"/>
        <v>218871950</v>
      </c>
      <c r="AI406" s="6"/>
      <c r="AJ406" s="6"/>
      <c r="AK406" s="6"/>
      <c r="AL406" s="6"/>
      <c r="AM406" s="6"/>
      <c r="AN406" s="6"/>
      <c r="AO406" s="6"/>
      <c r="AP406" s="6"/>
      <c r="AQ406" s="6"/>
      <c r="AR406" s="6"/>
    </row>
    <row r="407" spans="1:44">
      <c r="A407" s="6"/>
      <c r="B407" s="6"/>
      <c r="C407" s="6"/>
      <c r="D407" s="6"/>
      <c r="E407" s="6"/>
      <c r="F407" s="6"/>
      <c r="G407" s="11"/>
      <c r="H407" s="6"/>
      <c r="I407" s="6"/>
      <c r="J407" s="6"/>
      <c r="K407" s="7"/>
      <c r="L407" s="21" t="str">
        <f>микс!$H$11</f>
        <v>продажа под заказ</v>
      </c>
      <c r="M407" s="22"/>
      <c r="N407" s="22"/>
      <c r="O407" s="22" t="s">
        <v>140</v>
      </c>
      <c r="P407" s="23" t="str">
        <f>микс!$H$49</f>
        <v>Товары для детей</v>
      </c>
      <c r="Q407" s="21" t="s">
        <v>59</v>
      </c>
      <c r="R407" s="25">
        <v>1</v>
      </c>
      <c r="S407" s="28"/>
      <c r="T407" s="31">
        <v>42327</v>
      </c>
      <c r="U407" s="33">
        <v>5170</v>
      </c>
      <c r="V407" s="36">
        <f t="shared" si="32"/>
        <v>5170</v>
      </c>
      <c r="W407" s="28"/>
      <c r="X407" s="31">
        <v>42330</v>
      </c>
      <c r="Y407" s="33">
        <v>6980</v>
      </c>
      <c r="Z407" s="189">
        <f t="shared" si="33"/>
        <v>6980</v>
      </c>
      <c r="AA407" s="190"/>
      <c r="AB407" s="31">
        <v>42347</v>
      </c>
      <c r="AC407" s="36">
        <v>5170</v>
      </c>
      <c r="AD407" s="8"/>
      <c r="AE407" s="6"/>
      <c r="AF407" s="52">
        <f t="shared" si="30"/>
        <v>218830590</v>
      </c>
      <c r="AG407" s="25">
        <f t="shared" si="31"/>
        <v>295463400</v>
      </c>
      <c r="AH407" s="52">
        <f t="shared" si="34"/>
        <v>218933990</v>
      </c>
      <c r="AI407" s="6"/>
      <c r="AJ407" s="6"/>
      <c r="AK407" s="6"/>
      <c r="AL407" s="6"/>
      <c r="AM407" s="6"/>
      <c r="AN407" s="6"/>
      <c r="AO407" s="6"/>
      <c r="AP407" s="6"/>
      <c r="AQ407" s="6"/>
      <c r="AR407" s="6"/>
    </row>
    <row r="408" spans="1:44">
      <c r="A408" s="6"/>
      <c r="B408" s="6"/>
      <c r="C408" s="6"/>
      <c r="D408" s="6"/>
      <c r="E408" s="6"/>
      <c r="F408" s="6"/>
      <c r="G408" s="11"/>
      <c r="H408" s="6"/>
      <c r="I408" s="6"/>
      <c r="J408" s="6"/>
      <c r="K408" s="7"/>
      <c r="L408" s="21" t="str">
        <f>микс!$H$11</f>
        <v>продажа под заказ</v>
      </c>
      <c r="M408" s="22"/>
      <c r="N408" s="22"/>
      <c r="O408" s="22" t="s">
        <v>146</v>
      </c>
      <c r="P408" s="23" t="str">
        <f>микс!$H$49</f>
        <v>Товары для детей</v>
      </c>
      <c r="Q408" s="21" t="s">
        <v>133</v>
      </c>
      <c r="R408" s="25">
        <v>1</v>
      </c>
      <c r="S408" s="28"/>
      <c r="T408" s="31">
        <v>42298</v>
      </c>
      <c r="U408" s="33">
        <v>934</v>
      </c>
      <c r="V408" s="36">
        <f t="shared" si="32"/>
        <v>934</v>
      </c>
      <c r="W408" s="28"/>
      <c r="X408" s="31">
        <v>42301</v>
      </c>
      <c r="Y408" s="33">
        <v>1400</v>
      </c>
      <c r="Z408" s="189">
        <f t="shared" si="33"/>
        <v>1400</v>
      </c>
      <c r="AA408" s="190"/>
      <c r="AB408" s="31">
        <v>42328</v>
      </c>
      <c r="AC408" s="36">
        <v>934</v>
      </c>
      <c r="AD408" s="8"/>
      <c r="AE408" s="6"/>
      <c r="AF408" s="52">
        <f t="shared" si="30"/>
        <v>39506332</v>
      </c>
      <c r="AG408" s="25">
        <f t="shared" si="31"/>
        <v>59221400</v>
      </c>
      <c r="AH408" s="52">
        <f t="shared" si="34"/>
        <v>39534352</v>
      </c>
      <c r="AI408" s="6"/>
      <c r="AJ408" s="6"/>
      <c r="AK408" s="6"/>
      <c r="AL408" s="6"/>
      <c r="AM408" s="6"/>
      <c r="AN408" s="6"/>
      <c r="AO408" s="6"/>
      <c r="AP408" s="6"/>
      <c r="AQ408" s="6"/>
      <c r="AR408" s="6"/>
    </row>
    <row r="409" spans="1:44">
      <c r="A409" s="6"/>
      <c r="B409" s="6"/>
      <c r="C409" s="6"/>
      <c r="D409" s="6"/>
      <c r="E409" s="6"/>
      <c r="F409" s="6"/>
      <c r="G409" s="11"/>
      <c r="H409" s="6"/>
      <c r="I409" s="6"/>
      <c r="J409" s="6"/>
      <c r="K409" s="7"/>
      <c r="L409" s="21" t="str">
        <f>микс!$H$10</f>
        <v>продажа со склада</v>
      </c>
      <c r="M409" s="22"/>
      <c r="N409" s="22"/>
      <c r="O409" s="22" t="s">
        <v>146</v>
      </c>
      <c r="P409" s="23" t="str">
        <f>микс!$H$49</f>
        <v>Товары для детей</v>
      </c>
      <c r="Q409" s="21" t="s">
        <v>133</v>
      </c>
      <c r="R409" s="25">
        <v>1</v>
      </c>
      <c r="S409" s="28"/>
      <c r="T409" s="31">
        <v>42243</v>
      </c>
      <c r="U409" s="33">
        <v>929.5</v>
      </c>
      <c r="V409" s="36">
        <f t="shared" si="32"/>
        <v>929.5</v>
      </c>
      <c r="W409" s="28"/>
      <c r="X409" s="31">
        <v>42335</v>
      </c>
      <c r="Y409" s="33">
        <v>999</v>
      </c>
      <c r="Z409" s="189">
        <f t="shared" si="33"/>
        <v>999</v>
      </c>
      <c r="AA409" s="190"/>
      <c r="AB409" s="31">
        <v>42273</v>
      </c>
      <c r="AC409" s="36">
        <v>929.5</v>
      </c>
      <c r="AD409" s="8"/>
      <c r="AE409" s="6"/>
      <c r="AF409" s="52">
        <f t="shared" si="30"/>
        <v>39264868.5</v>
      </c>
      <c r="AG409" s="25">
        <f t="shared" si="31"/>
        <v>42292665</v>
      </c>
      <c r="AH409" s="52">
        <f t="shared" si="34"/>
        <v>39292753.5</v>
      </c>
      <c r="AI409" s="6"/>
      <c r="AJ409" s="6"/>
      <c r="AK409" s="6"/>
      <c r="AL409" s="6"/>
      <c r="AM409" s="6"/>
      <c r="AN409" s="6"/>
      <c r="AO409" s="6"/>
      <c r="AP409" s="6"/>
      <c r="AQ409" s="6"/>
      <c r="AR409" s="6"/>
    </row>
    <row r="410" spans="1:44">
      <c r="A410" s="6"/>
      <c r="B410" s="6"/>
      <c r="C410" s="6"/>
      <c r="D410" s="6"/>
      <c r="E410" s="6"/>
      <c r="F410" s="6"/>
      <c r="G410" s="11"/>
      <c r="H410" s="6"/>
      <c r="I410" s="6"/>
      <c r="J410" s="6"/>
      <c r="K410" s="7"/>
      <c r="L410" s="21" t="str">
        <f>микс!$H$11</f>
        <v>продажа под заказ</v>
      </c>
      <c r="M410" s="22"/>
      <c r="N410" s="22"/>
      <c r="O410" s="22" t="s">
        <v>150</v>
      </c>
      <c r="P410" s="23" t="str">
        <f>микс!$H$49</f>
        <v>Товары для детей</v>
      </c>
      <c r="Q410" s="21" t="s">
        <v>60</v>
      </c>
      <c r="R410" s="25">
        <v>1</v>
      </c>
      <c r="S410" s="28"/>
      <c r="T410" s="31">
        <v>42335</v>
      </c>
      <c r="U410" s="33">
        <v>3020</v>
      </c>
      <c r="V410" s="36">
        <f t="shared" si="32"/>
        <v>3020</v>
      </c>
      <c r="W410" s="28"/>
      <c r="X410" s="31">
        <v>42347</v>
      </c>
      <c r="Y410" s="33">
        <v>3212</v>
      </c>
      <c r="Z410" s="189">
        <f t="shared" si="33"/>
        <v>3212</v>
      </c>
      <c r="AA410" s="190"/>
      <c r="AB410" s="31"/>
      <c r="AC410" s="36"/>
      <c r="AD410" s="8"/>
      <c r="AE410" s="6"/>
      <c r="AF410" s="52">
        <f t="shared" si="30"/>
        <v>127851700</v>
      </c>
      <c r="AG410" s="25">
        <f t="shared" si="31"/>
        <v>136018564</v>
      </c>
      <c r="AH410" s="52">
        <f t="shared" si="34"/>
        <v>0</v>
      </c>
      <c r="AI410" s="6"/>
      <c r="AJ410" s="6"/>
      <c r="AK410" s="6"/>
      <c r="AL410" s="6"/>
      <c r="AM410" s="6"/>
      <c r="AN410" s="6"/>
      <c r="AO410" s="6"/>
      <c r="AP410" s="6"/>
      <c r="AQ410" s="6"/>
      <c r="AR410" s="6"/>
    </row>
    <row r="411" spans="1:44">
      <c r="A411" s="6"/>
      <c r="B411" s="6"/>
      <c r="C411" s="6"/>
      <c r="D411" s="6"/>
      <c r="E411" s="6"/>
      <c r="F411" s="6"/>
      <c r="G411" s="11"/>
      <c r="H411" s="6"/>
      <c r="I411" s="6"/>
      <c r="J411" s="6"/>
      <c r="K411" s="7"/>
      <c r="L411" s="21" t="str">
        <f>микс!$H$10</f>
        <v>продажа со склада</v>
      </c>
      <c r="M411" s="22"/>
      <c r="N411" s="22"/>
      <c r="O411" s="22" t="s">
        <v>150</v>
      </c>
      <c r="P411" s="23" t="str">
        <f>микс!$H$49</f>
        <v>Товары для детей</v>
      </c>
      <c r="Q411" s="21" t="s">
        <v>133</v>
      </c>
      <c r="R411" s="25">
        <v>1</v>
      </c>
      <c r="S411" s="28"/>
      <c r="T411" s="31">
        <v>42239</v>
      </c>
      <c r="U411" s="33">
        <v>750.42</v>
      </c>
      <c r="V411" s="36">
        <f t="shared" si="32"/>
        <v>750.42</v>
      </c>
      <c r="W411" s="28"/>
      <c r="X411" s="31">
        <v>42332</v>
      </c>
      <c r="Y411" s="33">
        <v>843</v>
      </c>
      <c r="Z411" s="189">
        <f t="shared" si="33"/>
        <v>843</v>
      </c>
      <c r="AA411" s="190"/>
      <c r="AB411" s="31">
        <v>42299</v>
      </c>
      <c r="AC411" s="36">
        <v>750.42</v>
      </c>
      <c r="AD411" s="8"/>
      <c r="AE411" s="6"/>
      <c r="AF411" s="52">
        <f t="shared" si="30"/>
        <v>31696990.379999999</v>
      </c>
      <c r="AG411" s="25">
        <f t="shared" si="31"/>
        <v>35685876</v>
      </c>
      <c r="AH411" s="52">
        <f t="shared" si="34"/>
        <v>31742015.579999998</v>
      </c>
      <c r="AI411" s="6"/>
      <c r="AJ411" s="6"/>
      <c r="AK411" s="6"/>
      <c r="AL411" s="6"/>
      <c r="AM411" s="6"/>
      <c r="AN411" s="6"/>
      <c r="AO411" s="6"/>
      <c r="AP411" s="6"/>
      <c r="AQ411" s="6"/>
      <c r="AR411" s="6"/>
    </row>
    <row r="412" spans="1:44">
      <c r="A412" s="6"/>
      <c r="B412" s="6"/>
      <c r="C412" s="6"/>
      <c r="D412" s="6"/>
      <c r="E412" s="6"/>
      <c r="F412" s="6"/>
      <c r="G412" s="11"/>
      <c r="H412" s="6"/>
      <c r="I412" s="6"/>
      <c r="J412" s="6"/>
      <c r="K412" s="7"/>
      <c r="L412" s="21" t="str">
        <f>микс!$H$11</f>
        <v>продажа под заказ</v>
      </c>
      <c r="M412" s="22"/>
      <c r="N412" s="22"/>
      <c r="O412" s="22" t="s">
        <v>140</v>
      </c>
      <c r="P412" s="23" t="str">
        <f>микс!$H$49</f>
        <v>Товары для детей</v>
      </c>
      <c r="Q412" s="21" t="s">
        <v>133</v>
      </c>
      <c r="R412" s="25">
        <v>1</v>
      </c>
      <c r="S412" s="28"/>
      <c r="T412" s="31">
        <v>42332</v>
      </c>
      <c r="U412" s="33">
        <v>1272.3699999999999</v>
      </c>
      <c r="V412" s="36">
        <f t="shared" si="32"/>
        <v>1272.3699999999999</v>
      </c>
      <c r="W412" s="28"/>
      <c r="X412" s="31">
        <v>42336</v>
      </c>
      <c r="Y412" s="33">
        <v>1999</v>
      </c>
      <c r="Z412" s="189">
        <f t="shared" si="33"/>
        <v>1999</v>
      </c>
      <c r="AA412" s="190"/>
      <c r="AB412" s="31"/>
      <c r="AC412" s="36"/>
      <c r="AD412" s="8"/>
      <c r="AE412" s="6"/>
      <c r="AF412" s="52">
        <f t="shared" si="30"/>
        <v>53861966.839999996</v>
      </c>
      <c r="AG412" s="25">
        <f t="shared" si="31"/>
        <v>84629664</v>
      </c>
      <c r="AH412" s="52">
        <f t="shared" si="34"/>
        <v>0</v>
      </c>
      <c r="AI412" s="6"/>
      <c r="AJ412" s="6"/>
      <c r="AK412" s="6"/>
      <c r="AL412" s="6"/>
      <c r="AM412" s="6"/>
      <c r="AN412" s="6"/>
      <c r="AO412" s="6"/>
      <c r="AP412" s="6"/>
      <c r="AQ412" s="6"/>
      <c r="AR412" s="6"/>
    </row>
    <row r="413" spans="1:44">
      <c r="A413" s="6"/>
      <c r="B413" s="6"/>
      <c r="C413" s="6"/>
      <c r="D413" s="6"/>
      <c r="E413" s="6"/>
      <c r="F413" s="6"/>
      <c r="G413" s="11"/>
      <c r="H413" s="6"/>
      <c r="I413" s="6"/>
      <c r="J413" s="6"/>
      <c r="K413" s="7"/>
      <c r="L413" s="21" t="str">
        <f>микс!$H$11</f>
        <v>продажа под заказ</v>
      </c>
      <c r="M413" s="22"/>
      <c r="N413" s="22"/>
      <c r="O413" s="22" t="s">
        <v>140</v>
      </c>
      <c r="P413" s="23" t="str">
        <f>микс!$H$49</f>
        <v>Товары для детей</v>
      </c>
      <c r="Q413" s="21" t="s">
        <v>133</v>
      </c>
      <c r="R413" s="25">
        <v>1</v>
      </c>
      <c r="S413" s="28"/>
      <c r="T413" s="31">
        <v>42315</v>
      </c>
      <c r="U413" s="33">
        <v>1272.3699999999999</v>
      </c>
      <c r="V413" s="36">
        <f t="shared" si="32"/>
        <v>1272.3699999999999</v>
      </c>
      <c r="W413" s="28"/>
      <c r="X413" s="31">
        <v>42319</v>
      </c>
      <c r="Y413" s="33">
        <v>1639</v>
      </c>
      <c r="Z413" s="189">
        <f t="shared" si="33"/>
        <v>1639</v>
      </c>
      <c r="AA413" s="190"/>
      <c r="AB413" s="31"/>
      <c r="AC413" s="36"/>
      <c r="AD413" s="8"/>
      <c r="AE413" s="6"/>
      <c r="AF413" s="52">
        <f t="shared" si="30"/>
        <v>53840336.549999997</v>
      </c>
      <c r="AG413" s="25">
        <f t="shared" si="31"/>
        <v>69360841</v>
      </c>
      <c r="AH413" s="52">
        <f t="shared" si="34"/>
        <v>0</v>
      </c>
      <c r="AI413" s="6"/>
      <c r="AJ413" s="6"/>
      <c r="AK413" s="6"/>
      <c r="AL413" s="6"/>
      <c r="AM413" s="6"/>
      <c r="AN413" s="6"/>
      <c r="AO413" s="6"/>
      <c r="AP413" s="6"/>
      <c r="AQ413" s="6"/>
      <c r="AR413" s="6"/>
    </row>
    <row r="414" spans="1:44">
      <c r="A414" s="6"/>
      <c r="B414" s="6"/>
      <c r="C414" s="6"/>
      <c r="D414" s="6"/>
      <c r="E414" s="6"/>
      <c r="F414" s="6"/>
      <c r="G414" s="11"/>
      <c r="H414" s="6"/>
      <c r="I414" s="6"/>
      <c r="J414" s="6"/>
      <c r="K414" s="7"/>
      <c r="L414" s="21" t="str">
        <f>микс!$H$10</f>
        <v>продажа со склада</v>
      </c>
      <c r="M414" s="22"/>
      <c r="N414" s="22"/>
      <c r="O414" s="22" t="s">
        <v>149</v>
      </c>
      <c r="P414" s="23" t="str">
        <f>микс!$H$46</f>
        <v>Электроника и бытовая техника</v>
      </c>
      <c r="Q414" s="21" t="s">
        <v>64</v>
      </c>
      <c r="R414" s="25">
        <v>1</v>
      </c>
      <c r="S414" s="28"/>
      <c r="T414" s="31">
        <v>42222</v>
      </c>
      <c r="U414" s="33">
        <v>111.55</v>
      </c>
      <c r="V414" s="36">
        <f t="shared" si="32"/>
        <v>111.55</v>
      </c>
      <c r="W414" s="28"/>
      <c r="X414" s="31">
        <v>42321</v>
      </c>
      <c r="Y414" s="33">
        <v>112</v>
      </c>
      <c r="Z414" s="189">
        <f t="shared" si="33"/>
        <v>112</v>
      </c>
      <c r="AA414" s="190"/>
      <c r="AB414" s="31">
        <v>42252</v>
      </c>
      <c r="AC414" s="36">
        <v>111.55</v>
      </c>
      <c r="AD414" s="8"/>
      <c r="AE414" s="6"/>
      <c r="AF414" s="52">
        <f t="shared" si="30"/>
        <v>4709864.0999999996</v>
      </c>
      <c r="AG414" s="25">
        <f t="shared" si="31"/>
        <v>4739952</v>
      </c>
      <c r="AH414" s="52">
        <f t="shared" si="34"/>
        <v>4713210.5999999996</v>
      </c>
      <c r="AI414" s="6"/>
      <c r="AJ414" s="6"/>
      <c r="AK414" s="6"/>
      <c r="AL414" s="6"/>
      <c r="AM414" s="6"/>
      <c r="AN414" s="6"/>
      <c r="AO414" s="6"/>
      <c r="AP414" s="6"/>
      <c r="AQ414" s="6"/>
      <c r="AR414" s="6"/>
    </row>
    <row r="415" spans="1:44">
      <c r="A415" s="6"/>
      <c r="B415" s="6"/>
      <c r="C415" s="6"/>
      <c r="D415" s="6"/>
      <c r="E415" s="6"/>
      <c r="F415" s="6"/>
      <c r="G415" s="11"/>
      <c r="H415" s="6"/>
      <c r="I415" s="6"/>
      <c r="J415" s="6"/>
      <c r="K415" s="7"/>
      <c r="L415" s="21" t="str">
        <f>микс!$H$10</f>
        <v>продажа со склада</v>
      </c>
      <c r="M415" s="22"/>
      <c r="N415" s="22"/>
      <c r="O415" s="22" t="s">
        <v>149</v>
      </c>
      <c r="P415" s="23" t="str">
        <f>микс!$H$46</f>
        <v>Электроника и бытовая техника</v>
      </c>
      <c r="Q415" s="21" t="s">
        <v>64</v>
      </c>
      <c r="R415" s="25">
        <v>1</v>
      </c>
      <c r="S415" s="28"/>
      <c r="T415" s="31">
        <v>42241</v>
      </c>
      <c r="U415" s="33">
        <v>111.55</v>
      </c>
      <c r="V415" s="36">
        <f t="shared" si="32"/>
        <v>111.55</v>
      </c>
      <c r="W415" s="28"/>
      <c r="X415" s="31">
        <v>42336</v>
      </c>
      <c r="Y415" s="33">
        <v>112</v>
      </c>
      <c r="Z415" s="189">
        <f t="shared" si="33"/>
        <v>112</v>
      </c>
      <c r="AA415" s="190"/>
      <c r="AB415" s="31">
        <v>42261</v>
      </c>
      <c r="AC415" s="36">
        <v>111.55</v>
      </c>
      <c r="AD415" s="8"/>
      <c r="AE415" s="6"/>
      <c r="AF415" s="52">
        <f t="shared" si="30"/>
        <v>4711983.55</v>
      </c>
      <c r="AG415" s="25">
        <f t="shared" si="31"/>
        <v>4741632</v>
      </c>
      <c r="AH415" s="52">
        <f t="shared" si="34"/>
        <v>4714214.55</v>
      </c>
      <c r="AI415" s="6"/>
      <c r="AJ415" s="6"/>
      <c r="AK415" s="6"/>
      <c r="AL415" s="6"/>
      <c r="AM415" s="6"/>
      <c r="AN415" s="6"/>
      <c r="AO415" s="6"/>
      <c r="AP415" s="6"/>
      <c r="AQ415" s="6"/>
      <c r="AR415" s="6"/>
    </row>
    <row r="416" spans="1:44">
      <c r="A416" s="6"/>
      <c r="B416" s="6"/>
      <c r="C416" s="6"/>
      <c r="D416" s="6"/>
      <c r="E416" s="6"/>
      <c r="F416" s="6"/>
      <c r="G416" s="11"/>
      <c r="H416" s="6"/>
      <c r="I416" s="6"/>
      <c r="J416" s="6"/>
      <c r="K416" s="7"/>
      <c r="L416" s="21" t="str">
        <f>микс!$H$10</f>
        <v>продажа со склада</v>
      </c>
      <c r="M416" s="22"/>
      <c r="N416" s="22"/>
      <c r="O416" s="22" t="s">
        <v>149</v>
      </c>
      <c r="P416" s="23" t="str">
        <f>микс!$H$46</f>
        <v>Электроника и бытовая техника</v>
      </c>
      <c r="Q416" s="21" t="s">
        <v>64</v>
      </c>
      <c r="R416" s="25">
        <v>1</v>
      </c>
      <c r="S416" s="28"/>
      <c r="T416" s="31">
        <v>42236</v>
      </c>
      <c r="U416" s="33">
        <v>111.55</v>
      </c>
      <c r="V416" s="36">
        <f t="shared" si="32"/>
        <v>111.55</v>
      </c>
      <c r="W416" s="28"/>
      <c r="X416" s="31">
        <v>42328</v>
      </c>
      <c r="Y416" s="33">
        <v>112</v>
      </c>
      <c r="Z416" s="189">
        <f t="shared" si="33"/>
        <v>112</v>
      </c>
      <c r="AA416" s="190"/>
      <c r="AB416" s="31">
        <v>42246</v>
      </c>
      <c r="AC416" s="36">
        <v>111.55</v>
      </c>
      <c r="AD416" s="8"/>
      <c r="AE416" s="6"/>
      <c r="AF416" s="52">
        <f t="shared" si="30"/>
        <v>4711425.8</v>
      </c>
      <c r="AG416" s="25">
        <f t="shared" si="31"/>
        <v>4740736</v>
      </c>
      <c r="AH416" s="52">
        <f t="shared" si="34"/>
        <v>4712541.3</v>
      </c>
      <c r="AI416" s="6"/>
      <c r="AJ416" s="6"/>
      <c r="AK416" s="6"/>
      <c r="AL416" s="6"/>
      <c r="AM416" s="6"/>
      <c r="AN416" s="6"/>
      <c r="AO416" s="6"/>
      <c r="AP416" s="6"/>
      <c r="AQ416" s="6"/>
      <c r="AR416" s="6"/>
    </row>
    <row r="417" spans="1:44">
      <c r="A417" s="6"/>
      <c r="B417" s="6"/>
      <c r="C417" s="6"/>
      <c r="D417" s="6"/>
      <c r="E417" s="6"/>
      <c r="F417" s="6"/>
      <c r="G417" s="11"/>
      <c r="H417" s="6"/>
      <c r="I417" s="6"/>
      <c r="J417" s="6"/>
      <c r="K417" s="7"/>
      <c r="L417" s="21" t="str">
        <f>микс!$H$10</f>
        <v>продажа со склада</v>
      </c>
      <c r="M417" s="22"/>
      <c r="N417" s="22"/>
      <c r="O417" s="22" t="s">
        <v>149</v>
      </c>
      <c r="P417" s="23" t="str">
        <f>микс!$H$46</f>
        <v>Электроника и бытовая техника</v>
      </c>
      <c r="Q417" s="21" t="s">
        <v>64</v>
      </c>
      <c r="R417" s="25">
        <v>1</v>
      </c>
      <c r="S417" s="28"/>
      <c r="T417" s="31">
        <v>42235</v>
      </c>
      <c r="U417" s="33">
        <v>111.55</v>
      </c>
      <c r="V417" s="36">
        <f t="shared" si="32"/>
        <v>111.55</v>
      </c>
      <c r="W417" s="28"/>
      <c r="X417" s="31">
        <v>42329</v>
      </c>
      <c r="Y417" s="33">
        <v>112</v>
      </c>
      <c r="Z417" s="189">
        <f t="shared" si="33"/>
        <v>112</v>
      </c>
      <c r="AA417" s="190"/>
      <c r="AB417" s="31">
        <v>42245</v>
      </c>
      <c r="AC417" s="36">
        <v>111.55</v>
      </c>
      <c r="AD417" s="8"/>
      <c r="AE417" s="6"/>
      <c r="AF417" s="52">
        <f t="shared" si="30"/>
        <v>4711314.25</v>
      </c>
      <c r="AG417" s="25">
        <f t="shared" si="31"/>
        <v>4740848</v>
      </c>
      <c r="AH417" s="52">
        <f t="shared" si="34"/>
        <v>4712429.75</v>
      </c>
      <c r="AI417" s="6"/>
      <c r="AJ417" s="6"/>
      <c r="AK417" s="6"/>
      <c r="AL417" s="6"/>
      <c r="AM417" s="6"/>
      <c r="AN417" s="6"/>
      <c r="AO417" s="6"/>
      <c r="AP417" s="6"/>
      <c r="AQ417" s="6"/>
      <c r="AR417" s="6"/>
    </row>
    <row r="418" spans="1:44">
      <c r="A418" s="6"/>
      <c r="B418" s="6"/>
      <c r="C418" s="6"/>
      <c r="D418" s="6"/>
      <c r="E418" s="6"/>
      <c r="F418" s="6"/>
      <c r="G418" s="11"/>
      <c r="H418" s="6"/>
      <c r="I418" s="6"/>
      <c r="J418" s="6"/>
      <c r="K418" s="7"/>
      <c r="L418" s="21" t="str">
        <f>микс!$H$10</f>
        <v>продажа со склада</v>
      </c>
      <c r="M418" s="22"/>
      <c r="N418" s="22"/>
      <c r="O418" s="22" t="s">
        <v>149</v>
      </c>
      <c r="P418" s="23" t="str">
        <f>микс!$H$46</f>
        <v>Электроника и бытовая техника</v>
      </c>
      <c r="Q418" s="21" t="s">
        <v>64</v>
      </c>
      <c r="R418" s="25">
        <v>1</v>
      </c>
      <c r="S418" s="28"/>
      <c r="T418" s="31">
        <v>42234</v>
      </c>
      <c r="U418" s="33">
        <v>111.55</v>
      </c>
      <c r="V418" s="36">
        <f t="shared" si="32"/>
        <v>111.55</v>
      </c>
      <c r="W418" s="28"/>
      <c r="X418" s="31">
        <v>42334</v>
      </c>
      <c r="Y418" s="33">
        <v>112</v>
      </c>
      <c r="Z418" s="189">
        <f t="shared" si="33"/>
        <v>112</v>
      </c>
      <c r="AA418" s="190"/>
      <c r="AB418" s="31">
        <v>42264</v>
      </c>
      <c r="AC418" s="36">
        <v>111.55</v>
      </c>
      <c r="AD418" s="8"/>
      <c r="AE418" s="6"/>
      <c r="AF418" s="52">
        <f t="shared" si="30"/>
        <v>4711202.7</v>
      </c>
      <c r="AG418" s="25">
        <f t="shared" si="31"/>
        <v>4741408</v>
      </c>
      <c r="AH418" s="52">
        <f t="shared" si="34"/>
        <v>4714549.2</v>
      </c>
      <c r="AI418" s="6"/>
      <c r="AJ418" s="6"/>
      <c r="AK418" s="6"/>
      <c r="AL418" s="6"/>
      <c r="AM418" s="6"/>
      <c r="AN418" s="6"/>
      <c r="AO418" s="6"/>
      <c r="AP418" s="6"/>
      <c r="AQ418" s="6"/>
      <c r="AR418" s="6"/>
    </row>
    <row r="419" spans="1:44">
      <c r="A419" s="6"/>
      <c r="B419" s="6"/>
      <c r="C419" s="6"/>
      <c r="D419" s="6"/>
      <c r="E419" s="6"/>
      <c r="F419" s="6"/>
      <c r="G419" s="11"/>
      <c r="H419" s="6"/>
      <c r="I419" s="6"/>
      <c r="J419" s="6"/>
      <c r="K419" s="7"/>
      <c r="L419" s="21" t="str">
        <f>микс!$H$10</f>
        <v>продажа со склада</v>
      </c>
      <c r="M419" s="22"/>
      <c r="N419" s="22"/>
      <c r="O419" s="22" t="s">
        <v>149</v>
      </c>
      <c r="P419" s="23" t="str">
        <f>микс!$H$46</f>
        <v>Электроника и бытовая техника</v>
      </c>
      <c r="Q419" s="21" t="s">
        <v>64</v>
      </c>
      <c r="R419" s="25">
        <v>2</v>
      </c>
      <c r="S419" s="28"/>
      <c r="T419" s="31">
        <v>42235</v>
      </c>
      <c r="U419" s="33">
        <v>111.55</v>
      </c>
      <c r="V419" s="36">
        <f t="shared" si="32"/>
        <v>223.1</v>
      </c>
      <c r="W419" s="28"/>
      <c r="X419" s="31">
        <v>42328</v>
      </c>
      <c r="Y419" s="33">
        <v>112</v>
      </c>
      <c r="Z419" s="189">
        <f t="shared" si="33"/>
        <v>224</v>
      </c>
      <c r="AA419" s="190"/>
      <c r="AB419" s="31">
        <v>42256</v>
      </c>
      <c r="AC419" s="36">
        <v>223.1</v>
      </c>
      <c r="AD419" s="8"/>
      <c r="AE419" s="6"/>
      <c r="AF419" s="52">
        <f t="shared" si="30"/>
        <v>9422628.5</v>
      </c>
      <c r="AG419" s="25">
        <f t="shared" si="31"/>
        <v>9481472</v>
      </c>
      <c r="AH419" s="52">
        <f t="shared" si="34"/>
        <v>9427313.5999999996</v>
      </c>
      <c r="AI419" s="6"/>
      <c r="AJ419" s="6"/>
      <c r="AK419" s="6"/>
      <c r="AL419" s="6"/>
      <c r="AM419" s="6"/>
      <c r="AN419" s="6"/>
      <c r="AO419" s="6"/>
      <c r="AP419" s="6"/>
      <c r="AQ419" s="6"/>
      <c r="AR419" s="6"/>
    </row>
    <row r="420" spans="1:44">
      <c r="A420" s="6"/>
      <c r="B420" s="6"/>
      <c r="C420" s="6"/>
      <c r="D420" s="6"/>
      <c r="E420" s="6"/>
      <c r="F420" s="6"/>
      <c r="G420" s="11"/>
      <c r="H420" s="6"/>
      <c r="I420" s="6"/>
      <c r="J420" s="6"/>
      <c r="K420" s="7"/>
      <c r="L420" s="21" t="str">
        <f>микс!$H$10</f>
        <v>продажа со склада</v>
      </c>
      <c r="M420" s="22"/>
      <c r="N420" s="22"/>
      <c r="O420" s="22" t="s">
        <v>149</v>
      </c>
      <c r="P420" s="23" t="str">
        <f>микс!$H$46</f>
        <v>Электроника и бытовая техника</v>
      </c>
      <c r="Q420" s="21" t="s">
        <v>64</v>
      </c>
      <c r="R420" s="25">
        <v>1</v>
      </c>
      <c r="S420" s="28"/>
      <c r="T420" s="31">
        <v>42232</v>
      </c>
      <c r="U420" s="33">
        <v>111.55</v>
      </c>
      <c r="V420" s="36">
        <f t="shared" si="32"/>
        <v>111.55</v>
      </c>
      <c r="W420" s="28"/>
      <c r="X420" s="31">
        <v>42332</v>
      </c>
      <c r="Y420" s="33">
        <v>112</v>
      </c>
      <c r="Z420" s="189">
        <f t="shared" si="33"/>
        <v>112</v>
      </c>
      <c r="AA420" s="190"/>
      <c r="AB420" s="31"/>
      <c r="AC420" s="36"/>
      <c r="AD420" s="8"/>
      <c r="AE420" s="6"/>
      <c r="AF420" s="52">
        <f t="shared" si="30"/>
        <v>4710979.5999999996</v>
      </c>
      <c r="AG420" s="25">
        <f t="shared" si="31"/>
        <v>4741184</v>
      </c>
      <c r="AH420" s="52">
        <f t="shared" si="34"/>
        <v>0</v>
      </c>
      <c r="AI420" s="6"/>
      <c r="AJ420" s="6"/>
      <c r="AK420" s="6"/>
      <c r="AL420" s="6"/>
      <c r="AM420" s="6"/>
      <c r="AN420" s="6"/>
      <c r="AO420" s="6"/>
      <c r="AP420" s="6"/>
      <c r="AQ420" s="6"/>
      <c r="AR420" s="6"/>
    </row>
    <row r="421" spans="1:44">
      <c r="A421" s="6"/>
      <c r="B421" s="6"/>
      <c r="C421" s="6"/>
      <c r="D421" s="6"/>
      <c r="E421" s="6"/>
      <c r="F421" s="6"/>
      <c r="G421" s="11"/>
      <c r="H421" s="6"/>
      <c r="I421" s="6"/>
      <c r="J421" s="6"/>
      <c r="K421" s="7"/>
      <c r="L421" s="21" t="str">
        <f>микс!$H$10</f>
        <v>продажа со склада</v>
      </c>
      <c r="M421" s="22"/>
      <c r="N421" s="22"/>
      <c r="O421" s="22" t="s">
        <v>144</v>
      </c>
      <c r="P421" s="23" t="str">
        <f>микс!$H$48</f>
        <v>Спортивный инвентарь</v>
      </c>
      <c r="Q421" s="21" t="s">
        <v>89</v>
      </c>
      <c r="R421" s="25">
        <v>1</v>
      </c>
      <c r="S421" s="28"/>
      <c r="T421" s="31">
        <v>42237</v>
      </c>
      <c r="U421" s="33">
        <v>594</v>
      </c>
      <c r="V421" s="36">
        <f t="shared" si="32"/>
        <v>594</v>
      </c>
      <c r="W421" s="28"/>
      <c r="X421" s="31">
        <v>42328</v>
      </c>
      <c r="Y421" s="33">
        <v>810</v>
      </c>
      <c r="Z421" s="189">
        <f t="shared" si="33"/>
        <v>810</v>
      </c>
      <c r="AA421" s="190"/>
      <c r="AB421" s="31">
        <v>42267</v>
      </c>
      <c r="AC421" s="36">
        <v>594</v>
      </c>
      <c r="AD421" s="8"/>
      <c r="AE421" s="6"/>
      <c r="AF421" s="52">
        <f t="shared" si="30"/>
        <v>25088778</v>
      </c>
      <c r="AG421" s="25">
        <f t="shared" si="31"/>
        <v>34285680</v>
      </c>
      <c r="AH421" s="52">
        <f t="shared" si="34"/>
        <v>25106598</v>
      </c>
      <c r="AI421" s="6"/>
      <c r="AJ421" s="6"/>
      <c r="AK421" s="6"/>
      <c r="AL421" s="6"/>
      <c r="AM421" s="6"/>
      <c r="AN421" s="6"/>
      <c r="AO421" s="6"/>
      <c r="AP421" s="6"/>
      <c r="AQ421" s="6"/>
      <c r="AR421" s="6"/>
    </row>
    <row r="422" spans="1:44">
      <c r="A422" s="6"/>
      <c r="B422" s="6"/>
      <c r="C422" s="6"/>
      <c r="D422" s="6"/>
      <c r="E422" s="6"/>
      <c r="F422" s="6"/>
      <c r="G422" s="11"/>
      <c r="H422" s="6"/>
      <c r="I422" s="6"/>
      <c r="J422" s="6"/>
      <c r="K422" s="7"/>
      <c r="L422" s="21" t="str">
        <f>микс!$H$11</f>
        <v>продажа под заказ</v>
      </c>
      <c r="M422" s="22"/>
      <c r="N422" s="22"/>
      <c r="O422" s="22" t="s">
        <v>144</v>
      </c>
      <c r="P422" s="23" t="str">
        <f>микс!$H$48</f>
        <v>Спортивный инвентарь</v>
      </c>
      <c r="Q422" s="21" t="s">
        <v>89</v>
      </c>
      <c r="R422" s="25">
        <v>2</v>
      </c>
      <c r="S422" s="28"/>
      <c r="T422" s="31">
        <v>42331</v>
      </c>
      <c r="U422" s="33">
        <v>594</v>
      </c>
      <c r="V422" s="36">
        <f t="shared" si="32"/>
        <v>1188</v>
      </c>
      <c r="W422" s="28"/>
      <c r="X422" s="31">
        <v>42339</v>
      </c>
      <c r="Y422" s="33">
        <v>700</v>
      </c>
      <c r="Z422" s="189">
        <f t="shared" si="33"/>
        <v>1400</v>
      </c>
      <c r="AA422" s="190"/>
      <c r="AB422" s="31">
        <v>42346</v>
      </c>
      <c r="AC422" s="36">
        <v>1188</v>
      </c>
      <c r="AD422" s="8"/>
      <c r="AE422" s="6"/>
      <c r="AF422" s="52">
        <f t="shared" si="30"/>
        <v>50289228</v>
      </c>
      <c r="AG422" s="25">
        <f t="shared" si="31"/>
        <v>59274600</v>
      </c>
      <c r="AH422" s="52">
        <f t="shared" si="34"/>
        <v>50307048</v>
      </c>
      <c r="AI422" s="6"/>
      <c r="AJ422" s="6"/>
      <c r="AK422" s="6"/>
      <c r="AL422" s="6"/>
      <c r="AM422" s="6"/>
      <c r="AN422" s="6"/>
      <c r="AO422" s="6"/>
      <c r="AP422" s="6"/>
      <c r="AQ422" s="6"/>
      <c r="AR422" s="6"/>
    </row>
    <row r="423" spans="1:44">
      <c r="A423" s="6"/>
      <c r="B423" s="6"/>
      <c r="C423" s="6"/>
      <c r="D423" s="6"/>
      <c r="E423" s="6"/>
      <c r="F423" s="6"/>
      <c r="G423" s="11"/>
      <c r="H423" s="6"/>
      <c r="I423" s="6"/>
      <c r="J423" s="6"/>
      <c r="K423" s="7"/>
      <c r="L423" s="21" t="str">
        <f>микс!$H$11</f>
        <v>продажа под заказ</v>
      </c>
      <c r="M423" s="22"/>
      <c r="N423" s="22"/>
      <c r="O423" s="22" t="s">
        <v>144</v>
      </c>
      <c r="P423" s="23" t="str">
        <f>микс!$H$48</f>
        <v>Спортивный инвентарь</v>
      </c>
      <c r="Q423" s="21" t="s">
        <v>89</v>
      </c>
      <c r="R423" s="25">
        <v>1</v>
      </c>
      <c r="S423" s="28"/>
      <c r="T423" s="31">
        <v>42308</v>
      </c>
      <c r="U423" s="33">
        <v>594</v>
      </c>
      <c r="V423" s="36">
        <f t="shared" si="32"/>
        <v>594</v>
      </c>
      <c r="W423" s="28"/>
      <c r="X423" s="31">
        <v>42315</v>
      </c>
      <c r="Y423" s="33">
        <v>689</v>
      </c>
      <c r="Z423" s="189">
        <f t="shared" si="33"/>
        <v>689</v>
      </c>
      <c r="AA423" s="190"/>
      <c r="AB423" s="31">
        <v>42330</v>
      </c>
      <c r="AC423" s="36">
        <v>594</v>
      </c>
      <c r="AD423" s="8"/>
      <c r="AE423" s="6"/>
      <c r="AF423" s="52">
        <f t="shared" si="30"/>
        <v>25130952</v>
      </c>
      <c r="AG423" s="25">
        <f t="shared" si="31"/>
        <v>29155035</v>
      </c>
      <c r="AH423" s="52">
        <f t="shared" si="34"/>
        <v>25144020</v>
      </c>
      <c r="AI423" s="6"/>
      <c r="AJ423" s="6"/>
      <c r="AK423" s="6"/>
      <c r="AL423" s="6"/>
      <c r="AM423" s="6"/>
      <c r="AN423" s="6"/>
      <c r="AO423" s="6"/>
      <c r="AP423" s="6"/>
      <c r="AQ423" s="6"/>
      <c r="AR423" s="6"/>
    </row>
    <row r="424" spans="1:44">
      <c r="A424" s="6"/>
      <c r="B424" s="6"/>
      <c r="C424" s="6"/>
      <c r="D424" s="6"/>
      <c r="E424" s="6"/>
      <c r="F424" s="6"/>
      <c r="G424" s="11"/>
      <c r="H424" s="6"/>
      <c r="I424" s="6"/>
      <c r="J424" s="6"/>
      <c r="K424" s="7"/>
      <c r="L424" s="21" t="str">
        <f>микс!$H$10</f>
        <v>продажа со склада</v>
      </c>
      <c r="M424" s="22"/>
      <c r="N424" s="22"/>
      <c r="O424" s="22" t="s">
        <v>144</v>
      </c>
      <c r="P424" s="23" t="str">
        <f>микс!$H$48</f>
        <v>Спортивный инвентарь</v>
      </c>
      <c r="Q424" s="21" t="s">
        <v>83</v>
      </c>
      <c r="R424" s="25">
        <v>1</v>
      </c>
      <c r="S424" s="28"/>
      <c r="T424" s="31">
        <v>42208</v>
      </c>
      <c r="U424" s="33">
        <v>2822.4</v>
      </c>
      <c r="V424" s="36">
        <f t="shared" si="32"/>
        <v>2822.4</v>
      </c>
      <c r="W424" s="28"/>
      <c r="X424" s="31">
        <v>42299</v>
      </c>
      <c r="Y424" s="33">
        <v>3290</v>
      </c>
      <c r="Z424" s="189">
        <f t="shared" si="33"/>
        <v>3290</v>
      </c>
      <c r="AA424" s="190"/>
      <c r="AB424" s="31">
        <v>42268</v>
      </c>
      <c r="AC424" s="36">
        <v>2822.4</v>
      </c>
      <c r="AD424" s="8"/>
      <c r="AE424" s="6"/>
      <c r="AF424" s="52">
        <f t="shared" si="30"/>
        <v>119127859.2</v>
      </c>
      <c r="AG424" s="25">
        <f t="shared" si="31"/>
        <v>139163710</v>
      </c>
      <c r="AH424" s="52">
        <f t="shared" si="34"/>
        <v>119297203.2</v>
      </c>
      <c r="AI424" s="6"/>
      <c r="AJ424" s="6"/>
      <c r="AK424" s="6"/>
      <c r="AL424" s="6"/>
      <c r="AM424" s="6"/>
      <c r="AN424" s="6"/>
      <c r="AO424" s="6"/>
      <c r="AP424" s="6"/>
      <c r="AQ424" s="6"/>
      <c r="AR424" s="6"/>
    </row>
    <row r="425" spans="1:44">
      <c r="A425" s="6"/>
      <c r="B425" s="6"/>
      <c r="C425" s="6"/>
      <c r="D425" s="6"/>
      <c r="E425" s="6"/>
      <c r="F425" s="6"/>
      <c r="G425" s="11"/>
      <c r="H425" s="6"/>
      <c r="I425" s="6"/>
      <c r="J425" s="6"/>
      <c r="K425" s="7"/>
      <c r="L425" s="21" t="str">
        <f>микс!$H$11</f>
        <v>продажа под заказ</v>
      </c>
      <c r="M425" s="22"/>
      <c r="N425" s="22"/>
      <c r="O425" s="22" t="s">
        <v>136</v>
      </c>
      <c r="P425" s="23" t="str">
        <f>микс!$H$48</f>
        <v>Спортивный инвентарь</v>
      </c>
      <c r="Q425" s="21" t="s">
        <v>83</v>
      </c>
      <c r="R425" s="25">
        <v>1</v>
      </c>
      <c r="S425" s="28"/>
      <c r="T425" s="31">
        <v>42336</v>
      </c>
      <c r="U425" s="33">
        <v>3528</v>
      </c>
      <c r="V425" s="36">
        <f t="shared" si="32"/>
        <v>3528</v>
      </c>
      <c r="W425" s="28"/>
      <c r="X425" s="31">
        <v>42341</v>
      </c>
      <c r="Y425" s="33">
        <v>3908</v>
      </c>
      <c r="Z425" s="189">
        <f t="shared" si="33"/>
        <v>3908</v>
      </c>
      <c r="AA425" s="190"/>
      <c r="AB425" s="31">
        <v>42341</v>
      </c>
      <c r="AC425" s="36">
        <v>3528</v>
      </c>
      <c r="AD425" s="8"/>
      <c r="AE425" s="6"/>
      <c r="AF425" s="52">
        <f t="shared" si="30"/>
        <v>149361408</v>
      </c>
      <c r="AG425" s="25">
        <f t="shared" si="31"/>
        <v>165468628</v>
      </c>
      <c r="AH425" s="52">
        <f t="shared" si="34"/>
        <v>149379048</v>
      </c>
      <c r="AI425" s="6"/>
      <c r="AJ425" s="6"/>
      <c r="AK425" s="6"/>
      <c r="AL425" s="6"/>
      <c r="AM425" s="6"/>
      <c r="AN425" s="6"/>
      <c r="AO425" s="6"/>
      <c r="AP425" s="6"/>
      <c r="AQ425" s="6"/>
      <c r="AR425" s="6"/>
    </row>
    <row r="426" spans="1:44">
      <c r="A426" s="6"/>
      <c r="B426" s="6"/>
      <c r="C426" s="6"/>
      <c r="D426" s="6"/>
      <c r="E426" s="6"/>
      <c r="F426" s="6"/>
      <c r="G426" s="11"/>
      <c r="H426" s="6"/>
      <c r="I426" s="6"/>
      <c r="J426" s="6"/>
      <c r="K426" s="7"/>
      <c r="L426" s="21" t="str">
        <f>микс!$H$11</f>
        <v>продажа под заказ</v>
      </c>
      <c r="M426" s="22"/>
      <c r="N426" s="22"/>
      <c r="O426" s="22" t="s">
        <v>136</v>
      </c>
      <c r="P426" s="23" t="str">
        <f>микс!$H$48</f>
        <v>Спортивный инвентарь</v>
      </c>
      <c r="Q426" s="21" t="s">
        <v>83</v>
      </c>
      <c r="R426" s="25">
        <v>1</v>
      </c>
      <c r="S426" s="28"/>
      <c r="T426" s="31">
        <v>42338</v>
      </c>
      <c r="U426" s="33">
        <v>3528</v>
      </c>
      <c r="V426" s="36">
        <f t="shared" si="32"/>
        <v>3528</v>
      </c>
      <c r="W426" s="28"/>
      <c r="X426" s="31">
        <v>42344</v>
      </c>
      <c r="Y426" s="33">
        <v>3908</v>
      </c>
      <c r="Z426" s="189">
        <f t="shared" si="33"/>
        <v>3908</v>
      </c>
      <c r="AA426" s="190"/>
      <c r="AB426" s="31"/>
      <c r="AC426" s="36"/>
      <c r="AD426" s="8"/>
      <c r="AE426" s="6"/>
      <c r="AF426" s="52">
        <f t="shared" si="30"/>
        <v>149368464</v>
      </c>
      <c r="AG426" s="25">
        <f t="shared" si="31"/>
        <v>165480352</v>
      </c>
      <c r="AH426" s="52">
        <f t="shared" si="34"/>
        <v>0</v>
      </c>
      <c r="AI426" s="6"/>
      <c r="AJ426" s="6"/>
      <c r="AK426" s="6"/>
      <c r="AL426" s="6"/>
      <c r="AM426" s="6"/>
      <c r="AN426" s="6"/>
      <c r="AO426" s="6"/>
      <c r="AP426" s="6"/>
      <c r="AQ426" s="6"/>
      <c r="AR426" s="6"/>
    </row>
    <row r="427" spans="1:44">
      <c r="A427" s="6"/>
      <c r="B427" s="6"/>
      <c r="C427" s="6"/>
      <c r="D427" s="6"/>
      <c r="E427" s="6"/>
      <c r="F427" s="6"/>
      <c r="G427" s="11"/>
      <c r="H427" s="6"/>
      <c r="I427" s="6"/>
      <c r="J427" s="6"/>
      <c r="K427" s="7"/>
      <c r="L427" s="21" t="str">
        <f>микс!$H$11</f>
        <v>продажа под заказ</v>
      </c>
      <c r="M427" s="22"/>
      <c r="N427" s="22"/>
      <c r="O427" s="22" t="s">
        <v>136</v>
      </c>
      <c r="P427" s="23" t="str">
        <f>микс!$H$48</f>
        <v>Спортивный инвентарь</v>
      </c>
      <c r="Q427" s="21" t="s">
        <v>90</v>
      </c>
      <c r="R427" s="25">
        <v>1</v>
      </c>
      <c r="S427" s="28"/>
      <c r="T427" s="31">
        <v>42306</v>
      </c>
      <c r="U427" s="33">
        <v>486.4</v>
      </c>
      <c r="V427" s="36">
        <f t="shared" si="32"/>
        <v>486.4</v>
      </c>
      <c r="W427" s="28"/>
      <c r="X427" s="31">
        <v>42309</v>
      </c>
      <c r="Y427" s="33">
        <v>768</v>
      </c>
      <c r="Z427" s="189">
        <f t="shared" si="33"/>
        <v>768</v>
      </c>
      <c r="AA427" s="190"/>
      <c r="AB427" s="31">
        <v>42341</v>
      </c>
      <c r="AC427" s="36">
        <v>486.4</v>
      </c>
      <c r="AD427" s="8"/>
      <c r="AE427" s="6"/>
      <c r="AF427" s="52">
        <f t="shared" si="30"/>
        <v>20577638.399999999</v>
      </c>
      <c r="AG427" s="25">
        <f t="shared" si="31"/>
        <v>32493312</v>
      </c>
      <c r="AH427" s="52">
        <f t="shared" si="34"/>
        <v>20594662.399999999</v>
      </c>
      <c r="AI427" s="6"/>
      <c r="AJ427" s="6"/>
      <c r="AK427" s="6"/>
      <c r="AL427" s="6"/>
      <c r="AM427" s="6"/>
      <c r="AN427" s="6"/>
      <c r="AO427" s="6"/>
      <c r="AP427" s="6"/>
      <c r="AQ427" s="6"/>
      <c r="AR427" s="6"/>
    </row>
    <row r="428" spans="1:44">
      <c r="A428" s="6"/>
      <c r="B428" s="6"/>
      <c r="C428" s="6"/>
      <c r="D428" s="6"/>
      <c r="E428" s="6"/>
      <c r="F428" s="6"/>
      <c r="G428" s="11"/>
      <c r="H428" s="6"/>
      <c r="I428" s="6"/>
      <c r="J428" s="6"/>
      <c r="K428" s="7"/>
      <c r="L428" s="21" t="str">
        <f>микс!$H$11</f>
        <v>продажа под заказ</v>
      </c>
      <c r="M428" s="22"/>
      <c r="N428" s="22"/>
      <c r="O428" s="22" t="s">
        <v>136</v>
      </c>
      <c r="P428" s="23" t="str">
        <f>микс!$H$48</f>
        <v>Спортивный инвентарь</v>
      </c>
      <c r="Q428" s="21" t="s">
        <v>90</v>
      </c>
      <c r="R428" s="25">
        <v>1</v>
      </c>
      <c r="S428" s="28"/>
      <c r="T428" s="31">
        <v>42308</v>
      </c>
      <c r="U428" s="33">
        <v>486.4</v>
      </c>
      <c r="V428" s="36">
        <f t="shared" si="32"/>
        <v>486.4</v>
      </c>
      <c r="W428" s="28"/>
      <c r="X428" s="31">
        <v>42315</v>
      </c>
      <c r="Y428" s="33">
        <v>680</v>
      </c>
      <c r="Z428" s="189">
        <f t="shared" si="33"/>
        <v>680</v>
      </c>
      <c r="AA428" s="190"/>
      <c r="AB428" s="31">
        <v>42323</v>
      </c>
      <c r="AC428" s="36">
        <v>486.4</v>
      </c>
      <c r="AD428" s="8"/>
      <c r="AE428" s="6"/>
      <c r="AF428" s="52">
        <f t="shared" si="30"/>
        <v>20578611.199999999</v>
      </c>
      <c r="AG428" s="25">
        <f t="shared" si="31"/>
        <v>28774200</v>
      </c>
      <c r="AH428" s="52">
        <f t="shared" si="34"/>
        <v>20585907.199999999</v>
      </c>
      <c r="AI428" s="6"/>
      <c r="AJ428" s="6"/>
      <c r="AK428" s="6"/>
      <c r="AL428" s="6"/>
      <c r="AM428" s="6"/>
      <c r="AN428" s="6"/>
      <c r="AO428" s="6"/>
      <c r="AP428" s="6"/>
      <c r="AQ428" s="6"/>
      <c r="AR428" s="6"/>
    </row>
    <row r="429" spans="1:44">
      <c r="A429" s="6"/>
      <c r="B429" s="6"/>
      <c r="C429" s="6"/>
      <c r="D429" s="6"/>
      <c r="E429" s="6"/>
      <c r="F429" s="6"/>
      <c r="G429" s="11"/>
      <c r="H429" s="6"/>
      <c r="I429" s="6"/>
      <c r="J429" s="6"/>
      <c r="K429" s="7"/>
      <c r="L429" s="21" t="str">
        <f>микс!$H$10</f>
        <v>продажа со склада</v>
      </c>
      <c r="M429" s="22"/>
      <c r="N429" s="22"/>
      <c r="O429" s="22" t="s">
        <v>140</v>
      </c>
      <c r="P429" s="23" t="str">
        <f>микс!$H$49</f>
        <v>Товары для детей</v>
      </c>
      <c r="Q429" s="21" t="s">
        <v>133</v>
      </c>
      <c r="R429" s="25">
        <v>1</v>
      </c>
      <c r="S429" s="28"/>
      <c r="T429" s="31">
        <v>42236</v>
      </c>
      <c r="U429" s="33">
        <v>247.06</v>
      </c>
      <c r="V429" s="36">
        <f t="shared" si="32"/>
        <v>247.06</v>
      </c>
      <c r="W429" s="28"/>
      <c r="X429" s="31">
        <v>42327</v>
      </c>
      <c r="Y429" s="33">
        <v>330</v>
      </c>
      <c r="Z429" s="189">
        <f t="shared" si="33"/>
        <v>330</v>
      </c>
      <c r="AA429" s="190"/>
      <c r="AB429" s="31">
        <v>42286</v>
      </c>
      <c r="AC429" s="36">
        <v>247.06</v>
      </c>
      <c r="AD429" s="8"/>
      <c r="AE429" s="6"/>
      <c r="AF429" s="52">
        <f t="shared" si="30"/>
        <v>10434826.16</v>
      </c>
      <c r="AG429" s="25">
        <f t="shared" si="31"/>
        <v>13967910</v>
      </c>
      <c r="AH429" s="52">
        <f t="shared" si="34"/>
        <v>10447179.16</v>
      </c>
      <c r="AI429" s="6"/>
      <c r="AJ429" s="6"/>
      <c r="AK429" s="6"/>
      <c r="AL429" s="6"/>
      <c r="AM429" s="6"/>
      <c r="AN429" s="6"/>
      <c r="AO429" s="6"/>
      <c r="AP429" s="6"/>
      <c r="AQ429" s="6"/>
      <c r="AR429" s="6"/>
    </row>
    <row r="430" spans="1:44">
      <c r="A430" s="6"/>
      <c r="B430" s="6"/>
      <c r="C430" s="6"/>
      <c r="D430" s="6"/>
      <c r="E430" s="6"/>
      <c r="F430" s="6"/>
      <c r="G430" s="11"/>
      <c r="H430" s="6"/>
      <c r="I430" s="6"/>
      <c r="J430" s="6"/>
      <c r="K430" s="7"/>
      <c r="L430" s="21" t="str">
        <f>микс!$H$11</f>
        <v>продажа под заказ</v>
      </c>
      <c r="M430" s="22"/>
      <c r="N430" s="22"/>
      <c r="O430" s="22" t="s">
        <v>146</v>
      </c>
      <c r="P430" s="23" t="str">
        <f>микс!$H$49</f>
        <v>Товары для детей</v>
      </c>
      <c r="Q430" s="21" t="s">
        <v>133</v>
      </c>
      <c r="R430" s="25">
        <v>2</v>
      </c>
      <c r="S430" s="28"/>
      <c r="T430" s="31">
        <v>42337</v>
      </c>
      <c r="U430" s="33">
        <v>1652.24</v>
      </c>
      <c r="V430" s="36">
        <f t="shared" si="32"/>
        <v>3304.48</v>
      </c>
      <c r="W430" s="28"/>
      <c r="X430" s="31">
        <v>42351</v>
      </c>
      <c r="Y430" s="33">
        <v>1999</v>
      </c>
      <c r="Z430" s="189">
        <f t="shared" si="33"/>
        <v>3998</v>
      </c>
      <c r="AA430" s="190"/>
      <c r="AB430" s="31">
        <v>42357</v>
      </c>
      <c r="AC430" s="36">
        <v>3304.48</v>
      </c>
      <c r="AD430" s="8"/>
      <c r="AE430" s="6"/>
      <c r="AF430" s="52">
        <f t="shared" si="30"/>
        <v>139901769.75999999</v>
      </c>
      <c r="AG430" s="25">
        <f t="shared" si="31"/>
        <v>169319298</v>
      </c>
      <c r="AH430" s="52">
        <f t="shared" si="34"/>
        <v>139967859.36000001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</row>
    <row r="431" spans="1:44">
      <c r="A431" s="6"/>
      <c r="B431" s="6"/>
      <c r="C431" s="6"/>
      <c r="D431" s="6"/>
      <c r="E431" s="6"/>
      <c r="F431" s="6"/>
      <c r="G431" s="11"/>
      <c r="H431" s="6"/>
      <c r="I431" s="6"/>
      <c r="J431" s="6"/>
      <c r="K431" s="7"/>
      <c r="L431" s="21" t="str">
        <f>микс!$H$10</f>
        <v>продажа со склада</v>
      </c>
      <c r="M431" s="22"/>
      <c r="N431" s="22"/>
      <c r="O431" s="22" t="s">
        <v>146</v>
      </c>
      <c r="P431" s="23" t="str">
        <f>микс!$H$49</f>
        <v>Товары для детей</v>
      </c>
      <c r="Q431" s="21" t="s">
        <v>91</v>
      </c>
      <c r="R431" s="25">
        <v>1</v>
      </c>
      <c r="S431" s="28"/>
      <c r="T431" s="31">
        <v>42142</v>
      </c>
      <c r="U431" s="33">
        <v>2111.15</v>
      </c>
      <c r="V431" s="36">
        <f t="shared" si="32"/>
        <v>2111.15</v>
      </c>
      <c r="W431" s="28"/>
      <c r="X431" s="31">
        <v>42294</v>
      </c>
      <c r="Y431" s="33">
        <v>2461</v>
      </c>
      <c r="Z431" s="189">
        <f t="shared" si="33"/>
        <v>2461</v>
      </c>
      <c r="AA431" s="190"/>
      <c r="AB431" s="31"/>
      <c r="AC431" s="36"/>
      <c r="AD431" s="8"/>
      <c r="AE431" s="6"/>
      <c r="AF431" s="52">
        <f t="shared" si="30"/>
        <v>88968083.299999997</v>
      </c>
      <c r="AG431" s="25">
        <f t="shared" si="31"/>
        <v>104085534</v>
      </c>
      <c r="AH431" s="52">
        <f t="shared" si="34"/>
        <v>0</v>
      </c>
      <c r="AI431" s="6"/>
      <c r="AJ431" s="6"/>
      <c r="AK431" s="6"/>
      <c r="AL431" s="6"/>
      <c r="AM431" s="6"/>
      <c r="AN431" s="6"/>
      <c r="AO431" s="6"/>
      <c r="AP431" s="6"/>
      <c r="AQ431" s="6"/>
      <c r="AR431" s="6"/>
    </row>
    <row r="432" spans="1:44">
      <c r="A432" s="6"/>
      <c r="B432" s="6"/>
      <c r="C432" s="6"/>
      <c r="D432" s="6"/>
      <c r="E432" s="6"/>
      <c r="F432" s="6"/>
      <c r="G432" s="11"/>
      <c r="H432" s="6"/>
      <c r="I432" s="6"/>
      <c r="J432" s="6"/>
      <c r="K432" s="7"/>
      <c r="L432" s="21" t="str">
        <f>микс!$H$10</f>
        <v>продажа со склада</v>
      </c>
      <c r="M432" s="22"/>
      <c r="N432" s="22"/>
      <c r="O432" s="22" t="s">
        <v>146</v>
      </c>
      <c r="P432" s="23" t="str">
        <f>микс!$H$49</f>
        <v>Товары для детей</v>
      </c>
      <c r="Q432" s="21" t="s">
        <v>91</v>
      </c>
      <c r="R432" s="25">
        <v>1</v>
      </c>
      <c r="S432" s="28"/>
      <c r="T432" s="31">
        <v>42212</v>
      </c>
      <c r="U432" s="33">
        <v>2111.15</v>
      </c>
      <c r="V432" s="36">
        <f t="shared" si="32"/>
        <v>2111.15</v>
      </c>
      <c r="W432" s="28"/>
      <c r="X432" s="31">
        <v>42311</v>
      </c>
      <c r="Y432" s="33">
        <v>2822</v>
      </c>
      <c r="Z432" s="189">
        <f t="shared" si="33"/>
        <v>2822</v>
      </c>
      <c r="AA432" s="190"/>
      <c r="AB432" s="31"/>
      <c r="AC432" s="36"/>
      <c r="AD432" s="8"/>
      <c r="AE432" s="6"/>
      <c r="AF432" s="52">
        <f t="shared" si="30"/>
        <v>89115863.799999997</v>
      </c>
      <c r="AG432" s="25">
        <f t="shared" si="31"/>
        <v>119401642</v>
      </c>
      <c r="AH432" s="52">
        <f t="shared" si="34"/>
        <v>0</v>
      </c>
      <c r="AI432" s="6"/>
      <c r="AJ432" s="6"/>
      <c r="AK432" s="6"/>
      <c r="AL432" s="6"/>
      <c r="AM432" s="6"/>
      <c r="AN432" s="6"/>
      <c r="AO432" s="6"/>
      <c r="AP432" s="6"/>
      <c r="AQ432" s="6"/>
      <c r="AR432" s="6"/>
    </row>
    <row r="433" spans="1:44">
      <c r="A433" s="6"/>
      <c r="B433" s="6"/>
      <c r="C433" s="6"/>
      <c r="D433" s="6"/>
      <c r="E433" s="6"/>
      <c r="F433" s="6"/>
      <c r="G433" s="11"/>
      <c r="H433" s="6"/>
      <c r="I433" s="6"/>
      <c r="J433" s="6"/>
      <c r="K433" s="7"/>
      <c r="L433" s="21" t="str">
        <f>микс!$H$11</f>
        <v>продажа под заказ</v>
      </c>
      <c r="M433" s="22"/>
      <c r="N433" s="22"/>
      <c r="O433" s="22" t="s">
        <v>140</v>
      </c>
      <c r="P433" s="23" t="str">
        <f>микс!$H$49</f>
        <v>Товары для детей</v>
      </c>
      <c r="Q433" s="21" t="s">
        <v>91</v>
      </c>
      <c r="R433" s="25">
        <v>1</v>
      </c>
      <c r="S433" s="28"/>
      <c r="T433" s="31">
        <v>42313</v>
      </c>
      <c r="U433" s="33">
        <v>1089.3699999999999</v>
      </c>
      <c r="V433" s="36">
        <f t="shared" si="32"/>
        <v>1089.3699999999999</v>
      </c>
      <c r="W433" s="28"/>
      <c r="X433" s="31">
        <v>42323</v>
      </c>
      <c r="Y433" s="33">
        <v>1492</v>
      </c>
      <c r="Z433" s="189">
        <f t="shared" si="33"/>
        <v>1492</v>
      </c>
      <c r="AA433" s="190"/>
      <c r="AB433" s="31"/>
      <c r="AC433" s="36"/>
      <c r="AD433" s="8"/>
      <c r="AE433" s="6"/>
      <c r="AF433" s="52">
        <f t="shared" si="30"/>
        <v>46094512.809999995</v>
      </c>
      <c r="AG433" s="25">
        <f t="shared" si="31"/>
        <v>63145916</v>
      </c>
      <c r="AH433" s="52">
        <f t="shared" si="34"/>
        <v>0</v>
      </c>
      <c r="AI433" s="6"/>
      <c r="AJ433" s="6"/>
      <c r="AK433" s="6"/>
      <c r="AL433" s="6"/>
      <c r="AM433" s="6"/>
      <c r="AN433" s="6"/>
      <c r="AO433" s="6"/>
      <c r="AP433" s="6"/>
      <c r="AQ433" s="6"/>
      <c r="AR433" s="6"/>
    </row>
    <row r="434" spans="1:44">
      <c r="A434" s="6"/>
      <c r="B434" s="6"/>
      <c r="C434" s="6"/>
      <c r="D434" s="6"/>
      <c r="E434" s="6"/>
      <c r="F434" s="6"/>
      <c r="G434" s="11"/>
      <c r="H434" s="6"/>
      <c r="I434" s="6"/>
      <c r="J434" s="6"/>
      <c r="K434" s="7"/>
      <c r="L434" s="21" t="str">
        <f>микс!$H$11</f>
        <v>продажа под заказ</v>
      </c>
      <c r="M434" s="22"/>
      <c r="N434" s="22"/>
      <c r="O434" s="22" t="s">
        <v>140</v>
      </c>
      <c r="P434" s="23" t="str">
        <f>микс!$H$49</f>
        <v>Товары для детей</v>
      </c>
      <c r="Q434" s="21" t="s">
        <v>91</v>
      </c>
      <c r="R434" s="25">
        <v>1</v>
      </c>
      <c r="S434" s="28"/>
      <c r="T434" s="31">
        <v>42326</v>
      </c>
      <c r="U434" s="33">
        <v>1231.0899999999999</v>
      </c>
      <c r="V434" s="36">
        <f t="shared" si="32"/>
        <v>1231.0899999999999</v>
      </c>
      <c r="W434" s="28"/>
      <c r="X434" s="31">
        <v>42332</v>
      </c>
      <c r="Y434" s="33">
        <v>1649</v>
      </c>
      <c r="Z434" s="189">
        <f t="shared" si="33"/>
        <v>1649</v>
      </c>
      <c r="AA434" s="190"/>
      <c r="AB434" s="31">
        <v>42333</v>
      </c>
      <c r="AC434" s="36">
        <v>1231.0899999999999</v>
      </c>
      <c r="AD434" s="8"/>
      <c r="AE434" s="6"/>
      <c r="AF434" s="52">
        <f t="shared" si="30"/>
        <v>52107115.339999996</v>
      </c>
      <c r="AG434" s="25">
        <f t="shared" si="31"/>
        <v>69805468</v>
      </c>
      <c r="AH434" s="52">
        <f t="shared" si="34"/>
        <v>52115732.969999999</v>
      </c>
      <c r="AI434" s="6"/>
      <c r="AJ434" s="6"/>
      <c r="AK434" s="6"/>
      <c r="AL434" s="6"/>
      <c r="AM434" s="6"/>
      <c r="AN434" s="6"/>
      <c r="AO434" s="6"/>
      <c r="AP434" s="6"/>
      <c r="AQ434" s="6"/>
      <c r="AR434" s="6"/>
    </row>
    <row r="435" spans="1:44">
      <c r="A435" s="6"/>
      <c r="B435" s="6"/>
      <c r="C435" s="6"/>
      <c r="D435" s="6"/>
      <c r="E435" s="6"/>
      <c r="F435" s="6"/>
      <c r="G435" s="11"/>
      <c r="H435" s="6"/>
      <c r="I435" s="6"/>
      <c r="J435" s="6"/>
      <c r="K435" s="7"/>
      <c r="L435" s="21" t="str">
        <f>микс!$H$11</f>
        <v>продажа под заказ</v>
      </c>
      <c r="M435" s="22"/>
      <c r="N435" s="22"/>
      <c r="O435" s="22" t="s">
        <v>140</v>
      </c>
      <c r="P435" s="23" t="str">
        <f>микс!$H$49</f>
        <v>Товары для детей</v>
      </c>
      <c r="Q435" s="21" t="s">
        <v>91</v>
      </c>
      <c r="R435" s="25">
        <v>1</v>
      </c>
      <c r="S435" s="28"/>
      <c r="T435" s="31">
        <v>42315</v>
      </c>
      <c r="U435" s="33">
        <v>1231.0899999999999</v>
      </c>
      <c r="V435" s="36">
        <f t="shared" si="32"/>
        <v>1231.0899999999999</v>
      </c>
      <c r="W435" s="28"/>
      <c r="X435" s="31">
        <v>42333</v>
      </c>
      <c r="Y435" s="33">
        <v>1492</v>
      </c>
      <c r="Z435" s="189">
        <f t="shared" si="33"/>
        <v>1492</v>
      </c>
      <c r="AA435" s="190"/>
      <c r="AB435" s="31">
        <v>42337</v>
      </c>
      <c r="AC435" s="36">
        <v>1231.0899999999999</v>
      </c>
      <c r="AD435" s="8"/>
      <c r="AE435" s="6"/>
      <c r="AF435" s="52">
        <f t="shared" si="30"/>
        <v>52093573.349999994</v>
      </c>
      <c r="AG435" s="25">
        <f t="shared" si="31"/>
        <v>63160836</v>
      </c>
      <c r="AH435" s="52">
        <f t="shared" si="34"/>
        <v>52120657.329999998</v>
      </c>
      <c r="AI435" s="6"/>
      <c r="AJ435" s="6"/>
      <c r="AK435" s="6"/>
      <c r="AL435" s="6"/>
      <c r="AM435" s="6"/>
      <c r="AN435" s="6"/>
      <c r="AO435" s="6"/>
      <c r="AP435" s="6"/>
      <c r="AQ435" s="6"/>
      <c r="AR435" s="6"/>
    </row>
    <row r="436" spans="1:44">
      <c r="A436" s="6"/>
      <c r="B436" s="6"/>
      <c r="C436" s="6"/>
      <c r="D436" s="6"/>
      <c r="E436" s="6"/>
      <c r="F436" s="6"/>
      <c r="G436" s="11"/>
      <c r="H436" s="6"/>
      <c r="I436" s="6"/>
      <c r="J436" s="6"/>
      <c r="K436" s="7"/>
      <c r="L436" s="21" t="str">
        <f>микс!$H$11</f>
        <v>продажа под заказ</v>
      </c>
      <c r="M436" s="22"/>
      <c r="N436" s="22"/>
      <c r="O436" s="22" t="s">
        <v>140</v>
      </c>
      <c r="P436" s="23" t="str">
        <f>микс!$H$49</f>
        <v>Товары для детей</v>
      </c>
      <c r="Q436" s="21" t="s">
        <v>91</v>
      </c>
      <c r="R436" s="25">
        <v>1</v>
      </c>
      <c r="S436" s="28"/>
      <c r="T436" s="31">
        <v>42325</v>
      </c>
      <c r="U436" s="33">
        <v>1231.0899999999999</v>
      </c>
      <c r="V436" s="36">
        <f t="shared" si="32"/>
        <v>1231.0899999999999</v>
      </c>
      <c r="W436" s="28"/>
      <c r="X436" s="31">
        <v>42328</v>
      </c>
      <c r="Y436" s="33">
        <v>1649</v>
      </c>
      <c r="Z436" s="189">
        <f t="shared" si="33"/>
        <v>1649</v>
      </c>
      <c r="AA436" s="190"/>
      <c r="AB436" s="31">
        <v>42357</v>
      </c>
      <c r="AC436" s="36">
        <v>1231.0899999999999</v>
      </c>
      <c r="AD436" s="8"/>
      <c r="AE436" s="6"/>
      <c r="AF436" s="52">
        <f t="shared" si="30"/>
        <v>52105884.25</v>
      </c>
      <c r="AG436" s="25">
        <f t="shared" si="31"/>
        <v>69798872</v>
      </c>
      <c r="AH436" s="52">
        <f t="shared" si="34"/>
        <v>52145279.129999995</v>
      </c>
      <c r="AI436" s="6"/>
      <c r="AJ436" s="6"/>
      <c r="AK436" s="6"/>
      <c r="AL436" s="6"/>
      <c r="AM436" s="6"/>
      <c r="AN436" s="6"/>
      <c r="AO436" s="6"/>
      <c r="AP436" s="6"/>
      <c r="AQ436" s="6"/>
      <c r="AR436" s="6"/>
    </row>
    <row r="437" spans="1:44">
      <c r="A437" s="6"/>
      <c r="B437" s="6"/>
      <c r="C437" s="6"/>
      <c r="D437" s="6"/>
      <c r="E437" s="6"/>
      <c r="F437" s="6"/>
      <c r="G437" s="11"/>
      <c r="H437" s="6"/>
      <c r="I437" s="6"/>
      <c r="J437" s="6"/>
      <c r="K437" s="7"/>
      <c r="L437" s="21" t="str">
        <f>микс!$H$11</f>
        <v>продажа под заказ</v>
      </c>
      <c r="M437" s="22"/>
      <c r="N437" s="22"/>
      <c r="O437" s="22" t="s">
        <v>146</v>
      </c>
      <c r="P437" s="23" t="str">
        <f>микс!$H$49</f>
        <v>Товары для детей</v>
      </c>
      <c r="Q437" s="21" t="s">
        <v>91</v>
      </c>
      <c r="R437" s="25">
        <v>1</v>
      </c>
      <c r="S437" s="28"/>
      <c r="T437" s="31">
        <v>42335</v>
      </c>
      <c r="U437" s="33">
        <v>1590</v>
      </c>
      <c r="V437" s="36">
        <f t="shared" si="32"/>
        <v>1590</v>
      </c>
      <c r="W437" s="28"/>
      <c r="X437" s="31">
        <v>42346</v>
      </c>
      <c r="Y437" s="33">
        <v>2380</v>
      </c>
      <c r="Z437" s="189">
        <f t="shared" si="33"/>
        <v>2380</v>
      </c>
      <c r="AA437" s="190"/>
      <c r="AB437" s="31"/>
      <c r="AC437" s="36"/>
      <c r="AD437" s="8"/>
      <c r="AE437" s="6"/>
      <c r="AF437" s="52">
        <f t="shared" si="30"/>
        <v>67312650</v>
      </c>
      <c r="AG437" s="25">
        <f t="shared" si="31"/>
        <v>100783480</v>
      </c>
      <c r="AH437" s="52">
        <f t="shared" si="34"/>
        <v>0</v>
      </c>
      <c r="AI437" s="6"/>
      <c r="AJ437" s="6"/>
      <c r="AK437" s="6"/>
      <c r="AL437" s="6"/>
      <c r="AM437" s="6"/>
      <c r="AN437" s="6"/>
      <c r="AO437" s="6"/>
      <c r="AP437" s="6"/>
      <c r="AQ437" s="6"/>
      <c r="AR437" s="6"/>
    </row>
    <row r="438" spans="1:44">
      <c r="A438" s="6"/>
      <c r="B438" s="6"/>
      <c r="C438" s="6"/>
      <c r="D438" s="6"/>
      <c r="E438" s="6"/>
      <c r="F438" s="6"/>
      <c r="G438" s="11"/>
      <c r="H438" s="6"/>
      <c r="I438" s="6"/>
      <c r="J438" s="6"/>
      <c r="K438" s="7"/>
      <c r="L438" s="21" t="str">
        <f>микс!$H$11</f>
        <v>продажа под заказ</v>
      </c>
      <c r="M438" s="22"/>
      <c r="N438" s="22"/>
      <c r="O438" s="22" t="s">
        <v>151</v>
      </c>
      <c r="P438" s="23" t="str">
        <f>микс!$H$49</f>
        <v>Товары для детей</v>
      </c>
      <c r="Q438" s="21" t="s">
        <v>91</v>
      </c>
      <c r="R438" s="25">
        <v>1</v>
      </c>
      <c r="S438" s="28"/>
      <c r="T438" s="31">
        <v>42325</v>
      </c>
      <c r="U438" s="33">
        <v>1016</v>
      </c>
      <c r="V438" s="36">
        <f t="shared" si="32"/>
        <v>1016</v>
      </c>
      <c r="W438" s="28"/>
      <c r="X438" s="31">
        <v>42328</v>
      </c>
      <c r="Y438" s="33">
        <v>1375</v>
      </c>
      <c r="Z438" s="189">
        <f t="shared" si="33"/>
        <v>1375</v>
      </c>
      <c r="AA438" s="190"/>
      <c r="AB438" s="31">
        <v>42363</v>
      </c>
      <c r="AC438" s="36">
        <v>1016</v>
      </c>
      <c r="AD438" s="8"/>
      <c r="AE438" s="6"/>
      <c r="AF438" s="52">
        <f t="shared" si="30"/>
        <v>43002200</v>
      </c>
      <c r="AG438" s="25">
        <f t="shared" si="31"/>
        <v>58201000</v>
      </c>
      <c r="AH438" s="52">
        <f t="shared" si="34"/>
        <v>43040808</v>
      </c>
      <c r="AI438" s="6"/>
      <c r="AJ438" s="6"/>
      <c r="AK438" s="6"/>
      <c r="AL438" s="6"/>
      <c r="AM438" s="6"/>
      <c r="AN438" s="6"/>
      <c r="AO438" s="6"/>
      <c r="AP438" s="6"/>
      <c r="AQ438" s="6"/>
      <c r="AR438" s="6"/>
    </row>
    <row r="439" spans="1:44">
      <c r="A439" s="6"/>
      <c r="B439" s="6"/>
      <c r="C439" s="6"/>
      <c r="D439" s="6"/>
      <c r="E439" s="6"/>
      <c r="F439" s="6"/>
      <c r="G439" s="11"/>
      <c r="H439" s="6"/>
      <c r="I439" s="6"/>
      <c r="J439" s="6"/>
      <c r="K439" s="7"/>
      <c r="L439" s="21" t="str">
        <f>микс!$H$10</f>
        <v>продажа со склада</v>
      </c>
      <c r="M439" s="22"/>
      <c r="N439" s="22"/>
      <c r="O439" s="22" t="s">
        <v>151</v>
      </c>
      <c r="P439" s="23" t="str">
        <f>микс!$H$49</f>
        <v>Товары для детей</v>
      </c>
      <c r="Q439" s="21" t="s">
        <v>91</v>
      </c>
      <c r="R439" s="25">
        <v>1</v>
      </c>
      <c r="S439" s="28"/>
      <c r="T439" s="31">
        <v>42237</v>
      </c>
      <c r="U439" s="33">
        <v>1106</v>
      </c>
      <c r="V439" s="36">
        <f t="shared" si="32"/>
        <v>1106</v>
      </c>
      <c r="W439" s="28"/>
      <c r="X439" s="31">
        <v>42323</v>
      </c>
      <c r="Y439" s="33">
        <v>1280</v>
      </c>
      <c r="Z439" s="189">
        <f t="shared" si="33"/>
        <v>1280</v>
      </c>
      <c r="AA439" s="190"/>
      <c r="AB439" s="31"/>
      <c r="AC439" s="36"/>
      <c r="AD439" s="8"/>
      <c r="AE439" s="6"/>
      <c r="AF439" s="52">
        <f t="shared" si="30"/>
        <v>46714122</v>
      </c>
      <c r="AG439" s="25">
        <f t="shared" si="31"/>
        <v>54173440</v>
      </c>
      <c r="AH439" s="52">
        <f t="shared" si="34"/>
        <v>0</v>
      </c>
      <c r="AI439" s="6"/>
      <c r="AJ439" s="6"/>
      <c r="AK439" s="6"/>
      <c r="AL439" s="6"/>
      <c r="AM439" s="6"/>
      <c r="AN439" s="6"/>
      <c r="AO439" s="6"/>
      <c r="AP439" s="6"/>
      <c r="AQ439" s="6"/>
      <c r="AR439" s="6"/>
    </row>
    <row r="440" spans="1:44">
      <c r="A440" s="6"/>
      <c r="B440" s="6"/>
      <c r="C440" s="6"/>
      <c r="D440" s="6"/>
      <c r="E440" s="6"/>
      <c r="F440" s="6"/>
      <c r="G440" s="11"/>
      <c r="H440" s="6"/>
      <c r="I440" s="6"/>
      <c r="J440" s="6"/>
      <c r="K440" s="7"/>
      <c r="L440" s="21" t="str">
        <f>микс!$H$11</f>
        <v>продажа под заказ</v>
      </c>
      <c r="M440" s="22"/>
      <c r="N440" s="22"/>
      <c r="O440" s="22" t="s">
        <v>151</v>
      </c>
      <c r="P440" s="23" t="str">
        <f>микс!$H$49</f>
        <v>Товары для детей</v>
      </c>
      <c r="Q440" s="21" t="s">
        <v>91</v>
      </c>
      <c r="R440" s="25">
        <v>1</v>
      </c>
      <c r="S440" s="28"/>
      <c r="T440" s="31">
        <v>42305</v>
      </c>
      <c r="U440" s="33">
        <v>1016</v>
      </c>
      <c r="V440" s="36">
        <f t="shared" si="32"/>
        <v>1016</v>
      </c>
      <c r="W440" s="28"/>
      <c r="X440" s="31">
        <v>42325</v>
      </c>
      <c r="Y440" s="33">
        <v>1519</v>
      </c>
      <c r="Z440" s="189">
        <f t="shared" si="33"/>
        <v>1519</v>
      </c>
      <c r="AA440" s="190"/>
      <c r="AB440" s="31">
        <v>42315</v>
      </c>
      <c r="AC440" s="36">
        <v>1016</v>
      </c>
      <c r="AD440" s="8"/>
      <c r="AE440" s="6"/>
      <c r="AF440" s="52">
        <f t="shared" si="30"/>
        <v>42981880</v>
      </c>
      <c r="AG440" s="25">
        <f t="shared" si="31"/>
        <v>64291675</v>
      </c>
      <c r="AH440" s="52">
        <f t="shared" si="34"/>
        <v>42992040</v>
      </c>
      <c r="AI440" s="6"/>
      <c r="AJ440" s="6"/>
      <c r="AK440" s="6"/>
      <c r="AL440" s="6"/>
      <c r="AM440" s="6"/>
      <c r="AN440" s="6"/>
      <c r="AO440" s="6"/>
      <c r="AP440" s="6"/>
      <c r="AQ440" s="6"/>
      <c r="AR440" s="6"/>
    </row>
    <row r="441" spans="1:44">
      <c r="A441" s="6"/>
      <c r="B441" s="6"/>
      <c r="C441" s="6"/>
      <c r="D441" s="6"/>
      <c r="E441" s="6"/>
      <c r="F441" s="6"/>
      <c r="G441" s="11"/>
      <c r="H441" s="6"/>
      <c r="I441" s="6"/>
      <c r="J441" s="6"/>
      <c r="K441" s="7"/>
      <c r="L441" s="21" t="str">
        <f>микс!$H$10</f>
        <v>продажа со склада</v>
      </c>
      <c r="M441" s="22"/>
      <c r="N441" s="22"/>
      <c r="O441" s="22" t="s">
        <v>151</v>
      </c>
      <c r="P441" s="23" t="str">
        <f>микс!$H$49</f>
        <v>Товары для детей</v>
      </c>
      <c r="Q441" s="21" t="s">
        <v>91</v>
      </c>
      <c r="R441" s="25">
        <v>1</v>
      </c>
      <c r="S441" s="28"/>
      <c r="T441" s="31">
        <v>42260</v>
      </c>
      <c r="U441" s="33">
        <v>1016</v>
      </c>
      <c r="V441" s="36">
        <f t="shared" si="32"/>
        <v>1016</v>
      </c>
      <c r="W441" s="28"/>
      <c r="X441" s="31">
        <v>42339</v>
      </c>
      <c r="Y441" s="33">
        <v>1147</v>
      </c>
      <c r="Z441" s="189">
        <f t="shared" si="33"/>
        <v>1147</v>
      </c>
      <c r="AA441" s="190"/>
      <c r="AB441" s="31">
        <v>42280</v>
      </c>
      <c r="AC441" s="36">
        <v>1016</v>
      </c>
      <c r="AD441" s="8"/>
      <c r="AE441" s="6"/>
      <c r="AF441" s="52">
        <f t="shared" si="30"/>
        <v>42936160</v>
      </c>
      <c r="AG441" s="25">
        <f t="shared" si="31"/>
        <v>48562833</v>
      </c>
      <c r="AH441" s="52">
        <f t="shared" si="34"/>
        <v>42956480</v>
      </c>
      <c r="AI441" s="6"/>
      <c r="AJ441" s="6"/>
      <c r="AK441" s="6"/>
      <c r="AL441" s="6"/>
      <c r="AM441" s="6"/>
      <c r="AN441" s="6"/>
      <c r="AO441" s="6"/>
      <c r="AP441" s="6"/>
      <c r="AQ441" s="6"/>
      <c r="AR441" s="6"/>
    </row>
    <row r="442" spans="1:44">
      <c r="A442" s="6"/>
      <c r="B442" s="6"/>
      <c r="C442" s="6"/>
      <c r="D442" s="6"/>
      <c r="E442" s="6"/>
      <c r="F442" s="6"/>
      <c r="G442" s="11"/>
      <c r="H442" s="6"/>
      <c r="I442" s="6"/>
      <c r="J442" s="6"/>
      <c r="K442" s="7"/>
      <c r="L442" s="21" t="str">
        <f>микс!$H$10</f>
        <v>продажа со склада</v>
      </c>
      <c r="M442" s="22"/>
      <c r="N442" s="22"/>
      <c r="O442" s="22" t="s">
        <v>135</v>
      </c>
      <c r="P442" s="23" t="str">
        <f>микс!$H$49</f>
        <v>Товары для детей</v>
      </c>
      <c r="Q442" s="21" t="s">
        <v>133</v>
      </c>
      <c r="R442" s="25">
        <v>1</v>
      </c>
      <c r="S442" s="28"/>
      <c r="T442" s="31">
        <v>42262</v>
      </c>
      <c r="U442" s="33">
        <v>590.13</v>
      </c>
      <c r="V442" s="36">
        <f t="shared" si="32"/>
        <v>590.13</v>
      </c>
      <c r="W442" s="28"/>
      <c r="X442" s="31">
        <v>42341</v>
      </c>
      <c r="Y442" s="33">
        <v>799</v>
      </c>
      <c r="Z442" s="189">
        <f t="shared" si="33"/>
        <v>799</v>
      </c>
      <c r="AA442" s="190"/>
      <c r="AB442" s="31">
        <v>42292</v>
      </c>
      <c r="AC442" s="36">
        <v>590.13</v>
      </c>
      <c r="AD442" s="8"/>
      <c r="AE442" s="6"/>
      <c r="AF442" s="52">
        <f t="shared" si="30"/>
        <v>24940074.059999999</v>
      </c>
      <c r="AG442" s="25">
        <f t="shared" si="31"/>
        <v>33830459</v>
      </c>
      <c r="AH442" s="52">
        <f t="shared" si="34"/>
        <v>24957777.960000001</v>
      </c>
      <c r="AI442" s="6"/>
      <c r="AJ442" s="6"/>
      <c r="AK442" s="6"/>
      <c r="AL442" s="6"/>
      <c r="AM442" s="6"/>
      <c r="AN442" s="6"/>
      <c r="AO442" s="6"/>
      <c r="AP442" s="6"/>
      <c r="AQ442" s="6"/>
      <c r="AR442" s="6"/>
    </row>
    <row r="443" spans="1:44">
      <c r="A443" s="6"/>
      <c r="B443" s="6"/>
      <c r="C443" s="6"/>
      <c r="D443" s="6"/>
      <c r="E443" s="6"/>
      <c r="F443" s="6"/>
      <c r="G443" s="11"/>
      <c r="H443" s="6"/>
      <c r="I443" s="6"/>
      <c r="J443" s="6"/>
      <c r="K443" s="7"/>
      <c r="L443" s="21" t="str">
        <f>микс!$H$11</f>
        <v>продажа под заказ</v>
      </c>
      <c r="M443" s="22"/>
      <c r="N443" s="22"/>
      <c r="O443" s="22" t="s">
        <v>135</v>
      </c>
      <c r="P443" s="23" t="str">
        <f>микс!$H$49</f>
        <v>Товары для детей</v>
      </c>
      <c r="Q443" s="21" t="s">
        <v>133</v>
      </c>
      <c r="R443" s="25">
        <v>1</v>
      </c>
      <c r="S443" s="28"/>
      <c r="T443" s="31">
        <v>42323</v>
      </c>
      <c r="U443" s="33">
        <v>711</v>
      </c>
      <c r="V443" s="36">
        <f t="shared" si="32"/>
        <v>711</v>
      </c>
      <c r="W443" s="28"/>
      <c r="X443" s="31">
        <v>42332</v>
      </c>
      <c r="Y443" s="33">
        <v>740</v>
      </c>
      <c r="Z443" s="189">
        <f t="shared" si="33"/>
        <v>740</v>
      </c>
      <c r="AA443" s="190"/>
      <c r="AB443" s="31">
        <v>42353</v>
      </c>
      <c r="AC443" s="36">
        <v>711</v>
      </c>
      <c r="AD443" s="8"/>
      <c r="AE443" s="6"/>
      <c r="AF443" s="52">
        <f t="shared" si="30"/>
        <v>30091653</v>
      </c>
      <c r="AG443" s="25">
        <f t="shared" si="31"/>
        <v>31325680</v>
      </c>
      <c r="AH443" s="52">
        <f t="shared" si="34"/>
        <v>30112983</v>
      </c>
      <c r="AI443" s="6"/>
      <c r="AJ443" s="6"/>
      <c r="AK443" s="6"/>
      <c r="AL443" s="6"/>
      <c r="AM443" s="6"/>
      <c r="AN443" s="6"/>
      <c r="AO443" s="6"/>
      <c r="AP443" s="6"/>
      <c r="AQ443" s="6"/>
      <c r="AR443" s="6"/>
    </row>
    <row r="444" spans="1:44">
      <c r="A444" s="6"/>
      <c r="B444" s="6"/>
      <c r="C444" s="6"/>
      <c r="D444" s="6"/>
      <c r="E444" s="6"/>
      <c r="F444" s="6"/>
      <c r="G444" s="11"/>
      <c r="H444" s="6"/>
      <c r="I444" s="6"/>
      <c r="J444" s="6"/>
      <c r="K444" s="7"/>
      <c r="L444" s="21" t="str">
        <f>микс!$H$11</f>
        <v>продажа под заказ</v>
      </c>
      <c r="M444" s="22"/>
      <c r="N444" s="22"/>
      <c r="O444" s="22" t="s">
        <v>138</v>
      </c>
      <c r="P444" s="23" t="str">
        <f>микс!$H$49</f>
        <v>Товары для детей</v>
      </c>
      <c r="Q444" s="21" t="s">
        <v>73</v>
      </c>
      <c r="R444" s="25">
        <v>1</v>
      </c>
      <c r="S444" s="28"/>
      <c r="T444" s="31">
        <v>42335</v>
      </c>
      <c r="U444" s="33">
        <v>4980</v>
      </c>
      <c r="V444" s="36">
        <f t="shared" si="32"/>
        <v>4980</v>
      </c>
      <c r="W444" s="28"/>
      <c r="X444" s="31">
        <v>42338</v>
      </c>
      <c r="Y444" s="33">
        <v>5380</v>
      </c>
      <c r="Z444" s="189">
        <f t="shared" si="33"/>
        <v>5380</v>
      </c>
      <c r="AA444" s="190"/>
      <c r="AB444" s="31"/>
      <c r="AC444" s="36"/>
      <c r="AD444" s="8"/>
      <c r="AE444" s="6"/>
      <c r="AF444" s="52">
        <f t="shared" si="30"/>
        <v>210828300</v>
      </c>
      <c r="AG444" s="25">
        <f t="shared" si="31"/>
        <v>227778440</v>
      </c>
      <c r="AH444" s="52">
        <f t="shared" si="34"/>
        <v>0</v>
      </c>
      <c r="AI444" s="6"/>
      <c r="AJ444" s="6"/>
      <c r="AK444" s="6"/>
      <c r="AL444" s="6"/>
      <c r="AM444" s="6"/>
      <c r="AN444" s="6"/>
      <c r="AO444" s="6"/>
      <c r="AP444" s="6"/>
      <c r="AQ444" s="6"/>
      <c r="AR444" s="6"/>
    </row>
    <row r="445" spans="1:44">
      <c r="A445" s="6"/>
      <c r="B445" s="6"/>
      <c r="C445" s="6"/>
      <c r="D445" s="6"/>
      <c r="E445" s="6"/>
      <c r="F445" s="6"/>
      <c r="G445" s="11"/>
      <c r="H445" s="6"/>
      <c r="I445" s="6"/>
      <c r="J445" s="6"/>
      <c r="K445" s="7"/>
      <c r="L445" s="21" t="str">
        <f>микс!$H$11</f>
        <v>продажа под заказ</v>
      </c>
      <c r="M445" s="22"/>
      <c r="N445" s="22"/>
      <c r="O445" s="22" t="s">
        <v>138</v>
      </c>
      <c r="P445" s="23" t="str">
        <f>микс!$H$49</f>
        <v>Товары для детей</v>
      </c>
      <c r="Q445" s="21" t="s">
        <v>73</v>
      </c>
      <c r="R445" s="25">
        <v>1</v>
      </c>
      <c r="S445" s="28"/>
      <c r="T445" s="31">
        <v>42323</v>
      </c>
      <c r="U445" s="33">
        <v>4980</v>
      </c>
      <c r="V445" s="36">
        <f t="shared" si="32"/>
        <v>4980</v>
      </c>
      <c r="W445" s="28"/>
      <c r="X445" s="31">
        <v>42334</v>
      </c>
      <c r="Y445" s="33">
        <v>5380</v>
      </c>
      <c r="Z445" s="189">
        <f t="shared" si="33"/>
        <v>5380</v>
      </c>
      <c r="AA445" s="190"/>
      <c r="AB445" s="31"/>
      <c r="AC445" s="36"/>
      <c r="AD445" s="8"/>
      <c r="AE445" s="6"/>
      <c r="AF445" s="52">
        <f t="shared" si="30"/>
        <v>210768540</v>
      </c>
      <c r="AG445" s="25">
        <f t="shared" si="31"/>
        <v>227756920</v>
      </c>
      <c r="AH445" s="52">
        <f t="shared" si="34"/>
        <v>0</v>
      </c>
      <c r="AI445" s="6"/>
      <c r="AJ445" s="6"/>
      <c r="AK445" s="6"/>
      <c r="AL445" s="6"/>
      <c r="AM445" s="6"/>
      <c r="AN445" s="6"/>
      <c r="AO445" s="6"/>
      <c r="AP445" s="6"/>
      <c r="AQ445" s="6"/>
      <c r="AR445" s="6"/>
    </row>
    <row r="446" spans="1:44">
      <c r="A446" s="6"/>
      <c r="B446" s="6"/>
      <c r="C446" s="6"/>
      <c r="D446" s="6"/>
      <c r="E446" s="6"/>
      <c r="F446" s="6"/>
      <c r="G446" s="11"/>
      <c r="H446" s="6"/>
      <c r="I446" s="6"/>
      <c r="J446" s="6"/>
      <c r="K446" s="7"/>
      <c r="L446" s="21" t="str">
        <f>микс!$H$11</f>
        <v>продажа под заказ</v>
      </c>
      <c r="M446" s="22"/>
      <c r="N446" s="22"/>
      <c r="O446" s="22" t="s">
        <v>138</v>
      </c>
      <c r="P446" s="23" t="str">
        <f>микс!$H$49</f>
        <v>Товары для детей</v>
      </c>
      <c r="Q446" s="21" t="s">
        <v>73</v>
      </c>
      <c r="R446" s="25">
        <v>1</v>
      </c>
      <c r="S446" s="28"/>
      <c r="T446" s="31">
        <v>42322</v>
      </c>
      <c r="U446" s="33">
        <v>4980</v>
      </c>
      <c r="V446" s="36">
        <f t="shared" si="32"/>
        <v>4980</v>
      </c>
      <c r="W446" s="28"/>
      <c r="X446" s="31">
        <v>42329</v>
      </c>
      <c r="Y446" s="33">
        <v>5380</v>
      </c>
      <c r="Z446" s="189">
        <f t="shared" si="33"/>
        <v>5380</v>
      </c>
      <c r="AA446" s="190"/>
      <c r="AB446" s="31"/>
      <c r="AC446" s="36"/>
      <c r="AD446" s="8"/>
      <c r="AE446" s="6"/>
      <c r="AF446" s="52">
        <f t="shared" si="30"/>
        <v>210763560</v>
      </c>
      <c r="AG446" s="25">
        <f t="shared" si="31"/>
        <v>227730020</v>
      </c>
      <c r="AH446" s="52">
        <f t="shared" si="34"/>
        <v>0</v>
      </c>
      <c r="AI446" s="6"/>
      <c r="AJ446" s="6"/>
      <c r="AK446" s="6"/>
      <c r="AL446" s="6"/>
      <c r="AM446" s="6"/>
      <c r="AN446" s="6"/>
      <c r="AO446" s="6"/>
      <c r="AP446" s="6"/>
      <c r="AQ446" s="6"/>
      <c r="AR446" s="6"/>
    </row>
    <row r="447" spans="1:44">
      <c r="A447" s="6"/>
      <c r="B447" s="6"/>
      <c r="C447" s="6"/>
      <c r="D447" s="6"/>
      <c r="E447" s="6"/>
      <c r="F447" s="6"/>
      <c r="G447" s="11"/>
      <c r="H447" s="6"/>
      <c r="I447" s="6"/>
      <c r="J447" s="6"/>
      <c r="K447" s="7"/>
      <c r="L447" s="21" t="str">
        <f>микс!$H$11</f>
        <v>продажа под заказ</v>
      </c>
      <c r="M447" s="22"/>
      <c r="N447" s="22"/>
      <c r="O447" s="22" t="s">
        <v>138</v>
      </c>
      <c r="P447" s="23" t="str">
        <f>микс!$H$49</f>
        <v>Товары для детей</v>
      </c>
      <c r="Q447" s="21" t="s">
        <v>73</v>
      </c>
      <c r="R447" s="25">
        <v>1</v>
      </c>
      <c r="S447" s="28"/>
      <c r="T447" s="31">
        <v>42336</v>
      </c>
      <c r="U447" s="33">
        <v>4980</v>
      </c>
      <c r="V447" s="36">
        <f t="shared" si="32"/>
        <v>4980</v>
      </c>
      <c r="W447" s="28"/>
      <c r="X447" s="31">
        <v>42342</v>
      </c>
      <c r="Y447" s="33">
        <v>5187</v>
      </c>
      <c r="Z447" s="189">
        <f t="shared" si="33"/>
        <v>5187</v>
      </c>
      <c r="AA447" s="190"/>
      <c r="AB447" s="31"/>
      <c r="AC447" s="36"/>
      <c r="AD447" s="8"/>
      <c r="AE447" s="6"/>
      <c r="AF447" s="52">
        <f t="shared" si="30"/>
        <v>210833280</v>
      </c>
      <c r="AG447" s="25">
        <f t="shared" si="31"/>
        <v>219627954</v>
      </c>
      <c r="AH447" s="52">
        <f t="shared" si="34"/>
        <v>0</v>
      </c>
      <c r="AI447" s="6"/>
      <c r="AJ447" s="6"/>
      <c r="AK447" s="6"/>
      <c r="AL447" s="6"/>
      <c r="AM447" s="6"/>
      <c r="AN447" s="6"/>
      <c r="AO447" s="6"/>
      <c r="AP447" s="6"/>
      <c r="AQ447" s="6"/>
      <c r="AR447" s="6"/>
    </row>
    <row r="448" spans="1:44">
      <c r="A448" s="6"/>
      <c r="B448" s="6"/>
      <c r="C448" s="6"/>
      <c r="D448" s="6"/>
      <c r="E448" s="6"/>
      <c r="F448" s="6"/>
      <c r="G448" s="11"/>
      <c r="H448" s="6"/>
      <c r="I448" s="6"/>
      <c r="J448" s="6"/>
      <c r="K448" s="7"/>
      <c r="L448" s="21" t="str">
        <f>микс!$H$11</f>
        <v>продажа под заказ</v>
      </c>
      <c r="M448" s="22"/>
      <c r="N448" s="22"/>
      <c r="O448" s="22" t="s">
        <v>138</v>
      </c>
      <c r="P448" s="23" t="str">
        <f>микс!$H$49</f>
        <v>Товары для детей</v>
      </c>
      <c r="Q448" s="21" t="s">
        <v>73</v>
      </c>
      <c r="R448" s="25">
        <v>1</v>
      </c>
      <c r="S448" s="28"/>
      <c r="T448" s="31">
        <v>42332</v>
      </c>
      <c r="U448" s="33">
        <v>4980</v>
      </c>
      <c r="V448" s="36">
        <f t="shared" si="32"/>
        <v>4980</v>
      </c>
      <c r="W448" s="28"/>
      <c r="X448" s="31">
        <v>42339</v>
      </c>
      <c r="Y448" s="33">
        <v>5541</v>
      </c>
      <c r="Z448" s="189">
        <f t="shared" si="33"/>
        <v>5541</v>
      </c>
      <c r="AA448" s="190"/>
      <c r="AB448" s="31">
        <v>42362</v>
      </c>
      <c r="AC448" s="36">
        <v>4980</v>
      </c>
      <c r="AD448" s="8"/>
      <c r="AE448" s="6"/>
      <c r="AF448" s="52">
        <f t="shared" si="30"/>
        <v>210813360</v>
      </c>
      <c r="AG448" s="25">
        <f t="shared" si="31"/>
        <v>234600399</v>
      </c>
      <c r="AH448" s="52">
        <f t="shared" si="34"/>
        <v>210962760</v>
      </c>
      <c r="AI448" s="6"/>
      <c r="AJ448" s="6"/>
      <c r="AK448" s="6"/>
      <c r="AL448" s="6"/>
      <c r="AM448" s="6"/>
      <c r="AN448" s="6"/>
      <c r="AO448" s="6"/>
      <c r="AP448" s="6"/>
      <c r="AQ448" s="6"/>
      <c r="AR448" s="6"/>
    </row>
    <row r="449" spans="1:44">
      <c r="A449" s="6"/>
      <c r="B449" s="6"/>
      <c r="C449" s="6"/>
      <c r="D449" s="6"/>
      <c r="E449" s="6"/>
      <c r="F449" s="6"/>
      <c r="G449" s="11"/>
      <c r="H449" s="6"/>
      <c r="I449" s="6"/>
      <c r="J449" s="6"/>
      <c r="K449" s="7"/>
      <c r="L449" s="21" t="str">
        <f>микс!$H$11</f>
        <v>продажа под заказ</v>
      </c>
      <c r="M449" s="22"/>
      <c r="N449" s="22"/>
      <c r="O449" s="22" t="s">
        <v>148</v>
      </c>
      <c r="P449" s="23" t="str">
        <f>микс!$H$49</f>
        <v>Товары для детей</v>
      </c>
      <c r="Q449" s="21" t="s">
        <v>92</v>
      </c>
      <c r="R449" s="25">
        <v>1</v>
      </c>
      <c r="S449" s="28"/>
      <c r="T449" s="31">
        <v>42325</v>
      </c>
      <c r="U449" s="33">
        <v>808</v>
      </c>
      <c r="V449" s="36">
        <f t="shared" si="32"/>
        <v>808</v>
      </c>
      <c r="W449" s="28"/>
      <c r="X449" s="31">
        <v>42334</v>
      </c>
      <c r="Y449" s="33">
        <v>1270</v>
      </c>
      <c r="Z449" s="189">
        <f t="shared" si="33"/>
        <v>1270</v>
      </c>
      <c r="AA449" s="190"/>
      <c r="AB449" s="31">
        <v>42345</v>
      </c>
      <c r="AC449" s="36">
        <v>808</v>
      </c>
      <c r="AD449" s="8"/>
      <c r="AE449" s="6"/>
      <c r="AF449" s="52">
        <f t="shared" si="30"/>
        <v>34198600</v>
      </c>
      <c r="AG449" s="25">
        <f t="shared" si="31"/>
        <v>53764180</v>
      </c>
      <c r="AH449" s="52">
        <f t="shared" si="34"/>
        <v>34214760</v>
      </c>
      <c r="AI449" s="6"/>
      <c r="AJ449" s="6"/>
      <c r="AK449" s="6"/>
      <c r="AL449" s="6"/>
      <c r="AM449" s="6"/>
      <c r="AN449" s="6"/>
      <c r="AO449" s="6"/>
      <c r="AP449" s="6"/>
      <c r="AQ449" s="6"/>
      <c r="AR449" s="6"/>
    </row>
    <row r="450" spans="1:44">
      <c r="A450" s="6"/>
      <c r="B450" s="6"/>
      <c r="C450" s="6"/>
      <c r="D450" s="6"/>
      <c r="E450" s="6"/>
      <c r="F450" s="6"/>
      <c r="G450" s="11"/>
      <c r="H450" s="6"/>
      <c r="I450" s="6"/>
      <c r="J450" s="6"/>
      <c r="K450" s="7"/>
      <c r="L450" s="21" t="str">
        <f>микс!$H$11</f>
        <v>продажа под заказ</v>
      </c>
      <c r="M450" s="22"/>
      <c r="N450" s="22"/>
      <c r="O450" s="22" t="s">
        <v>148</v>
      </c>
      <c r="P450" s="23" t="str">
        <f>микс!$H$49</f>
        <v>Товары для детей</v>
      </c>
      <c r="Q450" s="21" t="s">
        <v>92</v>
      </c>
      <c r="R450" s="25">
        <v>1</v>
      </c>
      <c r="S450" s="28"/>
      <c r="T450" s="31">
        <v>42300</v>
      </c>
      <c r="U450" s="33">
        <v>808</v>
      </c>
      <c r="V450" s="36">
        <f t="shared" si="32"/>
        <v>808</v>
      </c>
      <c r="W450" s="28"/>
      <c r="X450" s="31">
        <v>42304</v>
      </c>
      <c r="Y450" s="33">
        <v>1187</v>
      </c>
      <c r="Z450" s="189">
        <f t="shared" si="33"/>
        <v>1187</v>
      </c>
      <c r="AA450" s="190"/>
      <c r="AB450" s="31">
        <v>42310</v>
      </c>
      <c r="AC450" s="36">
        <v>808</v>
      </c>
      <c r="AD450" s="8"/>
      <c r="AE450" s="6"/>
      <c r="AF450" s="52">
        <f t="shared" si="30"/>
        <v>34178400</v>
      </c>
      <c r="AG450" s="25">
        <f t="shared" si="31"/>
        <v>50214848</v>
      </c>
      <c r="AH450" s="52">
        <f t="shared" si="34"/>
        <v>34186480</v>
      </c>
      <c r="AI450" s="6"/>
      <c r="AJ450" s="6"/>
      <c r="AK450" s="6"/>
      <c r="AL450" s="6"/>
      <c r="AM450" s="6"/>
      <c r="AN450" s="6"/>
      <c r="AO450" s="6"/>
      <c r="AP450" s="6"/>
      <c r="AQ450" s="6"/>
      <c r="AR450" s="6"/>
    </row>
    <row r="451" spans="1:44">
      <c r="A451" s="6"/>
      <c r="B451" s="6"/>
      <c r="C451" s="6"/>
      <c r="D451" s="6"/>
      <c r="E451" s="6"/>
      <c r="F451" s="6"/>
      <c r="G451" s="11"/>
      <c r="H451" s="6"/>
      <c r="I451" s="6"/>
      <c r="J451" s="6"/>
      <c r="K451" s="7"/>
      <c r="L451" s="21" t="str">
        <f>микс!$H$11</f>
        <v>продажа под заказ</v>
      </c>
      <c r="M451" s="22"/>
      <c r="N451" s="22"/>
      <c r="O451" s="22" t="s">
        <v>146</v>
      </c>
      <c r="P451" s="23" t="str">
        <f>микс!$H$49</f>
        <v>Товары для детей</v>
      </c>
      <c r="Q451" s="21" t="s">
        <v>133</v>
      </c>
      <c r="R451" s="25">
        <v>1</v>
      </c>
      <c r="S451" s="28"/>
      <c r="T451" s="31">
        <v>42320</v>
      </c>
      <c r="U451" s="33">
        <v>748.16</v>
      </c>
      <c r="V451" s="36">
        <f t="shared" si="32"/>
        <v>748.16</v>
      </c>
      <c r="W451" s="28"/>
      <c r="X451" s="31">
        <v>42322</v>
      </c>
      <c r="Y451" s="33">
        <v>1120</v>
      </c>
      <c r="Z451" s="189">
        <f t="shared" si="33"/>
        <v>1120</v>
      </c>
      <c r="AA451" s="190"/>
      <c r="AB451" s="31"/>
      <c r="AC451" s="36"/>
      <c r="AD451" s="8"/>
      <c r="AE451" s="6"/>
      <c r="AF451" s="52">
        <f t="shared" si="30"/>
        <v>31662131.199999999</v>
      </c>
      <c r="AG451" s="25">
        <f t="shared" si="31"/>
        <v>47400640</v>
      </c>
      <c r="AH451" s="52">
        <f t="shared" si="34"/>
        <v>0</v>
      </c>
      <c r="AI451" s="6"/>
      <c r="AJ451" s="6"/>
      <c r="AK451" s="6"/>
      <c r="AL451" s="6"/>
      <c r="AM451" s="6"/>
      <c r="AN451" s="6"/>
      <c r="AO451" s="6"/>
      <c r="AP451" s="6"/>
      <c r="AQ451" s="6"/>
      <c r="AR451" s="6"/>
    </row>
    <row r="452" spans="1:44">
      <c r="A452" s="6"/>
      <c r="B452" s="6"/>
      <c r="C452" s="6"/>
      <c r="D452" s="6"/>
      <c r="E452" s="6"/>
      <c r="F452" s="6"/>
      <c r="G452" s="11"/>
      <c r="H452" s="6"/>
      <c r="I452" s="6"/>
      <c r="J452" s="6"/>
      <c r="K452" s="7"/>
      <c r="L452" s="21" t="str">
        <f>микс!$H$11</f>
        <v>продажа под заказ</v>
      </c>
      <c r="M452" s="22"/>
      <c r="N452" s="22"/>
      <c r="O452" s="22" t="s">
        <v>146</v>
      </c>
      <c r="P452" s="23" t="str">
        <f>микс!$H$49</f>
        <v>Товары для детей</v>
      </c>
      <c r="Q452" s="21" t="s">
        <v>133</v>
      </c>
      <c r="R452" s="25">
        <v>1</v>
      </c>
      <c r="S452" s="28"/>
      <c r="T452" s="31">
        <v>42327</v>
      </c>
      <c r="U452" s="33">
        <v>738</v>
      </c>
      <c r="V452" s="36">
        <f t="shared" si="32"/>
        <v>738</v>
      </c>
      <c r="W452" s="28"/>
      <c r="X452" s="31">
        <v>42332</v>
      </c>
      <c r="Y452" s="33">
        <v>1300</v>
      </c>
      <c r="Z452" s="189">
        <f t="shared" si="33"/>
        <v>1300</v>
      </c>
      <c r="AA452" s="190"/>
      <c r="AB452" s="31">
        <v>42357</v>
      </c>
      <c r="AC452" s="36">
        <v>738</v>
      </c>
      <c r="AD452" s="8"/>
      <c r="AE452" s="6"/>
      <c r="AF452" s="52">
        <f t="shared" si="30"/>
        <v>31237326</v>
      </c>
      <c r="AG452" s="25">
        <f t="shared" si="31"/>
        <v>55031600</v>
      </c>
      <c r="AH452" s="52">
        <f t="shared" si="34"/>
        <v>31259466</v>
      </c>
      <c r="AI452" s="6"/>
      <c r="AJ452" s="6"/>
      <c r="AK452" s="6"/>
      <c r="AL452" s="6"/>
      <c r="AM452" s="6"/>
      <c r="AN452" s="6"/>
      <c r="AO452" s="6"/>
      <c r="AP452" s="6"/>
      <c r="AQ452" s="6"/>
      <c r="AR452" s="6"/>
    </row>
    <row r="453" spans="1:44">
      <c r="A453" s="6"/>
      <c r="B453" s="6"/>
      <c r="C453" s="6"/>
      <c r="D453" s="6"/>
      <c r="E453" s="6"/>
      <c r="F453" s="6"/>
      <c r="G453" s="11"/>
      <c r="H453" s="6"/>
      <c r="I453" s="6"/>
      <c r="J453" s="6"/>
      <c r="K453" s="7"/>
      <c r="L453" s="21" t="str">
        <f>микс!$H$11</f>
        <v>продажа под заказ</v>
      </c>
      <c r="M453" s="22"/>
      <c r="N453" s="22"/>
      <c r="O453" s="22" t="s">
        <v>146</v>
      </c>
      <c r="P453" s="23" t="str">
        <f>микс!$H$49</f>
        <v>Товары для детей</v>
      </c>
      <c r="Q453" s="21" t="s">
        <v>133</v>
      </c>
      <c r="R453" s="25">
        <v>1</v>
      </c>
      <c r="S453" s="28"/>
      <c r="T453" s="31">
        <v>42335</v>
      </c>
      <c r="U453" s="33">
        <v>636.58000000000004</v>
      </c>
      <c r="V453" s="36">
        <f t="shared" si="32"/>
        <v>636.58000000000004</v>
      </c>
      <c r="W453" s="28"/>
      <c r="X453" s="31">
        <v>42342</v>
      </c>
      <c r="Y453" s="33">
        <v>669</v>
      </c>
      <c r="Z453" s="189">
        <f t="shared" si="33"/>
        <v>669</v>
      </c>
      <c r="AA453" s="190"/>
      <c r="AB453" s="31">
        <v>42356</v>
      </c>
      <c r="AC453" s="36">
        <v>636.58000000000004</v>
      </c>
      <c r="AD453" s="8"/>
      <c r="AE453" s="6"/>
      <c r="AF453" s="52">
        <f t="shared" si="30"/>
        <v>26949614.300000001</v>
      </c>
      <c r="AG453" s="25">
        <f t="shared" si="31"/>
        <v>28326798</v>
      </c>
      <c r="AH453" s="52">
        <f t="shared" si="34"/>
        <v>26962982.48</v>
      </c>
      <c r="AI453" s="6"/>
      <c r="AJ453" s="6"/>
      <c r="AK453" s="6"/>
      <c r="AL453" s="6"/>
      <c r="AM453" s="6"/>
      <c r="AN453" s="6"/>
      <c r="AO453" s="6"/>
      <c r="AP453" s="6"/>
      <c r="AQ453" s="6"/>
      <c r="AR453" s="6"/>
    </row>
    <row r="454" spans="1:44">
      <c r="A454" s="6"/>
      <c r="B454" s="6"/>
      <c r="C454" s="6"/>
      <c r="D454" s="6"/>
      <c r="E454" s="6"/>
      <c r="F454" s="6"/>
      <c r="G454" s="11"/>
      <c r="H454" s="6"/>
      <c r="I454" s="6"/>
      <c r="J454" s="6"/>
      <c r="K454" s="7"/>
      <c r="L454" s="21" t="str">
        <f>микс!$H$11</f>
        <v>продажа под заказ</v>
      </c>
      <c r="M454" s="22"/>
      <c r="N454" s="22"/>
      <c r="O454" s="22" t="s">
        <v>146</v>
      </c>
      <c r="P454" s="23" t="str">
        <f>микс!$H$49</f>
        <v>Товары для детей</v>
      </c>
      <c r="Q454" s="21" t="s">
        <v>133</v>
      </c>
      <c r="R454" s="25">
        <v>3</v>
      </c>
      <c r="S454" s="28"/>
      <c r="T454" s="31">
        <v>42337</v>
      </c>
      <c r="U454" s="33">
        <v>636.58000000000004</v>
      </c>
      <c r="V454" s="36">
        <f t="shared" si="32"/>
        <v>1909.7400000000002</v>
      </c>
      <c r="W454" s="28"/>
      <c r="X454" s="31">
        <v>42342</v>
      </c>
      <c r="Y454" s="33">
        <v>669</v>
      </c>
      <c r="Z454" s="189">
        <f t="shared" si="33"/>
        <v>2007</v>
      </c>
      <c r="AA454" s="190"/>
      <c r="AB454" s="31"/>
      <c r="AC454" s="36"/>
      <c r="AD454" s="8"/>
      <c r="AE454" s="6"/>
      <c r="AF454" s="52">
        <f t="shared" si="30"/>
        <v>80852662.38000001</v>
      </c>
      <c r="AG454" s="25">
        <f t="shared" si="31"/>
        <v>84980394</v>
      </c>
      <c r="AH454" s="52">
        <f t="shared" si="34"/>
        <v>0</v>
      </c>
      <c r="AI454" s="6"/>
      <c r="AJ454" s="6"/>
      <c r="AK454" s="6"/>
      <c r="AL454" s="6"/>
      <c r="AM454" s="6"/>
      <c r="AN454" s="6"/>
      <c r="AO454" s="6"/>
      <c r="AP454" s="6"/>
      <c r="AQ454" s="6"/>
      <c r="AR454" s="6"/>
    </row>
    <row r="455" spans="1:44">
      <c r="A455" s="6"/>
      <c r="B455" s="6"/>
      <c r="C455" s="6"/>
      <c r="D455" s="6"/>
      <c r="E455" s="6"/>
      <c r="F455" s="6"/>
      <c r="G455" s="11"/>
      <c r="H455" s="6"/>
      <c r="I455" s="6"/>
      <c r="J455" s="6"/>
      <c r="K455" s="7"/>
      <c r="L455" s="21" t="str">
        <f>микс!$H$11</f>
        <v>продажа под заказ</v>
      </c>
      <c r="M455" s="22"/>
      <c r="N455" s="22"/>
      <c r="O455" s="22" t="s">
        <v>146</v>
      </c>
      <c r="P455" s="23" t="str">
        <f>микс!$H$49</f>
        <v>Товары для детей</v>
      </c>
      <c r="Q455" s="21" t="s">
        <v>133</v>
      </c>
      <c r="R455" s="25">
        <v>2</v>
      </c>
      <c r="S455" s="28"/>
      <c r="T455" s="31">
        <v>42336</v>
      </c>
      <c r="U455" s="33">
        <v>636.58000000000004</v>
      </c>
      <c r="V455" s="36">
        <f t="shared" si="32"/>
        <v>1273.1600000000001</v>
      </c>
      <c r="W455" s="28"/>
      <c r="X455" s="31">
        <v>42342</v>
      </c>
      <c r="Y455" s="33">
        <v>669</v>
      </c>
      <c r="Z455" s="189">
        <f t="shared" si="33"/>
        <v>1338</v>
      </c>
      <c r="AA455" s="190"/>
      <c r="AB455" s="31">
        <v>42366</v>
      </c>
      <c r="AC455" s="36">
        <v>1273.1600000000001</v>
      </c>
      <c r="AD455" s="8"/>
      <c r="AE455" s="6"/>
      <c r="AF455" s="52">
        <f t="shared" si="30"/>
        <v>53900501.760000005</v>
      </c>
      <c r="AG455" s="25">
        <f t="shared" si="31"/>
        <v>56653596</v>
      </c>
      <c r="AH455" s="52">
        <f t="shared" si="34"/>
        <v>53938696.560000002</v>
      </c>
      <c r="AI455" s="6"/>
      <c r="AJ455" s="6"/>
      <c r="AK455" s="6"/>
      <c r="AL455" s="6"/>
      <c r="AM455" s="6"/>
      <c r="AN455" s="6"/>
      <c r="AO455" s="6"/>
      <c r="AP455" s="6"/>
      <c r="AQ455" s="6"/>
      <c r="AR455" s="6"/>
    </row>
    <row r="456" spans="1:44">
      <c r="A456" s="6"/>
      <c r="B456" s="6"/>
      <c r="C456" s="6"/>
      <c r="D456" s="6"/>
      <c r="E456" s="6"/>
      <c r="F456" s="6"/>
      <c r="G456" s="11"/>
      <c r="H456" s="6"/>
      <c r="I456" s="6"/>
      <c r="J456" s="6"/>
      <c r="K456" s="7"/>
      <c r="L456" s="21" t="str">
        <f>микс!$H$11</f>
        <v>продажа под заказ</v>
      </c>
      <c r="M456" s="22"/>
      <c r="N456" s="22"/>
      <c r="O456" s="22" t="s">
        <v>146</v>
      </c>
      <c r="P456" s="23" t="str">
        <f>микс!$H$49</f>
        <v>Товары для детей</v>
      </c>
      <c r="Q456" s="21" t="s">
        <v>133</v>
      </c>
      <c r="R456" s="25">
        <v>1</v>
      </c>
      <c r="S456" s="28"/>
      <c r="T456" s="31">
        <v>42336</v>
      </c>
      <c r="U456" s="33">
        <v>636.58000000000004</v>
      </c>
      <c r="V456" s="36">
        <f t="shared" si="32"/>
        <v>636.58000000000004</v>
      </c>
      <c r="W456" s="28"/>
      <c r="X456" s="31">
        <v>42342</v>
      </c>
      <c r="Y456" s="33">
        <v>669</v>
      </c>
      <c r="Z456" s="189">
        <f t="shared" si="33"/>
        <v>669</v>
      </c>
      <c r="AA456" s="190"/>
      <c r="AB456" s="31">
        <v>42351</v>
      </c>
      <c r="AC456" s="36">
        <v>636.58000000000004</v>
      </c>
      <c r="AD456" s="8"/>
      <c r="AE456" s="6"/>
      <c r="AF456" s="52">
        <f t="shared" si="30"/>
        <v>26950250.880000003</v>
      </c>
      <c r="AG456" s="25">
        <f t="shared" si="31"/>
        <v>28326798</v>
      </c>
      <c r="AH456" s="52">
        <f t="shared" si="34"/>
        <v>26959799.580000002</v>
      </c>
      <c r="AI456" s="6"/>
      <c r="AJ456" s="6"/>
      <c r="AK456" s="6"/>
      <c r="AL456" s="6"/>
      <c r="AM456" s="6"/>
      <c r="AN456" s="6"/>
      <c r="AO456" s="6"/>
      <c r="AP456" s="6"/>
      <c r="AQ456" s="6"/>
      <c r="AR456" s="6"/>
    </row>
    <row r="457" spans="1:44">
      <c r="A457" s="6"/>
      <c r="B457" s="6"/>
      <c r="C457" s="6"/>
      <c r="D457" s="6"/>
      <c r="E457" s="6"/>
      <c r="F457" s="6"/>
      <c r="G457" s="11"/>
      <c r="H457" s="6"/>
      <c r="I457" s="6"/>
      <c r="J457" s="6"/>
      <c r="K457" s="7"/>
      <c r="L457" s="21" t="str">
        <f>микс!$H$11</f>
        <v>продажа под заказ</v>
      </c>
      <c r="M457" s="22"/>
      <c r="N457" s="22"/>
      <c r="O457" s="22" t="s">
        <v>146</v>
      </c>
      <c r="P457" s="23" t="str">
        <f>микс!$H$49</f>
        <v>Товары для детей</v>
      </c>
      <c r="Q457" s="21" t="s">
        <v>133</v>
      </c>
      <c r="R457" s="25">
        <v>1</v>
      </c>
      <c r="S457" s="28"/>
      <c r="T457" s="31">
        <v>42337</v>
      </c>
      <c r="U457" s="33">
        <v>636.58000000000004</v>
      </c>
      <c r="V457" s="36">
        <f t="shared" si="32"/>
        <v>636.58000000000004</v>
      </c>
      <c r="W457" s="28"/>
      <c r="X457" s="31">
        <v>42342</v>
      </c>
      <c r="Y457" s="33">
        <v>669</v>
      </c>
      <c r="Z457" s="189">
        <f t="shared" si="33"/>
        <v>669</v>
      </c>
      <c r="AA457" s="190"/>
      <c r="AB457" s="31">
        <v>42359</v>
      </c>
      <c r="AC457" s="36">
        <v>636.58000000000004</v>
      </c>
      <c r="AD457" s="8"/>
      <c r="AE457" s="6"/>
      <c r="AF457" s="52">
        <f t="shared" ref="AF457:AF520" si="35">T457*V457</f>
        <v>26950887.460000001</v>
      </c>
      <c r="AG457" s="25">
        <f t="shared" ref="AG457:AG520" si="36">X457*Z457</f>
        <v>28326798</v>
      </c>
      <c r="AH457" s="52">
        <f t="shared" si="34"/>
        <v>26964892.220000003</v>
      </c>
      <c r="AI457" s="6"/>
      <c r="AJ457" s="6"/>
      <c r="AK457" s="6"/>
      <c r="AL457" s="6"/>
      <c r="AM457" s="6"/>
      <c r="AN457" s="6"/>
      <c r="AO457" s="6"/>
      <c r="AP457" s="6"/>
      <c r="AQ457" s="6"/>
      <c r="AR457" s="6"/>
    </row>
    <row r="458" spans="1:44">
      <c r="A458" s="6"/>
      <c r="B458" s="6"/>
      <c r="C458" s="6"/>
      <c r="D458" s="6"/>
      <c r="E458" s="6"/>
      <c r="F458" s="6"/>
      <c r="G458" s="11"/>
      <c r="H458" s="6"/>
      <c r="I458" s="6"/>
      <c r="J458" s="6"/>
      <c r="K458" s="7"/>
      <c r="L458" s="21" t="str">
        <f>микс!$H$11</f>
        <v>продажа под заказ</v>
      </c>
      <c r="M458" s="22"/>
      <c r="N458" s="22"/>
      <c r="O458" s="22" t="s">
        <v>146</v>
      </c>
      <c r="P458" s="23" t="str">
        <f>микс!$H$49</f>
        <v>Товары для детей</v>
      </c>
      <c r="Q458" s="21" t="s">
        <v>133</v>
      </c>
      <c r="R458" s="25">
        <v>3</v>
      </c>
      <c r="S458" s="28"/>
      <c r="T458" s="31">
        <v>42337</v>
      </c>
      <c r="U458" s="33">
        <v>636.58000000000004</v>
      </c>
      <c r="V458" s="36">
        <f t="shared" ref="V458:V521" si="37">$R458*U458</f>
        <v>1909.7400000000002</v>
      </c>
      <c r="W458" s="28"/>
      <c r="X458" s="31">
        <v>42351</v>
      </c>
      <c r="Y458" s="33">
        <v>669</v>
      </c>
      <c r="Z458" s="189">
        <f t="shared" ref="Z458:Z521" si="38">$R458*Y458</f>
        <v>2007</v>
      </c>
      <c r="AA458" s="190"/>
      <c r="AB458" s="31"/>
      <c r="AC458" s="36"/>
      <c r="AD458" s="8"/>
      <c r="AE458" s="6"/>
      <c r="AF458" s="52">
        <f t="shared" si="35"/>
        <v>80852662.38000001</v>
      </c>
      <c r="AG458" s="25">
        <f t="shared" si="36"/>
        <v>84998457</v>
      </c>
      <c r="AH458" s="52">
        <f t="shared" ref="AH458:AH521" si="39">AB458*AC458</f>
        <v>0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</row>
    <row r="459" spans="1:44">
      <c r="A459" s="6"/>
      <c r="B459" s="6"/>
      <c r="C459" s="6"/>
      <c r="D459" s="6"/>
      <c r="E459" s="6"/>
      <c r="F459" s="6"/>
      <c r="G459" s="11"/>
      <c r="H459" s="6"/>
      <c r="I459" s="6"/>
      <c r="J459" s="6"/>
      <c r="K459" s="7"/>
      <c r="L459" s="21" t="str">
        <f>микс!$H$11</f>
        <v>продажа под заказ</v>
      </c>
      <c r="M459" s="22"/>
      <c r="N459" s="22"/>
      <c r="O459" s="22" t="s">
        <v>146</v>
      </c>
      <c r="P459" s="23" t="str">
        <f>микс!$H$49</f>
        <v>Товары для детей</v>
      </c>
      <c r="Q459" s="21" t="s">
        <v>133</v>
      </c>
      <c r="R459" s="25">
        <v>1</v>
      </c>
      <c r="S459" s="28"/>
      <c r="T459" s="31">
        <v>42337</v>
      </c>
      <c r="U459" s="33">
        <v>636.58000000000004</v>
      </c>
      <c r="V459" s="36">
        <f t="shared" si="37"/>
        <v>636.58000000000004</v>
      </c>
      <c r="W459" s="28"/>
      <c r="X459" s="31">
        <v>42349</v>
      </c>
      <c r="Y459" s="33">
        <v>669</v>
      </c>
      <c r="Z459" s="189">
        <f t="shared" si="38"/>
        <v>669</v>
      </c>
      <c r="AA459" s="190"/>
      <c r="AB459" s="31">
        <v>42342</v>
      </c>
      <c r="AC459" s="36">
        <v>636.58000000000004</v>
      </c>
      <c r="AD459" s="8"/>
      <c r="AE459" s="6"/>
      <c r="AF459" s="52">
        <f t="shared" si="35"/>
        <v>26950887.460000001</v>
      </c>
      <c r="AG459" s="25">
        <f t="shared" si="36"/>
        <v>28331481</v>
      </c>
      <c r="AH459" s="52">
        <f t="shared" si="39"/>
        <v>26954070.360000003</v>
      </c>
      <c r="AI459" s="6"/>
      <c r="AJ459" s="6"/>
      <c r="AK459" s="6"/>
      <c r="AL459" s="6"/>
      <c r="AM459" s="6"/>
      <c r="AN459" s="6"/>
      <c r="AO459" s="6"/>
      <c r="AP459" s="6"/>
      <c r="AQ459" s="6"/>
      <c r="AR459" s="6"/>
    </row>
    <row r="460" spans="1:44">
      <c r="A460" s="6"/>
      <c r="B460" s="6"/>
      <c r="C460" s="6"/>
      <c r="D460" s="6"/>
      <c r="E460" s="6"/>
      <c r="F460" s="6"/>
      <c r="G460" s="11"/>
      <c r="H460" s="6"/>
      <c r="I460" s="6"/>
      <c r="J460" s="6"/>
      <c r="K460" s="7"/>
      <c r="L460" s="21" t="str">
        <f>микс!$H$11</f>
        <v>продажа под заказ</v>
      </c>
      <c r="M460" s="22"/>
      <c r="N460" s="22"/>
      <c r="O460" s="22" t="s">
        <v>146</v>
      </c>
      <c r="P460" s="23" t="str">
        <f>микс!$H$49</f>
        <v>Товары для детей</v>
      </c>
      <c r="Q460" s="21" t="s">
        <v>133</v>
      </c>
      <c r="R460" s="25">
        <v>1</v>
      </c>
      <c r="S460" s="28"/>
      <c r="T460" s="31">
        <v>42336</v>
      </c>
      <c r="U460" s="33">
        <v>636.58000000000004</v>
      </c>
      <c r="V460" s="36">
        <f t="shared" si="37"/>
        <v>636.58000000000004</v>
      </c>
      <c r="W460" s="28"/>
      <c r="X460" s="31">
        <v>42342</v>
      </c>
      <c r="Y460" s="33">
        <v>669</v>
      </c>
      <c r="Z460" s="189">
        <f t="shared" si="38"/>
        <v>669</v>
      </c>
      <c r="AA460" s="190"/>
      <c r="AB460" s="31"/>
      <c r="AC460" s="36"/>
      <c r="AD460" s="8"/>
      <c r="AE460" s="6"/>
      <c r="AF460" s="52">
        <f t="shared" si="35"/>
        <v>26950250.880000003</v>
      </c>
      <c r="AG460" s="25">
        <f t="shared" si="36"/>
        <v>28326798</v>
      </c>
      <c r="AH460" s="52">
        <f t="shared" si="39"/>
        <v>0</v>
      </c>
      <c r="AI460" s="6"/>
      <c r="AJ460" s="6"/>
      <c r="AK460" s="6"/>
      <c r="AL460" s="6"/>
      <c r="AM460" s="6"/>
      <c r="AN460" s="6"/>
      <c r="AO460" s="6"/>
      <c r="AP460" s="6"/>
      <c r="AQ460" s="6"/>
      <c r="AR460" s="6"/>
    </row>
    <row r="461" spans="1:44">
      <c r="A461" s="6"/>
      <c r="B461" s="6"/>
      <c r="C461" s="6"/>
      <c r="D461" s="6"/>
      <c r="E461" s="6"/>
      <c r="F461" s="6"/>
      <c r="G461" s="11"/>
      <c r="H461" s="6"/>
      <c r="I461" s="6"/>
      <c r="J461" s="6"/>
      <c r="K461" s="7"/>
      <c r="L461" s="21" t="str">
        <f>микс!$H$11</f>
        <v>продажа под заказ</v>
      </c>
      <c r="M461" s="22"/>
      <c r="N461" s="22"/>
      <c r="O461" s="22" t="s">
        <v>146</v>
      </c>
      <c r="P461" s="23" t="str">
        <f>микс!$H$49</f>
        <v>Товары для детей</v>
      </c>
      <c r="Q461" s="21" t="s">
        <v>133</v>
      </c>
      <c r="R461" s="25">
        <v>1</v>
      </c>
      <c r="S461" s="28"/>
      <c r="T461" s="31">
        <v>42336</v>
      </c>
      <c r="U461" s="33">
        <v>636.58000000000004</v>
      </c>
      <c r="V461" s="36">
        <f t="shared" si="37"/>
        <v>636.58000000000004</v>
      </c>
      <c r="W461" s="28"/>
      <c r="X461" s="31">
        <v>42341</v>
      </c>
      <c r="Y461" s="33">
        <v>669</v>
      </c>
      <c r="Z461" s="189">
        <f t="shared" si="38"/>
        <v>669</v>
      </c>
      <c r="AA461" s="190"/>
      <c r="AB461" s="31"/>
      <c r="AC461" s="36"/>
      <c r="AD461" s="8"/>
      <c r="AE461" s="6"/>
      <c r="AF461" s="52">
        <f t="shared" si="35"/>
        <v>26950250.880000003</v>
      </c>
      <c r="AG461" s="25">
        <f t="shared" si="36"/>
        <v>28326129</v>
      </c>
      <c r="AH461" s="52">
        <f t="shared" si="39"/>
        <v>0</v>
      </c>
      <c r="AI461" s="6"/>
      <c r="AJ461" s="6"/>
      <c r="AK461" s="6"/>
      <c r="AL461" s="6"/>
      <c r="AM461" s="6"/>
      <c r="AN461" s="6"/>
      <c r="AO461" s="6"/>
      <c r="AP461" s="6"/>
      <c r="AQ461" s="6"/>
      <c r="AR461" s="6"/>
    </row>
    <row r="462" spans="1:44">
      <c r="A462" s="6"/>
      <c r="B462" s="6"/>
      <c r="C462" s="6"/>
      <c r="D462" s="6"/>
      <c r="E462" s="6"/>
      <c r="F462" s="6"/>
      <c r="G462" s="11"/>
      <c r="H462" s="6"/>
      <c r="I462" s="6"/>
      <c r="J462" s="6"/>
      <c r="K462" s="7"/>
      <c r="L462" s="21" t="str">
        <f>микс!$H$11</f>
        <v>продажа под заказ</v>
      </c>
      <c r="M462" s="22"/>
      <c r="N462" s="22"/>
      <c r="O462" s="22" t="s">
        <v>146</v>
      </c>
      <c r="P462" s="23" t="str">
        <f>микс!$H$49</f>
        <v>Товары для детей</v>
      </c>
      <c r="Q462" s="21" t="s">
        <v>133</v>
      </c>
      <c r="R462" s="25">
        <v>1</v>
      </c>
      <c r="S462" s="28"/>
      <c r="T462" s="31">
        <v>42336</v>
      </c>
      <c r="U462" s="33">
        <v>636.58000000000004</v>
      </c>
      <c r="V462" s="36">
        <f t="shared" si="37"/>
        <v>636.58000000000004</v>
      </c>
      <c r="W462" s="28"/>
      <c r="X462" s="31">
        <v>42346</v>
      </c>
      <c r="Y462" s="33">
        <v>669</v>
      </c>
      <c r="Z462" s="189">
        <f t="shared" si="38"/>
        <v>669</v>
      </c>
      <c r="AA462" s="190"/>
      <c r="AB462" s="31">
        <v>42351</v>
      </c>
      <c r="AC462" s="36">
        <v>636.58000000000004</v>
      </c>
      <c r="AD462" s="8"/>
      <c r="AE462" s="6"/>
      <c r="AF462" s="52">
        <f t="shared" si="35"/>
        <v>26950250.880000003</v>
      </c>
      <c r="AG462" s="25">
        <f t="shared" si="36"/>
        <v>28329474</v>
      </c>
      <c r="AH462" s="52">
        <f t="shared" si="39"/>
        <v>26959799.580000002</v>
      </c>
      <c r="AI462" s="6"/>
      <c r="AJ462" s="6"/>
      <c r="AK462" s="6"/>
      <c r="AL462" s="6"/>
      <c r="AM462" s="6"/>
      <c r="AN462" s="6"/>
      <c r="AO462" s="6"/>
      <c r="AP462" s="6"/>
      <c r="AQ462" s="6"/>
      <c r="AR462" s="6"/>
    </row>
    <row r="463" spans="1:44">
      <c r="A463" s="6"/>
      <c r="B463" s="6"/>
      <c r="C463" s="6"/>
      <c r="D463" s="6"/>
      <c r="E463" s="6"/>
      <c r="F463" s="6"/>
      <c r="G463" s="11"/>
      <c r="H463" s="6"/>
      <c r="I463" s="6"/>
      <c r="J463" s="6"/>
      <c r="K463" s="7"/>
      <c r="L463" s="21" t="str">
        <f>микс!$H$11</f>
        <v>продажа под заказ</v>
      </c>
      <c r="M463" s="22"/>
      <c r="N463" s="22"/>
      <c r="O463" s="22" t="s">
        <v>146</v>
      </c>
      <c r="P463" s="23" t="str">
        <f>микс!$H$49</f>
        <v>Товары для детей</v>
      </c>
      <c r="Q463" s="21" t="s">
        <v>133</v>
      </c>
      <c r="R463" s="25">
        <v>1</v>
      </c>
      <c r="S463" s="28"/>
      <c r="T463" s="31">
        <v>42338</v>
      </c>
      <c r="U463" s="33">
        <v>636.58000000000004</v>
      </c>
      <c r="V463" s="36">
        <f t="shared" si="37"/>
        <v>636.58000000000004</v>
      </c>
      <c r="W463" s="28"/>
      <c r="X463" s="31">
        <v>42342</v>
      </c>
      <c r="Y463" s="33">
        <v>669</v>
      </c>
      <c r="Z463" s="189">
        <f t="shared" si="38"/>
        <v>669</v>
      </c>
      <c r="AA463" s="190"/>
      <c r="AB463" s="31"/>
      <c r="AC463" s="36"/>
      <c r="AD463" s="8"/>
      <c r="AE463" s="6"/>
      <c r="AF463" s="52">
        <f t="shared" si="35"/>
        <v>26951524.040000003</v>
      </c>
      <c r="AG463" s="25">
        <f t="shared" si="36"/>
        <v>28326798</v>
      </c>
      <c r="AH463" s="52">
        <f t="shared" si="39"/>
        <v>0</v>
      </c>
      <c r="AI463" s="6"/>
      <c r="AJ463" s="6"/>
      <c r="AK463" s="6"/>
      <c r="AL463" s="6"/>
      <c r="AM463" s="6"/>
      <c r="AN463" s="6"/>
      <c r="AO463" s="6"/>
      <c r="AP463" s="6"/>
      <c r="AQ463" s="6"/>
      <c r="AR463" s="6"/>
    </row>
    <row r="464" spans="1:44">
      <c r="A464" s="6"/>
      <c r="B464" s="6"/>
      <c r="C464" s="6"/>
      <c r="D464" s="6"/>
      <c r="E464" s="6"/>
      <c r="F464" s="6"/>
      <c r="G464" s="11"/>
      <c r="H464" s="6"/>
      <c r="I464" s="6"/>
      <c r="J464" s="6"/>
      <c r="K464" s="7"/>
      <c r="L464" s="21" t="str">
        <f>микс!$H$11</f>
        <v>продажа под заказ</v>
      </c>
      <c r="M464" s="22"/>
      <c r="N464" s="22"/>
      <c r="O464" s="22" t="s">
        <v>146</v>
      </c>
      <c r="P464" s="23" t="str">
        <f>микс!$H$49</f>
        <v>Товары для детей</v>
      </c>
      <c r="Q464" s="21" t="s">
        <v>133</v>
      </c>
      <c r="R464" s="25">
        <v>1</v>
      </c>
      <c r="S464" s="28"/>
      <c r="T464" s="31">
        <v>42338</v>
      </c>
      <c r="U464" s="33">
        <v>636.58000000000004</v>
      </c>
      <c r="V464" s="36">
        <f t="shared" si="37"/>
        <v>636.58000000000004</v>
      </c>
      <c r="W464" s="28"/>
      <c r="X464" s="31">
        <v>42346</v>
      </c>
      <c r="Y464" s="33">
        <v>669</v>
      </c>
      <c r="Z464" s="189">
        <f t="shared" si="38"/>
        <v>669</v>
      </c>
      <c r="AA464" s="190"/>
      <c r="AB464" s="31">
        <v>42358</v>
      </c>
      <c r="AC464" s="36">
        <v>636.58000000000004</v>
      </c>
      <c r="AD464" s="8"/>
      <c r="AE464" s="6"/>
      <c r="AF464" s="52">
        <f t="shared" si="35"/>
        <v>26951524.040000003</v>
      </c>
      <c r="AG464" s="25">
        <f t="shared" si="36"/>
        <v>28329474</v>
      </c>
      <c r="AH464" s="52">
        <f t="shared" si="39"/>
        <v>26964255.640000001</v>
      </c>
      <c r="AI464" s="6"/>
      <c r="AJ464" s="6"/>
      <c r="AK464" s="6"/>
      <c r="AL464" s="6"/>
      <c r="AM464" s="6"/>
      <c r="AN464" s="6"/>
      <c r="AO464" s="6"/>
      <c r="AP464" s="6"/>
      <c r="AQ464" s="6"/>
      <c r="AR464" s="6"/>
    </row>
    <row r="465" spans="1:44">
      <c r="A465" s="6"/>
      <c r="B465" s="6"/>
      <c r="C465" s="6"/>
      <c r="D465" s="6"/>
      <c r="E465" s="6"/>
      <c r="F465" s="6"/>
      <c r="G465" s="11"/>
      <c r="H465" s="6"/>
      <c r="I465" s="6"/>
      <c r="J465" s="6"/>
      <c r="K465" s="7"/>
      <c r="L465" s="21" t="str">
        <f>микс!$H$11</f>
        <v>продажа под заказ</v>
      </c>
      <c r="M465" s="22"/>
      <c r="N465" s="22"/>
      <c r="O465" s="22" t="s">
        <v>146</v>
      </c>
      <c r="P465" s="23" t="str">
        <f>микс!$H$49</f>
        <v>Товары для детей</v>
      </c>
      <c r="Q465" s="21" t="s">
        <v>133</v>
      </c>
      <c r="R465" s="25">
        <v>1</v>
      </c>
      <c r="S465" s="28"/>
      <c r="T465" s="31">
        <v>42336</v>
      </c>
      <c r="U465" s="33">
        <v>636.58000000000004</v>
      </c>
      <c r="V465" s="36">
        <f t="shared" si="37"/>
        <v>636.58000000000004</v>
      </c>
      <c r="W465" s="28"/>
      <c r="X465" s="31">
        <v>42341</v>
      </c>
      <c r="Y465" s="33">
        <v>669</v>
      </c>
      <c r="Z465" s="189">
        <f t="shared" si="38"/>
        <v>669</v>
      </c>
      <c r="AA465" s="190"/>
      <c r="AB465" s="31">
        <v>42366</v>
      </c>
      <c r="AC465" s="36">
        <v>636.58000000000004</v>
      </c>
      <c r="AD465" s="8"/>
      <c r="AE465" s="6"/>
      <c r="AF465" s="52">
        <f t="shared" si="35"/>
        <v>26950250.880000003</v>
      </c>
      <c r="AG465" s="25">
        <f t="shared" si="36"/>
        <v>28326129</v>
      </c>
      <c r="AH465" s="52">
        <f t="shared" si="39"/>
        <v>26969348.280000001</v>
      </c>
      <c r="AI465" s="6"/>
      <c r="AJ465" s="6"/>
      <c r="AK465" s="6"/>
      <c r="AL465" s="6"/>
      <c r="AM465" s="6"/>
      <c r="AN465" s="6"/>
      <c r="AO465" s="6"/>
      <c r="AP465" s="6"/>
      <c r="AQ465" s="6"/>
      <c r="AR465" s="6"/>
    </row>
    <row r="466" spans="1:44">
      <c r="A466" s="6"/>
      <c r="B466" s="6"/>
      <c r="C466" s="6"/>
      <c r="D466" s="6"/>
      <c r="E466" s="6"/>
      <c r="F466" s="6"/>
      <c r="G466" s="11"/>
      <c r="H466" s="6"/>
      <c r="I466" s="6"/>
      <c r="J466" s="6"/>
      <c r="K466" s="7"/>
      <c r="L466" s="21" t="str">
        <f>микс!$H$11</f>
        <v>продажа под заказ</v>
      </c>
      <c r="M466" s="22"/>
      <c r="N466" s="22"/>
      <c r="O466" s="22" t="s">
        <v>151</v>
      </c>
      <c r="P466" s="23" t="str">
        <f>микс!$H$49</f>
        <v>Товары для детей</v>
      </c>
      <c r="Q466" s="21" t="s">
        <v>133</v>
      </c>
      <c r="R466" s="25">
        <v>1</v>
      </c>
      <c r="S466" s="28"/>
      <c r="T466" s="31">
        <v>42306</v>
      </c>
      <c r="U466" s="33">
        <v>1366</v>
      </c>
      <c r="V466" s="36">
        <f t="shared" si="37"/>
        <v>1366</v>
      </c>
      <c r="W466" s="28"/>
      <c r="X466" s="31">
        <v>42308</v>
      </c>
      <c r="Y466" s="33">
        <v>1641</v>
      </c>
      <c r="Z466" s="189">
        <f t="shared" si="38"/>
        <v>1641</v>
      </c>
      <c r="AA466" s="190"/>
      <c r="AB466" s="31">
        <v>42331</v>
      </c>
      <c r="AC466" s="36">
        <v>1366</v>
      </c>
      <c r="AD466" s="8"/>
      <c r="AE466" s="6"/>
      <c r="AF466" s="52">
        <f t="shared" si="35"/>
        <v>57789996</v>
      </c>
      <c r="AG466" s="25">
        <f t="shared" si="36"/>
        <v>69427428</v>
      </c>
      <c r="AH466" s="52">
        <f t="shared" si="39"/>
        <v>57824146</v>
      </c>
      <c r="AI466" s="6"/>
      <c r="AJ466" s="6"/>
      <c r="AK466" s="6"/>
      <c r="AL466" s="6"/>
      <c r="AM466" s="6"/>
      <c r="AN466" s="6"/>
      <c r="AO466" s="6"/>
      <c r="AP466" s="6"/>
      <c r="AQ466" s="6"/>
      <c r="AR466" s="6"/>
    </row>
    <row r="467" spans="1:44">
      <c r="A467" s="6"/>
      <c r="B467" s="6"/>
      <c r="C467" s="6"/>
      <c r="D467" s="6"/>
      <c r="E467" s="6"/>
      <c r="F467" s="6"/>
      <c r="G467" s="11"/>
      <c r="H467" s="6"/>
      <c r="I467" s="6"/>
      <c r="J467" s="6"/>
      <c r="K467" s="7"/>
      <c r="L467" s="21" t="str">
        <f>микс!$H$11</f>
        <v>продажа под заказ</v>
      </c>
      <c r="M467" s="22"/>
      <c r="N467" s="22"/>
      <c r="O467" s="22" t="s">
        <v>151</v>
      </c>
      <c r="P467" s="23" t="str">
        <f>микс!$H$49</f>
        <v>Товары для детей</v>
      </c>
      <c r="Q467" s="21" t="s">
        <v>133</v>
      </c>
      <c r="R467" s="25">
        <v>1</v>
      </c>
      <c r="S467" s="28"/>
      <c r="T467" s="31">
        <v>42304</v>
      </c>
      <c r="U467" s="33">
        <v>1490</v>
      </c>
      <c r="V467" s="36">
        <f t="shared" si="37"/>
        <v>1490</v>
      </c>
      <c r="W467" s="28"/>
      <c r="X467" s="31">
        <v>42307</v>
      </c>
      <c r="Y467" s="33">
        <v>1641</v>
      </c>
      <c r="Z467" s="189">
        <f t="shared" si="38"/>
        <v>1641</v>
      </c>
      <c r="AA467" s="190"/>
      <c r="AB467" s="31">
        <v>42314</v>
      </c>
      <c r="AC467" s="36">
        <v>1490</v>
      </c>
      <c r="AD467" s="8"/>
      <c r="AE467" s="6"/>
      <c r="AF467" s="52">
        <f t="shared" si="35"/>
        <v>63032960</v>
      </c>
      <c r="AG467" s="25">
        <f t="shared" si="36"/>
        <v>69425787</v>
      </c>
      <c r="AH467" s="52">
        <f t="shared" si="39"/>
        <v>63047860</v>
      </c>
      <c r="AI467" s="6"/>
      <c r="AJ467" s="6"/>
      <c r="AK467" s="6"/>
      <c r="AL467" s="6"/>
      <c r="AM467" s="6"/>
      <c r="AN467" s="6"/>
      <c r="AO467" s="6"/>
      <c r="AP467" s="6"/>
      <c r="AQ467" s="6"/>
      <c r="AR467" s="6"/>
    </row>
    <row r="468" spans="1:44">
      <c r="A468" s="6"/>
      <c r="B468" s="6"/>
      <c r="C468" s="6"/>
      <c r="D468" s="6"/>
      <c r="E468" s="6"/>
      <c r="F468" s="6"/>
      <c r="G468" s="11"/>
      <c r="H468" s="6"/>
      <c r="I468" s="6"/>
      <c r="J468" s="6"/>
      <c r="K468" s="7"/>
      <c r="L468" s="21" t="str">
        <f>микс!$H$11</f>
        <v>продажа под заказ</v>
      </c>
      <c r="M468" s="22"/>
      <c r="N468" s="22"/>
      <c r="O468" s="22" t="s">
        <v>151</v>
      </c>
      <c r="P468" s="23" t="str">
        <f>микс!$H$49</f>
        <v>Товары для детей</v>
      </c>
      <c r="Q468" s="21" t="s">
        <v>133</v>
      </c>
      <c r="R468" s="25">
        <v>1</v>
      </c>
      <c r="S468" s="28"/>
      <c r="T468" s="31">
        <v>42326</v>
      </c>
      <c r="U468" s="33">
        <v>1490</v>
      </c>
      <c r="V468" s="36">
        <f t="shared" si="37"/>
        <v>1490</v>
      </c>
      <c r="W468" s="28"/>
      <c r="X468" s="31">
        <v>42328</v>
      </c>
      <c r="Y468" s="33">
        <v>1917</v>
      </c>
      <c r="Z468" s="189">
        <f t="shared" si="38"/>
        <v>1917</v>
      </c>
      <c r="AA468" s="190"/>
      <c r="AB468" s="31"/>
      <c r="AC468" s="36"/>
      <c r="AD468" s="8"/>
      <c r="AE468" s="6"/>
      <c r="AF468" s="52">
        <f t="shared" si="35"/>
        <v>63065740</v>
      </c>
      <c r="AG468" s="25">
        <f t="shared" si="36"/>
        <v>81142776</v>
      </c>
      <c r="AH468" s="52">
        <f t="shared" si="39"/>
        <v>0</v>
      </c>
      <c r="AI468" s="6"/>
      <c r="AJ468" s="6"/>
      <c r="AK468" s="6"/>
      <c r="AL468" s="6"/>
      <c r="AM468" s="6"/>
      <c r="AN468" s="6"/>
      <c r="AO468" s="6"/>
      <c r="AP468" s="6"/>
      <c r="AQ468" s="6"/>
      <c r="AR468" s="6"/>
    </row>
    <row r="469" spans="1:44">
      <c r="A469" s="6"/>
      <c r="B469" s="6"/>
      <c r="C469" s="6"/>
      <c r="D469" s="6"/>
      <c r="E469" s="6"/>
      <c r="F469" s="6"/>
      <c r="G469" s="11"/>
      <c r="H469" s="6"/>
      <c r="I469" s="6"/>
      <c r="J469" s="6"/>
      <c r="K469" s="7"/>
      <c r="L469" s="21" t="str">
        <f>микс!$H$11</f>
        <v>продажа под заказ</v>
      </c>
      <c r="M469" s="22"/>
      <c r="N469" s="22"/>
      <c r="O469" s="22" t="s">
        <v>151</v>
      </c>
      <c r="P469" s="23" t="str">
        <f>микс!$H$49</f>
        <v>Товары для детей</v>
      </c>
      <c r="Q469" s="21" t="s">
        <v>133</v>
      </c>
      <c r="R469" s="25">
        <v>1</v>
      </c>
      <c r="S469" s="28"/>
      <c r="T469" s="31">
        <v>42319</v>
      </c>
      <c r="U469" s="33">
        <v>1490</v>
      </c>
      <c r="V469" s="36">
        <f t="shared" si="37"/>
        <v>1490</v>
      </c>
      <c r="W469" s="28"/>
      <c r="X469" s="31">
        <v>42321</v>
      </c>
      <c r="Y469" s="33">
        <v>1987</v>
      </c>
      <c r="Z469" s="189">
        <f t="shared" si="38"/>
        <v>1987</v>
      </c>
      <c r="AA469" s="190"/>
      <c r="AB469" s="31">
        <v>42341</v>
      </c>
      <c r="AC469" s="36">
        <v>1490</v>
      </c>
      <c r="AD469" s="8"/>
      <c r="AE469" s="6"/>
      <c r="AF469" s="52">
        <f t="shared" si="35"/>
        <v>63055310</v>
      </c>
      <c r="AG469" s="25">
        <f t="shared" si="36"/>
        <v>84091827</v>
      </c>
      <c r="AH469" s="52">
        <f t="shared" si="39"/>
        <v>63088090</v>
      </c>
      <c r="AI469" s="6"/>
      <c r="AJ469" s="6"/>
      <c r="AK469" s="6"/>
      <c r="AL469" s="6"/>
      <c r="AM469" s="6"/>
      <c r="AN469" s="6"/>
      <c r="AO469" s="6"/>
      <c r="AP469" s="6"/>
      <c r="AQ469" s="6"/>
      <c r="AR469" s="6"/>
    </row>
    <row r="470" spans="1:44">
      <c r="A470" s="6"/>
      <c r="B470" s="6"/>
      <c r="C470" s="6"/>
      <c r="D470" s="6"/>
      <c r="E470" s="6"/>
      <c r="F470" s="6"/>
      <c r="G470" s="11"/>
      <c r="H470" s="6"/>
      <c r="I470" s="6"/>
      <c r="J470" s="6"/>
      <c r="K470" s="7"/>
      <c r="L470" s="21" t="str">
        <f>микс!$H$11</f>
        <v>продажа под заказ</v>
      </c>
      <c r="M470" s="22"/>
      <c r="N470" s="22"/>
      <c r="O470" s="22" t="s">
        <v>151</v>
      </c>
      <c r="P470" s="23" t="str">
        <f>микс!$H$49</f>
        <v>Товары для детей</v>
      </c>
      <c r="Q470" s="21" t="s">
        <v>133</v>
      </c>
      <c r="R470" s="25">
        <v>1</v>
      </c>
      <c r="S470" s="28"/>
      <c r="T470" s="31">
        <v>42316</v>
      </c>
      <c r="U470" s="33">
        <v>1490</v>
      </c>
      <c r="V470" s="36">
        <f t="shared" si="37"/>
        <v>1490</v>
      </c>
      <c r="W470" s="28"/>
      <c r="X470" s="31">
        <v>42320</v>
      </c>
      <c r="Y470" s="33">
        <v>2046</v>
      </c>
      <c r="Z470" s="189">
        <f t="shared" si="38"/>
        <v>2046</v>
      </c>
      <c r="AA470" s="190"/>
      <c r="AB470" s="31">
        <v>42348</v>
      </c>
      <c r="AC470" s="36">
        <v>1490</v>
      </c>
      <c r="AD470" s="8"/>
      <c r="AE470" s="6"/>
      <c r="AF470" s="52">
        <f t="shared" si="35"/>
        <v>63050840</v>
      </c>
      <c r="AG470" s="25">
        <f t="shared" si="36"/>
        <v>86586720</v>
      </c>
      <c r="AH470" s="52">
        <f t="shared" si="39"/>
        <v>63098520</v>
      </c>
      <c r="AI470" s="6"/>
      <c r="AJ470" s="6"/>
      <c r="AK470" s="6"/>
      <c r="AL470" s="6"/>
      <c r="AM470" s="6"/>
      <c r="AN470" s="6"/>
      <c r="AO470" s="6"/>
      <c r="AP470" s="6"/>
      <c r="AQ470" s="6"/>
      <c r="AR470" s="6"/>
    </row>
    <row r="471" spans="1:44">
      <c r="A471" s="6"/>
      <c r="B471" s="6"/>
      <c r="C471" s="6"/>
      <c r="D471" s="6"/>
      <c r="E471" s="6"/>
      <c r="F471" s="6"/>
      <c r="G471" s="11"/>
      <c r="H471" s="6"/>
      <c r="I471" s="6"/>
      <c r="J471" s="6"/>
      <c r="K471" s="7"/>
      <c r="L471" s="21" t="str">
        <f>микс!$H$11</f>
        <v>продажа под заказ</v>
      </c>
      <c r="M471" s="22"/>
      <c r="N471" s="22"/>
      <c r="O471" s="22" t="s">
        <v>136</v>
      </c>
      <c r="P471" s="23" t="str">
        <f>микс!$H$48</f>
        <v>Спортивный инвентарь</v>
      </c>
      <c r="Q471" s="21" t="s">
        <v>65</v>
      </c>
      <c r="R471" s="25">
        <v>1</v>
      </c>
      <c r="S471" s="28"/>
      <c r="T471" s="31">
        <v>42317</v>
      </c>
      <c r="U471" s="33">
        <v>432</v>
      </c>
      <c r="V471" s="36">
        <f t="shared" si="37"/>
        <v>432</v>
      </c>
      <c r="W471" s="28"/>
      <c r="X471" s="31">
        <v>42325</v>
      </c>
      <c r="Y471" s="33">
        <v>772</v>
      </c>
      <c r="Z471" s="189">
        <f t="shared" si="38"/>
        <v>772</v>
      </c>
      <c r="AA471" s="190"/>
      <c r="AB471" s="31">
        <v>42362</v>
      </c>
      <c r="AC471" s="36">
        <v>432</v>
      </c>
      <c r="AD471" s="8"/>
      <c r="AE471" s="6"/>
      <c r="AF471" s="52">
        <f t="shared" si="35"/>
        <v>18280944</v>
      </c>
      <c r="AG471" s="25">
        <f t="shared" si="36"/>
        <v>32674900</v>
      </c>
      <c r="AH471" s="52">
        <f t="shared" si="39"/>
        <v>18300384</v>
      </c>
      <c r="AI471" s="6"/>
      <c r="AJ471" s="6"/>
      <c r="AK471" s="6"/>
      <c r="AL471" s="6"/>
      <c r="AM471" s="6"/>
      <c r="AN471" s="6"/>
      <c r="AO471" s="6"/>
      <c r="AP471" s="6"/>
      <c r="AQ471" s="6"/>
      <c r="AR471" s="6"/>
    </row>
    <row r="472" spans="1:44">
      <c r="A472" s="6"/>
      <c r="B472" s="6"/>
      <c r="C472" s="6"/>
      <c r="D472" s="6"/>
      <c r="E472" s="6"/>
      <c r="F472" s="6"/>
      <c r="G472" s="11"/>
      <c r="H472" s="6"/>
      <c r="I472" s="6"/>
      <c r="J472" s="6"/>
      <c r="K472" s="7"/>
      <c r="L472" s="21" t="str">
        <f>микс!$H$11</f>
        <v>продажа под заказ</v>
      </c>
      <c r="M472" s="22"/>
      <c r="N472" s="22"/>
      <c r="O472" s="22" t="s">
        <v>136</v>
      </c>
      <c r="P472" s="23" t="str">
        <f>микс!$H$48</f>
        <v>Спортивный инвентарь</v>
      </c>
      <c r="Q472" s="21" t="s">
        <v>93</v>
      </c>
      <c r="R472" s="25">
        <v>1</v>
      </c>
      <c r="S472" s="28"/>
      <c r="T472" s="31">
        <v>42309</v>
      </c>
      <c r="U472" s="33">
        <v>459.2</v>
      </c>
      <c r="V472" s="36">
        <f t="shared" si="37"/>
        <v>459.2</v>
      </c>
      <c r="W472" s="28"/>
      <c r="X472" s="31">
        <v>42315</v>
      </c>
      <c r="Y472" s="33">
        <v>580</v>
      </c>
      <c r="Z472" s="189">
        <f t="shared" si="38"/>
        <v>580</v>
      </c>
      <c r="AA472" s="190"/>
      <c r="AB472" s="31">
        <v>42347</v>
      </c>
      <c r="AC472" s="36">
        <v>459.2</v>
      </c>
      <c r="AD472" s="8"/>
      <c r="AE472" s="6"/>
      <c r="AF472" s="52">
        <f t="shared" si="35"/>
        <v>19428292.800000001</v>
      </c>
      <c r="AG472" s="25">
        <f t="shared" si="36"/>
        <v>24542700</v>
      </c>
      <c r="AH472" s="52">
        <f t="shared" si="39"/>
        <v>19445742.399999999</v>
      </c>
      <c r="AI472" s="6"/>
      <c r="AJ472" s="6"/>
      <c r="AK472" s="6"/>
      <c r="AL472" s="6"/>
      <c r="AM472" s="6"/>
      <c r="AN472" s="6"/>
      <c r="AO472" s="6"/>
      <c r="AP472" s="6"/>
      <c r="AQ472" s="6"/>
      <c r="AR472" s="6"/>
    </row>
    <row r="473" spans="1:44">
      <c r="A473" s="6"/>
      <c r="B473" s="6"/>
      <c r="C473" s="6"/>
      <c r="D473" s="6"/>
      <c r="E473" s="6"/>
      <c r="F473" s="6"/>
      <c r="G473" s="11"/>
      <c r="H473" s="6"/>
      <c r="I473" s="6"/>
      <c r="J473" s="6"/>
      <c r="K473" s="7"/>
      <c r="L473" s="21" t="str">
        <f>микс!$H$11</f>
        <v>продажа под заказ</v>
      </c>
      <c r="M473" s="22"/>
      <c r="N473" s="22"/>
      <c r="O473" s="22" t="s">
        <v>136</v>
      </c>
      <c r="P473" s="23" t="str">
        <f>микс!$H$48</f>
        <v>Спортивный инвентарь</v>
      </c>
      <c r="Q473" s="21" t="s">
        <v>93</v>
      </c>
      <c r="R473" s="25">
        <v>1</v>
      </c>
      <c r="S473" s="28"/>
      <c r="T473" s="31">
        <v>42307</v>
      </c>
      <c r="U473" s="33">
        <v>436.8</v>
      </c>
      <c r="V473" s="36">
        <f t="shared" si="37"/>
        <v>436.8</v>
      </c>
      <c r="W473" s="28"/>
      <c r="X473" s="31">
        <v>42313</v>
      </c>
      <c r="Y473" s="33">
        <v>706</v>
      </c>
      <c r="Z473" s="189">
        <f t="shared" si="38"/>
        <v>706</v>
      </c>
      <c r="AA473" s="190"/>
      <c r="AB473" s="31"/>
      <c r="AC473" s="36"/>
      <c r="AD473" s="8"/>
      <c r="AE473" s="6"/>
      <c r="AF473" s="52">
        <f t="shared" si="35"/>
        <v>18479697.600000001</v>
      </c>
      <c r="AG473" s="25">
        <f t="shared" si="36"/>
        <v>29872978</v>
      </c>
      <c r="AH473" s="52">
        <f t="shared" si="39"/>
        <v>0</v>
      </c>
      <c r="AI473" s="6"/>
      <c r="AJ473" s="6"/>
      <c r="AK473" s="6"/>
      <c r="AL473" s="6"/>
      <c r="AM473" s="6"/>
      <c r="AN473" s="6"/>
      <c r="AO473" s="6"/>
      <c r="AP473" s="6"/>
      <c r="AQ473" s="6"/>
      <c r="AR473" s="6"/>
    </row>
    <row r="474" spans="1:44">
      <c r="A474" s="6"/>
      <c r="B474" s="6"/>
      <c r="C474" s="6"/>
      <c r="D474" s="6"/>
      <c r="E474" s="6"/>
      <c r="F474" s="6"/>
      <c r="G474" s="11"/>
      <c r="H474" s="6"/>
      <c r="I474" s="6"/>
      <c r="J474" s="6"/>
      <c r="K474" s="7"/>
      <c r="L474" s="21" t="str">
        <f>микс!$H$11</f>
        <v>продажа под заказ</v>
      </c>
      <c r="M474" s="22"/>
      <c r="N474" s="22"/>
      <c r="O474" s="22" t="s">
        <v>145</v>
      </c>
      <c r="P474" s="23" t="str">
        <f>микс!$H$46</f>
        <v>Электроника и бытовая техника</v>
      </c>
      <c r="Q474" s="21" t="s">
        <v>58</v>
      </c>
      <c r="R474" s="25">
        <v>2</v>
      </c>
      <c r="S474" s="28"/>
      <c r="T474" s="31">
        <v>42324</v>
      </c>
      <c r="U474" s="33">
        <v>3908.88</v>
      </c>
      <c r="V474" s="36">
        <f t="shared" si="37"/>
        <v>7817.76</v>
      </c>
      <c r="W474" s="28"/>
      <c r="X474" s="31">
        <v>42327</v>
      </c>
      <c r="Y474" s="33">
        <v>4600</v>
      </c>
      <c r="Z474" s="189">
        <f t="shared" si="38"/>
        <v>9200</v>
      </c>
      <c r="AA474" s="190"/>
      <c r="AB474" s="31">
        <v>42334</v>
      </c>
      <c r="AC474" s="36">
        <v>7817.76</v>
      </c>
      <c r="AD474" s="8"/>
      <c r="AE474" s="6"/>
      <c r="AF474" s="52">
        <f t="shared" si="35"/>
        <v>330878874.24000001</v>
      </c>
      <c r="AG474" s="25">
        <f t="shared" si="36"/>
        <v>389408400</v>
      </c>
      <c r="AH474" s="52">
        <f t="shared" si="39"/>
        <v>330957051.84000003</v>
      </c>
      <c r="AI474" s="6"/>
      <c r="AJ474" s="6"/>
      <c r="AK474" s="6"/>
      <c r="AL474" s="6"/>
      <c r="AM474" s="6"/>
      <c r="AN474" s="6"/>
      <c r="AO474" s="6"/>
      <c r="AP474" s="6"/>
      <c r="AQ474" s="6"/>
      <c r="AR474" s="6"/>
    </row>
    <row r="475" spans="1:44">
      <c r="A475" s="6"/>
      <c r="B475" s="6"/>
      <c r="C475" s="6"/>
      <c r="D475" s="6"/>
      <c r="E475" s="6"/>
      <c r="F475" s="6"/>
      <c r="G475" s="11"/>
      <c r="H475" s="6"/>
      <c r="I475" s="6"/>
      <c r="J475" s="6"/>
      <c r="K475" s="7"/>
      <c r="L475" s="21" t="str">
        <f>микс!$H$10</f>
        <v>продажа со склада</v>
      </c>
      <c r="M475" s="22"/>
      <c r="N475" s="22"/>
      <c r="O475" s="22" t="s">
        <v>128</v>
      </c>
      <c r="P475" s="23" t="str">
        <f>микс!$H$50</f>
        <v>Одежда и обувь</v>
      </c>
      <c r="Q475" s="21" t="s">
        <v>94</v>
      </c>
      <c r="R475" s="25">
        <v>1</v>
      </c>
      <c r="S475" s="28"/>
      <c r="T475" s="31">
        <v>42240</v>
      </c>
      <c r="U475" s="33">
        <v>16189.59</v>
      </c>
      <c r="V475" s="36">
        <f t="shared" si="37"/>
        <v>16189.59</v>
      </c>
      <c r="W475" s="28"/>
      <c r="X475" s="31">
        <v>42317</v>
      </c>
      <c r="Y475" s="33">
        <v>25903</v>
      </c>
      <c r="Z475" s="189">
        <f t="shared" si="38"/>
        <v>25903</v>
      </c>
      <c r="AA475" s="190"/>
      <c r="AB475" s="31">
        <v>42260</v>
      </c>
      <c r="AC475" s="36">
        <v>16189.59</v>
      </c>
      <c r="AD475" s="8"/>
      <c r="AE475" s="6"/>
      <c r="AF475" s="52">
        <f t="shared" si="35"/>
        <v>683848281.60000002</v>
      </c>
      <c r="AG475" s="25">
        <f t="shared" si="36"/>
        <v>1096137251</v>
      </c>
      <c r="AH475" s="52">
        <f t="shared" si="39"/>
        <v>684172073.39999998</v>
      </c>
      <c r="AI475" s="6"/>
      <c r="AJ475" s="6"/>
      <c r="AK475" s="6"/>
      <c r="AL475" s="6"/>
      <c r="AM475" s="6"/>
      <c r="AN475" s="6"/>
      <c r="AO475" s="6"/>
      <c r="AP475" s="6"/>
      <c r="AQ475" s="6"/>
      <c r="AR475" s="6"/>
    </row>
    <row r="476" spans="1:44">
      <c r="A476" s="6"/>
      <c r="B476" s="6"/>
      <c r="C476" s="6"/>
      <c r="D476" s="6"/>
      <c r="E476" s="6"/>
      <c r="F476" s="6"/>
      <c r="G476" s="11"/>
      <c r="H476" s="6"/>
      <c r="I476" s="6"/>
      <c r="J476" s="6"/>
      <c r="K476" s="7"/>
      <c r="L476" s="21" t="str">
        <f>микс!$H$10</f>
        <v>продажа со склада</v>
      </c>
      <c r="M476" s="22"/>
      <c r="N476" s="22"/>
      <c r="O476" s="22" t="s">
        <v>128</v>
      </c>
      <c r="P476" s="23" t="str">
        <f>микс!$H$50</f>
        <v>Одежда и обувь</v>
      </c>
      <c r="Q476" s="21" t="s">
        <v>94</v>
      </c>
      <c r="R476" s="25">
        <v>1</v>
      </c>
      <c r="S476" s="28"/>
      <c r="T476" s="31">
        <v>42253</v>
      </c>
      <c r="U476" s="33">
        <v>16189.59</v>
      </c>
      <c r="V476" s="36">
        <f t="shared" si="37"/>
        <v>16189.59</v>
      </c>
      <c r="W476" s="28"/>
      <c r="X476" s="31">
        <v>42338</v>
      </c>
      <c r="Y476" s="33">
        <v>35430</v>
      </c>
      <c r="Z476" s="189">
        <f t="shared" si="38"/>
        <v>35430</v>
      </c>
      <c r="AA476" s="190"/>
      <c r="AB476" s="31">
        <v>42283</v>
      </c>
      <c r="AC476" s="36">
        <v>16189.59</v>
      </c>
      <c r="AD476" s="8"/>
      <c r="AE476" s="6"/>
      <c r="AF476" s="52">
        <f t="shared" si="35"/>
        <v>684058746.26999998</v>
      </c>
      <c r="AG476" s="25">
        <f t="shared" si="36"/>
        <v>1500035340</v>
      </c>
      <c r="AH476" s="52">
        <f t="shared" si="39"/>
        <v>684544433.97000003</v>
      </c>
      <c r="AI476" s="6"/>
      <c r="AJ476" s="6"/>
      <c r="AK476" s="6"/>
      <c r="AL476" s="6"/>
      <c r="AM476" s="6"/>
      <c r="AN476" s="6"/>
      <c r="AO476" s="6"/>
      <c r="AP476" s="6"/>
      <c r="AQ476" s="6"/>
      <c r="AR476" s="6"/>
    </row>
    <row r="477" spans="1:44">
      <c r="A477" s="6"/>
      <c r="B477" s="6"/>
      <c r="C477" s="6"/>
      <c r="D477" s="6"/>
      <c r="E477" s="6"/>
      <c r="F477" s="6"/>
      <c r="G477" s="11"/>
      <c r="H477" s="6"/>
      <c r="I477" s="6"/>
      <c r="J477" s="6"/>
      <c r="K477" s="7"/>
      <c r="L477" s="21" t="str">
        <f>микс!$H$11</f>
        <v>продажа под заказ</v>
      </c>
      <c r="M477" s="22"/>
      <c r="N477" s="22"/>
      <c r="O477" s="22" t="s">
        <v>139</v>
      </c>
      <c r="P477" s="23" t="str">
        <f>микс!$H$49</f>
        <v>Товары для детей</v>
      </c>
      <c r="Q477" s="21" t="s">
        <v>73</v>
      </c>
      <c r="R477" s="25">
        <v>1</v>
      </c>
      <c r="S477" s="28"/>
      <c r="T477" s="31">
        <v>42337</v>
      </c>
      <c r="U477" s="33">
        <v>3967.36</v>
      </c>
      <c r="V477" s="36">
        <f t="shared" si="37"/>
        <v>3967.36</v>
      </c>
      <c r="W477" s="28"/>
      <c r="X477" s="31">
        <v>42342</v>
      </c>
      <c r="Y477" s="33">
        <v>4236</v>
      </c>
      <c r="Z477" s="189">
        <f t="shared" si="38"/>
        <v>4236</v>
      </c>
      <c r="AA477" s="190"/>
      <c r="AB477" s="31">
        <v>42367</v>
      </c>
      <c r="AC477" s="36">
        <v>3967.36</v>
      </c>
      <c r="AD477" s="8"/>
      <c r="AE477" s="6"/>
      <c r="AF477" s="52">
        <f t="shared" si="35"/>
        <v>167966120.31999999</v>
      </c>
      <c r="AG477" s="25">
        <f t="shared" si="36"/>
        <v>179360712</v>
      </c>
      <c r="AH477" s="52">
        <f t="shared" si="39"/>
        <v>168085141.12</v>
      </c>
      <c r="AI477" s="6"/>
      <c r="AJ477" s="6"/>
      <c r="AK477" s="6"/>
      <c r="AL477" s="6"/>
      <c r="AM477" s="6"/>
      <c r="AN477" s="6"/>
      <c r="AO477" s="6"/>
      <c r="AP477" s="6"/>
      <c r="AQ477" s="6"/>
      <c r="AR477" s="6"/>
    </row>
    <row r="478" spans="1:44">
      <c r="A478" s="6"/>
      <c r="B478" s="6"/>
      <c r="C478" s="6"/>
      <c r="D478" s="6"/>
      <c r="E478" s="6"/>
      <c r="F478" s="6"/>
      <c r="G478" s="11"/>
      <c r="H478" s="6"/>
      <c r="I478" s="6"/>
      <c r="J478" s="6"/>
      <c r="K478" s="7"/>
      <c r="L478" s="21" t="str">
        <f>микс!$H$11</f>
        <v>продажа под заказ</v>
      </c>
      <c r="M478" s="22"/>
      <c r="N478" s="22"/>
      <c r="O478" s="22" t="s">
        <v>139</v>
      </c>
      <c r="P478" s="23" t="str">
        <f>микс!$H$49</f>
        <v>Товары для детей</v>
      </c>
      <c r="Q478" s="21" t="s">
        <v>73</v>
      </c>
      <c r="R478" s="25">
        <v>1</v>
      </c>
      <c r="S478" s="28"/>
      <c r="T478" s="31">
        <v>42338</v>
      </c>
      <c r="U478" s="33">
        <v>3967.36</v>
      </c>
      <c r="V478" s="36">
        <f t="shared" si="37"/>
        <v>3967.36</v>
      </c>
      <c r="W478" s="28"/>
      <c r="X478" s="31">
        <v>42343</v>
      </c>
      <c r="Y478" s="33">
        <v>4236</v>
      </c>
      <c r="Z478" s="189">
        <f t="shared" si="38"/>
        <v>4236</v>
      </c>
      <c r="AA478" s="190"/>
      <c r="AB478" s="31"/>
      <c r="AC478" s="36"/>
      <c r="AD478" s="8"/>
      <c r="AE478" s="6"/>
      <c r="AF478" s="52">
        <f t="shared" si="35"/>
        <v>167970087.68000001</v>
      </c>
      <c r="AG478" s="25">
        <f t="shared" si="36"/>
        <v>179364948</v>
      </c>
      <c r="AH478" s="52">
        <f t="shared" si="39"/>
        <v>0</v>
      </c>
      <c r="AI478" s="6"/>
      <c r="AJ478" s="6"/>
      <c r="AK478" s="6"/>
      <c r="AL478" s="6"/>
      <c r="AM478" s="6"/>
      <c r="AN478" s="6"/>
      <c r="AO478" s="6"/>
      <c r="AP478" s="6"/>
      <c r="AQ478" s="6"/>
      <c r="AR478" s="6"/>
    </row>
    <row r="479" spans="1:44">
      <c r="A479" s="6"/>
      <c r="B479" s="6"/>
      <c r="C479" s="6"/>
      <c r="D479" s="6"/>
      <c r="E479" s="6"/>
      <c r="F479" s="6"/>
      <c r="G479" s="11"/>
      <c r="H479" s="6"/>
      <c r="I479" s="6"/>
      <c r="J479" s="6"/>
      <c r="K479" s="7"/>
      <c r="L479" s="21" t="str">
        <f>микс!$H$11</f>
        <v>продажа под заказ</v>
      </c>
      <c r="M479" s="22"/>
      <c r="N479" s="22"/>
      <c r="O479" s="22" t="s">
        <v>139</v>
      </c>
      <c r="P479" s="23" t="str">
        <f>микс!$H$49</f>
        <v>Товары для детей</v>
      </c>
      <c r="Q479" s="21" t="s">
        <v>73</v>
      </c>
      <c r="R479" s="25">
        <v>1</v>
      </c>
      <c r="S479" s="28"/>
      <c r="T479" s="31">
        <v>42338</v>
      </c>
      <c r="U479" s="33">
        <v>3967.36</v>
      </c>
      <c r="V479" s="36">
        <f t="shared" si="37"/>
        <v>3967.36</v>
      </c>
      <c r="W479" s="28"/>
      <c r="X479" s="31">
        <v>42342</v>
      </c>
      <c r="Y479" s="33">
        <v>4236</v>
      </c>
      <c r="Z479" s="189">
        <f t="shared" si="38"/>
        <v>4236</v>
      </c>
      <c r="AA479" s="190"/>
      <c r="AB479" s="31"/>
      <c r="AC479" s="36"/>
      <c r="AD479" s="8"/>
      <c r="AE479" s="6"/>
      <c r="AF479" s="52">
        <f t="shared" si="35"/>
        <v>167970087.68000001</v>
      </c>
      <c r="AG479" s="25">
        <f t="shared" si="36"/>
        <v>179360712</v>
      </c>
      <c r="AH479" s="52">
        <f t="shared" si="39"/>
        <v>0</v>
      </c>
      <c r="AI479" s="6"/>
      <c r="AJ479" s="6"/>
      <c r="AK479" s="6"/>
      <c r="AL479" s="6"/>
      <c r="AM479" s="6"/>
      <c r="AN479" s="6"/>
      <c r="AO479" s="6"/>
      <c r="AP479" s="6"/>
      <c r="AQ479" s="6"/>
      <c r="AR479" s="6"/>
    </row>
    <row r="480" spans="1:44">
      <c r="A480" s="6"/>
      <c r="B480" s="6"/>
      <c r="C480" s="6"/>
      <c r="D480" s="6"/>
      <c r="E480" s="6"/>
      <c r="F480" s="6"/>
      <c r="G480" s="11"/>
      <c r="H480" s="6"/>
      <c r="I480" s="6"/>
      <c r="J480" s="6"/>
      <c r="K480" s="7"/>
      <c r="L480" s="21" t="str">
        <f>микс!$H$11</f>
        <v>продажа под заказ</v>
      </c>
      <c r="M480" s="22"/>
      <c r="N480" s="22"/>
      <c r="O480" s="22" t="s">
        <v>138</v>
      </c>
      <c r="P480" s="23" t="str">
        <f>микс!$H$49</f>
        <v>Товары для детей</v>
      </c>
      <c r="Q480" s="21" t="s">
        <v>59</v>
      </c>
      <c r="R480" s="25">
        <v>1</v>
      </c>
      <c r="S480" s="28"/>
      <c r="T480" s="31">
        <v>42332</v>
      </c>
      <c r="U480" s="33">
        <v>2900</v>
      </c>
      <c r="V480" s="36">
        <f t="shared" si="37"/>
        <v>2900</v>
      </c>
      <c r="W480" s="28"/>
      <c r="X480" s="31">
        <v>42339</v>
      </c>
      <c r="Y480" s="33">
        <v>3104</v>
      </c>
      <c r="Z480" s="189">
        <f t="shared" si="38"/>
        <v>3104</v>
      </c>
      <c r="AA480" s="190"/>
      <c r="AB480" s="31"/>
      <c r="AC480" s="36"/>
      <c r="AD480" s="8"/>
      <c r="AE480" s="6"/>
      <c r="AF480" s="52">
        <f t="shared" si="35"/>
        <v>122762800</v>
      </c>
      <c r="AG480" s="25">
        <f t="shared" si="36"/>
        <v>131420256</v>
      </c>
      <c r="AH480" s="52">
        <f t="shared" si="39"/>
        <v>0</v>
      </c>
      <c r="AI480" s="6"/>
      <c r="AJ480" s="6"/>
      <c r="AK480" s="6"/>
      <c r="AL480" s="6"/>
      <c r="AM480" s="6"/>
      <c r="AN480" s="6"/>
      <c r="AO480" s="6"/>
      <c r="AP480" s="6"/>
      <c r="AQ480" s="6"/>
      <c r="AR480" s="6"/>
    </row>
    <row r="481" spans="1:44">
      <c r="A481" s="6"/>
      <c r="B481" s="6"/>
      <c r="C481" s="6"/>
      <c r="D481" s="6"/>
      <c r="E481" s="6"/>
      <c r="F481" s="6"/>
      <c r="G481" s="11"/>
      <c r="H481" s="6"/>
      <c r="I481" s="6"/>
      <c r="J481" s="6"/>
      <c r="K481" s="7"/>
      <c r="L481" s="21" t="str">
        <f>микс!$H$11</f>
        <v>продажа под заказ</v>
      </c>
      <c r="M481" s="22"/>
      <c r="N481" s="22"/>
      <c r="O481" s="22" t="s">
        <v>138</v>
      </c>
      <c r="P481" s="23" t="str">
        <f>микс!$H$49</f>
        <v>Товары для детей</v>
      </c>
      <c r="Q481" s="21" t="s">
        <v>95</v>
      </c>
      <c r="R481" s="25">
        <v>1</v>
      </c>
      <c r="S481" s="28"/>
      <c r="T481" s="31">
        <v>42336</v>
      </c>
      <c r="U481" s="33">
        <v>4900</v>
      </c>
      <c r="V481" s="36">
        <f t="shared" si="37"/>
        <v>4900</v>
      </c>
      <c r="W481" s="28"/>
      <c r="X481" s="31">
        <v>42345</v>
      </c>
      <c r="Y481" s="33">
        <v>5150</v>
      </c>
      <c r="Z481" s="189">
        <f t="shared" si="38"/>
        <v>5150</v>
      </c>
      <c r="AA481" s="190"/>
      <c r="AB481" s="31"/>
      <c r="AC481" s="36"/>
      <c r="AD481" s="8"/>
      <c r="AE481" s="6"/>
      <c r="AF481" s="52">
        <f t="shared" si="35"/>
        <v>207446400</v>
      </c>
      <c r="AG481" s="25">
        <f t="shared" si="36"/>
        <v>218076750</v>
      </c>
      <c r="AH481" s="52">
        <f t="shared" si="39"/>
        <v>0</v>
      </c>
      <c r="AI481" s="6"/>
      <c r="AJ481" s="6"/>
      <c r="AK481" s="6"/>
      <c r="AL481" s="6"/>
      <c r="AM481" s="6"/>
      <c r="AN481" s="6"/>
      <c r="AO481" s="6"/>
      <c r="AP481" s="6"/>
      <c r="AQ481" s="6"/>
      <c r="AR481" s="6"/>
    </row>
    <row r="482" spans="1:44">
      <c r="A482" s="6"/>
      <c r="B482" s="6"/>
      <c r="C482" s="6"/>
      <c r="D482" s="6"/>
      <c r="E482" s="6"/>
      <c r="F482" s="6"/>
      <c r="G482" s="11"/>
      <c r="H482" s="6"/>
      <c r="I482" s="6"/>
      <c r="J482" s="6"/>
      <c r="K482" s="7"/>
      <c r="L482" s="21" t="str">
        <f>микс!$H$10</f>
        <v>продажа со склада</v>
      </c>
      <c r="M482" s="22"/>
      <c r="N482" s="22"/>
      <c r="O482" s="22" t="s">
        <v>149</v>
      </c>
      <c r="P482" s="23" t="str">
        <f>микс!$H$46</f>
        <v>Электроника и бытовая техника</v>
      </c>
      <c r="Q482" s="21" t="s">
        <v>96</v>
      </c>
      <c r="R482" s="25">
        <v>1</v>
      </c>
      <c r="S482" s="28"/>
      <c r="T482" s="31">
        <v>42263</v>
      </c>
      <c r="U482" s="33">
        <v>4117.05</v>
      </c>
      <c r="V482" s="36">
        <f t="shared" si="37"/>
        <v>4117.05</v>
      </c>
      <c r="W482" s="28"/>
      <c r="X482" s="31">
        <v>42343</v>
      </c>
      <c r="Y482" s="33">
        <v>4656</v>
      </c>
      <c r="Z482" s="189">
        <f t="shared" si="38"/>
        <v>4656</v>
      </c>
      <c r="AA482" s="190"/>
      <c r="AB482" s="31">
        <v>42293</v>
      </c>
      <c r="AC482" s="36">
        <v>4117.05</v>
      </c>
      <c r="AD482" s="8"/>
      <c r="AE482" s="6"/>
      <c r="AF482" s="52">
        <f t="shared" si="35"/>
        <v>173998884.15000001</v>
      </c>
      <c r="AG482" s="25">
        <f t="shared" si="36"/>
        <v>197149008</v>
      </c>
      <c r="AH482" s="52">
        <f t="shared" si="39"/>
        <v>174122395.65000001</v>
      </c>
      <c r="AI482" s="6"/>
      <c r="AJ482" s="6"/>
      <c r="AK482" s="6"/>
      <c r="AL482" s="6"/>
      <c r="AM482" s="6"/>
      <c r="AN482" s="6"/>
      <c r="AO482" s="6"/>
      <c r="AP482" s="6"/>
      <c r="AQ482" s="6"/>
      <c r="AR482" s="6"/>
    </row>
    <row r="483" spans="1:44">
      <c r="A483" s="6"/>
      <c r="B483" s="6"/>
      <c r="C483" s="6"/>
      <c r="D483" s="6"/>
      <c r="E483" s="6"/>
      <c r="F483" s="6"/>
      <c r="G483" s="11"/>
      <c r="H483" s="6"/>
      <c r="I483" s="6"/>
      <c r="J483" s="6"/>
      <c r="K483" s="7"/>
      <c r="L483" s="21" t="str">
        <f>микс!$H$11</f>
        <v>продажа под заказ</v>
      </c>
      <c r="M483" s="22"/>
      <c r="N483" s="22"/>
      <c r="O483" s="22" t="s">
        <v>143</v>
      </c>
      <c r="P483" s="23" t="str">
        <f>микс!$H$47</f>
        <v>Домашнее хозяйство</v>
      </c>
      <c r="Q483" s="21" t="s">
        <v>97</v>
      </c>
      <c r="R483" s="25">
        <v>1</v>
      </c>
      <c r="S483" s="28"/>
      <c r="T483" s="31">
        <v>42309</v>
      </c>
      <c r="U483" s="33">
        <v>38744.800000000003</v>
      </c>
      <c r="V483" s="36">
        <f t="shared" si="37"/>
        <v>38744.800000000003</v>
      </c>
      <c r="W483" s="28"/>
      <c r="X483" s="31">
        <v>42319</v>
      </c>
      <c r="Y483" s="33">
        <v>35808</v>
      </c>
      <c r="Z483" s="189">
        <f t="shared" si="38"/>
        <v>35808</v>
      </c>
      <c r="AA483" s="190"/>
      <c r="AB483" s="31">
        <v>42329</v>
      </c>
      <c r="AC483" s="36">
        <v>38744.800000000003</v>
      </c>
      <c r="AD483" s="8"/>
      <c r="AE483" s="6"/>
      <c r="AF483" s="52">
        <f t="shared" si="35"/>
        <v>1639253743.2</v>
      </c>
      <c r="AG483" s="25">
        <f t="shared" si="36"/>
        <v>1515358752</v>
      </c>
      <c r="AH483" s="52">
        <f t="shared" si="39"/>
        <v>1640028639.2</v>
      </c>
      <c r="AI483" s="6"/>
      <c r="AJ483" s="6"/>
      <c r="AK483" s="6"/>
      <c r="AL483" s="6"/>
      <c r="AM483" s="6"/>
      <c r="AN483" s="6"/>
      <c r="AO483" s="6"/>
      <c r="AP483" s="6"/>
      <c r="AQ483" s="6"/>
      <c r="AR483" s="6"/>
    </row>
    <row r="484" spans="1:44">
      <c r="A484" s="6"/>
      <c r="B484" s="6"/>
      <c r="C484" s="6"/>
      <c r="D484" s="6"/>
      <c r="E484" s="6"/>
      <c r="F484" s="6"/>
      <c r="G484" s="11"/>
      <c r="H484" s="6"/>
      <c r="I484" s="6"/>
      <c r="J484" s="6"/>
      <c r="K484" s="7"/>
      <c r="L484" s="21" t="str">
        <f>микс!$H$11</f>
        <v>продажа под заказ</v>
      </c>
      <c r="M484" s="22"/>
      <c r="N484" s="22"/>
      <c r="O484" s="22" t="s">
        <v>141</v>
      </c>
      <c r="P484" s="23" t="str">
        <f>микс!$H$49</f>
        <v>Товары для детей</v>
      </c>
      <c r="Q484" s="21" t="s">
        <v>98</v>
      </c>
      <c r="R484" s="25">
        <v>1</v>
      </c>
      <c r="S484" s="28"/>
      <c r="T484" s="31">
        <v>42314</v>
      </c>
      <c r="U484" s="33">
        <v>4084.57</v>
      </c>
      <c r="V484" s="36">
        <f t="shared" si="37"/>
        <v>4084.57</v>
      </c>
      <c r="W484" s="28"/>
      <c r="X484" s="31">
        <v>42326</v>
      </c>
      <c r="Y484" s="33">
        <v>5021</v>
      </c>
      <c r="Z484" s="189">
        <f t="shared" si="38"/>
        <v>5021</v>
      </c>
      <c r="AA484" s="190"/>
      <c r="AB484" s="31">
        <v>42324</v>
      </c>
      <c r="AC484" s="36">
        <v>4084.57</v>
      </c>
      <c r="AD484" s="8"/>
      <c r="AE484" s="6"/>
      <c r="AF484" s="52">
        <f t="shared" si="35"/>
        <v>172834494.98000002</v>
      </c>
      <c r="AG484" s="25">
        <f t="shared" si="36"/>
        <v>212518846</v>
      </c>
      <c r="AH484" s="52">
        <f t="shared" si="39"/>
        <v>172875340.68000001</v>
      </c>
      <c r="AI484" s="6"/>
      <c r="AJ484" s="6"/>
      <c r="AK484" s="6"/>
      <c r="AL484" s="6"/>
      <c r="AM484" s="6"/>
      <c r="AN484" s="6"/>
      <c r="AO484" s="6"/>
      <c r="AP484" s="6"/>
      <c r="AQ484" s="6"/>
      <c r="AR484" s="6"/>
    </row>
    <row r="485" spans="1:44">
      <c r="A485" s="6"/>
      <c r="B485" s="6"/>
      <c r="C485" s="6"/>
      <c r="D485" s="6"/>
      <c r="E485" s="6"/>
      <c r="F485" s="6"/>
      <c r="G485" s="11"/>
      <c r="H485" s="6"/>
      <c r="I485" s="6"/>
      <c r="J485" s="6"/>
      <c r="K485" s="7"/>
      <c r="L485" s="21" t="str">
        <f>микс!$H$11</f>
        <v>продажа под заказ</v>
      </c>
      <c r="M485" s="22"/>
      <c r="N485" s="22"/>
      <c r="O485" s="22" t="s">
        <v>141</v>
      </c>
      <c r="P485" s="23" t="str">
        <f>микс!$H$49</f>
        <v>Товары для детей</v>
      </c>
      <c r="Q485" s="21" t="s">
        <v>98</v>
      </c>
      <c r="R485" s="25">
        <v>1</v>
      </c>
      <c r="S485" s="28"/>
      <c r="T485" s="31">
        <v>42329</v>
      </c>
      <c r="U485" s="33">
        <v>3470</v>
      </c>
      <c r="V485" s="36">
        <f t="shared" si="37"/>
        <v>3470</v>
      </c>
      <c r="W485" s="28"/>
      <c r="X485" s="31">
        <v>42339</v>
      </c>
      <c r="Y485" s="33">
        <v>4494</v>
      </c>
      <c r="Z485" s="189">
        <f t="shared" si="38"/>
        <v>4494</v>
      </c>
      <c r="AA485" s="190"/>
      <c r="AB485" s="31"/>
      <c r="AC485" s="36"/>
      <c r="AD485" s="8"/>
      <c r="AE485" s="6"/>
      <c r="AF485" s="52">
        <f t="shared" si="35"/>
        <v>146881630</v>
      </c>
      <c r="AG485" s="25">
        <f t="shared" si="36"/>
        <v>190271466</v>
      </c>
      <c r="AH485" s="52">
        <f t="shared" si="39"/>
        <v>0</v>
      </c>
      <c r="AI485" s="6"/>
      <c r="AJ485" s="6"/>
      <c r="AK485" s="6"/>
      <c r="AL485" s="6"/>
      <c r="AM485" s="6"/>
      <c r="AN485" s="6"/>
      <c r="AO485" s="6"/>
      <c r="AP485" s="6"/>
      <c r="AQ485" s="6"/>
      <c r="AR485" s="6"/>
    </row>
    <row r="486" spans="1:44">
      <c r="A486" s="6"/>
      <c r="B486" s="6"/>
      <c r="C486" s="6"/>
      <c r="D486" s="6"/>
      <c r="E486" s="6"/>
      <c r="F486" s="6"/>
      <c r="G486" s="11"/>
      <c r="H486" s="6"/>
      <c r="I486" s="6"/>
      <c r="J486" s="6"/>
      <c r="K486" s="7"/>
      <c r="L486" s="21" t="str">
        <f>микс!$H$11</f>
        <v>продажа под заказ</v>
      </c>
      <c r="M486" s="22"/>
      <c r="N486" s="22"/>
      <c r="O486" s="22" t="s">
        <v>141</v>
      </c>
      <c r="P486" s="23" t="str">
        <f>микс!$H$49</f>
        <v>Товары для детей</v>
      </c>
      <c r="Q486" s="21" t="s">
        <v>98</v>
      </c>
      <c r="R486" s="25">
        <v>1</v>
      </c>
      <c r="S486" s="28"/>
      <c r="T486" s="31">
        <v>42329</v>
      </c>
      <c r="U486" s="33">
        <v>3470</v>
      </c>
      <c r="V486" s="36">
        <f t="shared" si="37"/>
        <v>3470</v>
      </c>
      <c r="W486" s="28"/>
      <c r="X486" s="31">
        <v>42339</v>
      </c>
      <c r="Y486" s="33">
        <v>4326</v>
      </c>
      <c r="Z486" s="189">
        <f t="shared" si="38"/>
        <v>4326</v>
      </c>
      <c r="AA486" s="190"/>
      <c r="AB486" s="31">
        <v>42359</v>
      </c>
      <c r="AC486" s="36">
        <v>3470</v>
      </c>
      <c r="AD486" s="8"/>
      <c r="AE486" s="6"/>
      <c r="AF486" s="52">
        <f t="shared" si="35"/>
        <v>146881630</v>
      </c>
      <c r="AG486" s="25">
        <f t="shared" si="36"/>
        <v>183158514</v>
      </c>
      <c r="AH486" s="52">
        <f t="shared" si="39"/>
        <v>146985730</v>
      </c>
      <c r="AI486" s="6"/>
      <c r="AJ486" s="6"/>
      <c r="AK486" s="6"/>
      <c r="AL486" s="6"/>
      <c r="AM486" s="6"/>
      <c r="AN486" s="6"/>
      <c r="AO486" s="6"/>
      <c r="AP486" s="6"/>
      <c r="AQ486" s="6"/>
      <c r="AR486" s="6"/>
    </row>
    <row r="487" spans="1:44">
      <c r="A487" s="6"/>
      <c r="B487" s="6"/>
      <c r="C487" s="6"/>
      <c r="D487" s="6"/>
      <c r="E487" s="6"/>
      <c r="F487" s="6"/>
      <c r="G487" s="11"/>
      <c r="H487" s="6"/>
      <c r="I487" s="6"/>
      <c r="J487" s="6"/>
      <c r="K487" s="7"/>
      <c r="L487" s="21" t="str">
        <f>микс!$H$11</f>
        <v>продажа под заказ</v>
      </c>
      <c r="M487" s="22"/>
      <c r="N487" s="22"/>
      <c r="O487" s="22" t="s">
        <v>141</v>
      </c>
      <c r="P487" s="23" t="str">
        <f>микс!$H$49</f>
        <v>Товары для детей</v>
      </c>
      <c r="Q487" s="21" t="s">
        <v>98</v>
      </c>
      <c r="R487" s="25">
        <v>1</v>
      </c>
      <c r="S487" s="28"/>
      <c r="T487" s="31">
        <v>42337</v>
      </c>
      <c r="U487" s="33">
        <v>3470</v>
      </c>
      <c r="V487" s="36">
        <f t="shared" si="37"/>
        <v>3470</v>
      </c>
      <c r="W487" s="28"/>
      <c r="X487" s="31">
        <v>42348</v>
      </c>
      <c r="Y487" s="33">
        <v>4064</v>
      </c>
      <c r="Z487" s="189">
        <f t="shared" si="38"/>
        <v>4064</v>
      </c>
      <c r="AA487" s="190"/>
      <c r="AB487" s="31">
        <v>42358</v>
      </c>
      <c r="AC487" s="36">
        <v>3470</v>
      </c>
      <c r="AD487" s="8"/>
      <c r="AE487" s="6"/>
      <c r="AF487" s="52">
        <f t="shared" si="35"/>
        <v>146909390</v>
      </c>
      <c r="AG487" s="25">
        <f t="shared" si="36"/>
        <v>172102272</v>
      </c>
      <c r="AH487" s="52">
        <f t="shared" si="39"/>
        <v>146982260</v>
      </c>
      <c r="AI487" s="6"/>
      <c r="AJ487" s="6"/>
      <c r="AK487" s="6"/>
      <c r="AL487" s="6"/>
      <c r="AM487" s="6"/>
      <c r="AN487" s="6"/>
      <c r="AO487" s="6"/>
      <c r="AP487" s="6"/>
      <c r="AQ487" s="6"/>
      <c r="AR487" s="6"/>
    </row>
    <row r="488" spans="1:44">
      <c r="A488" s="6"/>
      <c r="B488" s="6"/>
      <c r="C488" s="6"/>
      <c r="D488" s="6"/>
      <c r="E488" s="6"/>
      <c r="F488" s="6"/>
      <c r="G488" s="11"/>
      <c r="H488" s="6"/>
      <c r="I488" s="6"/>
      <c r="J488" s="6"/>
      <c r="K488" s="7"/>
      <c r="L488" s="21" t="str">
        <f>микс!$H$11</f>
        <v>продажа под заказ</v>
      </c>
      <c r="M488" s="22"/>
      <c r="N488" s="22"/>
      <c r="O488" s="22" t="s">
        <v>141</v>
      </c>
      <c r="P488" s="23" t="str">
        <f>микс!$H$49</f>
        <v>Товары для детей</v>
      </c>
      <c r="Q488" s="21" t="s">
        <v>98</v>
      </c>
      <c r="R488" s="25">
        <v>1</v>
      </c>
      <c r="S488" s="28"/>
      <c r="T488" s="31">
        <v>42337</v>
      </c>
      <c r="U488" s="33">
        <v>3470</v>
      </c>
      <c r="V488" s="36">
        <f t="shared" si="37"/>
        <v>3470</v>
      </c>
      <c r="W488" s="28"/>
      <c r="X488" s="31">
        <v>42346</v>
      </c>
      <c r="Y488" s="33">
        <v>4064</v>
      </c>
      <c r="Z488" s="189">
        <f t="shared" si="38"/>
        <v>4064</v>
      </c>
      <c r="AA488" s="190"/>
      <c r="AB488" s="31"/>
      <c r="AC488" s="36"/>
      <c r="AD488" s="8"/>
      <c r="AE488" s="6"/>
      <c r="AF488" s="52">
        <f t="shared" si="35"/>
        <v>146909390</v>
      </c>
      <c r="AG488" s="25">
        <f t="shared" si="36"/>
        <v>172094144</v>
      </c>
      <c r="AH488" s="52">
        <f t="shared" si="39"/>
        <v>0</v>
      </c>
      <c r="AI488" s="6"/>
      <c r="AJ488" s="6"/>
      <c r="AK488" s="6"/>
      <c r="AL488" s="6"/>
      <c r="AM488" s="6"/>
      <c r="AN488" s="6"/>
      <c r="AO488" s="6"/>
      <c r="AP488" s="6"/>
      <c r="AQ488" s="6"/>
      <c r="AR488" s="6"/>
    </row>
    <row r="489" spans="1:44">
      <c r="A489" s="6"/>
      <c r="B489" s="6"/>
      <c r="C489" s="6"/>
      <c r="D489" s="6"/>
      <c r="E489" s="6"/>
      <c r="F489" s="6"/>
      <c r="G489" s="11"/>
      <c r="H489" s="6"/>
      <c r="I489" s="6"/>
      <c r="J489" s="6"/>
      <c r="K489" s="7"/>
      <c r="L489" s="21" t="str">
        <f>микс!$H$11</f>
        <v>продажа под заказ</v>
      </c>
      <c r="M489" s="22"/>
      <c r="N489" s="22"/>
      <c r="O489" s="22" t="s">
        <v>143</v>
      </c>
      <c r="P489" s="23" t="str">
        <f>микс!$H$47</f>
        <v>Домашнее хозяйство</v>
      </c>
      <c r="Q489" s="21" t="s">
        <v>97</v>
      </c>
      <c r="R489" s="25">
        <v>1</v>
      </c>
      <c r="S489" s="28"/>
      <c r="T489" s="31">
        <v>42305</v>
      </c>
      <c r="U489" s="33">
        <v>31451</v>
      </c>
      <c r="V489" s="36">
        <f t="shared" si="37"/>
        <v>31451</v>
      </c>
      <c r="W489" s="28"/>
      <c r="X489" s="31">
        <v>42315</v>
      </c>
      <c r="Y489" s="33">
        <v>35660</v>
      </c>
      <c r="Z489" s="189">
        <f t="shared" si="38"/>
        <v>35660</v>
      </c>
      <c r="AA489" s="190"/>
      <c r="AB489" s="31">
        <v>42335</v>
      </c>
      <c r="AC489" s="36">
        <v>31451</v>
      </c>
      <c r="AD489" s="8"/>
      <c r="AE489" s="6"/>
      <c r="AF489" s="52">
        <f t="shared" si="35"/>
        <v>1330534555</v>
      </c>
      <c r="AG489" s="25">
        <f t="shared" si="36"/>
        <v>1508952900</v>
      </c>
      <c r="AH489" s="52">
        <f t="shared" si="39"/>
        <v>1331478085</v>
      </c>
      <c r="AI489" s="6"/>
      <c r="AJ489" s="6"/>
      <c r="AK489" s="6"/>
      <c r="AL489" s="6"/>
      <c r="AM489" s="6"/>
      <c r="AN489" s="6"/>
      <c r="AO489" s="6"/>
      <c r="AP489" s="6"/>
      <c r="AQ489" s="6"/>
      <c r="AR489" s="6"/>
    </row>
    <row r="490" spans="1:44">
      <c r="A490" s="6"/>
      <c r="B490" s="6"/>
      <c r="C490" s="6"/>
      <c r="D490" s="6"/>
      <c r="E490" s="6"/>
      <c r="F490" s="6"/>
      <c r="G490" s="11"/>
      <c r="H490" s="6"/>
      <c r="I490" s="6"/>
      <c r="J490" s="6"/>
      <c r="K490" s="7"/>
      <c r="L490" s="21" t="str">
        <f>микс!$H$11</f>
        <v>продажа под заказ</v>
      </c>
      <c r="M490" s="22"/>
      <c r="N490" s="22"/>
      <c r="O490" s="22" t="s">
        <v>140</v>
      </c>
      <c r="P490" s="23" t="str">
        <f>микс!$H$49</f>
        <v>Товары для детей</v>
      </c>
      <c r="Q490" s="21" t="s">
        <v>133</v>
      </c>
      <c r="R490" s="25">
        <v>1</v>
      </c>
      <c r="S490" s="28"/>
      <c r="T490" s="31">
        <v>42316</v>
      </c>
      <c r="U490" s="33">
        <v>841.5</v>
      </c>
      <c r="V490" s="36">
        <f t="shared" si="37"/>
        <v>841.5</v>
      </c>
      <c r="W490" s="28"/>
      <c r="X490" s="31">
        <v>42325</v>
      </c>
      <c r="Y490" s="33">
        <v>1142</v>
      </c>
      <c r="Z490" s="189">
        <f t="shared" si="38"/>
        <v>1142</v>
      </c>
      <c r="AA490" s="190"/>
      <c r="AB490" s="31">
        <v>42331</v>
      </c>
      <c r="AC490" s="36">
        <v>841.5</v>
      </c>
      <c r="AD490" s="8"/>
      <c r="AE490" s="6"/>
      <c r="AF490" s="52">
        <f t="shared" si="35"/>
        <v>35608914</v>
      </c>
      <c r="AG490" s="25">
        <f t="shared" si="36"/>
        <v>48335150</v>
      </c>
      <c r="AH490" s="52">
        <f t="shared" si="39"/>
        <v>35621536.5</v>
      </c>
      <c r="AI490" s="6"/>
      <c r="AJ490" s="6"/>
      <c r="AK490" s="6"/>
      <c r="AL490" s="6"/>
      <c r="AM490" s="6"/>
      <c r="AN490" s="6"/>
      <c r="AO490" s="6"/>
      <c r="AP490" s="6"/>
      <c r="AQ490" s="6"/>
      <c r="AR490" s="6"/>
    </row>
    <row r="491" spans="1:44">
      <c r="A491" s="6"/>
      <c r="B491" s="6"/>
      <c r="C491" s="6"/>
      <c r="D491" s="6"/>
      <c r="E491" s="6"/>
      <c r="F491" s="6"/>
      <c r="G491" s="11"/>
      <c r="H491" s="6"/>
      <c r="I491" s="6"/>
      <c r="J491" s="6"/>
      <c r="K491" s="7"/>
      <c r="L491" s="21" t="str">
        <f>микс!$H$11</f>
        <v>продажа под заказ</v>
      </c>
      <c r="M491" s="22"/>
      <c r="N491" s="22"/>
      <c r="O491" s="22" t="s">
        <v>140</v>
      </c>
      <c r="P491" s="23" t="str">
        <f>микс!$H$49</f>
        <v>Товары для детей</v>
      </c>
      <c r="Q491" s="21" t="s">
        <v>133</v>
      </c>
      <c r="R491" s="25">
        <v>1</v>
      </c>
      <c r="S491" s="28"/>
      <c r="T491" s="31">
        <v>42335</v>
      </c>
      <c r="U491" s="33">
        <v>755.56</v>
      </c>
      <c r="V491" s="36">
        <f t="shared" si="37"/>
        <v>755.56</v>
      </c>
      <c r="W491" s="28"/>
      <c r="X491" s="31">
        <v>42346</v>
      </c>
      <c r="Y491" s="33">
        <v>1023</v>
      </c>
      <c r="Z491" s="189">
        <f t="shared" si="38"/>
        <v>1023</v>
      </c>
      <c r="AA491" s="190"/>
      <c r="AB491" s="31">
        <v>42357</v>
      </c>
      <c r="AC491" s="36">
        <v>755.56</v>
      </c>
      <c r="AD491" s="8"/>
      <c r="AE491" s="6"/>
      <c r="AF491" s="52">
        <f t="shared" si="35"/>
        <v>31986632.599999998</v>
      </c>
      <c r="AG491" s="25">
        <f t="shared" si="36"/>
        <v>43319958</v>
      </c>
      <c r="AH491" s="52">
        <f t="shared" si="39"/>
        <v>32003254.919999998</v>
      </c>
      <c r="AI491" s="6"/>
      <c r="AJ491" s="6"/>
      <c r="AK491" s="6"/>
      <c r="AL491" s="6"/>
      <c r="AM491" s="6"/>
      <c r="AN491" s="6"/>
      <c r="AO491" s="6"/>
      <c r="AP491" s="6"/>
      <c r="AQ491" s="6"/>
      <c r="AR491" s="6"/>
    </row>
    <row r="492" spans="1:44">
      <c r="A492" s="6"/>
      <c r="B492" s="6"/>
      <c r="C492" s="6"/>
      <c r="D492" s="6"/>
      <c r="E492" s="6"/>
      <c r="F492" s="6"/>
      <c r="G492" s="11"/>
      <c r="H492" s="6"/>
      <c r="I492" s="6"/>
      <c r="J492" s="6"/>
      <c r="K492" s="7"/>
      <c r="L492" s="21" t="str">
        <f>микс!$H$10</f>
        <v>продажа со склада</v>
      </c>
      <c r="M492" s="22"/>
      <c r="N492" s="22"/>
      <c r="O492" s="22" t="s">
        <v>140</v>
      </c>
      <c r="P492" s="23" t="str">
        <f>микс!$H$49</f>
        <v>Товары для детей</v>
      </c>
      <c r="Q492" s="21" t="s">
        <v>133</v>
      </c>
      <c r="R492" s="25">
        <v>1</v>
      </c>
      <c r="S492" s="28"/>
      <c r="T492" s="31">
        <v>42258</v>
      </c>
      <c r="U492" s="33">
        <v>2236.15</v>
      </c>
      <c r="V492" s="36">
        <f t="shared" si="37"/>
        <v>2236.15</v>
      </c>
      <c r="W492" s="28"/>
      <c r="X492" s="31">
        <v>42343</v>
      </c>
      <c r="Y492" s="33">
        <v>2278</v>
      </c>
      <c r="Z492" s="189">
        <f t="shared" si="38"/>
        <v>2278</v>
      </c>
      <c r="AA492" s="190"/>
      <c r="AB492" s="31">
        <v>42318</v>
      </c>
      <c r="AC492" s="36">
        <v>2236.15</v>
      </c>
      <c r="AD492" s="8"/>
      <c r="AE492" s="6"/>
      <c r="AF492" s="52">
        <f t="shared" si="35"/>
        <v>94495226.700000003</v>
      </c>
      <c r="AG492" s="25">
        <f t="shared" si="36"/>
        <v>96457354</v>
      </c>
      <c r="AH492" s="52">
        <f t="shared" si="39"/>
        <v>94629395.700000003</v>
      </c>
      <c r="AI492" s="6"/>
      <c r="AJ492" s="6"/>
      <c r="AK492" s="6"/>
      <c r="AL492" s="6"/>
      <c r="AM492" s="6"/>
      <c r="AN492" s="6"/>
      <c r="AO492" s="6"/>
      <c r="AP492" s="6"/>
      <c r="AQ492" s="6"/>
      <c r="AR492" s="6"/>
    </row>
    <row r="493" spans="1:44">
      <c r="A493" s="6"/>
      <c r="B493" s="6"/>
      <c r="C493" s="6"/>
      <c r="D493" s="6"/>
      <c r="E493" s="6"/>
      <c r="F493" s="6"/>
      <c r="G493" s="11"/>
      <c r="H493" s="6"/>
      <c r="I493" s="6"/>
      <c r="J493" s="6"/>
      <c r="K493" s="7"/>
      <c r="L493" s="21" t="str">
        <f>микс!$H$11</f>
        <v>продажа под заказ</v>
      </c>
      <c r="M493" s="22"/>
      <c r="N493" s="22"/>
      <c r="O493" s="22" t="s">
        <v>139</v>
      </c>
      <c r="P493" s="23" t="str">
        <f>микс!$H$49</f>
        <v>Товары для детей</v>
      </c>
      <c r="Q493" s="21" t="s">
        <v>133</v>
      </c>
      <c r="R493" s="25">
        <v>1</v>
      </c>
      <c r="S493" s="28"/>
      <c r="T493" s="31">
        <v>42332</v>
      </c>
      <c r="U493" s="33">
        <v>2236.15</v>
      </c>
      <c r="V493" s="36">
        <f t="shared" si="37"/>
        <v>2236.15</v>
      </c>
      <c r="W493" s="28"/>
      <c r="X493" s="31">
        <v>42344</v>
      </c>
      <c r="Y493" s="33">
        <v>2278</v>
      </c>
      <c r="Z493" s="189">
        <f t="shared" si="38"/>
        <v>2278</v>
      </c>
      <c r="AA493" s="190"/>
      <c r="AB493" s="31"/>
      <c r="AC493" s="36"/>
      <c r="AD493" s="8"/>
      <c r="AE493" s="6"/>
      <c r="AF493" s="52">
        <f t="shared" si="35"/>
        <v>94660701.799999997</v>
      </c>
      <c r="AG493" s="25">
        <f t="shared" si="36"/>
        <v>96459632</v>
      </c>
      <c r="AH493" s="52">
        <f t="shared" si="39"/>
        <v>0</v>
      </c>
      <c r="AI493" s="6"/>
      <c r="AJ493" s="6"/>
      <c r="AK493" s="6"/>
      <c r="AL493" s="6"/>
      <c r="AM493" s="6"/>
      <c r="AN493" s="6"/>
      <c r="AO493" s="6"/>
      <c r="AP493" s="6"/>
      <c r="AQ493" s="6"/>
      <c r="AR493" s="6"/>
    </row>
    <row r="494" spans="1:44">
      <c r="A494" s="6"/>
      <c r="B494" s="6"/>
      <c r="C494" s="6"/>
      <c r="D494" s="6"/>
      <c r="E494" s="6"/>
      <c r="F494" s="6"/>
      <c r="G494" s="11"/>
      <c r="H494" s="6"/>
      <c r="I494" s="6"/>
      <c r="J494" s="6"/>
      <c r="K494" s="7"/>
      <c r="L494" s="21" t="str">
        <f>микс!$H$11</f>
        <v>продажа под заказ</v>
      </c>
      <c r="M494" s="22"/>
      <c r="N494" s="22"/>
      <c r="O494" s="22" t="s">
        <v>139</v>
      </c>
      <c r="P494" s="23" t="str">
        <f>микс!$H$49</f>
        <v>Товары для детей</v>
      </c>
      <c r="Q494" s="21" t="s">
        <v>133</v>
      </c>
      <c r="R494" s="25">
        <v>1</v>
      </c>
      <c r="S494" s="28"/>
      <c r="T494" s="31">
        <v>42321</v>
      </c>
      <c r="U494" s="33">
        <v>2054.2600000000002</v>
      </c>
      <c r="V494" s="36">
        <f t="shared" si="37"/>
        <v>2054.2600000000002</v>
      </c>
      <c r="W494" s="28"/>
      <c r="X494" s="31">
        <v>42337</v>
      </c>
      <c r="Y494" s="33">
        <v>2690</v>
      </c>
      <c r="Z494" s="189">
        <f t="shared" si="38"/>
        <v>2690</v>
      </c>
      <c r="AA494" s="190"/>
      <c r="AB494" s="31"/>
      <c r="AC494" s="36"/>
      <c r="AD494" s="8"/>
      <c r="AE494" s="6"/>
      <c r="AF494" s="52">
        <f t="shared" si="35"/>
        <v>86938337.460000008</v>
      </c>
      <c r="AG494" s="25">
        <f t="shared" si="36"/>
        <v>113886530</v>
      </c>
      <c r="AH494" s="52">
        <f t="shared" si="39"/>
        <v>0</v>
      </c>
      <c r="AI494" s="6"/>
      <c r="AJ494" s="6"/>
      <c r="AK494" s="6"/>
      <c r="AL494" s="6"/>
      <c r="AM494" s="6"/>
      <c r="AN494" s="6"/>
      <c r="AO494" s="6"/>
      <c r="AP494" s="6"/>
      <c r="AQ494" s="6"/>
      <c r="AR494" s="6"/>
    </row>
    <row r="495" spans="1:44">
      <c r="A495" s="6"/>
      <c r="B495" s="6"/>
      <c r="C495" s="6"/>
      <c r="D495" s="6"/>
      <c r="E495" s="6"/>
      <c r="F495" s="6"/>
      <c r="G495" s="11"/>
      <c r="H495" s="6"/>
      <c r="I495" s="6"/>
      <c r="J495" s="6"/>
      <c r="K495" s="7"/>
      <c r="L495" s="21" t="str">
        <f>микс!$H$11</f>
        <v>продажа под заказ</v>
      </c>
      <c r="M495" s="22"/>
      <c r="N495" s="22"/>
      <c r="O495" s="22" t="s">
        <v>139</v>
      </c>
      <c r="P495" s="23" t="str">
        <f>микс!$H$49</f>
        <v>Товары для детей</v>
      </c>
      <c r="Q495" s="21" t="s">
        <v>133</v>
      </c>
      <c r="R495" s="25">
        <v>1</v>
      </c>
      <c r="S495" s="28"/>
      <c r="T495" s="31">
        <v>42323</v>
      </c>
      <c r="U495" s="33">
        <v>2274.59</v>
      </c>
      <c r="V495" s="36">
        <f t="shared" si="37"/>
        <v>2274.59</v>
      </c>
      <c r="W495" s="28"/>
      <c r="X495" s="31">
        <v>42332</v>
      </c>
      <c r="Y495" s="33">
        <v>2770</v>
      </c>
      <c r="Z495" s="189">
        <f t="shared" si="38"/>
        <v>2770</v>
      </c>
      <c r="AA495" s="190"/>
      <c r="AB495" s="31">
        <v>42358</v>
      </c>
      <c r="AC495" s="36">
        <v>2274.59</v>
      </c>
      <c r="AD495" s="8"/>
      <c r="AE495" s="6"/>
      <c r="AF495" s="52">
        <f t="shared" si="35"/>
        <v>96267472.570000008</v>
      </c>
      <c r="AG495" s="25">
        <f t="shared" si="36"/>
        <v>117259640</v>
      </c>
      <c r="AH495" s="52">
        <f t="shared" si="39"/>
        <v>96347083.219999999</v>
      </c>
      <c r="AI495" s="6"/>
      <c r="AJ495" s="6"/>
      <c r="AK495" s="6"/>
      <c r="AL495" s="6"/>
      <c r="AM495" s="6"/>
      <c r="AN495" s="6"/>
      <c r="AO495" s="6"/>
      <c r="AP495" s="6"/>
      <c r="AQ495" s="6"/>
      <c r="AR495" s="6"/>
    </row>
    <row r="496" spans="1:44">
      <c r="A496" s="6"/>
      <c r="B496" s="6"/>
      <c r="C496" s="6"/>
      <c r="D496" s="6"/>
      <c r="E496" s="6"/>
      <c r="F496" s="6"/>
      <c r="G496" s="11"/>
      <c r="H496" s="6"/>
      <c r="I496" s="6"/>
      <c r="J496" s="6"/>
      <c r="K496" s="7"/>
      <c r="L496" s="21" t="str">
        <f>микс!$H$11</f>
        <v>продажа под заказ</v>
      </c>
      <c r="M496" s="22"/>
      <c r="N496" s="22"/>
      <c r="O496" s="22" t="s">
        <v>139</v>
      </c>
      <c r="P496" s="23" t="str">
        <f>микс!$H$49</f>
        <v>Товары для детей</v>
      </c>
      <c r="Q496" s="21" t="s">
        <v>133</v>
      </c>
      <c r="R496" s="25">
        <v>1</v>
      </c>
      <c r="S496" s="28"/>
      <c r="T496" s="31">
        <v>42326</v>
      </c>
      <c r="U496" s="33">
        <v>2236.15</v>
      </c>
      <c r="V496" s="36">
        <f t="shared" si="37"/>
        <v>2236.15</v>
      </c>
      <c r="W496" s="28"/>
      <c r="X496" s="31">
        <v>42335</v>
      </c>
      <c r="Y496" s="33">
        <v>2770</v>
      </c>
      <c r="Z496" s="189">
        <f t="shared" si="38"/>
        <v>2770</v>
      </c>
      <c r="AA496" s="190"/>
      <c r="AB496" s="31">
        <v>42341</v>
      </c>
      <c r="AC496" s="36">
        <v>2236.15</v>
      </c>
      <c r="AD496" s="8"/>
      <c r="AE496" s="6"/>
      <c r="AF496" s="52">
        <f t="shared" si="35"/>
        <v>94647284.900000006</v>
      </c>
      <c r="AG496" s="25">
        <f t="shared" si="36"/>
        <v>117267950</v>
      </c>
      <c r="AH496" s="52">
        <f t="shared" si="39"/>
        <v>94680827.150000006</v>
      </c>
      <c r="AI496" s="6"/>
      <c r="AJ496" s="6"/>
      <c r="AK496" s="6"/>
      <c r="AL496" s="6"/>
      <c r="AM496" s="6"/>
      <c r="AN496" s="6"/>
      <c r="AO496" s="6"/>
      <c r="AP496" s="6"/>
      <c r="AQ496" s="6"/>
      <c r="AR496" s="6"/>
    </row>
    <row r="497" spans="1:44">
      <c r="A497" s="6"/>
      <c r="B497" s="6"/>
      <c r="C497" s="6"/>
      <c r="D497" s="6"/>
      <c r="E497" s="6"/>
      <c r="F497" s="6"/>
      <c r="G497" s="11"/>
      <c r="H497" s="6"/>
      <c r="I497" s="6"/>
      <c r="J497" s="6"/>
      <c r="K497" s="7"/>
      <c r="L497" s="21" t="str">
        <f>микс!$H$11</f>
        <v>продажа под заказ</v>
      </c>
      <c r="M497" s="22"/>
      <c r="N497" s="22"/>
      <c r="O497" s="22" t="s">
        <v>139</v>
      </c>
      <c r="P497" s="23" t="str">
        <f>микс!$H$49</f>
        <v>Товары для детей</v>
      </c>
      <c r="Q497" s="21" t="s">
        <v>133</v>
      </c>
      <c r="R497" s="25">
        <v>1</v>
      </c>
      <c r="S497" s="28"/>
      <c r="T497" s="31">
        <v>42330</v>
      </c>
      <c r="U497" s="33">
        <v>2236.15</v>
      </c>
      <c r="V497" s="36">
        <f t="shared" si="37"/>
        <v>2236.15</v>
      </c>
      <c r="W497" s="28"/>
      <c r="X497" s="31">
        <v>42339</v>
      </c>
      <c r="Y497" s="33">
        <v>2519</v>
      </c>
      <c r="Z497" s="189">
        <f t="shared" si="38"/>
        <v>2519</v>
      </c>
      <c r="AA497" s="190"/>
      <c r="AB497" s="31"/>
      <c r="AC497" s="36"/>
      <c r="AD497" s="8"/>
      <c r="AE497" s="6"/>
      <c r="AF497" s="52">
        <f t="shared" si="35"/>
        <v>94656229.5</v>
      </c>
      <c r="AG497" s="25">
        <f t="shared" si="36"/>
        <v>106651941</v>
      </c>
      <c r="AH497" s="52">
        <f t="shared" si="39"/>
        <v>0</v>
      </c>
      <c r="AI497" s="6"/>
      <c r="AJ497" s="6"/>
      <c r="AK497" s="6"/>
      <c r="AL497" s="6"/>
      <c r="AM497" s="6"/>
      <c r="AN497" s="6"/>
      <c r="AO497" s="6"/>
      <c r="AP497" s="6"/>
      <c r="AQ497" s="6"/>
      <c r="AR497" s="6"/>
    </row>
    <row r="498" spans="1:44">
      <c r="A498" s="6"/>
      <c r="B498" s="6"/>
      <c r="C498" s="6"/>
      <c r="D498" s="6"/>
      <c r="E498" s="6"/>
      <c r="F498" s="6"/>
      <c r="G498" s="11"/>
      <c r="H498" s="6"/>
      <c r="I498" s="6"/>
      <c r="J498" s="6"/>
      <c r="K498" s="7"/>
      <c r="L498" s="21" t="str">
        <f>микс!$H$11</f>
        <v>продажа под заказ</v>
      </c>
      <c r="M498" s="22"/>
      <c r="N498" s="22"/>
      <c r="O498" s="22" t="s">
        <v>139</v>
      </c>
      <c r="P498" s="23" t="str">
        <f>микс!$H$49</f>
        <v>Товары для детей</v>
      </c>
      <c r="Q498" s="21" t="s">
        <v>133</v>
      </c>
      <c r="R498" s="25">
        <v>1</v>
      </c>
      <c r="S498" s="28"/>
      <c r="T498" s="31">
        <v>42329</v>
      </c>
      <c r="U498" s="33">
        <v>2236.15</v>
      </c>
      <c r="V498" s="36">
        <f t="shared" si="37"/>
        <v>2236.15</v>
      </c>
      <c r="W498" s="28"/>
      <c r="X498" s="31">
        <v>42339</v>
      </c>
      <c r="Y498" s="33">
        <v>2770</v>
      </c>
      <c r="Z498" s="189">
        <f t="shared" si="38"/>
        <v>2770</v>
      </c>
      <c r="AA498" s="190"/>
      <c r="AB498" s="31">
        <v>42349</v>
      </c>
      <c r="AC498" s="36">
        <v>2236.15</v>
      </c>
      <c r="AD498" s="8"/>
      <c r="AE498" s="6"/>
      <c r="AF498" s="52">
        <f t="shared" si="35"/>
        <v>94653993.350000009</v>
      </c>
      <c r="AG498" s="25">
        <f t="shared" si="36"/>
        <v>117279030</v>
      </c>
      <c r="AH498" s="52">
        <f t="shared" si="39"/>
        <v>94698716.350000009</v>
      </c>
      <c r="AI498" s="6"/>
      <c r="AJ498" s="6"/>
      <c r="AK498" s="6"/>
      <c r="AL498" s="6"/>
      <c r="AM498" s="6"/>
      <c r="AN498" s="6"/>
      <c r="AO498" s="6"/>
      <c r="AP498" s="6"/>
      <c r="AQ498" s="6"/>
      <c r="AR498" s="6"/>
    </row>
    <row r="499" spans="1:44">
      <c r="A499" s="6"/>
      <c r="B499" s="6"/>
      <c r="C499" s="6"/>
      <c r="D499" s="6"/>
      <c r="E499" s="6"/>
      <c r="F499" s="6"/>
      <c r="G499" s="11"/>
      <c r="H499" s="6"/>
      <c r="I499" s="6"/>
      <c r="J499" s="6"/>
      <c r="K499" s="7"/>
      <c r="L499" s="21" t="str">
        <f>микс!$H$11</f>
        <v>продажа под заказ</v>
      </c>
      <c r="M499" s="22"/>
      <c r="N499" s="22"/>
      <c r="O499" s="22" t="s">
        <v>139</v>
      </c>
      <c r="P499" s="23" t="str">
        <f>микс!$H$49</f>
        <v>Товары для детей</v>
      </c>
      <c r="Q499" s="21" t="s">
        <v>133</v>
      </c>
      <c r="R499" s="25">
        <v>1</v>
      </c>
      <c r="S499" s="28"/>
      <c r="T499" s="31">
        <v>42334</v>
      </c>
      <c r="U499" s="33">
        <v>2236.15</v>
      </c>
      <c r="V499" s="36">
        <f t="shared" si="37"/>
        <v>2236.15</v>
      </c>
      <c r="W499" s="28"/>
      <c r="X499" s="31">
        <v>42340</v>
      </c>
      <c r="Y499" s="33">
        <v>2690</v>
      </c>
      <c r="Z499" s="189">
        <f t="shared" si="38"/>
        <v>2690</v>
      </c>
      <c r="AA499" s="190"/>
      <c r="AB499" s="31">
        <v>42364</v>
      </c>
      <c r="AC499" s="36">
        <v>2236.15</v>
      </c>
      <c r="AD499" s="8"/>
      <c r="AE499" s="6"/>
      <c r="AF499" s="52">
        <f t="shared" si="35"/>
        <v>94665174.100000009</v>
      </c>
      <c r="AG499" s="25">
        <f t="shared" si="36"/>
        <v>113894600</v>
      </c>
      <c r="AH499" s="52">
        <f t="shared" si="39"/>
        <v>94732258.600000009</v>
      </c>
      <c r="AI499" s="6"/>
      <c r="AJ499" s="6"/>
      <c r="AK499" s="6"/>
      <c r="AL499" s="6"/>
      <c r="AM499" s="6"/>
      <c r="AN499" s="6"/>
      <c r="AO499" s="6"/>
      <c r="AP499" s="6"/>
      <c r="AQ499" s="6"/>
      <c r="AR499" s="6"/>
    </row>
    <row r="500" spans="1:44">
      <c r="A500" s="6"/>
      <c r="B500" s="6"/>
      <c r="C500" s="6"/>
      <c r="D500" s="6"/>
      <c r="E500" s="6"/>
      <c r="F500" s="6"/>
      <c r="G500" s="11"/>
      <c r="H500" s="6"/>
      <c r="I500" s="6"/>
      <c r="J500" s="6"/>
      <c r="K500" s="7"/>
      <c r="L500" s="21" t="str">
        <f>микс!$H$11</f>
        <v>продажа под заказ</v>
      </c>
      <c r="M500" s="22"/>
      <c r="N500" s="22"/>
      <c r="O500" s="22" t="s">
        <v>139</v>
      </c>
      <c r="P500" s="23" t="str">
        <f>микс!$H$49</f>
        <v>Товары для детей</v>
      </c>
      <c r="Q500" s="21" t="s">
        <v>133</v>
      </c>
      <c r="R500" s="25">
        <v>1</v>
      </c>
      <c r="S500" s="28"/>
      <c r="T500" s="31">
        <v>42331</v>
      </c>
      <c r="U500" s="33">
        <v>2236.15</v>
      </c>
      <c r="V500" s="36">
        <f t="shared" si="37"/>
        <v>2236.15</v>
      </c>
      <c r="W500" s="28"/>
      <c r="X500" s="31">
        <v>42335</v>
      </c>
      <c r="Y500" s="33">
        <v>2935</v>
      </c>
      <c r="Z500" s="189">
        <f t="shared" si="38"/>
        <v>2935</v>
      </c>
      <c r="AA500" s="190"/>
      <c r="AB500" s="31">
        <v>42356</v>
      </c>
      <c r="AC500" s="36">
        <v>2236.15</v>
      </c>
      <c r="AD500" s="8"/>
      <c r="AE500" s="6"/>
      <c r="AF500" s="52">
        <f t="shared" si="35"/>
        <v>94658465.650000006</v>
      </c>
      <c r="AG500" s="25">
        <f t="shared" si="36"/>
        <v>124253225</v>
      </c>
      <c r="AH500" s="52">
        <f t="shared" si="39"/>
        <v>94714369.400000006</v>
      </c>
      <c r="AI500" s="6"/>
      <c r="AJ500" s="6"/>
      <c r="AK500" s="6"/>
      <c r="AL500" s="6"/>
      <c r="AM500" s="6"/>
      <c r="AN500" s="6"/>
      <c r="AO500" s="6"/>
      <c r="AP500" s="6"/>
      <c r="AQ500" s="6"/>
      <c r="AR500" s="6"/>
    </row>
    <row r="501" spans="1:44">
      <c r="A501" s="6"/>
      <c r="B501" s="6"/>
      <c r="C501" s="6"/>
      <c r="D501" s="6"/>
      <c r="E501" s="6"/>
      <c r="F501" s="6"/>
      <c r="G501" s="11"/>
      <c r="H501" s="6"/>
      <c r="I501" s="6"/>
      <c r="J501" s="6"/>
      <c r="K501" s="7"/>
      <c r="L501" s="21" t="str">
        <f>микс!$H$11</f>
        <v>продажа под заказ</v>
      </c>
      <c r="M501" s="22"/>
      <c r="N501" s="22"/>
      <c r="O501" s="22" t="s">
        <v>139</v>
      </c>
      <c r="P501" s="23" t="str">
        <f>микс!$H$49</f>
        <v>Товары для детей</v>
      </c>
      <c r="Q501" s="21" t="s">
        <v>133</v>
      </c>
      <c r="R501" s="25">
        <v>1</v>
      </c>
      <c r="S501" s="28"/>
      <c r="T501" s="31">
        <v>42330</v>
      </c>
      <c r="U501" s="33">
        <v>2236.15</v>
      </c>
      <c r="V501" s="36">
        <f t="shared" si="37"/>
        <v>2236.15</v>
      </c>
      <c r="W501" s="28"/>
      <c r="X501" s="31">
        <v>42335</v>
      </c>
      <c r="Y501" s="33">
        <v>2446</v>
      </c>
      <c r="Z501" s="189">
        <f t="shared" si="38"/>
        <v>2446</v>
      </c>
      <c r="AA501" s="190"/>
      <c r="AB501" s="31"/>
      <c r="AC501" s="36"/>
      <c r="AD501" s="8"/>
      <c r="AE501" s="6"/>
      <c r="AF501" s="52">
        <f t="shared" si="35"/>
        <v>94656229.5</v>
      </c>
      <c r="AG501" s="25">
        <f t="shared" si="36"/>
        <v>103551410</v>
      </c>
      <c r="AH501" s="52">
        <f t="shared" si="39"/>
        <v>0</v>
      </c>
      <c r="AI501" s="6"/>
      <c r="AJ501" s="6"/>
      <c r="AK501" s="6"/>
      <c r="AL501" s="6"/>
      <c r="AM501" s="6"/>
      <c r="AN501" s="6"/>
      <c r="AO501" s="6"/>
      <c r="AP501" s="6"/>
      <c r="AQ501" s="6"/>
      <c r="AR501" s="6"/>
    </row>
    <row r="502" spans="1:44">
      <c r="A502" s="6"/>
      <c r="B502" s="6"/>
      <c r="C502" s="6"/>
      <c r="D502" s="6"/>
      <c r="E502" s="6"/>
      <c r="F502" s="6"/>
      <c r="G502" s="11"/>
      <c r="H502" s="6"/>
      <c r="I502" s="6"/>
      <c r="J502" s="6"/>
      <c r="K502" s="7"/>
      <c r="L502" s="21" t="str">
        <f>микс!$H$10</f>
        <v>продажа со склада</v>
      </c>
      <c r="M502" s="22"/>
      <c r="N502" s="22"/>
      <c r="O502" s="22" t="s">
        <v>139</v>
      </c>
      <c r="P502" s="23" t="str">
        <f>микс!$H$49</f>
        <v>Товары для детей</v>
      </c>
      <c r="Q502" s="21" t="s">
        <v>133</v>
      </c>
      <c r="R502" s="25">
        <v>1</v>
      </c>
      <c r="S502" s="28"/>
      <c r="T502" s="31">
        <v>42223</v>
      </c>
      <c r="U502" s="33">
        <v>1710.79</v>
      </c>
      <c r="V502" s="36">
        <f t="shared" si="37"/>
        <v>1710.79</v>
      </c>
      <c r="W502" s="28"/>
      <c r="X502" s="31">
        <v>42305</v>
      </c>
      <c r="Y502" s="33">
        <v>3500</v>
      </c>
      <c r="Z502" s="189">
        <f t="shared" si="38"/>
        <v>3500</v>
      </c>
      <c r="AA502" s="190"/>
      <c r="AB502" s="31"/>
      <c r="AC502" s="36"/>
      <c r="AD502" s="8"/>
      <c r="AE502" s="6"/>
      <c r="AF502" s="52">
        <f t="shared" si="35"/>
        <v>72234686.170000002</v>
      </c>
      <c r="AG502" s="25">
        <f t="shared" si="36"/>
        <v>148067500</v>
      </c>
      <c r="AH502" s="52">
        <f t="shared" si="39"/>
        <v>0</v>
      </c>
      <c r="AI502" s="6"/>
      <c r="AJ502" s="6"/>
      <c r="AK502" s="6"/>
      <c r="AL502" s="6"/>
      <c r="AM502" s="6"/>
      <c r="AN502" s="6"/>
      <c r="AO502" s="6"/>
      <c r="AP502" s="6"/>
      <c r="AQ502" s="6"/>
      <c r="AR502" s="6"/>
    </row>
    <row r="503" spans="1:44">
      <c r="A503" s="6"/>
      <c r="B503" s="6"/>
      <c r="C503" s="6"/>
      <c r="D503" s="6"/>
      <c r="E503" s="6"/>
      <c r="F503" s="6"/>
      <c r="G503" s="11"/>
      <c r="H503" s="6"/>
      <c r="I503" s="6"/>
      <c r="J503" s="6"/>
      <c r="K503" s="7"/>
      <c r="L503" s="21" t="str">
        <f>микс!$H$10</f>
        <v>продажа со склада</v>
      </c>
      <c r="M503" s="22"/>
      <c r="N503" s="22"/>
      <c r="O503" s="22" t="s">
        <v>139</v>
      </c>
      <c r="P503" s="23" t="str">
        <f>микс!$H$49</f>
        <v>Товары для детей</v>
      </c>
      <c r="Q503" s="21" t="s">
        <v>133</v>
      </c>
      <c r="R503" s="25">
        <v>1</v>
      </c>
      <c r="S503" s="28"/>
      <c r="T503" s="31">
        <v>42126</v>
      </c>
      <c r="U503" s="33">
        <v>1707.48</v>
      </c>
      <c r="V503" s="36">
        <f t="shared" si="37"/>
        <v>1707.48</v>
      </c>
      <c r="W503" s="28"/>
      <c r="X503" s="31">
        <v>42295</v>
      </c>
      <c r="Y503" s="33">
        <v>3500</v>
      </c>
      <c r="Z503" s="189">
        <f t="shared" si="38"/>
        <v>3500</v>
      </c>
      <c r="AA503" s="190"/>
      <c r="AB503" s="31">
        <v>42148</v>
      </c>
      <c r="AC503" s="36">
        <v>1707.48</v>
      </c>
      <c r="AD503" s="8"/>
      <c r="AE503" s="6"/>
      <c r="AF503" s="52">
        <f t="shared" si="35"/>
        <v>71929302.480000004</v>
      </c>
      <c r="AG503" s="25">
        <f t="shared" si="36"/>
        <v>148032500</v>
      </c>
      <c r="AH503" s="52">
        <f t="shared" si="39"/>
        <v>71966867.040000007</v>
      </c>
      <c r="AI503" s="6"/>
      <c r="AJ503" s="6"/>
      <c r="AK503" s="6"/>
      <c r="AL503" s="6"/>
      <c r="AM503" s="6"/>
      <c r="AN503" s="6"/>
      <c r="AO503" s="6"/>
      <c r="AP503" s="6"/>
      <c r="AQ503" s="6"/>
      <c r="AR503" s="6"/>
    </row>
    <row r="504" spans="1:44">
      <c r="A504" s="6"/>
      <c r="B504" s="6"/>
      <c r="C504" s="6"/>
      <c r="D504" s="6"/>
      <c r="E504" s="6"/>
      <c r="F504" s="6"/>
      <c r="G504" s="11"/>
      <c r="H504" s="6"/>
      <c r="I504" s="6"/>
      <c r="J504" s="6"/>
      <c r="K504" s="7"/>
      <c r="L504" s="21" t="str">
        <f>микс!$H$10</f>
        <v>продажа со склада</v>
      </c>
      <c r="M504" s="22"/>
      <c r="N504" s="22"/>
      <c r="O504" s="22" t="s">
        <v>139</v>
      </c>
      <c r="P504" s="23" t="str">
        <f>микс!$H$49</f>
        <v>Товары для детей</v>
      </c>
      <c r="Q504" s="21" t="s">
        <v>133</v>
      </c>
      <c r="R504" s="25">
        <v>1</v>
      </c>
      <c r="S504" s="28"/>
      <c r="T504" s="31">
        <v>42231</v>
      </c>
      <c r="U504" s="33">
        <v>1710.79</v>
      </c>
      <c r="V504" s="36">
        <f t="shared" si="37"/>
        <v>1710.79</v>
      </c>
      <c r="W504" s="28"/>
      <c r="X504" s="31">
        <v>42307</v>
      </c>
      <c r="Y504" s="33">
        <v>2770</v>
      </c>
      <c r="Z504" s="189">
        <f t="shared" si="38"/>
        <v>2770</v>
      </c>
      <c r="AA504" s="190"/>
      <c r="AB504" s="31">
        <v>42263</v>
      </c>
      <c r="AC504" s="36">
        <v>1710.79</v>
      </c>
      <c r="AD504" s="8"/>
      <c r="AE504" s="6"/>
      <c r="AF504" s="52">
        <f t="shared" si="35"/>
        <v>72248372.489999995</v>
      </c>
      <c r="AG504" s="25">
        <f t="shared" si="36"/>
        <v>117190390</v>
      </c>
      <c r="AH504" s="52">
        <f t="shared" si="39"/>
        <v>72303117.769999996</v>
      </c>
      <c r="AI504" s="6"/>
      <c r="AJ504" s="6"/>
      <c r="AK504" s="6"/>
      <c r="AL504" s="6"/>
      <c r="AM504" s="6"/>
      <c r="AN504" s="6"/>
      <c r="AO504" s="6"/>
      <c r="AP504" s="6"/>
      <c r="AQ504" s="6"/>
      <c r="AR504" s="6"/>
    </row>
    <row r="505" spans="1:44">
      <c r="A505" s="6"/>
      <c r="B505" s="6"/>
      <c r="C505" s="6"/>
      <c r="D505" s="6"/>
      <c r="E505" s="6"/>
      <c r="F505" s="6"/>
      <c r="G505" s="11"/>
      <c r="H505" s="6"/>
      <c r="I505" s="6"/>
      <c r="J505" s="6"/>
      <c r="K505" s="7"/>
      <c r="L505" s="21" t="str">
        <f>микс!$H$10</f>
        <v>продажа со склада</v>
      </c>
      <c r="M505" s="22"/>
      <c r="N505" s="22"/>
      <c r="O505" s="22" t="s">
        <v>139</v>
      </c>
      <c r="P505" s="23" t="str">
        <f>микс!$H$49</f>
        <v>Товары для детей</v>
      </c>
      <c r="Q505" s="21" t="s">
        <v>133</v>
      </c>
      <c r="R505" s="25">
        <v>1</v>
      </c>
      <c r="S505" s="28"/>
      <c r="T505" s="31">
        <v>42229</v>
      </c>
      <c r="U505" s="33">
        <v>2774.56</v>
      </c>
      <c r="V505" s="36">
        <f t="shared" si="37"/>
        <v>2774.56</v>
      </c>
      <c r="W505" s="28"/>
      <c r="X505" s="31">
        <v>42312</v>
      </c>
      <c r="Y505" s="33">
        <v>2770</v>
      </c>
      <c r="Z505" s="189">
        <f t="shared" si="38"/>
        <v>2770</v>
      </c>
      <c r="AA505" s="190"/>
      <c r="AB505" s="31">
        <v>42274</v>
      </c>
      <c r="AC505" s="36">
        <v>2774.56</v>
      </c>
      <c r="AD505" s="8"/>
      <c r="AE505" s="6"/>
      <c r="AF505" s="52">
        <f t="shared" si="35"/>
        <v>117166894.23999999</v>
      </c>
      <c r="AG505" s="25">
        <f t="shared" si="36"/>
        <v>117204240</v>
      </c>
      <c r="AH505" s="52">
        <f t="shared" si="39"/>
        <v>117291749.44</v>
      </c>
      <c r="AI505" s="6"/>
      <c r="AJ505" s="6"/>
      <c r="AK505" s="6"/>
      <c r="AL505" s="6"/>
      <c r="AM505" s="6"/>
      <c r="AN505" s="6"/>
      <c r="AO505" s="6"/>
      <c r="AP505" s="6"/>
      <c r="AQ505" s="6"/>
      <c r="AR505" s="6"/>
    </row>
    <row r="506" spans="1:44">
      <c r="A506" s="6"/>
      <c r="B506" s="6"/>
      <c r="C506" s="6"/>
      <c r="D506" s="6"/>
      <c r="E506" s="6"/>
      <c r="F506" s="6"/>
      <c r="G506" s="11"/>
      <c r="H506" s="6"/>
      <c r="I506" s="6"/>
      <c r="J506" s="6"/>
      <c r="K506" s="7"/>
      <c r="L506" s="21" t="str">
        <f>микс!$H$10</f>
        <v>продажа со склада</v>
      </c>
      <c r="M506" s="22"/>
      <c r="N506" s="22"/>
      <c r="O506" s="22" t="s">
        <v>139</v>
      </c>
      <c r="P506" s="23" t="str">
        <f>микс!$H$49</f>
        <v>Товары для детей</v>
      </c>
      <c r="Q506" s="21" t="s">
        <v>133</v>
      </c>
      <c r="R506" s="25">
        <v>1</v>
      </c>
      <c r="S506" s="28"/>
      <c r="T506" s="31">
        <v>42239</v>
      </c>
      <c r="U506" s="33">
        <v>1710.8</v>
      </c>
      <c r="V506" s="36">
        <f t="shared" si="37"/>
        <v>1710.8</v>
      </c>
      <c r="W506" s="28"/>
      <c r="X506" s="31">
        <v>42322</v>
      </c>
      <c r="Y506" s="33">
        <v>2770</v>
      </c>
      <c r="Z506" s="189">
        <f t="shared" si="38"/>
        <v>2770</v>
      </c>
      <c r="AA506" s="190"/>
      <c r="AB506" s="31"/>
      <c r="AC506" s="36"/>
      <c r="AD506" s="8"/>
      <c r="AE506" s="6"/>
      <c r="AF506" s="52">
        <f t="shared" si="35"/>
        <v>72262481.200000003</v>
      </c>
      <c r="AG506" s="25">
        <f t="shared" si="36"/>
        <v>117231940</v>
      </c>
      <c r="AH506" s="52">
        <f t="shared" si="39"/>
        <v>0</v>
      </c>
      <c r="AI506" s="6"/>
      <c r="AJ506" s="6"/>
      <c r="AK506" s="6"/>
      <c r="AL506" s="6"/>
      <c r="AM506" s="6"/>
      <c r="AN506" s="6"/>
      <c r="AO506" s="6"/>
      <c r="AP506" s="6"/>
      <c r="AQ506" s="6"/>
      <c r="AR506" s="6"/>
    </row>
    <row r="507" spans="1:44">
      <c r="A507" s="6"/>
      <c r="B507" s="6"/>
      <c r="C507" s="6"/>
      <c r="D507" s="6"/>
      <c r="E507" s="6"/>
      <c r="F507" s="6"/>
      <c r="G507" s="11"/>
      <c r="H507" s="6"/>
      <c r="I507" s="6"/>
      <c r="J507" s="6"/>
      <c r="K507" s="7"/>
      <c r="L507" s="21" t="str">
        <f>микс!$H$11</f>
        <v>продажа под заказ</v>
      </c>
      <c r="M507" s="22"/>
      <c r="N507" s="22"/>
      <c r="O507" s="22" t="s">
        <v>139</v>
      </c>
      <c r="P507" s="23" t="str">
        <f>микс!$H$49</f>
        <v>Товары для детей</v>
      </c>
      <c r="Q507" s="21" t="s">
        <v>133</v>
      </c>
      <c r="R507" s="25">
        <v>1</v>
      </c>
      <c r="S507" s="28"/>
      <c r="T507" s="31">
        <v>42319</v>
      </c>
      <c r="U507" s="33">
        <v>2236.15</v>
      </c>
      <c r="V507" s="36">
        <f t="shared" si="37"/>
        <v>2236.15</v>
      </c>
      <c r="W507" s="28"/>
      <c r="X507" s="31">
        <v>42325</v>
      </c>
      <c r="Y507" s="33">
        <v>2770</v>
      </c>
      <c r="Z507" s="189">
        <f t="shared" si="38"/>
        <v>2770</v>
      </c>
      <c r="AA507" s="190"/>
      <c r="AB507" s="31">
        <v>42331</v>
      </c>
      <c r="AC507" s="36">
        <v>2236.15</v>
      </c>
      <c r="AD507" s="8"/>
      <c r="AE507" s="6"/>
      <c r="AF507" s="52">
        <f t="shared" si="35"/>
        <v>94631631.850000009</v>
      </c>
      <c r="AG507" s="25">
        <f t="shared" si="36"/>
        <v>117240250</v>
      </c>
      <c r="AH507" s="52">
        <f t="shared" si="39"/>
        <v>94658465.650000006</v>
      </c>
      <c r="AI507" s="6"/>
      <c r="AJ507" s="6"/>
      <c r="AK507" s="6"/>
      <c r="AL507" s="6"/>
      <c r="AM507" s="6"/>
      <c r="AN507" s="6"/>
      <c r="AO507" s="6"/>
      <c r="AP507" s="6"/>
      <c r="AQ507" s="6"/>
      <c r="AR507" s="6"/>
    </row>
    <row r="508" spans="1:44">
      <c r="A508" s="6"/>
      <c r="B508" s="6"/>
      <c r="C508" s="6"/>
      <c r="D508" s="6"/>
      <c r="E508" s="6"/>
      <c r="F508" s="6"/>
      <c r="G508" s="11"/>
      <c r="H508" s="6"/>
      <c r="I508" s="6"/>
      <c r="J508" s="6"/>
      <c r="K508" s="7"/>
      <c r="L508" s="21" t="str">
        <f>микс!$H$10</f>
        <v>продажа со склада</v>
      </c>
      <c r="M508" s="22"/>
      <c r="N508" s="22"/>
      <c r="O508" s="22" t="s">
        <v>139</v>
      </c>
      <c r="P508" s="23" t="str">
        <f>микс!$H$49</f>
        <v>Товары для детей</v>
      </c>
      <c r="Q508" s="21" t="s">
        <v>133</v>
      </c>
      <c r="R508" s="25">
        <v>1</v>
      </c>
      <c r="S508" s="28"/>
      <c r="T508" s="31">
        <v>42241</v>
      </c>
      <c r="U508" s="33">
        <v>2054.2600000000002</v>
      </c>
      <c r="V508" s="36">
        <f t="shared" si="37"/>
        <v>2054.2600000000002</v>
      </c>
      <c r="W508" s="28"/>
      <c r="X508" s="31">
        <v>42318</v>
      </c>
      <c r="Y508" s="33">
        <v>2818</v>
      </c>
      <c r="Z508" s="189">
        <f t="shared" si="38"/>
        <v>2818</v>
      </c>
      <c r="AA508" s="190"/>
      <c r="AB508" s="31">
        <v>42251</v>
      </c>
      <c r="AC508" s="36">
        <v>2054.2600000000002</v>
      </c>
      <c r="AD508" s="8"/>
      <c r="AE508" s="6"/>
      <c r="AF508" s="52">
        <f t="shared" si="35"/>
        <v>86773996.660000011</v>
      </c>
      <c r="AG508" s="25">
        <f t="shared" si="36"/>
        <v>119252124</v>
      </c>
      <c r="AH508" s="52">
        <f t="shared" si="39"/>
        <v>86794539.260000005</v>
      </c>
      <c r="AI508" s="6"/>
      <c r="AJ508" s="6"/>
      <c r="AK508" s="6"/>
      <c r="AL508" s="6"/>
      <c r="AM508" s="6"/>
      <c r="AN508" s="6"/>
      <c r="AO508" s="6"/>
      <c r="AP508" s="6"/>
      <c r="AQ508" s="6"/>
      <c r="AR508" s="6"/>
    </row>
    <row r="509" spans="1:44">
      <c r="A509" s="6"/>
      <c r="B509" s="6"/>
      <c r="C509" s="6"/>
      <c r="D509" s="6"/>
      <c r="E509" s="6"/>
      <c r="F509" s="6"/>
      <c r="G509" s="11"/>
      <c r="H509" s="6"/>
      <c r="I509" s="6"/>
      <c r="J509" s="6"/>
      <c r="K509" s="7"/>
      <c r="L509" s="21" t="str">
        <f>микс!$H$10</f>
        <v>продажа со склада</v>
      </c>
      <c r="M509" s="22"/>
      <c r="N509" s="22"/>
      <c r="O509" s="22" t="s">
        <v>139</v>
      </c>
      <c r="P509" s="23" t="str">
        <f>микс!$H$49</f>
        <v>Товары для детей</v>
      </c>
      <c r="Q509" s="21" t="s">
        <v>133</v>
      </c>
      <c r="R509" s="25">
        <v>1</v>
      </c>
      <c r="S509" s="28"/>
      <c r="T509" s="31">
        <v>42221</v>
      </c>
      <c r="U509" s="33">
        <v>603.07000000000005</v>
      </c>
      <c r="V509" s="36">
        <f t="shared" si="37"/>
        <v>603.07000000000005</v>
      </c>
      <c r="W509" s="28"/>
      <c r="X509" s="31">
        <v>42297</v>
      </c>
      <c r="Y509" s="33">
        <v>386</v>
      </c>
      <c r="Z509" s="189">
        <f t="shared" si="38"/>
        <v>386</v>
      </c>
      <c r="AA509" s="190"/>
      <c r="AB509" s="31">
        <v>42241</v>
      </c>
      <c r="AC509" s="36">
        <v>603.07000000000005</v>
      </c>
      <c r="AD509" s="8"/>
      <c r="AE509" s="6"/>
      <c r="AF509" s="52">
        <f t="shared" si="35"/>
        <v>25462218.470000003</v>
      </c>
      <c r="AG509" s="25">
        <f t="shared" si="36"/>
        <v>16326642</v>
      </c>
      <c r="AH509" s="52">
        <f t="shared" si="39"/>
        <v>25474279.870000001</v>
      </c>
      <c r="AI509" s="6"/>
      <c r="AJ509" s="6"/>
      <c r="AK509" s="6"/>
      <c r="AL509" s="6"/>
      <c r="AM509" s="6"/>
      <c r="AN509" s="6"/>
      <c r="AO509" s="6"/>
      <c r="AP509" s="6"/>
      <c r="AQ509" s="6"/>
      <c r="AR509" s="6"/>
    </row>
    <row r="510" spans="1:44">
      <c r="A510" s="6"/>
      <c r="B510" s="6"/>
      <c r="C510" s="6"/>
      <c r="D510" s="6"/>
      <c r="E510" s="6"/>
      <c r="F510" s="6"/>
      <c r="G510" s="11"/>
      <c r="H510" s="6"/>
      <c r="I510" s="6"/>
      <c r="J510" s="6"/>
      <c r="K510" s="7"/>
      <c r="L510" s="21" t="str">
        <f>микс!$H$11</f>
        <v>продажа под заказ</v>
      </c>
      <c r="M510" s="22"/>
      <c r="N510" s="22"/>
      <c r="O510" s="22" t="s">
        <v>148</v>
      </c>
      <c r="P510" s="23" t="str">
        <f>микс!$H$49</f>
        <v>Товары для детей</v>
      </c>
      <c r="Q510" s="21" t="s">
        <v>73</v>
      </c>
      <c r="R510" s="25">
        <v>1</v>
      </c>
      <c r="S510" s="28"/>
      <c r="T510" s="31">
        <v>42338</v>
      </c>
      <c r="U510" s="33">
        <v>4750</v>
      </c>
      <c r="V510" s="36">
        <f t="shared" si="37"/>
        <v>4750</v>
      </c>
      <c r="W510" s="28"/>
      <c r="X510" s="31">
        <v>42341</v>
      </c>
      <c r="Y510" s="33">
        <v>5233</v>
      </c>
      <c r="Z510" s="189">
        <f t="shared" si="38"/>
        <v>5233</v>
      </c>
      <c r="AA510" s="190"/>
      <c r="AB510" s="31">
        <v>42368</v>
      </c>
      <c r="AC510" s="36">
        <v>4750</v>
      </c>
      <c r="AD510" s="8"/>
      <c r="AE510" s="6"/>
      <c r="AF510" s="52">
        <f t="shared" si="35"/>
        <v>201105500</v>
      </c>
      <c r="AG510" s="25">
        <f t="shared" si="36"/>
        <v>221570453</v>
      </c>
      <c r="AH510" s="52">
        <f t="shared" si="39"/>
        <v>201248000</v>
      </c>
      <c r="AI510" s="6"/>
      <c r="AJ510" s="6"/>
      <c r="AK510" s="6"/>
      <c r="AL510" s="6"/>
      <c r="AM510" s="6"/>
      <c r="AN510" s="6"/>
      <c r="AO510" s="6"/>
      <c r="AP510" s="6"/>
      <c r="AQ510" s="6"/>
      <c r="AR510" s="6"/>
    </row>
    <row r="511" spans="1:44">
      <c r="A511" s="6"/>
      <c r="B511" s="6"/>
      <c r="C511" s="6"/>
      <c r="D511" s="6"/>
      <c r="E511" s="6"/>
      <c r="F511" s="6"/>
      <c r="G511" s="11"/>
      <c r="H511" s="6"/>
      <c r="I511" s="6"/>
      <c r="J511" s="6"/>
      <c r="K511" s="7"/>
      <c r="L511" s="21" t="str">
        <f>микс!$H$11</f>
        <v>продажа под заказ</v>
      </c>
      <c r="M511" s="22"/>
      <c r="N511" s="22"/>
      <c r="O511" s="22" t="s">
        <v>148</v>
      </c>
      <c r="P511" s="23" t="str">
        <f>микс!$H$49</f>
        <v>Товары для детей</v>
      </c>
      <c r="Q511" s="21" t="s">
        <v>73</v>
      </c>
      <c r="R511" s="25">
        <v>1</v>
      </c>
      <c r="S511" s="28"/>
      <c r="T511" s="31">
        <v>42338</v>
      </c>
      <c r="U511" s="33">
        <v>4750</v>
      </c>
      <c r="V511" s="36">
        <f t="shared" si="37"/>
        <v>4750</v>
      </c>
      <c r="W511" s="28"/>
      <c r="X511" s="31">
        <v>42341</v>
      </c>
      <c r="Y511" s="33">
        <v>5233</v>
      </c>
      <c r="Z511" s="189">
        <f t="shared" si="38"/>
        <v>5233</v>
      </c>
      <c r="AA511" s="190"/>
      <c r="AB511" s="31">
        <v>42368</v>
      </c>
      <c r="AC511" s="36">
        <v>4750</v>
      </c>
      <c r="AD511" s="8"/>
      <c r="AE511" s="6"/>
      <c r="AF511" s="52">
        <f t="shared" si="35"/>
        <v>201105500</v>
      </c>
      <c r="AG511" s="25">
        <f t="shared" si="36"/>
        <v>221570453</v>
      </c>
      <c r="AH511" s="52">
        <f t="shared" si="39"/>
        <v>201248000</v>
      </c>
      <c r="AI511" s="6"/>
      <c r="AJ511" s="6"/>
      <c r="AK511" s="6"/>
      <c r="AL511" s="6"/>
      <c r="AM511" s="6"/>
      <c r="AN511" s="6"/>
      <c r="AO511" s="6"/>
      <c r="AP511" s="6"/>
      <c r="AQ511" s="6"/>
      <c r="AR511" s="6"/>
    </row>
    <row r="512" spans="1:44">
      <c r="A512" s="6"/>
      <c r="B512" s="6"/>
      <c r="C512" s="6"/>
      <c r="D512" s="6"/>
      <c r="E512" s="6"/>
      <c r="F512" s="6"/>
      <c r="G512" s="11"/>
      <c r="H512" s="6"/>
      <c r="I512" s="6"/>
      <c r="J512" s="6"/>
      <c r="K512" s="7"/>
      <c r="L512" s="21" t="str">
        <f>микс!$H$11</f>
        <v>продажа под заказ</v>
      </c>
      <c r="M512" s="22"/>
      <c r="N512" s="22"/>
      <c r="O512" s="22" t="s">
        <v>148</v>
      </c>
      <c r="P512" s="23" t="str">
        <f>микс!$H$49</f>
        <v>Товары для детей</v>
      </c>
      <c r="Q512" s="21" t="s">
        <v>73</v>
      </c>
      <c r="R512" s="25">
        <v>1</v>
      </c>
      <c r="S512" s="28"/>
      <c r="T512" s="31">
        <v>42338</v>
      </c>
      <c r="U512" s="33">
        <v>4750</v>
      </c>
      <c r="V512" s="36">
        <f t="shared" si="37"/>
        <v>4750</v>
      </c>
      <c r="W512" s="28"/>
      <c r="X512" s="31">
        <v>42344</v>
      </c>
      <c r="Y512" s="33">
        <v>5233</v>
      </c>
      <c r="Z512" s="189">
        <f t="shared" si="38"/>
        <v>5233</v>
      </c>
      <c r="AA512" s="190"/>
      <c r="AB512" s="31"/>
      <c r="AC512" s="36"/>
      <c r="AD512" s="8"/>
      <c r="AE512" s="6"/>
      <c r="AF512" s="52">
        <f t="shared" si="35"/>
        <v>201105500</v>
      </c>
      <c r="AG512" s="25">
        <f t="shared" si="36"/>
        <v>221586152</v>
      </c>
      <c r="AH512" s="52">
        <f t="shared" si="39"/>
        <v>0</v>
      </c>
      <c r="AI512" s="6"/>
      <c r="AJ512" s="6"/>
      <c r="AK512" s="6"/>
      <c r="AL512" s="6"/>
      <c r="AM512" s="6"/>
      <c r="AN512" s="6"/>
      <c r="AO512" s="6"/>
      <c r="AP512" s="6"/>
      <c r="AQ512" s="6"/>
      <c r="AR512" s="6"/>
    </row>
    <row r="513" spans="1:44">
      <c r="A513" s="6"/>
      <c r="B513" s="6"/>
      <c r="C513" s="6"/>
      <c r="D513" s="6"/>
      <c r="E513" s="6"/>
      <c r="F513" s="6"/>
      <c r="G513" s="11"/>
      <c r="H513" s="6"/>
      <c r="I513" s="6"/>
      <c r="J513" s="6"/>
      <c r="K513" s="7"/>
      <c r="L513" s="21" t="str">
        <f>микс!$H$11</f>
        <v>продажа под заказ</v>
      </c>
      <c r="M513" s="22"/>
      <c r="N513" s="22"/>
      <c r="O513" s="22" t="s">
        <v>148</v>
      </c>
      <c r="P513" s="23" t="str">
        <f>микс!$H$49</f>
        <v>Товары для детей</v>
      </c>
      <c r="Q513" s="21" t="s">
        <v>73</v>
      </c>
      <c r="R513" s="25">
        <v>1</v>
      </c>
      <c r="S513" s="28"/>
      <c r="T513" s="31">
        <v>42329</v>
      </c>
      <c r="U513" s="33">
        <v>4750</v>
      </c>
      <c r="V513" s="36">
        <f t="shared" si="37"/>
        <v>4750</v>
      </c>
      <c r="W513" s="28"/>
      <c r="X513" s="31">
        <v>42342</v>
      </c>
      <c r="Y513" s="33">
        <v>5345</v>
      </c>
      <c r="Z513" s="189">
        <f t="shared" si="38"/>
        <v>5345</v>
      </c>
      <c r="AA513" s="190"/>
      <c r="AB513" s="31"/>
      <c r="AC513" s="36"/>
      <c r="AD513" s="8"/>
      <c r="AE513" s="6"/>
      <c r="AF513" s="52">
        <f t="shared" si="35"/>
        <v>201062750</v>
      </c>
      <c r="AG513" s="25">
        <f t="shared" si="36"/>
        <v>226317990</v>
      </c>
      <c r="AH513" s="52">
        <f t="shared" si="39"/>
        <v>0</v>
      </c>
      <c r="AI513" s="6"/>
      <c r="AJ513" s="6"/>
      <c r="AK513" s="6"/>
      <c r="AL513" s="6"/>
      <c r="AM513" s="6"/>
      <c r="AN513" s="6"/>
      <c r="AO513" s="6"/>
      <c r="AP513" s="6"/>
      <c r="AQ513" s="6"/>
      <c r="AR513" s="6"/>
    </row>
    <row r="514" spans="1:44">
      <c r="A514" s="6"/>
      <c r="B514" s="6"/>
      <c r="C514" s="6"/>
      <c r="D514" s="6"/>
      <c r="E514" s="6"/>
      <c r="F514" s="6"/>
      <c r="G514" s="11"/>
      <c r="H514" s="6"/>
      <c r="I514" s="6"/>
      <c r="J514" s="6"/>
      <c r="K514" s="7"/>
      <c r="L514" s="21" t="str">
        <f>микс!$H$11</f>
        <v>продажа под заказ</v>
      </c>
      <c r="M514" s="22"/>
      <c r="N514" s="22"/>
      <c r="O514" s="22" t="s">
        <v>148</v>
      </c>
      <c r="P514" s="23" t="str">
        <f>микс!$H$49</f>
        <v>Товары для детей</v>
      </c>
      <c r="Q514" s="21" t="s">
        <v>73</v>
      </c>
      <c r="R514" s="25">
        <v>1</v>
      </c>
      <c r="S514" s="28"/>
      <c r="T514" s="31">
        <v>42329</v>
      </c>
      <c r="U514" s="33">
        <v>4750</v>
      </c>
      <c r="V514" s="36">
        <f t="shared" si="37"/>
        <v>4750</v>
      </c>
      <c r="W514" s="28"/>
      <c r="X514" s="31">
        <v>42334</v>
      </c>
      <c r="Y514" s="33">
        <v>5400</v>
      </c>
      <c r="Z514" s="189">
        <f t="shared" si="38"/>
        <v>5400</v>
      </c>
      <c r="AA514" s="190"/>
      <c r="AB514" s="31"/>
      <c r="AC514" s="36"/>
      <c r="AD514" s="8"/>
      <c r="AE514" s="6"/>
      <c r="AF514" s="52">
        <f t="shared" si="35"/>
        <v>201062750</v>
      </c>
      <c r="AG514" s="25">
        <f t="shared" si="36"/>
        <v>228603600</v>
      </c>
      <c r="AH514" s="52">
        <f t="shared" si="39"/>
        <v>0</v>
      </c>
      <c r="AI514" s="6"/>
      <c r="AJ514" s="6"/>
      <c r="AK514" s="6"/>
      <c r="AL514" s="6"/>
      <c r="AM514" s="6"/>
      <c r="AN514" s="6"/>
      <c r="AO514" s="6"/>
      <c r="AP514" s="6"/>
      <c r="AQ514" s="6"/>
      <c r="AR514" s="6"/>
    </row>
    <row r="515" spans="1:44">
      <c r="A515" s="6"/>
      <c r="B515" s="6"/>
      <c r="C515" s="6"/>
      <c r="D515" s="6"/>
      <c r="E515" s="6"/>
      <c r="F515" s="6"/>
      <c r="G515" s="11"/>
      <c r="H515" s="6"/>
      <c r="I515" s="6"/>
      <c r="J515" s="6"/>
      <c r="K515" s="7"/>
      <c r="L515" s="21" t="str">
        <f>микс!$H$10</f>
        <v>продажа со склада</v>
      </c>
      <c r="M515" s="22"/>
      <c r="N515" s="22"/>
      <c r="O515" s="22" t="s">
        <v>148</v>
      </c>
      <c r="P515" s="23" t="str">
        <f>микс!$H$49</f>
        <v>Товары для детей</v>
      </c>
      <c r="Q515" s="21" t="s">
        <v>60</v>
      </c>
      <c r="R515" s="25">
        <v>1</v>
      </c>
      <c r="S515" s="28"/>
      <c r="T515" s="31">
        <v>41954</v>
      </c>
      <c r="U515" s="33">
        <v>2505.44</v>
      </c>
      <c r="V515" s="36">
        <f t="shared" si="37"/>
        <v>2505.44</v>
      </c>
      <c r="W515" s="28"/>
      <c r="X515" s="31">
        <v>42332</v>
      </c>
      <c r="Y515" s="33">
        <v>3300</v>
      </c>
      <c r="Z515" s="189">
        <f t="shared" si="38"/>
        <v>3300</v>
      </c>
      <c r="AA515" s="190"/>
      <c r="AB515" s="31">
        <v>42014</v>
      </c>
      <c r="AC515" s="36">
        <v>2505.44</v>
      </c>
      <c r="AD515" s="8"/>
      <c r="AE515" s="6"/>
      <c r="AF515" s="52">
        <f t="shared" si="35"/>
        <v>105113229.76000001</v>
      </c>
      <c r="AG515" s="25">
        <f t="shared" si="36"/>
        <v>139695600</v>
      </c>
      <c r="AH515" s="52">
        <f t="shared" si="39"/>
        <v>105263556.16</v>
      </c>
      <c r="AI515" s="6"/>
      <c r="AJ515" s="6"/>
      <c r="AK515" s="6"/>
      <c r="AL515" s="6"/>
      <c r="AM515" s="6"/>
      <c r="AN515" s="6"/>
      <c r="AO515" s="6"/>
      <c r="AP515" s="6"/>
      <c r="AQ515" s="6"/>
      <c r="AR515" s="6"/>
    </row>
    <row r="516" spans="1:44">
      <c r="A516" s="6"/>
      <c r="B516" s="6"/>
      <c r="C516" s="6"/>
      <c r="D516" s="6"/>
      <c r="E516" s="6"/>
      <c r="F516" s="6"/>
      <c r="G516" s="11"/>
      <c r="H516" s="6"/>
      <c r="I516" s="6"/>
      <c r="J516" s="6"/>
      <c r="K516" s="7"/>
      <c r="L516" s="21" t="str">
        <f>микс!$H$10</f>
        <v>продажа со склада</v>
      </c>
      <c r="M516" s="22"/>
      <c r="N516" s="22"/>
      <c r="O516" s="22" t="s">
        <v>148</v>
      </c>
      <c r="P516" s="23" t="str">
        <f>микс!$H$49</f>
        <v>Товары для детей</v>
      </c>
      <c r="Q516" s="21" t="s">
        <v>60</v>
      </c>
      <c r="R516" s="25">
        <v>1</v>
      </c>
      <c r="S516" s="28"/>
      <c r="T516" s="31">
        <v>41924</v>
      </c>
      <c r="U516" s="33">
        <v>2505.44</v>
      </c>
      <c r="V516" s="36">
        <f t="shared" si="37"/>
        <v>2505.44</v>
      </c>
      <c r="W516" s="28"/>
      <c r="X516" s="31">
        <v>42301</v>
      </c>
      <c r="Y516" s="33">
        <v>2970</v>
      </c>
      <c r="Z516" s="189">
        <f t="shared" si="38"/>
        <v>2970</v>
      </c>
      <c r="AA516" s="190"/>
      <c r="AB516" s="31">
        <v>41954</v>
      </c>
      <c r="AC516" s="36">
        <v>2505.44</v>
      </c>
      <c r="AD516" s="8"/>
      <c r="AE516" s="6"/>
      <c r="AF516" s="52">
        <f t="shared" si="35"/>
        <v>105038066.56</v>
      </c>
      <c r="AG516" s="25">
        <f t="shared" si="36"/>
        <v>125633970</v>
      </c>
      <c r="AH516" s="52">
        <f t="shared" si="39"/>
        <v>105113229.76000001</v>
      </c>
      <c r="AI516" s="6"/>
      <c r="AJ516" s="6"/>
      <c r="AK516" s="6"/>
      <c r="AL516" s="6"/>
      <c r="AM516" s="6"/>
      <c r="AN516" s="6"/>
      <c r="AO516" s="6"/>
      <c r="AP516" s="6"/>
      <c r="AQ516" s="6"/>
      <c r="AR516" s="6"/>
    </row>
    <row r="517" spans="1:44">
      <c r="A517" s="6"/>
      <c r="B517" s="6"/>
      <c r="C517" s="6"/>
      <c r="D517" s="6"/>
      <c r="E517" s="6"/>
      <c r="F517" s="6"/>
      <c r="G517" s="11"/>
      <c r="H517" s="6"/>
      <c r="I517" s="6"/>
      <c r="J517" s="6"/>
      <c r="K517" s="7"/>
      <c r="L517" s="21" t="str">
        <f>микс!$H$10</f>
        <v>продажа со склада</v>
      </c>
      <c r="M517" s="22"/>
      <c r="N517" s="22"/>
      <c r="O517" s="22" t="s">
        <v>148</v>
      </c>
      <c r="P517" s="23" t="str">
        <f>микс!$H$49</f>
        <v>Товары для детей</v>
      </c>
      <c r="Q517" s="21" t="s">
        <v>133</v>
      </c>
      <c r="R517" s="25">
        <v>1</v>
      </c>
      <c r="S517" s="28"/>
      <c r="T517" s="31">
        <v>41962</v>
      </c>
      <c r="U517" s="33">
        <v>296.01</v>
      </c>
      <c r="V517" s="36">
        <f t="shared" si="37"/>
        <v>296.01</v>
      </c>
      <c r="W517" s="28"/>
      <c r="X517" s="31">
        <v>42342</v>
      </c>
      <c r="Y517" s="33">
        <v>300</v>
      </c>
      <c r="Z517" s="189">
        <f t="shared" si="38"/>
        <v>300</v>
      </c>
      <c r="AA517" s="190"/>
      <c r="AB517" s="31">
        <v>41982</v>
      </c>
      <c r="AC517" s="36">
        <v>296.01</v>
      </c>
      <c r="AD517" s="8"/>
      <c r="AE517" s="6"/>
      <c r="AF517" s="52">
        <f t="shared" si="35"/>
        <v>12421171.619999999</v>
      </c>
      <c r="AG517" s="25">
        <f t="shared" si="36"/>
        <v>12702600</v>
      </c>
      <c r="AH517" s="52">
        <f t="shared" si="39"/>
        <v>12427091.82</v>
      </c>
      <c r="AI517" s="6"/>
      <c r="AJ517" s="6"/>
      <c r="AK517" s="6"/>
      <c r="AL517" s="6"/>
      <c r="AM517" s="6"/>
      <c r="AN517" s="6"/>
      <c r="AO517" s="6"/>
      <c r="AP517" s="6"/>
      <c r="AQ517" s="6"/>
      <c r="AR517" s="6"/>
    </row>
    <row r="518" spans="1:44">
      <c r="A518" s="6"/>
      <c r="B518" s="6"/>
      <c r="C518" s="6"/>
      <c r="D518" s="6"/>
      <c r="E518" s="6"/>
      <c r="F518" s="6"/>
      <c r="G518" s="11"/>
      <c r="H518" s="6"/>
      <c r="I518" s="6"/>
      <c r="J518" s="6"/>
      <c r="K518" s="7"/>
      <c r="L518" s="21" t="str">
        <f>микс!$H$10</f>
        <v>продажа со склада</v>
      </c>
      <c r="M518" s="22"/>
      <c r="N518" s="22"/>
      <c r="O518" s="22" t="s">
        <v>148</v>
      </c>
      <c r="P518" s="23" t="str">
        <f>микс!$H$49</f>
        <v>Товары для детей</v>
      </c>
      <c r="Q518" s="21" t="s">
        <v>133</v>
      </c>
      <c r="R518" s="25">
        <v>1</v>
      </c>
      <c r="S518" s="28"/>
      <c r="T518" s="31">
        <v>41960</v>
      </c>
      <c r="U518" s="33">
        <v>296.01</v>
      </c>
      <c r="V518" s="36">
        <f t="shared" si="37"/>
        <v>296.01</v>
      </c>
      <c r="W518" s="28"/>
      <c r="X518" s="31">
        <v>42339</v>
      </c>
      <c r="Y518" s="33">
        <v>300</v>
      </c>
      <c r="Z518" s="189">
        <f t="shared" si="38"/>
        <v>300</v>
      </c>
      <c r="AA518" s="190"/>
      <c r="AB518" s="31">
        <v>41970</v>
      </c>
      <c r="AC518" s="36">
        <v>296.01</v>
      </c>
      <c r="AD518" s="8"/>
      <c r="AE518" s="6"/>
      <c r="AF518" s="52">
        <f t="shared" si="35"/>
        <v>12420579.6</v>
      </c>
      <c r="AG518" s="25">
        <f t="shared" si="36"/>
        <v>12701700</v>
      </c>
      <c r="AH518" s="52">
        <f t="shared" si="39"/>
        <v>12423539.699999999</v>
      </c>
      <c r="AI518" s="6"/>
      <c r="AJ518" s="6"/>
      <c r="AK518" s="6"/>
      <c r="AL518" s="6"/>
      <c r="AM518" s="6"/>
      <c r="AN518" s="6"/>
      <c r="AO518" s="6"/>
      <c r="AP518" s="6"/>
      <c r="AQ518" s="6"/>
      <c r="AR518" s="6"/>
    </row>
    <row r="519" spans="1:44">
      <c r="A519" s="6"/>
      <c r="B519" s="6"/>
      <c r="C519" s="6"/>
      <c r="D519" s="6"/>
      <c r="E519" s="6"/>
      <c r="F519" s="6"/>
      <c r="G519" s="11"/>
      <c r="H519" s="6"/>
      <c r="I519" s="6"/>
      <c r="J519" s="6"/>
      <c r="K519" s="7"/>
      <c r="L519" s="21" t="str">
        <f>микс!$H$10</f>
        <v>продажа со склада</v>
      </c>
      <c r="M519" s="22"/>
      <c r="N519" s="22"/>
      <c r="O519" s="22" t="s">
        <v>148</v>
      </c>
      <c r="P519" s="23" t="str">
        <f>микс!$H$49</f>
        <v>Товары для детей</v>
      </c>
      <c r="Q519" s="21" t="s">
        <v>133</v>
      </c>
      <c r="R519" s="25">
        <v>1</v>
      </c>
      <c r="S519" s="28"/>
      <c r="T519" s="31">
        <v>41960</v>
      </c>
      <c r="U519" s="33">
        <v>2742.85</v>
      </c>
      <c r="V519" s="36">
        <f t="shared" si="37"/>
        <v>2742.85</v>
      </c>
      <c r="W519" s="28"/>
      <c r="X519" s="31">
        <v>42339</v>
      </c>
      <c r="Y519" s="33">
        <v>3217</v>
      </c>
      <c r="Z519" s="189">
        <f t="shared" si="38"/>
        <v>3217</v>
      </c>
      <c r="AA519" s="190"/>
      <c r="AB519" s="31"/>
      <c r="AC519" s="36"/>
      <c r="AD519" s="8"/>
      <c r="AE519" s="6"/>
      <c r="AF519" s="52">
        <f t="shared" si="35"/>
        <v>115089986</v>
      </c>
      <c r="AG519" s="25">
        <f t="shared" si="36"/>
        <v>136204563</v>
      </c>
      <c r="AH519" s="52">
        <f t="shared" si="39"/>
        <v>0</v>
      </c>
      <c r="AI519" s="6"/>
      <c r="AJ519" s="6"/>
      <c r="AK519" s="6"/>
      <c r="AL519" s="6"/>
      <c r="AM519" s="6"/>
      <c r="AN519" s="6"/>
      <c r="AO519" s="6"/>
      <c r="AP519" s="6"/>
      <c r="AQ519" s="6"/>
      <c r="AR519" s="6"/>
    </row>
    <row r="520" spans="1:44">
      <c r="A520" s="6"/>
      <c r="B520" s="6"/>
      <c r="C520" s="6"/>
      <c r="D520" s="6"/>
      <c r="E520" s="6"/>
      <c r="F520" s="6"/>
      <c r="G520" s="11"/>
      <c r="H520" s="6"/>
      <c r="I520" s="6"/>
      <c r="J520" s="6"/>
      <c r="K520" s="7"/>
      <c r="L520" s="21" t="str">
        <f>микс!$H$11</f>
        <v>продажа под заказ</v>
      </c>
      <c r="M520" s="22"/>
      <c r="N520" s="22"/>
      <c r="O520" s="22" t="s">
        <v>140</v>
      </c>
      <c r="P520" s="23" t="str">
        <f>микс!$H$49</f>
        <v>Товары для детей</v>
      </c>
      <c r="Q520" s="21" t="s">
        <v>133</v>
      </c>
      <c r="R520" s="25">
        <v>1</v>
      </c>
      <c r="S520" s="28"/>
      <c r="T520" s="31">
        <v>42310</v>
      </c>
      <c r="U520" s="33">
        <v>2581.5700000000002</v>
      </c>
      <c r="V520" s="36">
        <f t="shared" si="37"/>
        <v>2581.5700000000002</v>
      </c>
      <c r="W520" s="28"/>
      <c r="X520" s="31">
        <v>42315</v>
      </c>
      <c r="Y520" s="33">
        <v>2880</v>
      </c>
      <c r="Z520" s="189">
        <f t="shared" si="38"/>
        <v>2880</v>
      </c>
      <c r="AA520" s="190"/>
      <c r="AB520" s="31">
        <v>42340</v>
      </c>
      <c r="AC520" s="36">
        <v>2581.5700000000002</v>
      </c>
      <c r="AD520" s="8"/>
      <c r="AE520" s="6"/>
      <c r="AF520" s="52">
        <f t="shared" si="35"/>
        <v>109226226.7</v>
      </c>
      <c r="AG520" s="25">
        <f t="shared" si="36"/>
        <v>121867200</v>
      </c>
      <c r="AH520" s="52">
        <f t="shared" si="39"/>
        <v>109303673.80000001</v>
      </c>
      <c r="AI520" s="6"/>
      <c r="AJ520" s="6"/>
      <c r="AK520" s="6"/>
      <c r="AL520" s="6"/>
      <c r="AM520" s="6"/>
      <c r="AN520" s="6"/>
      <c r="AO520" s="6"/>
      <c r="AP520" s="6"/>
      <c r="AQ520" s="6"/>
      <c r="AR520" s="6"/>
    </row>
    <row r="521" spans="1:44">
      <c r="A521" s="6"/>
      <c r="B521" s="6"/>
      <c r="C521" s="6"/>
      <c r="D521" s="6"/>
      <c r="E521" s="6"/>
      <c r="F521" s="6"/>
      <c r="G521" s="11"/>
      <c r="H521" s="6"/>
      <c r="I521" s="6"/>
      <c r="J521" s="6"/>
      <c r="K521" s="7"/>
      <c r="L521" s="21" t="str">
        <f>микс!$H$11</f>
        <v>продажа под заказ</v>
      </c>
      <c r="M521" s="22"/>
      <c r="N521" s="22"/>
      <c r="O521" s="22" t="s">
        <v>140</v>
      </c>
      <c r="P521" s="23" t="str">
        <f>микс!$H$49</f>
        <v>Товары для детей</v>
      </c>
      <c r="Q521" s="21" t="s">
        <v>133</v>
      </c>
      <c r="R521" s="25">
        <v>1</v>
      </c>
      <c r="S521" s="28"/>
      <c r="T521" s="31">
        <v>42335</v>
      </c>
      <c r="U521" s="33">
        <v>481.36</v>
      </c>
      <c r="V521" s="36">
        <f t="shared" si="37"/>
        <v>481.36</v>
      </c>
      <c r="W521" s="28"/>
      <c r="X521" s="31">
        <v>42339</v>
      </c>
      <c r="Y521" s="33">
        <v>698</v>
      </c>
      <c r="Z521" s="189">
        <f t="shared" si="38"/>
        <v>698</v>
      </c>
      <c r="AA521" s="190"/>
      <c r="AB521" s="31">
        <v>42356</v>
      </c>
      <c r="AC521" s="36">
        <v>481.36</v>
      </c>
      <c r="AD521" s="8"/>
      <c r="AE521" s="6"/>
      <c r="AF521" s="52">
        <f t="shared" ref="AF521:AF584" si="40">T521*V521</f>
        <v>20378375.600000001</v>
      </c>
      <c r="AG521" s="25">
        <f t="shared" ref="AG521:AG584" si="41">X521*Z521</f>
        <v>29552622</v>
      </c>
      <c r="AH521" s="52">
        <f t="shared" si="39"/>
        <v>20388484.16</v>
      </c>
      <c r="AI521" s="6"/>
      <c r="AJ521" s="6"/>
      <c r="AK521" s="6"/>
      <c r="AL521" s="6"/>
      <c r="AM521" s="6"/>
      <c r="AN521" s="6"/>
      <c r="AO521" s="6"/>
      <c r="AP521" s="6"/>
      <c r="AQ521" s="6"/>
      <c r="AR521" s="6"/>
    </row>
    <row r="522" spans="1:44">
      <c r="A522" s="6"/>
      <c r="B522" s="6"/>
      <c r="C522" s="6"/>
      <c r="D522" s="6"/>
      <c r="E522" s="6"/>
      <c r="F522" s="6"/>
      <c r="G522" s="11"/>
      <c r="H522" s="6"/>
      <c r="I522" s="6"/>
      <c r="J522" s="6"/>
      <c r="K522" s="7"/>
      <c r="L522" s="21" t="str">
        <f>микс!$H$11</f>
        <v>продажа под заказ</v>
      </c>
      <c r="M522" s="22"/>
      <c r="N522" s="22"/>
      <c r="O522" s="22" t="s">
        <v>135</v>
      </c>
      <c r="P522" s="23" t="str">
        <f>микс!$H$49</f>
        <v>Товары для детей</v>
      </c>
      <c r="Q522" s="21" t="s">
        <v>133</v>
      </c>
      <c r="R522" s="25">
        <v>1</v>
      </c>
      <c r="S522" s="28"/>
      <c r="T522" s="31">
        <v>42338</v>
      </c>
      <c r="U522" s="33">
        <v>960.19</v>
      </c>
      <c r="V522" s="36">
        <f t="shared" ref="V522:V585" si="42">$R522*U522</f>
        <v>960.19</v>
      </c>
      <c r="W522" s="28"/>
      <c r="X522" s="31">
        <v>42341</v>
      </c>
      <c r="Y522" s="33">
        <v>1116</v>
      </c>
      <c r="Z522" s="189">
        <f t="shared" ref="Z522:Z585" si="43">$R522*Y522</f>
        <v>1116</v>
      </c>
      <c r="AA522" s="190"/>
      <c r="AB522" s="31"/>
      <c r="AC522" s="36"/>
      <c r="AD522" s="8"/>
      <c r="AE522" s="6"/>
      <c r="AF522" s="52">
        <f t="shared" si="40"/>
        <v>40652524.219999999</v>
      </c>
      <c r="AG522" s="25">
        <f t="shared" si="41"/>
        <v>47252556</v>
      </c>
      <c r="AH522" s="52">
        <f t="shared" ref="AH522:AH585" si="44">AB522*AC522</f>
        <v>0</v>
      </c>
      <c r="AI522" s="6"/>
      <c r="AJ522" s="6"/>
      <c r="AK522" s="6"/>
      <c r="AL522" s="6"/>
      <c r="AM522" s="6"/>
      <c r="AN522" s="6"/>
      <c r="AO522" s="6"/>
      <c r="AP522" s="6"/>
      <c r="AQ522" s="6"/>
      <c r="AR522" s="6"/>
    </row>
    <row r="523" spans="1:44">
      <c r="A523" s="6"/>
      <c r="B523" s="6"/>
      <c r="C523" s="6"/>
      <c r="D523" s="6"/>
      <c r="E523" s="6"/>
      <c r="F523" s="6"/>
      <c r="G523" s="11"/>
      <c r="H523" s="6"/>
      <c r="I523" s="6"/>
      <c r="J523" s="6"/>
      <c r="K523" s="7"/>
      <c r="L523" s="21" t="str">
        <f>микс!$H$11</f>
        <v>продажа под заказ</v>
      </c>
      <c r="M523" s="22"/>
      <c r="N523" s="22"/>
      <c r="O523" s="22" t="s">
        <v>138</v>
      </c>
      <c r="P523" s="23" t="str">
        <f>микс!$H$49</f>
        <v>Товары для детей</v>
      </c>
      <c r="Q523" s="21" t="s">
        <v>92</v>
      </c>
      <c r="R523" s="25">
        <v>1</v>
      </c>
      <c r="S523" s="28"/>
      <c r="T523" s="31">
        <v>42338</v>
      </c>
      <c r="U523" s="33">
        <v>697</v>
      </c>
      <c r="V523" s="36">
        <f t="shared" si="42"/>
        <v>697</v>
      </c>
      <c r="W523" s="28"/>
      <c r="X523" s="31">
        <v>42341</v>
      </c>
      <c r="Y523" s="33">
        <v>939</v>
      </c>
      <c r="Z523" s="189">
        <f t="shared" si="43"/>
        <v>939</v>
      </c>
      <c r="AA523" s="190"/>
      <c r="AB523" s="31">
        <v>42368</v>
      </c>
      <c r="AC523" s="36">
        <v>697</v>
      </c>
      <c r="AD523" s="8"/>
      <c r="AE523" s="6"/>
      <c r="AF523" s="52">
        <f t="shared" si="40"/>
        <v>29509586</v>
      </c>
      <c r="AG523" s="25">
        <f t="shared" si="41"/>
        <v>39758199</v>
      </c>
      <c r="AH523" s="52">
        <f t="shared" si="44"/>
        <v>29530496</v>
      </c>
      <c r="AI523" s="6"/>
      <c r="AJ523" s="6"/>
      <c r="AK523" s="6"/>
      <c r="AL523" s="6"/>
      <c r="AM523" s="6"/>
      <c r="AN523" s="6"/>
      <c r="AO523" s="6"/>
      <c r="AP523" s="6"/>
      <c r="AQ523" s="6"/>
      <c r="AR523" s="6"/>
    </row>
    <row r="524" spans="1:44">
      <c r="A524" s="6"/>
      <c r="B524" s="6"/>
      <c r="C524" s="6"/>
      <c r="D524" s="6"/>
      <c r="E524" s="6"/>
      <c r="F524" s="6"/>
      <c r="G524" s="11"/>
      <c r="H524" s="6"/>
      <c r="I524" s="6"/>
      <c r="J524" s="6"/>
      <c r="K524" s="7"/>
      <c r="L524" s="21" t="str">
        <f>микс!$H$11</f>
        <v>продажа под заказ</v>
      </c>
      <c r="M524" s="22"/>
      <c r="N524" s="22"/>
      <c r="O524" s="22" t="s">
        <v>138</v>
      </c>
      <c r="P524" s="23" t="str">
        <f>микс!$H$49</f>
        <v>Товары для детей</v>
      </c>
      <c r="Q524" s="21" t="s">
        <v>92</v>
      </c>
      <c r="R524" s="25">
        <v>1</v>
      </c>
      <c r="S524" s="28"/>
      <c r="T524" s="31">
        <v>42335</v>
      </c>
      <c r="U524" s="33">
        <v>697</v>
      </c>
      <c r="V524" s="36">
        <f t="shared" si="42"/>
        <v>697</v>
      </c>
      <c r="W524" s="28"/>
      <c r="X524" s="31">
        <v>42339</v>
      </c>
      <c r="Y524" s="33">
        <v>968</v>
      </c>
      <c r="Z524" s="189">
        <f t="shared" si="43"/>
        <v>968</v>
      </c>
      <c r="AA524" s="190"/>
      <c r="AB524" s="31">
        <v>42350</v>
      </c>
      <c r="AC524" s="36">
        <v>697</v>
      </c>
      <c r="AD524" s="8"/>
      <c r="AE524" s="6"/>
      <c r="AF524" s="52">
        <f t="shared" si="40"/>
        <v>29507495</v>
      </c>
      <c r="AG524" s="25">
        <f t="shared" si="41"/>
        <v>40984152</v>
      </c>
      <c r="AH524" s="52">
        <f t="shared" si="44"/>
        <v>29517950</v>
      </c>
      <c r="AI524" s="6"/>
      <c r="AJ524" s="6"/>
      <c r="AK524" s="6"/>
      <c r="AL524" s="6"/>
      <c r="AM524" s="6"/>
      <c r="AN524" s="6"/>
      <c r="AO524" s="6"/>
      <c r="AP524" s="6"/>
      <c r="AQ524" s="6"/>
      <c r="AR524" s="6"/>
    </row>
    <row r="525" spans="1:44">
      <c r="A525" s="6"/>
      <c r="B525" s="6"/>
      <c r="C525" s="6"/>
      <c r="D525" s="6"/>
      <c r="E525" s="6"/>
      <c r="F525" s="6"/>
      <c r="G525" s="11"/>
      <c r="H525" s="6"/>
      <c r="I525" s="6"/>
      <c r="J525" s="6"/>
      <c r="K525" s="7"/>
      <c r="L525" s="21" t="str">
        <f>микс!$H$11</f>
        <v>продажа под заказ</v>
      </c>
      <c r="M525" s="22"/>
      <c r="N525" s="22"/>
      <c r="O525" s="22" t="s">
        <v>138</v>
      </c>
      <c r="P525" s="23" t="str">
        <f>микс!$H$49</f>
        <v>Товары для детей</v>
      </c>
      <c r="Q525" s="21" t="s">
        <v>92</v>
      </c>
      <c r="R525" s="25">
        <v>1</v>
      </c>
      <c r="S525" s="28"/>
      <c r="T525" s="31">
        <v>42335</v>
      </c>
      <c r="U525" s="33">
        <v>697</v>
      </c>
      <c r="V525" s="36">
        <f t="shared" si="42"/>
        <v>697</v>
      </c>
      <c r="W525" s="28"/>
      <c r="X525" s="31">
        <v>42339</v>
      </c>
      <c r="Y525" s="33">
        <v>939</v>
      </c>
      <c r="Z525" s="189">
        <f t="shared" si="43"/>
        <v>939</v>
      </c>
      <c r="AA525" s="190"/>
      <c r="AB525" s="31">
        <v>42357</v>
      </c>
      <c r="AC525" s="36">
        <v>697</v>
      </c>
      <c r="AD525" s="8"/>
      <c r="AE525" s="6"/>
      <c r="AF525" s="52">
        <f t="shared" si="40"/>
        <v>29507495</v>
      </c>
      <c r="AG525" s="25">
        <f t="shared" si="41"/>
        <v>39756321</v>
      </c>
      <c r="AH525" s="52">
        <f t="shared" si="44"/>
        <v>29522829</v>
      </c>
      <c r="AI525" s="6"/>
      <c r="AJ525" s="6"/>
      <c r="AK525" s="6"/>
      <c r="AL525" s="6"/>
      <c r="AM525" s="6"/>
      <c r="AN525" s="6"/>
      <c r="AO525" s="6"/>
      <c r="AP525" s="6"/>
      <c r="AQ525" s="6"/>
      <c r="AR525" s="6"/>
    </row>
    <row r="526" spans="1:44">
      <c r="A526" s="6"/>
      <c r="B526" s="6"/>
      <c r="C526" s="6"/>
      <c r="D526" s="6"/>
      <c r="E526" s="6"/>
      <c r="F526" s="6"/>
      <c r="G526" s="11"/>
      <c r="H526" s="6"/>
      <c r="I526" s="6"/>
      <c r="J526" s="6"/>
      <c r="K526" s="7"/>
      <c r="L526" s="21" t="str">
        <f>микс!$H$11</f>
        <v>продажа под заказ</v>
      </c>
      <c r="M526" s="22"/>
      <c r="N526" s="22"/>
      <c r="O526" s="22" t="s">
        <v>138</v>
      </c>
      <c r="P526" s="23" t="str">
        <f>микс!$H$49</f>
        <v>Товары для детей</v>
      </c>
      <c r="Q526" s="21" t="s">
        <v>92</v>
      </c>
      <c r="R526" s="25">
        <v>1</v>
      </c>
      <c r="S526" s="28"/>
      <c r="T526" s="31">
        <v>42333</v>
      </c>
      <c r="U526" s="33">
        <v>697</v>
      </c>
      <c r="V526" s="36">
        <f t="shared" si="42"/>
        <v>697</v>
      </c>
      <c r="W526" s="28"/>
      <c r="X526" s="31">
        <v>42339</v>
      </c>
      <c r="Y526" s="33">
        <v>940</v>
      </c>
      <c r="Z526" s="189">
        <f t="shared" si="43"/>
        <v>940</v>
      </c>
      <c r="AA526" s="190"/>
      <c r="AB526" s="31"/>
      <c r="AC526" s="36"/>
      <c r="AD526" s="8"/>
      <c r="AE526" s="6"/>
      <c r="AF526" s="52">
        <f t="shared" si="40"/>
        <v>29506101</v>
      </c>
      <c r="AG526" s="25">
        <f t="shared" si="41"/>
        <v>39798660</v>
      </c>
      <c r="AH526" s="52">
        <f t="shared" si="44"/>
        <v>0</v>
      </c>
      <c r="AI526" s="6"/>
      <c r="AJ526" s="6"/>
      <c r="AK526" s="6"/>
      <c r="AL526" s="6"/>
      <c r="AM526" s="6"/>
      <c r="AN526" s="6"/>
      <c r="AO526" s="6"/>
      <c r="AP526" s="6"/>
      <c r="AQ526" s="6"/>
      <c r="AR526" s="6"/>
    </row>
    <row r="527" spans="1:44">
      <c r="A527" s="6"/>
      <c r="B527" s="6"/>
      <c r="C527" s="6"/>
      <c r="D527" s="6"/>
      <c r="E527" s="6"/>
      <c r="F527" s="6"/>
      <c r="G527" s="11"/>
      <c r="H527" s="6"/>
      <c r="I527" s="6"/>
      <c r="J527" s="6"/>
      <c r="K527" s="7"/>
      <c r="L527" s="21" t="str">
        <f>микс!$H$11</f>
        <v>продажа под заказ</v>
      </c>
      <c r="M527" s="22"/>
      <c r="N527" s="22"/>
      <c r="O527" s="22" t="s">
        <v>138</v>
      </c>
      <c r="P527" s="23" t="str">
        <f>микс!$H$49</f>
        <v>Товары для детей</v>
      </c>
      <c r="Q527" s="21" t="s">
        <v>92</v>
      </c>
      <c r="R527" s="25">
        <v>1</v>
      </c>
      <c r="S527" s="28"/>
      <c r="T527" s="31">
        <v>42332</v>
      </c>
      <c r="U527" s="33">
        <v>533.24</v>
      </c>
      <c r="V527" s="36">
        <f t="shared" si="42"/>
        <v>533.24</v>
      </c>
      <c r="W527" s="28"/>
      <c r="X527" s="31">
        <v>42335</v>
      </c>
      <c r="Y527" s="33">
        <v>940</v>
      </c>
      <c r="Z527" s="189">
        <f t="shared" si="43"/>
        <v>940</v>
      </c>
      <c r="AA527" s="190"/>
      <c r="AB527" s="31">
        <v>42337</v>
      </c>
      <c r="AC527" s="36">
        <v>533.24</v>
      </c>
      <c r="AD527" s="8"/>
      <c r="AE527" s="6"/>
      <c r="AF527" s="52">
        <f t="shared" si="40"/>
        <v>22573115.68</v>
      </c>
      <c r="AG527" s="25">
        <f t="shared" si="41"/>
        <v>39794900</v>
      </c>
      <c r="AH527" s="52">
        <f t="shared" si="44"/>
        <v>22575781.879999999</v>
      </c>
      <c r="AI527" s="6"/>
      <c r="AJ527" s="6"/>
      <c r="AK527" s="6"/>
      <c r="AL527" s="6"/>
      <c r="AM527" s="6"/>
      <c r="AN527" s="6"/>
      <c r="AO527" s="6"/>
      <c r="AP527" s="6"/>
      <c r="AQ527" s="6"/>
      <c r="AR527" s="6"/>
    </row>
    <row r="528" spans="1:44">
      <c r="A528" s="6"/>
      <c r="B528" s="6"/>
      <c r="C528" s="6"/>
      <c r="D528" s="6"/>
      <c r="E528" s="6"/>
      <c r="F528" s="6"/>
      <c r="G528" s="11"/>
      <c r="H528" s="6"/>
      <c r="I528" s="6"/>
      <c r="J528" s="6"/>
      <c r="K528" s="7"/>
      <c r="L528" s="21" t="str">
        <f>микс!$H$11</f>
        <v>продажа под заказ</v>
      </c>
      <c r="M528" s="22"/>
      <c r="N528" s="22"/>
      <c r="O528" s="22" t="s">
        <v>138</v>
      </c>
      <c r="P528" s="23" t="str">
        <f>микс!$H$49</f>
        <v>Товары для детей</v>
      </c>
      <c r="Q528" s="21" t="s">
        <v>92</v>
      </c>
      <c r="R528" s="25">
        <v>1</v>
      </c>
      <c r="S528" s="28"/>
      <c r="T528" s="31">
        <v>42327</v>
      </c>
      <c r="U528" s="33">
        <v>533.24</v>
      </c>
      <c r="V528" s="36">
        <f t="shared" si="42"/>
        <v>533.24</v>
      </c>
      <c r="W528" s="28"/>
      <c r="X528" s="31">
        <v>42337</v>
      </c>
      <c r="Y528" s="33">
        <v>1029</v>
      </c>
      <c r="Z528" s="189">
        <f t="shared" si="43"/>
        <v>1029</v>
      </c>
      <c r="AA528" s="190"/>
      <c r="AB528" s="31">
        <v>42367</v>
      </c>
      <c r="AC528" s="36">
        <v>533.24</v>
      </c>
      <c r="AD528" s="8"/>
      <c r="AE528" s="6"/>
      <c r="AF528" s="52">
        <f t="shared" si="40"/>
        <v>22570449.48</v>
      </c>
      <c r="AG528" s="25">
        <f t="shared" si="41"/>
        <v>43564773</v>
      </c>
      <c r="AH528" s="52">
        <f t="shared" si="44"/>
        <v>22591779.080000002</v>
      </c>
      <c r="AI528" s="6"/>
      <c r="AJ528" s="6"/>
      <c r="AK528" s="6"/>
      <c r="AL528" s="6"/>
      <c r="AM528" s="6"/>
      <c r="AN528" s="6"/>
      <c r="AO528" s="6"/>
      <c r="AP528" s="6"/>
      <c r="AQ528" s="6"/>
      <c r="AR528" s="6"/>
    </row>
    <row r="529" spans="1:44">
      <c r="A529" s="6"/>
      <c r="B529" s="6"/>
      <c r="C529" s="6"/>
      <c r="D529" s="6"/>
      <c r="E529" s="6"/>
      <c r="F529" s="6"/>
      <c r="G529" s="11"/>
      <c r="H529" s="6"/>
      <c r="I529" s="6"/>
      <c r="J529" s="6"/>
      <c r="K529" s="7"/>
      <c r="L529" s="21" t="str">
        <f>микс!$H$11</f>
        <v>продажа под заказ</v>
      </c>
      <c r="M529" s="22"/>
      <c r="N529" s="22"/>
      <c r="O529" s="22" t="s">
        <v>138</v>
      </c>
      <c r="P529" s="23" t="str">
        <f>микс!$H$49</f>
        <v>Товары для детей</v>
      </c>
      <c r="Q529" s="21" t="s">
        <v>92</v>
      </c>
      <c r="R529" s="25">
        <v>1</v>
      </c>
      <c r="S529" s="28"/>
      <c r="T529" s="31">
        <v>42336</v>
      </c>
      <c r="U529" s="33">
        <v>533.23</v>
      </c>
      <c r="V529" s="36">
        <f t="shared" si="42"/>
        <v>533.23</v>
      </c>
      <c r="W529" s="28"/>
      <c r="X529" s="31">
        <v>42340</v>
      </c>
      <c r="Y529" s="33">
        <v>939</v>
      </c>
      <c r="Z529" s="189">
        <f t="shared" si="43"/>
        <v>939</v>
      </c>
      <c r="AA529" s="190"/>
      <c r="AB529" s="31"/>
      <c r="AC529" s="36"/>
      <c r="AD529" s="8"/>
      <c r="AE529" s="6"/>
      <c r="AF529" s="52">
        <f t="shared" si="40"/>
        <v>22574825.280000001</v>
      </c>
      <c r="AG529" s="25">
        <f t="shared" si="41"/>
        <v>39757260</v>
      </c>
      <c r="AH529" s="52">
        <f t="shared" si="44"/>
        <v>0</v>
      </c>
      <c r="AI529" s="6"/>
      <c r="AJ529" s="6"/>
      <c r="AK529" s="6"/>
      <c r="AL529" s="6"/>
      <c r="AM529" s="6"/>
      <c r="AN529" s="6"/>
      <c r="AO529" s="6"/>
      <c r="AP529" s="6"/>
      <c r="AQ529" s="6"/>
      <c r="AR529" s="6"/>
    </row>
    <row r="530" spans="1:44">
      <c r="A530" s="6"/>
      <c r="B530" s="6"/>
      <c r="C530" s="6"/>
      <c r="D530" s="6"/>
      <c r="E530" s="6"/>
      <c r="F530" s="6"/>
      <c r="G530" s="11"/>
      <c r="H530" s="6"/>
      <c r="I530" s="6"/>
      <c r="J530" s="6"/>
      <c r="K530" s="7"/>
      <c r="L530" s="21" t="str">
        <f>микс!$H$11</f>
        <v>продажа под заказ</v>
      </c>
      <c r="M530" s="22"/>
      <c r="N530" s="22"/>
      <c r="O530" s="22" t="s">
        <v>138</v>
      </c>
      <c r="P530" s="23" t="str">
        <f>микс!$H$49</f>
        <v>Товары для детей</v>
      </c>
      <c r="Q530" s="21" t="s">
        <v>92</v>
      </c>
      <c r="R530" s="25">
        <v>1</v>
      </c>
      <c r="S530" s="28"/>
      <c r="T530" s="31">
        <v>42336</v>
      </c>
      <c r="U530" s="33">
        <v>697</v>
      </c>
      <c r="V530" s="36">
        <f t="shared" si="42"/>
        <v>697</v>
      </c>
      <c r="W530" s="28"/>
      <c r="X530" s="31">
        <v>42341</v>
      </c>
      <c r="Y530" s="33">
        <v>939</v>
      </c>
      <c r="Z530" s="189">
        <f t="shared" si="43"/>
        <v>939</v>
      </c>
      <c r="AA530" s="190"/>
      <c r="AB530" s="31">
        <v>42351</v>
      </c>
      <c r="AC530" s="36">
        <v>697</v>
      </c>
      <c r="AD530" s="8"/>
      <c r="AE530" s="6"/>
      <c r="AF530" s="52">
        <f t="shared" si="40"/>
        <v>29508192</v>
      </c>
      <c r="AG530" s="25">
        <f t="shared" si="41"/>
        <v>39758199</v>
      </c>
      <c r="AH530" s="52">
        <f t="shared" si="44"/>
        <v>29518647</v>
      </c>
      <c r="AI530" s="6"/>
      <c r="AJ530" s="6"/>
      <c r="AK530" s="6"/>
      <c r="AL530" s="6"/>
      <c r="AM530" s="6"/>
      <c r="AN530" s="6"/>
      <c r="AO530" s="6"/>
      <c r="AP530" s="6"/>
      <c r="AQ530" s="6"/>
      <c r="AR530" s="6"/>
    </row>
    <row r="531" spans="1:44">
      <c r="A531" s="6"/>
      <c r="B531" s="6"/>
      <c r="C531" s="6"/>
      <c r="D531" s="6"/>
      <c r="E531" s="6"/>
      <c r="F531" s="6"/>
      <c r="G531" s="11"/>
      <c r="H531" s="6"/>
      <c r="I531" s="6"/>
      <c r="J531" s="6"/>
      <c r="K531" s="7"/>
      <c r="L531" s="21" t="str">
        <f>микс!$H$11</f>
        <v>продажа под заказ</v>
      </c>
      <c r="M531" s="22"/>
      <c r="N531" s="22"/>
      <c r="O531" s="22" t="s">
        <v>138</v>
      </c>
      <c r="P531" s="23" t="str">
        <f>микс!$H$49</f>
        <v>Товары для детей</v>
      </c>
      <c r="Q531" s="21" t="s">
        <v>92</v>
      </c>
      <c r="R531" s="25">
        <v>1</v>
      </c>
      <c r="S531" s="28"/>
      <c r="T531" s="31">
        <v>42336</v>
      </c>
      <c r="U531" s="33">
        <v>697</v>
      </c>
      <c r="V531" s="36">
        <f t="shared" si="42"/>
        <v>697</v>
      </c>
      <c r="W531" s="28"/>
      <c r="X531" s="31">
        <v>42347</v>
      </c>
      <c r="Y531" s="33">
        <v>939</v>
      </c>
      <c r="Z531" s="189">
        <f t="shared" si="43"/>
        <v>939</v>
      </c>
      <c r="AA531" s="190"/>
      <c r="AB531" s="31"/>
      <c r="AC531" s="36"/>
      <c r="AD531" s="8"/>
      <c r="AE531" s="6"/>
      <c r="AF531" s="52">
        <f t="shared" si="40"/>
        <v>29508192</v>
      </c>
      <c r="AG531" s="25">
        <f t="shared" si="41"/>
        <v>39763833</v>
      </c>
      <c r="AH531" s="52">
        <f t="shared" si="44"/>
        <v>0</v>
      </c>
      <c r="AI531" s="6"/>
      <c r="AJ531" s="6"/>
      <c r="AK531" s="6"/>
      <c r="AL531" s="6"/>
      <c r="AM531" s="6"/>
      <c r="AN531" s="6"/>
      <c r="AO531" s="6"/>
      <c r="AP531" s="6"/>
      <c r="AQ531" s="6"/>
      <c r="AR531" s="6"/>
    </row>
    <row r="532" spans="1:44">
      <c r="A532" s="6"/>
      <c r="B532" s="6"/>
      <c r="C532" s="6"/>
      <c r="D532" s="6"/>
      <c r="E532" s="6"/>
      <c r="F532" s="6"/>
      <c r="G532" s="11"/>
      <c r="H532" s="6"/>
      <c r="I532" s="6"/>
      <c r="J532" s="6"/>
      <c r="K532" s="7"/>
      <c r="L532" s="21" t="str">
        <f>микс!$H$11</f>
        <v>продажа под заказ</v>
      </c>
      <c r="M532" s="22"/>
      <c r="N532" s="22"/>
      <c r="O532" s="22" t="s">
        <v>138</v>
      </c>
      <c r="P532" s="23" t="str">
        <f>микс!$H$49</f>
        <v>Товары для детей</v>
      </c>
      <c r="Q532" s="21" t="s">
        <v>92</v>
      </c>
      <c r="R532" s="25">
        <v>1</v>
      </c>
      <c r="S532" s="28"/>
      <c r="T532" s="31">
        <v>42337</v>
      </c>
      <c r="U532" s="33">
        <v>697</v>
      </c>
      <c r="V532" s="36">
        <f t="shared" si="42"/>
        <v>697</v>
      </c>
      <c r="W532" s="28"/>
      <c r="X532" s="31">
        <v>42342</v>
      </c>
      <c r="Y532" s="33">
        <v>939</v>
      </c>
      <c r="Z532" s="189">
        <f t="shared" si="43"/>
        <v>939</v>
      </c>
      <c r="AA532" s="190"/>
      <c r="AB532" s="31">
        <v>42357</v>
      </c>
      <c r="AC532" s="36">
        <v>697</v>
      </c>
      <c r="AD532" s="8"/>
      <c r="AE532" s="6"/>
      <c r="AF532" s="52">
        <f t="shared" si="40"/>
        <v>29508889</v>
      </c>
      <c r="AG532" s="25">
        <f t="shared" si="41"/>
        <v>39759138</v>
      </c>
      <c r="AH532" s="52">
        <f t="shared" si="44"/>
        <v>29522829</v>
      </c>
      <c r="AI532" s="6"/>
      <c r="AJ532" s="6"/>
      <c r="AK532" s="6"/>
      <c r="AL532" s="6"/>
      <c r="AM532" s="6"/>
      <c r="AN532" s="6"/>
      <c r="AO532" s="6"/>
      <c r="AP532" s="6"/>
      <c r="AQ532" s="6"/>
      <c r="AR532" s="6"/>
    </row>
    <row r="533" spans="1:44">
      <c r="A533" s="6"/>
      <c r="B533" s="6"/>
      <c r="C533" s="6"/>
      <c r="D533" s="6"/>
      <c r="E533" s="6"/>
      <c r="F533" s="6"/>
      <c r="G533" s="11"/>
      <c r="H533" s="6"/>
      <c r="I533" s="6"/>
      <c r="J533" s="6"/>
      <c r="K533" s="7"/>
      <c r="L533" s="21" t="str">
        <f>микс!$H$11</f>
        <v>продажа под заказ</v>
      </c>
      <c r="M533" s="22"/>
      <c r="N533" s="22"/>
      <c r="O533" s="22" t="s">
        <v>138</v>
      </c>
      <c r="P533" s="23" t="str">
        <f>микс!$H$49</f>
        <v>Товары для детей</v>
      </c>
      <c r="Q533" s="21" t="s">
        <v>92</v>
      </c>
      <c r="R533" s="25">
        <v>1</v>
      </c>
      <c r="S533" s="28"/>
      <c r="T533" s="31">
        <v>42337</v>
      </c>
      <c r="U533" s="33">
        <v>697</v>
      </c>
      <c r="V533" s="36">
        <f t="shared" si="42"/>
        <v>697</v>
      </c>
      <c r="W533" s="28"/>
      <c r="X533" s="31">
        <v>42348</v>
      </c>
      <c r="Y533" s="33">
        <v>939</v>
      </c>
      <c r="Z533" s="189">
        <f t="shared" si="43"/>
        <v>939</v>
      </c>
      <c r="AA533" s="190"/>
      <c r="AB533" s="31">
        <v>42367</v>
      </c>
      <c r="AC533" s="36">
        <v>697</v>
      </c>
      <c r="AD533" s="8"/>
      <c r="AE533" s="6"/>
      <c r="AF533" s="52">
        <f t="shared" si="40"/>
        <v>29508889</v>
      </c>
      <c r="AG533" s="25">
        <f t="shared" si="41"/>
        <v>39764772</v>
      </c>
      <c r="AH533" s="52">
        <f t="shared" si="44"/>
        <v>29529799</v>
      </c>
      <c r="AI533" s="6"/>
      <c r="AJ533" s="6"/>
      <c r="AK533" s="6"/>
      <c r="AL533" s="6"/>
      <c r="AM533" s="6"/>
      <c r="AN533" s="6"/>
      <c r="AO533" s="6"/>
      <c r="AP533" s="6"/>
      <c r="AQ533" s="6"/>
      <c r="AR533" s="6"/>
    </row>
    <row r="534" spans="1:44">
      <c r="A534" s="6"/>
      <c r="B534" s="6"/>
      <c r="C534" s="6"/>
      <c r="D534" s="6"/>
      <c r="E534" s="6"/>
      <c r="F534" s="6"/>
      <c r="G534" s="11"/>
      <c r="H534" s="6"/>
      <c r="I534" s="6"/>
      <c r="J534" s="6"/>
      <c r="K534" s="7"/>
      <c r="L534" s="21" t="str">
        <f>микс!$H$11</f>
        <v>продажа под заказ</v>
      </c>
      <c r="M534" s="22"/>
      <c r="N534" s="22"/>
      <c r="O534" s="22" t="s">
        <v>138</v>
      </c>
      <c r="P534" s="23" t="str">
        <f>микс!$H$49</f>
        <v>Товары для детей</v>
      </c>
      <c r="Q534" s="21" t="s">
        <v>92</v>
      </c>
      <c r="R534" s="25">
        <v>1</v>
      </c>
      <c r="S534" s="28"/>
      <c r="T534" s="31">
        <v>42333</v>
      </c>
      <c r="U534" s="33">
        <v>533.24</v>
      </c>
      <c r="V534" s="36">
        <f t="shared" si="42"/>
        <v>533.24</v>
      </c>
      <c r="W534" s="28"/>
      <c r="X534" s="31">
        <v>42336</v>
      </c>
      <c r="Y534" s="33">
        <v>940</v>
      </c>
      <c r="Z534" s="189">
        <f t="shared" si="43"/>
        <v>940</v>
      </c>
      <c r="AA534" s="190"/>
      <c r="AB534" s="31">
        <v>42358</v>
      </c>
      <c r="AC534" s="36">
        <v>533.24</v>
      </c>
      <c r="AD534" s="8"/>
      <c r="AE534" s="6"/>
      <c r="AF534" s="52">
        <f t="shared" si="40"/>
        <v>22573648.920000002</v>
      </c>
      <c r="AG534" s="25">
        <f t="shared" si="41"/>
        <v>39795840</v>
      </c>
      <c r="AH534" s="52">
        <f t="shared" si="44"/>
        <v>22586979.920000002</v>
      </c>
      <c r="AI534" s="6"/>
      <c r="AJ534" s="6"/>
      <c r="AK534" s="6"/>
      <c r="AL534" s="6"/>
      <c r="AM534" s="6"/>
      <c r="AN534" s="6"/>
      <c r="AO534" s="6"/>
      <c r="AP534" s="6"/>
      <c r="AQ534" s="6"/>
      <c r="AR534" s="6"/>
    </row>
    <row r="535" spans="1:44">
      <c r="A535" s="6"/>
      <c r="B535" s="6"/>
      <c r="C535" s="6"/>
      <c r="D535" s="6"/>
      <c r="E535" s="6"/>
      <c r="F535" s="6"/>
      <c r="G535" s="11"/>
      <c r="H535" s="6"/>
      <c r="I535" s="6"/>
      <c r="J535" s="6"/>
      <c r="K535" s="7"/>
      <c r="L535" s="21" t="str">
        <f>микс!$H$11</f>
        <v>продажа под заказ</v>
      </c>
      <c r="M535" s="22"/>
      <c r="N535" s="22"/>
      <c r="O535" s="22" t="s">
        <v>138</v>
      </c>
      <c r="P535" s="23" t="str">
        <f>микс!$H$49</f>
        <v>Товары для детей</v>
      </c>
      <c r="Q535" s="21" t="s">
        <v>92</v>
      </c>
      <c r="R535" s="25">
        <v>2</v>
      </c>
      <c r="S535" s="28"/>
      <c r="T535" s="31">
        <v>42306</v>
      </c>
      <c r="U535" s="33">
        <v>697</v>
      </c>
      <c r="V535" s="36">
        <f t="shared" si="42"/>
        <v>1394</v>
      </c>
      <c r="W535" s="28"/>
      <c r="X535" s="31">
        <v>42308</v>
      </c>
      <c r="Y535" s="33">
        <v>906</v>
      </c>
      <c r="Z535" s="189">
        <f t="shared" si="43"/>
        <v>1812</v>
      </c>
      <c r="AA535" s="190"/>
      <c r="AB535" s="31"/>
      <c r="AC535" s="36"/>
      <c r="AD535" s="8"/>
      <c r="AE535" s="6"/>
      <c r="AF535" s="52">
        <f t="shared" si="40"/>
        <v>58974564</v>
      </c>
      <c r="AG535" s="25">
        <f t="shared" si="41"/>
        <v>76662096</v>
      </c>
      <c r="AH535" s="52">
        <f t="shared" si="44"/>
        <v>0</v>
      </c>
      <c r="AI535" s="6"/>
      <c r="AJ535" s="6"/>
      <c r="AK535" s="6"/>
      <c r="AL535" s="6"/>
      <c r="AM535" s="6"/>
      <c r="AN535" s="6"/>
      <c r="AO535" s="6"/>
      <c r="AP535" s="6"/>
      <c r="AQ535" s="6"/>
      <c r="AR535" s="6"/>
    </row>
    <row r="536" spans="1:44">
      <c r="A536" s="6"/>
      <c r="B536" s="6"/>
      <c r="C536" s="6"/>
      <c r="D536" s="6"/>
      <c r="E536" s="6"/>
      <c r="F536" s="6"/>
      <c r="G536" s="11"/>
      <c r="H536" s="6"/>
      <c r="I536" s="6"/>
      <c r="J536" s="6"/>
      <c r="K536" s="7"/>
      <c r="L536" s="21" t="str">
        <f>микс!$H$10</f>
        <v>продажа со склада</v>
      </c>
      <c r="M536" s="22"/>
      <c r="N536" s="22"/>
      <c r="O536" s="22" t="s">
        <v>138</v>
      </c>
      <c r="P536" s="23" t="str">
        <f>микс!$H$49</f>
        <v>Товары для детей</v>
      </c>
      <c r="Q536" s="21" t="s">
        <v>92</v>
      </c>
      <c r="R536" s="25">
        <v>1</v>
      </c>
      <c r="S536" s="28"/>
      <c r="T536" s="31">
        <v>41935</v>
      </c>
      <c r="U536" s="33">
        <v>533.24</v>
      </c>
      <c r="V536" s="36">
        <f t="shared" si="42"/>
        <v>533.24</v>
      </c>
      <c r="W536" s="28"/>
      <c r="X536" s="31">
        <v>42314</v>
      </c>
      <c r="Y536" s="33">
        <v>800</v>
      </c>
      <c r="Z536" s="189">
        <f t="shared" si="43"/>
        <v>800</v>
      </c>
      <c r="AA536" s="190"/>
      <c r="AB536" s="31">
        <v>41942</v>
      </c>
      <c r="AC536" s="36">
        <v>533.24</v>
      </c>
      <c r="AD536" s="8"/>
      <c r="AE536" s="6"/>
      <c r="AF536" s="52">
        <f t="shared" si="40"/>
        <v>22361419.400000002</v>
      </c>
      <c r="AG536" s="25">
        <f t="shared" si="41"/>
        <v>33851200</v>
      </c>
      <c r="AH536" s="52">
        <f t="shared" si="44"/>
        <v>22365152.080000002</v>
      </c>
      <c r="AI536" s="6"/>
      <c r="AJ536" s="6"/>
      <c r="AK536" s="6"/>
      <c r="AL536" s="6"/>
      <c r="AM536" s="6"/>
      <c r="AN536" s="6"/>
      <c r="AO536" s="6"/>
      <c r="AP536" s="6"/>
      <c r="AQ536" s="6"/>
      <c r="AR536" s="6"/>
    </row>
    <row r="537" spans="1:44">
      <c r="A537" s="6"/>
      <c r="B537" s="6"/>
      <c r="C537" s="6"/>
      <c r="D537" s="6"/>
      <c r="E537" s="6"/>
      <c r="F537" s="6"/>
      <c r="G537" s="11"/>
      <c r="H537" s="6"/>
      <c r="I537" s="6"/>
      <c r="J537" s="6"/>
      <c r="K537" s="7"/>
      <c r="L537" s="21" t="str">
        <f>микс!$H$11</f>
        <v>продажа под заказ</v>
      </c>
      <c r="M537" s="22"/>
      <c r="N537" s="22"/>
      <c r="O537" s="22" t="s">
        <v>138</v>
      </c>
      <c r="P537" s="23" t="str">
        <f>микс!$H$49</f>
        <v>Товары для детей</v>
      </c>
      <c r="Q537" s="21" t="s">
        <v>92</v>
      </c>
      <c r="R537" s="25">
        <v>1</v>
      </c>
      <c r="S537" s="28"/>
      <c r="T537" s="31">
        <v>42311</v>
      </c>
      <c r="U537" s="33">
        <v>533.24</v>
      </c>
      <c r="V537" s="36">
        <f t="shared" si="42"/>
        <v>533.24</v>
      </c>
      <c r="W537" s="28"/>
      <c r="X537" s="31">
        <v>42314</v>
      </c>
      <c r="Y537" s="33">
        <v>800</v>
      </c>
      <c r="Z537" s="189">
        <f t="shared" si="43"/>
        <v>800</v>
      </c>
      <c r="AA537" s="190"/>
      <c r="AB537" s="31">
        <v>42333</v>
      </c>
      <c r="AC537" s="36">
        <v>533.24</v>
      </c>
      <c r="AD537" s="8"/>
      <c r="AE537" s="6"/>
      <c r="AF537" s="52">
        <f t="shared" si="40"/>
        <v>22561917.640000001</v>
      </c>
      <c r="AG537" s="25">
        <f t="shared" si="41"/>
        <v>33851200</v>
      </c>
      <c r="AH537" s="52">
        <f t="shared" si="44"/>
        <v>22573648.920000002</v>
      </c>
      <c r="AI537" s="6"/>
      <c r="AJ537" s="6"/>
      <c r="AK537" s="6"/>
      <c r="AL537" s="6"/>
      <c r="AM537" s="6"/>
      <c r="AN537" s="6"/>
      <c r="AO537" s="6"/>
      <c r="AP537" s="6"/>
      <c r="AQ537" s="6"/>
      <c r="AR537" s="6"/>
    </row>
    <row r="538" spans="1:44">
      <c r="A538" s="6"/>
      <c r="B538" s="6"/>
      <c r="C538" s="6"/>
      <c r="D538" s="6"/>
      <c r="E538" s="6"/>
      <c r="F538" s="6"/>
      <c r="G538" s="11"/>
      <c r="H538" s="6"/>
      <c r="I538" s="6"/>
      <c r="J538" s="6"/>
      <c r="K538" s="7"/>
      <c r="L538" s="21" t="str">
        <f>микс!$H$11</f>
        <v>продажа под заказ</v>
      </c>
      <c r="M538" s="22"/>
      <c r="N538" s="22"/>
      <c r="O538" s="22" t="s">
        <v>146</v>
      </c>
      <c r="P538" s="23" t="str">
        <f>микс!$H$49</f>
        <v>Товары для детей</v>
      </c>
      <c r="Q538" s="21" t="s">
        <v>92</v>
      </c>
      <c r="R538" s="25">
        <v>1</v>
      </c>
      <c r="S538" s="28"/>
      <c r="T538" s="31">
        <v>42336</v>
      </c>
      <c r="U538" s="33">
        <v>636.58000000000004</v>
      </c>
      <c r="V538" s="36">
        <f t="shared" si="42"/>
        <v>636.58000000000004</v>
      </c>
      <c r="W538" s="28"/>
      <c r="X538" s="31">
        <v>42348</v>
      </c>
      <c r="Y538" s="33">
        <v>669</v>
      </c>
      <c r="Z538" s="189">
        <f t="shared" si="43"/>
        <v>669</v>
      </c>
      <c r="AA538" s="190"/>
      <c r="AB538" s="31">
        <v>42368</v>
      </c>
      <c r="AC538" s="36">
        <v>636.58000000000004</v>
      </c>
      <c r="AD538" s="8"/>
      <c r="AE538" s="6"/>
      <c r="AF538" s="52">
        <f t="shared" si="40"/>
        <v>26950250.880000003</v>
      </c>
      <c r="AG538" s="25">
        <f t="shared" si="41"/>
        <v>28330812</v>
      </c>
      <c r="AH538" s="52">
        <f t="shared" si="44"/>
        <v>26970621.440000001</v>
      </c>
      <c r="AI538" s="6"/>
      <c r="AJ538" s="6"/>
      <c r="AK538" s="6"/>
      <c r="AL538" s="6"/>
      <c r="AM538" s="6"/>
      <c r="AN538" s="6"/>
      <c r="AO538" s="6"/>
      <c r="AP538" s="6"/>
      <c r="AQ538" s="6"/>
      <c r="AR538" s="6"/>
    </row>
    <row r="539" spans="1:44">
      <c r="A539" s="6"/>
      <c r="B539" s="6"/>
      <c r="C539" s="6"/>
      <c r="D539" s="6"/>
      <c r="E539" s="6"/>
      <c r="F539" s="6"/>
      <c r="G539" s="11"/>
      <c r="H539" s="6"/>
      <c r="I539" s="6"/>
      <c r="J539" s="6"/>
      <c r="K539" s="7"/>
      <c r="L539" s="21" t="str">
        <f>микс!$H$11</f>
        <v>продажа под заказ</v>
      </c>
      <c r="M539" s="22"/>
      <c r="N539" s="22"/>
      <c r="O539" s="22" t="s">
        <v>146</v>
      </c>
      <c r="P539" s="23" t="str">
        <f>микс!$H$49</f>
        <v>Товары для детей</v>
      </c>
      <c r="Q539" s="21" t="s">
        <v>92</v>
      </c>
      <c r="R539" s="25">
        <v>1</v>
      </c>
      <c r="S539" s="28"/>
      <c r="T539" s="31">
        <v>42336</v>
      </c>
      <c r="U539" s="33">
        <v>636.58000000000004</v>
      </c>
      <c r="V539" s="36">
        <f t="shared" si="42"/>
        <v>636.58000000000004</v>
      </c>
      <c r="W539" s="28"/>
      <c r="X539" s="31">
        <v>42341</v>
      </c>
      <c r="Y539" s="33">
        <v>669</v>
      </c>
      <c r="Z539" s="189">
        <f t="shared" si="43"/>
        <v>669</v>
      </c>
      <c r="AA539" s="190"/>
      <c r="AB539" s="31"/>
      <c r="AC539" s="36"/>
      <c r="AD539" s="8"/>
      <c r="AE539" s="6"/>
      <c r="AF539" s="52">
        <f t="shared" si="40"/>
        <v>26950250.880000003</v>
      </c>
      <c r="AG539" s="25">
        <f t="shared" si="41"/>
        <v>28326129</v>
      </c>
      <c r="AH539" s="52">
        <f t="shared" si="44"/>
        <v>0</v>
      </c>
      <c r="AI539" s="6"/>
      <c r="AJ539" s="6"/>
      <c r="AK539" s="6"/>
      <c r="AL539" s="6"/>
      <c r="AM539" s="6"/>
      <c r="AN539" s="6"/>
      <c r="AO539" s="6"/>
      <c r="AP539" s="6"/>
      <c r="AQ539" s="6"/>
      <c r="AR539" s="6"/>
    </row>
    <row r="540" spans="1:44">
      <c r="A540" s="6"/>
      <c r="B540" s="6"/>
      <c r="C540" s="6"/>
      <c r="D540" s="6"/>
      <c r="E540" s="6"/>
      <c r="F540" s="6"/>
      <c r="G540" s="11"/>
      <c r="H540" s="6"/>
      <c r="I540" s="6"/>
      <c r="J540" s="6"/>
      <c r="K540" s="7"/>
      <c r="L540" s="21" t="str">
        <f>микс!$H$11</f>
        <v>продажа под заказ</v>
      </c>
      <c r="M540" s="22"/>
      <c r="N540" s="22"/>
      <c r="O540" s="22" t="s">
        <v>146</v>
      </c>
      <c r="P540" s="23" t="str">
        <f>микс!$H$49</f>
        <v>Товары для детей</v>
      </c>
      <c r="Q540" s="21" t="s">
        <v>92</v>
      </c>
      <c r="R540" s="25">
        <v>1</v>
      </c>
      <c r="S540" s="28"/>
      <c r="T540" s="31">
        <v>42338</v>
      </c>
      <c r="U540" s="33">
        <v>636.58000000000004</v>
      </c>
      <c r="V540" s="36">
        <f t="shared" si="42"/>
        <v>636.58000000000004</v>
      </c>
      <c r="W540" s="28"/>
      <c r="X540" s="31">
        <v>42346</v>
      </c>
      <c r="Y540" s="33">
        <v>669</v>
      </c>
      <c r="Z540" s="189">
        <f t="shared" si="43"/>
        <v>669</v>
      </c>
      <c r="AA540" s="190"/>
      <c r="AB540" s="31"/>
      <c r="AC540" s="36"/>
      <c r="AD540" s="8"/>
      <c r="AE540" s="6"/>
      <c r="AF540" s="52">
        <f t="shared" si="40"/>
        <v>26951524.040000003</v>
      </c>
      <c r="AG540" s="25">
        <f t="shared" si="41"/>
        <v>28329474</v>
      </c>
      <c r="AH540" s="52">
        <f t="shared" si="44"/>
        <v>0</v>
      </c>
      <c r="AI540" s="6"/>
      <c r="AJ540" s="6"/>
      <c r="AK540" s="6"/>
      <c r="AL540" s="6"/>
      <c r="AM540" s="6"/>
      <c r="AN540" s="6"/>
      <c r="AO540" s="6"/>
      <c r="AP540" s="6"/>
      <c r="AQ540" s="6"/>
      <c r="AR540" s="6"/>
    </row>
    <row r="541" spans="1:44">
      <c r="A541" s="6"/>
      <c r="B541" s="6"/>
      <c r="C541" s="6"/>
      <c r="D541" s="6"/>
      <c r="E541" s="6"/>
      <c r="F541" s="6"/>
      <c r="G541" s="11"/>
      <c r="H541" s="6"/>
      <c r="I541" s="6"/>
      <c r="J541" s="6"/>
      <c r="K541" s="7"/>
      <c r="L541" s="21" t="str">
        <f>микс!$H$11</f>
        <v>продажа под заказ</v>
      </c>
      <c r="M541" s="22"/>
      <c r="N541" s="22"/>
      <c r="O541" s="22" t="s">
        <v>146</v>
      </c>
      <c r="P541" s="23" t="str">
        <f>микс!$H$49</f>
        <v>Товары для детей</v>
      </c>
      <c r="Q541" s="21" t="s">
        <v>92</v>
      </c>
      <c r="R541" s="25">
        <v>1</v>
      </c>
      <c r="S541" s="28"/>
      <c r="T541" s="31">
        <v>42336</v>
      </c>
      <c r="U541" s="33">
        <v>636.58000000000004</v>
      </c>
      <c r="V541" s="36">
        <f t="shared" si="42"/>
        <v>636.58000000000004</v>
      </c>
      <c r="W541" s="28"/>
      <c r="X541" s="31">
        <v>42341</v>
      </c>
      <c r="Y541" s="33">
        <v>669</v>
      </c>
      <c r="Z541" s="189">
        <f t="shared" si="43"/>
        <v>669</v>
      </c>
      <c r="AA541" s="190"/>
      <c r="AB541" s="31">
        <v>42348</v>
      </c>
      <c r="AC541" s="36">
        <v>636.58000000000004</v>
      </c>
      <c r="AD541" s="8"/>
      <c r="AE541" s="6"/>
      <c r="AF541" s="52">
        <f t="shared" si="40"/>
        <v>26950250.880000003</v>
      </c>
      <c r="AG541" s="25">
        <f t="shared" si="41"/>
        <v>28326129</v>
      </c>
      <c r="AH541" s="52">
        <f t="shared" si="44"/>
        <v>26957889.840000004</v>
      </c>
      <c r="AI541" s="6"/>
      <c r="AJ541" s="6"/>
      <c r="AK541" s="6"/>
      <c r="AL541" s="6"/>
      <c r="AM541" s="6"/>
      <c r="AN541" s="6"/>
      <c r="AO541" s="6"/>
      <c r="AP541" s="6"/>
      <c r="AQ541" s="6"/>
      <c r="AR541" s="6"/>
    </row>
    <row r="542" spans="1:44">
      <c r="A542" s="6"/>
      <c r="B542" s="6"/>
      <c r="C542" s="6"/>
      <c r="D542" s="6"/>
      <c r="E542" s="6"/>
      <c r="F542" s="6"/>
      <c r="G542" s="11"/>
      <c r="H542" s="6"/>
      <c r="I542" s="6"/>
      <c r="J542" s="6"/>
      <c r="K542" s="7"/>
      <c r="L542" s="21" t="str">
        <f>микс!$H$11</f>
        <v>продажа под заказ</v>
      </c>
      <c r="M542" s="22"/>
      <c r="N542" s="22"/>
      <c r="O542" s="22" t="s">
        <v>146</v>
      </c>
      <c r="P542" s="23" t="str">
        <f>микс!$H$49</f>
        <v>Товары для детей</v>
      </c>
      <c r="Q542" s="21" t="s">
        <v>92</v>
      </c>
      <c r="R542" s="25">
        <v>1</v>
      </c>
      <c r="S542" s="28"/>
      <c r="T542" s="31">
        <v>42336</v>
      </c>
      <c r="U542" s="33">
        <v>636.58000000000004</v>
      </c>
      <c r="V542" s="36">
        <f t="shared" si="42"/>
        <v>636.58000000000004</v>
      </c>
      <c r="W542" s="28"/>
      <c r="X542" s="31">
        <v>42341</v>
      </c>
      <c r="Y542" s="33">
        <v>669</v>
      </c>
      <c r="Z542" s="189">
        <f t="shared" si="43"/>
        <v>669</v>
      </c>
      <c r="AA542" s="190"/>
      <c r="AB542" s="31">
        <v>42346</v>
      </c>
      <c r="AC542" s="36">
        <v>636.58000000000004</v>
      </c>
      <c r="AD542" s="8"/>
      <c r="AE542" s="6"/>
      <c r="AF542" s="52">
        <f t="shared" si="40"/>
        <v>26950250.880000003</v>
      </c>
      <c r="AG542" s="25">
        <f t="shared" si="41"/>
        <v>28326129</v>
      </c>
      <c r="AH542" s="52">
        <f t="shared" si="44"/>
        <v>26956616.680000003</v>
      </c>
      <c r="AI542" s="6"/>
      <c r="AJ542" s="6"/>
      <c r="AK542" s="6"/>
      <c r="AL542" s="6"/>
      <c r="AM542" s="6"/>
      <c r="AN542" s="6"/>
      <c r="AO542" s="6"/>
      <c r="AP542" s="6"/>
      <c r="AQ542" s="6"/>
      <c r="AR542" s="6"/>
    </row>
    <row r="543" spans="1:44">
      <c r="A543" s="6"/>
      <c r="B543" s="6"/>
      <c r="C543" s="6"/>
      <c r="D543" s="6"/>
      <c r="E543" s="6"/>
      <c r="F543" s="6"/>
      <c r="G543" s="11"/>
      <c r="H543" s="6"/>
      <c r="I543" s="6"/>
      <c r="J543" s="6"/>
      <c r="K543" s="7"/>
      <c r="L543" s="21" t="str">
        <f>микс!$H$10</f>
        <v>продажа со склада</v>
      </c>
      <c r="M543" s="22"/>
      <c r="N543" s="22"/>
      <c r="O543" s="22" t="s">
        <v>146</v>
      </c>
      <c r="P543" s="23" t="str">
        <f>микс!$H$49</f>
        <v>Товары для детей</v>
      </c>
      <c r="Q543" s="21" t="s">
        <v>92</v>
      </c>
      <c r="R543" s="25">
        <v>1</v>
      </c>
      <c r="S543" s="28"/>
      <c r="T543" s="31">
        <v>41960</v>
      </c>
      <c r="U543" s="33">
        <v>1318.8</v>
      </c>
      <c r="V543" s="36">
        <f t="shared" si="42"/>
        <v>1318.8</v>
      </c>
      <c r="W543" s="28"/>
      <c r="X543" s="31">
        <v>42338</v>
      </c>
      <c r="Y543" s="33">
        <v>1449</v>
      </c>
      <c r="Z543" s="189">
        <f t="shared" si="43"/>
        <v>1449</v>
      </c>
      <c r="AA543" s="190"/>
      <c r="AB543" s="31"/>
      <c r="AC543" s="36"/>
      <c r="AD543" s="8"/>
      <c r="AE543" s="6"/>
      <c r="AF543" s="52">
        <f t="shared" si="40"/>
        <v>55336848</v>
      </c>
      <c r="AG543" s="25">
        <f t="shared" si="41"/>
        <v>61347762</v>
      </c>
      <c r="AH543" s="52">
        <f t="shared" si="44"/>
        <v>0</v>
      </c>
      <c r="AI543" s="6"/>
      <c r="AJ543" s="6"/>
      <c r="AK543" s="6"/>
      <c r="AL543" s="6"/>
      <c r="AM543" s="6"/>
      <c r="AN543" s="6"/>
      <c r="AO543" s="6"/>
      <c r="AP543" s="6"/>
      <c r="AQ543" s="6"/>
      <c r="AR543" s="6"/>
    </row>
    <row r="544" spans="1:44">
      <c r="A544" s="6"/>
      <c r="B544" s="6"/>
      <c r="C544" s="6"/>
      <c r="D544" s="6"/>
      <c r="E544" s="6"/>
      <c r="F544" s="6"/>
      <c r="G544" s="11"/>
      <c r="H544" s="6"/>
      <c r="I544" s="6"/>
      <c r="J544" s="6"/>
      <c r="K544" s="7"/>
      <c r="L544" s="21" t="str">
        <f>микс!$H$10</f>
        <v>продажа со склада</v>
      </c>
      <c r="M544" s="22"/>
      <c r="N544" s="22"/>
      <c r="O544" s="22" t="s">
        <v>146</v>
      </c>
      <c r="P544" s="23" t="str">
        <f>микс!$H$49</f>
        <v>Товары для детей</v>
      </c>
      <c r="Q544" s="21" t="s">
        <v>92</v>
      </c>
      <c r="R544" s="25">
        <v>1</v>
      </c>
      <c r="S544" s="28"/>
      <c r="T544" s="31">
        <v>41949</v>
      </c>
      <c r="U544" s="33">
        <v>1318.79</v>
      </c>
      <c r="V544" s="36">
        <f t="shared" si="42"/>
        <v>1318.79</v>
      </c>
      <c r="W544" s="28"/>
      <c r="X544" s="31">
        <v>42327</v>
      </c>
      <c r="Y544" s="33">
        <v>1710</v>
      </c>
      <c r="Z544" s="189">
        <f t="shared" si="43"/>
        <v>1710</v>
      </c>
      <c r="AA544" s="190"/>
      <c r="AB544" s="31">
        <v>41979</v>
      </c>
      <c r="AC544" s="36">
        <v>1318.79</v>
      </c>
      <c r="AD544" s="8"/>
      <c r="AE544" s="6"/>
      <c r="AF544" s="52">
        <f t="shared" si="40"/>
        <v>55321921.710000001</v>
      </c>
      <c r="AG544" s="25">
        <f t="shared" si="41"/>
        <v>72379170</v>
      </c>
      <c r="AH544" s="52">
        <f t="shared" si="44"/>
        <v>55361485.409999996</v>
      </c>
      <c r="AI544" s="6"/>
      <c r="AJ544" s="6"/>
      <c r="AK544" s="6"/>
      <c r="AL544" s="6"/>
      <c r="AM544" s="6"/>
      <c r="AN544" s="6"/>
      <c r="AO544" s="6"/>
      <c r="AP544" s="6"/>
      <c r="AQ544" s="6"/>
      <c r="AR544" s="6"/>
    </row>
    <row r="545" spans="1:44">
      <c r="A545" s="6"/>
      <c r="B545" s="6"/>
      <c r="C545" s="6"/>
      <c r="D545" s="6"/>
      <c r="E545" s="6"/>
      <c r="F545" s="6"/>
      <c r="G545" s="11"/>
      <c r="H545" s="6"/>
      <c r="I545" s="6"/>
      <c r="J545" s="6"/>
      <c r="K545" s="7"/>
      <c r="L545" s="21" t="str">
        <f>микс!$H$11</f>
        <v>продажа под заказ</v>
      </c>
      <c r="M545" s="22"/>
      <c r="N545" s="22"/>
      <c r="O545" s="22" t="s">
        <v>146</v>
      </c>
      <c r="P545" s="23" t="str">
        <f>микс!$H$49</f>
        <v>Товары для детей</v>
      </c>
      <c r="Q545" s="21" t="s">
        <v>92</v>
      </c>
      <c r="R545" s="25">
        <v>1</v>
      </c>
      <c r="S545" s="28"/>
      <c r="T545" s="31">
        <v>42314</v>
      </c>
      <c r="U545" s="33">
        <v>1147</v>
      </c>
      <c r="V545" s="36">
        <f t="shared" si="42"/>
        <v>1147</v>
      </c>
      <c r="W545" s="28"/>
      <c r="X545" s="31">
        <v>42319</v>
      </c>
      <c r="Y545" s="33">
        <v>1710</v>
      </c>
      <c r="Z545" s="189">
        <f t="shared" si="43"/>
        <v>1710</v>
      </c>
      <c r="AA545" s="190"/>
      <c r="AB545" s="31">
        <v>42344</v>
      </c>
      <c r="AC545" s="36">
        <v>1147</v>
      </c>
      <c r="AD545" s="8"/>
      <c r="AE545" s="6"/>
      <c r="AF545" s="52">
        <f t="shared" si="40"/>
        <v>48534158</v>
      </c>
      <c r="AG545" s="25">
        <f t="shared" si="41"/>
        <v>72365490</v>
      </c>
      <c r="AH545" s="52">
        <f t="shared" si="44"/>
        <v>48568568</v>
      </c>
      <c r="AI545" s="6"/>
      <c r="AJ545" s="6"/>
      <c r="AK545" s="6"/>
      <c r="AL545" s="6"/>
      <c r="AM545" s="6"/>
      <c r="AN545" s="6"/>
      <c r="AO545" s="6"/>
      <c r="AP545" s="6"/>
      <c r="AQ545" s="6"/>
      <c r="AR545" s="6"/>
    </row>
    <row r="546" spans="1:44">
      <c r="A546" s="6"/>
      <c r="B546" s="6"/>
      <c r="C546" s="6"/>
      <c r="D546" s="6"/>
      <c r="E546" s="6"/>
      <c r="F546" s="6"/>
      <c r="G546" s="11"/>
      <c r="H546" s="6"/>
      <c r="I546" s="6"/>
      <c r="J546" s="6"/>
      <c r="K546" s="7"/>
      <c r="L546" s="21" t="str">
        <f>микс!$H$11</f>
        <v>продажа под заказ</v>
      </c>
      <c r="M546" s="22"/>
      <c r="N546" s="22"/>
      <c r="O546" s="22" t="s">
        <v>146</v>
      </c>
      <c r="P546" s="23" t="str">
        <f>микс!$H$49</f>
        <v>Товары для детей</v>
      </c>
      <c r="Q546" s="21" t="s">
        <v>92</v>
      </c>
      <c r="R546" s="25">
        <v>1</v>
      </c>
      <c r="S546" s="28"/>
      <c r="T546" s="31">
        <v>42317</v>
      </c>
      <c r="U546" s="33">
        <v>1318.8</v>
      </c>
      <c r="V546" s="36">
        <f t="shared" si="42"/>
        <v>1318.8</v>
      </c>
      <c r="W546" s="28"/>
      <c r="X546" s="31">
        <v>42320</v>
      </c>
      <c r="Y546" s="33">
        <v>1710</v>
      </c>
      <c r="Z546" s="189">
        <f t="shared" si="43"/>
        <v>1710</v>
      </c>
      <c r="AA546" s="190"/>
      <c r="AB546" s="31">
        <v>42362</v>
      </c>
      <c r="AC546" s="36">
        <v>1318.8</v>
      </c>
      <c r="AD546" s="8"/>
      <c r="AE546" s="6"/>
      <c r="AF546" s="52">
        <f t="shared" si="40"/>
        <v>55807659.600000001</v>
      </c>
      <c r="AG546" s="25">
        <f t="shared" si="41"/>
        <v>72367200</v>
      </c>
      <c r="AH546" s="52">
        <f t="shared" si="44"/>
        <v>55867005.600000001</v>
      </c>
      <c r="AI546" s="6"/>
      <c r="AJ546" s="6"/>
      <c r="AK546" s="6"/>
      <c r="AL546" s="6"/>
      <c r="AM546" s="6"/>
      <c r="AN546" s="6"/>
      <c r="AO546" s="6"/>
      <c r="AP546" s="6"/>
      <c r="AQ546" s="6"/>
      <c r="AR546" s="6"/>
    </row>
    <row r="547" spans="1:44">
      <c r="A547" s="6"/>
      <c r="B547" s="6"/>
      <c r="C547" s="6"/>
      <c r="D547" s="6"/>
      <c r="E547" s="6"/>
      <c r="F547" s="6"/>
      <c r="G547" s="11"/>
      <c r="H547" s="6"/>
      <c r="I547" s="6"/>
      <c r="J547" s="6"/>
      <c r="K547" s="7"/>
      <c r="L547" s="21" t="str">
        <f>микс!$H$11</f>
        <v>продажа под заказ</v>
      </c>
      <c r="M547" s="22"/>
      <c r="N547" s="22"/>
      <c r="O547" s="22" t="s">
        <v>146</v>
      </c>
      <c r="P547" s="23" t="str">
        <f>микс!$H$49</f>
        <v>Товары для детей</v>
      </c>
      <c r="Q547" s="21" t="s">
        <v>92</v>
      </c>
      <c r="R547" s="25">
        <v>1</v>
      </c>
      <c r="S547" s="28"/>
      <c r="T547" s="31">
        <v>42312</v>
      </c>
      <c r="U547" s="33">
        <v>1147</v>
      </c>
      <c r="V547" s="36">
        <f t="shared" si="42"/>
        <v>1147</v>
      </c>
      <c r="W547" s="28"/>
      <c r="X547" s="31">
        <v>42315</v>
      </c>
      <c r="Y547" s="33">
        <v>1350</v>
      </c>
      <c r="Z547" s="189">
        <f t="shared" si="43"/>
        <v>1350</v>
      </c>
      <c r="AA547" s="190"/>
      <c r="AB547" s="31"/>
      <c r="AC547" s="36"/>
      <c r="AD547" s="8"/>
      <c r="AE547" s="6"/>
      <c r="AF547" s="52">
        <f t="shared" si="40"/>
        <v>48531864</v>
      </c>
      <c r="AG547" s="25">
        <f t="shared" si="41"/>
        <v>57125250</v>
      </c>
      <c r="AH547" s="52">
        <f t="shared" si="44"/>
        <v>0</v>
      </c>
      <c r="AI547" s="6"/>
      <c r="AJ547" s="6"/>
      <c r="AK547" s="6"/>
      <c r="AL547" s="6"/>
      <c r="AM547" s="6"/>
      <c r="AN547" s="6"/>
      <c r="AO547" s="6"/>
      <c r="AP547" s="6"/>
      <c r="AQ547" s="6"/>
      <c r="AR547" s="6"/>
    </row>
    <row r="548" spans="1:44">
      <c r="A548" s="6"/>
      <c r="B548" s="6"/>
      <c r="C548" s="6"/>
      <c r="D548" s="6"/>
      <c r="E548" s="6"/>
      <c r="F548" s="6"/>
      <c r="G548" s="11"/>
      <c r="H548" s="6"/>
      <c r="I548" s="6"/>
      <c r="J548" s="6"/>
      <c r="K548" s="7"/>
      <c r="L548" s="21" t="str">
        <f>микс!$H$11</f>
        <v>продажа под заказ</v>
      </c>
      <c r="M548" s="22"/>
      <c r="N548" s="22"/>
      <c r="O548" s="22" t="s">
        <v>146</v>
      </c>
      <c r="P548" s="23" t="str">
        <f>микс!$H$49</f>
        <v>Товары для детей</v>
      </c>
      <c r="Q548" s="21" t="s">
        <v>92</v>
      </c>
      <c r="R548" s="25">
        <v>1</v>
      </c>
      <c r="S548" s="28"/>
      <c r="T548" s="31">
        <v>42308</v>
      </c>
      <c r="U548" s="33">
        <v>1147</v>
      </c>
      <c r="V548" s="36">
        <f t="shared" si="42"/>
        <v>1147</v>
      </c>
      <c r="W548" s="28"/>
      <c r="X548" s="31">
        <v>42320</v>
      </c>
      <c r="Y548" s="33">
        <v>1350</v>
      </c>
      <c r="Z548" s="189">
        <f t="shared" si="43"/>
        <v>1350</v>
      </c>
      <c r="AA548" s="190"/>
      <c r="AB548" s="31">
        <v>42358</v>
      </c>
      <c r="AC548" s="36">
        <v>1147</v>
      </c>
      <c r="AD548" s="8"/>
      <c r="AE548" s="6"/>
      <c r="AF548" s="52">
        <f t="shared" si="40"/>
        <v>48527276</v>
      </c>
      <c r="AG548" s="25">
        <f t="shared" si="41"/>
        <v>57132000</v>
      </c>
      <c r="AH548" s="52">
        <f t="shared" si="44"/>
        <v>48584626</v>
      </c>
      <c r="AI548" s="6"/>
      <c r="AJ548" s="6"/>
      <c r="AK548" s="6"/>
      <c r="AL548" s="6"/>
      <c r="AM548" s="6"/>
      <c r="AN548" s="6"/>
      <c r="AO548" s="6"/>
      <c r="AP548" s="6"/>
      <c r="AQ548" s="6"/>
      <c r="AR548" s="6"/>
    </row>
    <row r="549" spans="1:44">
      <c r="A549" s="6"/>
      <c r="B549" s="6"/>
      <c r="C549" s="6"/>
      <c r="D549" s="6"/>
      <c r="E549" s="6"/>
      <c r="F549" s="6"/>
      <c r="G549" s="11"/>
      <c r="H549" s="6"/>
      <c r="I549" s="6"/>
      <c r="J549" s="6"/>
      <c r="K549" s="7"/>
      <c r="L549" s="21" t="str">
        <f>микс!$H$10</f>
        <v>продажа со склада</v>
      </c>
      <c r="M549" s="22"/>
      <c r="N549" s="22"/>
      <c r="O549" s="22" t="s">
        <v>143</v>
      </c>
      <c r="P549" s="23" t="str">
        <f>микс!$H$47</f>
        <v>Домашнее хозяйство</v>
      </c>
      <c r="Q549" s="21" t="s">
        <v>132</v>
      </c>
      <c r="R549" s="25">
        <v>1</v>
      </c>
      <c r="S549" s="28"/>
      <c r="T549" s="31">
        <v>41926</v>
      </c>
      <c r="U549" s="33">
        <v>473.88</v>
      </c>
      <c r="V549" s="36">
        <f t="shared" si="42"/>
        <v>473.88</v>
      </c>
      <c r="W549" s="28"/>
      <c r="X549" s="31">
        <v>42313</v>
      </c>
      <c r="Y549" s="33">
        <v>474</v>
      </c>
      <c r="Z549" s="189">
        <f t="shared" si="43"/>
        <v>474</v>
      </c>
      <c r="AA549" s="190"/>
      <c r="AB549" s="31">
        <v>41986</v>
      </c>
      <c r="AC549" s="36">
        <v>473.88</v>
      </c>
      <c r="AD549" s="8"/>
      <c r="AE549" s="6"/>
      <c r="AF549" s="52">
        <f t="shared" si="40"/>
        <v>19867892.879999999</v>
      </c>
      <c r="AG549" s="25">
        <f t="shared" si="41"/>
        <v>20056362</v>
      </c>
      <c r="AH549" s="52">
        <f t="shared" si="44"/>
        <v>19896325.68</v>
      </c>
      <c r="AI549" s="6"/>
      <c r="AJ549" s="6"/>
      <c r="AK549" s="6"/>
      <c r="AL549" s="6"/>
      <c r="AM549" s="6"/>
      <c r="AN549" s="6"/>
      <c r="AO549" s="6"/>
      <c r="AP549" s="6"/>
      <c r="AQ549" s="6"/>
      <c r="AR549" s="6"/>
    </row>
    <row r="550" spans="1:44">
      <c r="A550" s="6"/>
      <c r="B550" s="6"/>
      <c r="C550" s="6"/>
      <c r="D550" s="6"/>
      <c r="E550" s="6"/>
      <c r="F550" s="6"/>
      <c r="G550" s="11"/>
      <c r="H550" s="6"/>
      <c r="I550" s="6"/>
      <c r="J550" s="6"/>
      <c r="K550" s="7"/>
      <c r="L550" s="21" t="str">
        <f>микс!$H$10</f>
        <v>продажа со склада</v>
      </c>
      <c r="M550" s="22"/>
      <c r="N550" s="22"/>
      <c r="O550" s="22" t="s">
        <v>143</v>
      </c>
      <c r="P550" s="23" t="str">
        <f>микс!$H$47</f>
        <v>Домашнее хозяйство</v>
      </c>
      <c r="Q550" s="21" t="s">
        <v>132</v>
      </c>
      <c r="R550" s="25">
        <v>1</v>
      </c>
      <c r="S550" s="28"/>
      <c r="T550" s="31">
        <v>41940</v>
      </c>
      <c r="U550" s="33">
        <v>473.88</v>
      </c>
      <c r="V550" s="36">
        <f t="shared" si="42"/>
        <v>473.88</v>
      </c>
      <c r="W550" s="28"/>
      <c r="X550" s="31">
        <v>42320</v>
      </c>
      <c r="Y550" s="33">
        <v>474</v>
      </c>
      <c r="Z550" s="189">
        <f t="shared" si="43"/>
        <v>474</v>
      </c>
      <c r="AA550" s="190"/>
      <c r="AB550" s="31">
        <v>41970</v>
      </c>
      <c r="AC550" s="36">
        <v>473.88</v>
      </c>
      <c r="AD550" s="8"/>
      <c r="AE550" s="6"/>
      <c r="AF550" s="52">
        <f t="shared" si="40"/>
        <v>19874527.199999999</v>
      </c>
      <c r="AG550" s="25">
        <f t="shared" si="41"/>
        <v>20059680</v>
      </c>
      <c r="AH550" s="52">
        <f t="shared" si="44"/>
        <v>19888743.600000001</v>
      </c>
      <c r="AI550" s="6"/>
      <c r="AJ550" s="6"/>
      <c r="AK550" s="6"/>
      <c r="AL550" s="6"/>
      <c r="AM550" s="6"/>
      <c r="AN550" s="6"/>
      <c r="AO550" s="6"/>
      <c r="AP550" s="6"/>
      <c r="AQ550" s="6"/>
      <c r="AR550" s="6"/>
    </row>
    <row r="551" spans="1:44">
      <c r="A551" s="6"/>
      <c r="B551" s="6"/>
      <c r="C551" s="6"/>
      <c r="D551" s="6"/>
      <c r="E551" s="6"/>
      <c r="F551" s="6"/>
      <c r="G551" s="11"/>
      <c r="H551" s="6"/>
      <c r="I551" s="6"/>
      <c r="J551" s="6"/>
      <c r="K551" s="7"/>
      <c r="L551" s="21" t="str">
        <f>микс!$H$10</f>
        <v>продажа со склада</v>
      </c>
      <c r="M551" s="22"/>
      <c r="N551" s="22"/>
      <c r="O551" s="22" t="s">
        <v>143</v>
      </c>
      <c r="P551" s="23" t="str">
        <f>микс!$H$47</f>
        <v>Домашнее хозяйство</v>
      </c>
      <c r="Q551" s="21" t="s">
        <v>132</v>
      </c>
      <c r="R551" s="25">
        <v>1</v>
      </c>
      <c r="S551" s="28"/>
      <c r="T551" s="31">
        <v>41940</v>
      </c>
      <c r="U551" s="33">
        <v>473.88</v>
      </c>
      <c r="V551" s="36">
        <f t="shared" si="42"/>
        <v>473.88</v>
      </c>
      <c r="W551" s="28"/>
      <c r="X551" s="31">
        <v>42326</v>
      </c>
      <c r="Y551" s="33">
        <v>474</v>
      </c>
      <c r="Z551" s="189">
        <f t="shared" si="43"/>
        <v>474</v>
      </c>
      <c r="AA551" s="190"/>
      <c r="AB551" s="31">
        <v>41960</v>
      </c>
      <c r="AC551" s="36">
        <v>473.88</v>
      </c>
      <c r="AD551" s="8"/>
      <c r="AE551" s="6"/>
      <c r="AF551" s="52">
        <f t="shared" si="40"/>
        <v>19874527.199999999</v>
      </c>
      <c r="AG551" s="25">
        <f t="shared" si="41"/>
        <v>20062524</v>
      </c>
      <c r="AH551" s="52">
        <f t="shared" si="44"/>
        <v>19884004.800000001</v>
      </c>
      <c r="AI551" s="6"/>
      <c r="AJ551" s="6"/>
      <c r="AK551" s="6"/>
      <c r="AL551" s="6"/>
      <c r="AM551" s="6"/>
      <c r="AN551" s="6"/>
      <c r="AO551" s="6"/>
      <c r="AP551" s="6"/>
      <c r="AQ551" s="6"/>
      <c r="AR551" s="6"/>
    </row>
    <row r="552" spans="1:44">
      <c r="A552" s="6"/>
      <c r="B552" s="6"/>
      <c r="C552" s="6"/>
      <c r="D552" s="6"/>
      <c r="E552" s="6"/>
      <c r="F552" s="6"/>
      <c r="G552" s="11"/>
      <c r="H552" s="6"/>
      <c r="I552" s="6"/>
      <c r="J552" s="6"/>
      <c r="K552" s="7"/>
      <c r="L552" s="21" t="str">
        <f>микс!$H$10</f>
        <v>продажа со склада</v>
      </c>
      <c r="M552" s="22"/>
      <c r="N552" s="22"/>
      <c r="O552" s="22" t="s">
        <v>143</v>
      </c>
      <c r="P552" s="23" t="str">
        <f>микс!$H$47</f>
        <v>Домашнее хозяйство</v>
      </c>
      <c r="Q552" s="21" t="s">
        <v>132</v>
      </c>
      <c r="R552" s="25">
        <v>1</v>
      </c>
      <c r="S552" s="28"/>
      <c r="T552" s="31">
        <v>41940</v>
      </c>
      <c r="U552" s="33">
        <v>473.88</v>
      </c>
      <c r="V552" s="36">
        <f t="shared" si="42"/>
        <v>473.88</v>
      </c>
      <c r="W552" s="28"/>
      <c r="X552" s="31">
        <v>42320</v>
      </c>
      <c r="Y552" s="33">
        <v>474</v>
      </c>
      <c r="Z552" s="189">
        <f t="shared" si="43"/>
        <v>474</v>
      </c>
      <c r="AA552" s="190"/>
      <c r="AB552" s="31">
        <v>41950</v>
      </c>
      <c r="AC552" s="36">
        <v>473.88</v>
      </c>
      <c r="AD552" s="8"/>
      <c r="AE552" s="6"/>
      <c r="AF552" s="52">
        <f t="shared" si="40"/>
        <v>19874527.199999999</v>
      </c>
      <c r="AG552" s="25">
        <f t="shared" si="41"/>
        <v>20059680</v>
      </c>
      <c r="AH552" s="52">
        <f t="shared" si="44"/>
        <v>19879266</v>
      </c>
      <c r="AI552" s="6"/>
      <c r="AJ552" s="6"/>
      <c r="AK552" s="6"/>
      <c r="AL552" s="6"/>
      <c r="AM552" s="6"/>
      <c r="AN552" s="6"/>
      <c r="AO552" s="6"/>
      <c r="AP552" s="6"/>
      <c r="AQ552" s="6"/>
      <c r="AR552" s="6"/>
    </row>
    <row r="553" spans="1:44">
      <c r="A553" s="6"/>
      <c r="B553" s="6"/>
      <c r="C553" s="6"/>
      <c r="D553" s="6"/>
      <c r="E553" s="6"/>
      <c r="F553" s="6"/>
      <c r="G553" s="11"/>
      <c r="H553" s="6"/>
      <c r="I553" s="6"/>
      <c r="J553" s="6"/>
      <c r="K553" s="7"/>
      <c r="L553" s="21" t="str">
        <f>микс!$H$11</f>
        <v>продажа под заказ</v>
      </c>
      <c r="M553" s="22"/>
      <c r="N553" s="22"/>
      <c r="O553" s="22" t="s">
        <v>138</v>
      </c>
      <c r="P553" s="23" t="str">
        <f>микс!$H$49</f>
        <v>Товары для детей</v>
      </c>
      <c r="Q553" s="21" t="s">
        <v>92</v>
      </c>
      <c r="R553" s="25">
        <v>1</v>
      </c>
      <c r="S553" s="28"/>
      <c r="T553" s="31">
        <v>42312</v>
      </c>
      <c r="U553" s="33">
        <v>697</v>
      </c>
      <c r="V553" s="36">
        <f t="shared" si="42"/>
        <v>697</v>
      </c>
      <c r="W553" s="28"/>
      <c r="X553" s="31">
        <v>42319</v>
      </c>
      <c r="Y553" s="33">
        <v>800</v>
      </c>
      <c r="Z553" s="189">
        <f t="shared" si="43"/>
        <v>800</v>
      </c>
      <c r="AA553" s="190"/>
      <c r="AB553" s="31"/>
      <c r="AC553" s="36"/>
      <c r="AD553" s="8"/>
      <c r="AE553" s="6"/>
      <c r="AF553" s="52">
        <f t="shared" si="40"/>
        <v>29491464</v>
      </c>
      <c r="AG553" s="25">
        <f t="shared" si="41"/>
        <v>33855200</v>
      </c>
      <c r="AH553" s="52">
        <f t="shared" si="44"/>
        <v>0</v>
      </c>
      <c r="AI553" s="6"/>
      <c r="AJ553" s="6"/>
      <c r="AK553" s="6"/>
      <c r="AL553" s="6"/>
      <c r="AM553" s="6"/>
      <c r="AN553" s="6"/>
      <c r="AO553" s="6"/>
      <c r="AP553" s="6"/>
      <c r="AQ553" s="6"/>
      <c r="AR553" s="6"/>
    </row>
    <row r="554" spans="1:44">
      <c r="A554" s="6"/>
      <c r="B554" s="6"/>
      <c r="C554" s="6"/>
      <c r="D554" s="6"/>
      <c r="E554" s="6"/>
      <c r="F554" s="6"/>
      <c r="G554" s="11"/>
      <c r="H554" s="6"/>
      <c r="I554" s="6"/>
      <c r="J554" s="6"/>
      <c r="K554" s="7"/>
      <c r="L554" s="21" t="str">
        <f>микс!$H$11</f>
        <v>продажа под заказ</v>
      </c>
      <c r="M554" s="22"/>
      <c r="N554" s="22"/>
      <c r="O554" s="22" t="s">
        <v>138</v>
      </c>
      <c r="P554" s="23" t="str">
        <f>микс!$H$49</f>
        <v>Товары для детей</v>
      </c>
      <c r="Q554" s="21" t="s">
        <v>92</v>
      </c>
      <c r="R554" s="25">
        <v>1</v>
      </c>
      <c r="S554" s="28"/>
      <c r="T554" s="31">
        <v>42312</v>
      </c>
      <c r="U554" s="33">
        <v>697</v>
      </c>
      <c r="V554" s="36">
        <f t="shared" si="42"/>
        <v>697</v>
      </c>
      <c r="W554" s="28"/>
      <c r="X554" s="31">
        <v>42326</v>
      </c>
      <c r="Y554" s="33">
        <v>800</v>
      </c>
      <c r="Z554" s="189">
        <f t="shared" si="43"/>
        <v>800</v>
      </c>
      <c r="AA554" s="190"/>
      <c r="AB554" s="31"/>
      <c r="AC554" s="36"/>
      <c r="AD554" s="8"/>
      <c r="AE554" s="6"/>
      <c r="AF554" s="52">
        <f t="shared" si="40"/>
        <v>29491464</v>
      </c>
      <c r="AG554" s="25">
        <f t="shared" si="41"/>
        <v>33860800</v>
      </c>
      <c r="AH554" s="52">
        <f t="shared" si="44"/>
        <v>0</v>
      </c>
      <c r="AI554" s="6"/>
      <c r="AJ554" s="6"/>
      <c r="AK554" s="6"/>
      <c r="AL554" s="6"/>
      <c r="AM554" s="6"/>
      <c r="AN554" s="6"/>
      <c r="AO554" s="6"/>
      <c r="AP554" s="6"/>
      <c r="AQ554" s="6"/>
      <c r="AR554" s="6"/>
    </row>
    <row r="555" spans="1:44">
      <c r="A555" s="6"/>
      <c r="B555" s="6"/>
      <c r="C555" s="6"/>
      <c r="D555" s="6"/>
      <c r="E555" s="6"/>
      <c r="F555" s="6"/>
      <c r="G555" s="11"/>
      <c r="H555" s="6"/>
      <c r="I555" s="6"/>
      <c r="J555" s="6"/>
      <c r="K555" s="7"/>
      <c r="L555" s="21" t="str">
        <f>микс!$H$11</f>
        <v>продажа под заказ</v>
      </c>
      <c r="M555" s="22"/>
      <c r="N555" s="22"/>
      <c r="O555" s="22" t="s">
        <v>138</v>
      </c>
      <c r="P555" s="23" t="str">
        <f>микс!$H$49</f>
        <v>Товары для детей</v>
      </c>
      <c r="Q555" s="21" t="s">
        <v>92</v>
      </c>
      <c r="R555" s="25">
        <v>1</v>
      </c>
      <c r="S555" s="28"/>
      <c r="T555" s="31">
        <v>42300</v>
      </c>
      <c r="U555" s="33">
        <v>697</v>
      </c>
      <c r="V555" s="36">
        <f t="shared" si="42"/>
        <v>697</v>
      </c>
      <c r="W555" s="28"/>
      <c r="X555" s="31">
        <v>42302</v>
      </c>
      <c r="Y555" s="33">
        <v>906</v>
      </c>
      <c r="Z555" s="189">
        <f t="shared" si="43"/>
        <v>906</v>
      </c>
      <c r="AA555" s="190"/>
      <c r="AB555" s="31">
        <v>42321</v>
      </c>
      <c r="AC555" s="36">
        <v>697</v>
      </c>
      <c r="AD555" s="8"/>
      <c r="AE555" s="6"/>
      <c r="AF555" s="52">
        <f t="shared" si="40"/>
        <v>29483100</v>
      </c>
      <c r="AG555" s="25">
        <f t="shared" si="41"/>
        <v>38325612</v>
      </c>
      <c r="AH555" s="52">
        <f t="shared" si="44"/>
        <v>29497737</v>
      </c>
      <c r="AI555" s="6"/>
      <c r="AJ555" s="6"/>
      <c r="AK555" s="6"/>
      <c r="AL555" s="6"/>
      <c r="AM555" s="6"/>
      <c r="AN555" s="6"/>
      <c r="AO555" s="6"/>
      <c r="AP555" s="6"/>
      <c r="AQ555" s="6"/>
      <c r="AR555" s="6"/>
    </row>
    <row r="556" spans="1:44">
      <c r="A556" s="6"/>
      <c r="B556" s="6"/>
      <c r="C556" s="6"/>
      <c r="D556" s="6"/>
      <c r="E556" s="6"/>
      <c r="F556" s="6"/>
      <c r="G556" s="11"/>
      <c r="H556" s="6"/>
      <c r="I556" s="6"/>
      <c r="J556" s="6"/>
      <c r="K556" s="7"/>
      <c r="L556" s="21" t="str">
        <f>микс!$H$11</f>
        <v>продажа под заказ</v>
      </c>
      <c r="M556" s="22"/>
      <c r="N556" s="22"/>
      <c r="O556" s="22" t="s">
        <v>138</v>
      </c>
      <c r="P556" s="23" t="str">
        <f>микс!$H$49</f>
        <v>Товары для детей</v>
      </c>
      <c r="Q556" s="21" t="s">
        <v>92</v>
      </c>
      <c r="R556" s="25">
        <v>1</v>
      </c>
      <c r="S556" s="28"/>
      <c r="T556" s="31">
        <v>42299</v>
      </c>
      <c r="U556" s="33">
        <v>697</v>
      </c>
      <c r="V556" s="36">
        <f t="shared" si="42"/>
        <v>697</v>
      </c>
      <c r="W556" s="28"/>
      <c r="X556" s="31">
        <v>42302</v>
      </c>
      <c r="Y556" s="33">
        <v>906</v>
      </c>
      <c r="Z556" s="189">
        <f t="shared" si="43"/>
        <v>906</v>
      </c>
      <c r="AA556" s="190"/>
      <c r="AB556" s="31">
        <v>42344</v>
      </c>
      <c r="AC556" s="36">
        <v>697</v>
      </c>
      <c r="AD556" s="8"/>
      <c r="AE556" s="6"/>
      <c r="AF556" s="52">
        <f t="shared" si="40"/>
        <v>29482403</v>
      </c>
      <c r="AG556" s="25">
        <f t="shared" si="41"/>
        <v>38325612</v>
      </c>
      <c r="AH556" s="52">
        <f t="shared" si="44"/>
        <v>29513768</v>
      </c>
      <c r="AI556" s="6"/>
      <c r="AJ556" s="6"/>
      <c r="AK556" s="6"/>
      <c r="AL556" s="6"/>
      <c r="AM556" s="6"/>
      <c r="AN556" s="6"/>
      <c r="AO556" s="6"/>
      <c r="AP556" s="6"/>
      <c r="AQ556" s="6"/>
      <c r="AR556" s="6"/>
    </row>
    <row r="557" spans="1:44">
      <c r="A557" s="6"/>
      <c r="B557" s="6"/>
      <c r="C557" s="6"/>
      <c r="D557" s="6"/>
      <c r="E557" s="6"/>
      <c r="F557" s="6"/>
      <c r="G557" s="11"/>
      <c r="H557" s="6"/>
      <c r="I557" s="6"/>
      <c r="J557" s="6"/>
      <c r="K557" s="7"/>
      <c r="L557" s="21" t="str">
        <f>микс!$H$11</f>
        <v>продажа под заказ</v>
      </c>
      <c r="M557" s="22"/>
      <c r="N557" s="22"/>
      <c r="O557" s="22" t="s">
        <v>138</v>
      </c>
      <c r="P557" s="23" t="str">
        <f>микс!$H$49</f>
        <v>Товары для детей</v>
      </c>
      <c r="Q557" s="21" t="s">
        <v>92</v>
      </c>
      <c r="R557" s="25">
        <v>2</v>
      </c>
      <c r="S557" s="28"/>
      <c r="T557" s="31">
        <v>42297</v>
      </c>
      <c r="U557" s="33">
        <v>697</v>
      </c>
      <c r="V557" s="36">
        <f t="shared" si="42"/>
        <v>1394</v>
      </c>
      <c r="W557" s="28"/>
      <c r="X557" s="31">
        <v>42299</v>
      </c>
      <c r="Y557" s="33">
        <v>906</v>
      </c>
      <c r="Z557" s="189">
        <f t="shared" si="43"/>
        <v>1812</v>
      </c>
      <c r="AA557" s="190"/>
      <c r="AB557" s="31">
        <v>42327</v>
      </c>
      <c r="AC557" s="36">
        <v>1394</v>
      </c>
      <c r="AD557" s="8"/>
      <c r="AE557" s="6"/>
      <c r="AF557" s="52">
        <f t="shared" si="40"/>
        <v>58962018</v>
      </c>
      <c r="AG557" s="25">
        <f t="shared" si="41"/>
        <v>76645788</v>
      </c>
      <c r="AH557" s="52">
        <f t="shared" si="44"/>
        <v>59003838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/>
    </row>
    <row r="558" spans="1:44">
      <c r="A558" s="6"/>
      <c r="B558" s="6"/>
      <c r="C558" s="6"/>
      <c r="D558" s="6"/>
      <c r="E558" s="6"/>
      <c r="F558" s="6"/>
      <c r="G558" s="11"/>
      <c r="H558" s="6"/>
      <c r="I558" s="6"/>
      <c r="J558" s="6"/>
      <c r="K558" s="7"/>
      <c r="L558" s="21" t="str">
        <f>микс!$H$11</f>
        <v>продажа под заказ</v>
      </c>
      <c r="M558" s="22"/>
      <c r="N558" s="22"/>
      <c r="O558" s="22" t="s">
        <v>138</v>
      </c>
      <c r="P558" s="23" t="str">
        <f>микс!$H$49</f>
        <v>Товары для детей</v>
      </c>
      <c r="Q558" s="21" t="s">
        <v>92</v>
      </c>
      <c r="R558" s="25">
        <v>1</v>
      </c>
      <c r="S558" s="28"/>
      <c r="T558" s="31">
        <v>42293</v>
      </c>
      <c r="U558" s="33">
        <v>697</v>
      </c>
      <c r="V558" s="36">
        <f t="shared" si="42"/>
        <v>697</v>
      </c>
      <c r="W558" s="28"/>
      <c r="X558" s="31">
        <v>42295</v>
      </c>
      <c r="Y558" s="33">
        <v>1029</v>
      </c>
      <c r="Z558" s="189">
        <f t="shared" si="43"/>
        <v>1029</v>
      </c>
      <c r="AA558" s="190"/>
      <c r="AB558" s="31">
        <v>42308</v>
      </c>
      <c r="AC558" s="36">
        <v>697</v>
      </c>
      <c r="AD558" s="8"/>
      <c r="AE558" s="6"/>
      <c r="AF558" s="52">
        <f t="shared" si="40"/>
        <v>29478221</v>
      </c>
      <c r="AG558" s="25">
        <f t="shared" si="41"/>
        <v>43521555</v>
      </c>
      <c r="AH558" s="52">
        <f t="shared" si="44"/>
        <v>29488676</v>
      </c>
      <c r="AI558" s="6"/>
      <c r="AJ558" s="6"/>
      <c r="AK558" s="6"/>
      <c r="AL558" s="6"/>
      <c r="AM558" s="6"/>
      <c r="AN558" s="6"/>
      <c r="AO558" s="6"/>
      <c r="AP558" s="6"/>
      <c r="AQ558" s="6"/>
      <c r="AR558" s="6"/>
    </row>
    <row r="559" spans="1:44">
      <c r="A559" s="6"/>
      <c r="B559" s="6"/>
      <c r="C559" s="6"/>
      <c r="D559" s="6"/>
      <c r="E559" s="6"/>
      <c r="F559" s="6"/>
      <c r="G559" s="11"/>
      <c r="H559" s="6"/>
      <c r="I559" s="6"/>
      <c r="J559" s="6"/>
      <c r="K559" s="7"/>
      <c r="L559" s="21" t="str">
        <f>микс!$H$11</f>
        <v>продажа под заказ</v>
      </c>
      <c r="M559" s="22"/>
      <c r="N559" s="22"/>
      <c r="O559" s="22" t="s">
        <v>138</v>
      </c>
      <c r="P559" s="23" t="str">
        <f>микс!$H$49</f>
        <v>Товары для детей</v>
      </c>
      <c r="Q559" s="21" t="s">
        <v>92</v>
      </c>
      <c r="R559" s="25">
        <v>1</v>
      </c>
      <c r="S559" s="28"/>
      <c r="T559" s="31">
        <v>42294</v>
      </c>
      <c r="U559" s="33">
        <v>533.24</v>
      </c>
      <c r="V559" s="36">
        <f t="shared" si="42"/>
        <v>533.24</v>
      </c>
      <c r="W559" s="28"/>
      <c r="X559" s="31">
        <v>42298</v>
      </c>
      <c r="Y559" s="33">
        <v>1059</v>
      </c>
      <c r="Z559" s="189">
        <f t="shared" si="43"/>
        <v>1059</v>
      </c>
      <c r="AA559" s="190"/>
      <c r="AB559" s="31">
        <v>42316</v>
      </c>
      <c r="AC559" s="36">
        <v>533.24</v>
      </c>
      <c r="AD559" s="8"/>
      <c r="AE559" s="6"/>
      <c r="AF559" s="52">
        <f t="shared" si="40"/>
        <v>22552852.559999999</v>
      </c>
      <c r="AG559" s="25">
        <f t="shared" si="41"/>
        <v>44793582</v>
      </c>
      <c r="AH559" s="52">
        <f t="shared" si="44"/>
        <v>22564583.84</v>
      </c>
      <c r="AI559" s="6"/>
      <c r="AJ559" s="6"/>
      <c r="AK559" s="6"/>
      <c r="AL559" s="6"/>
      <c r="AM559" s="6"/>
      <c r="AN559" s="6"/>
      <c r="AO559" s="6"/>
      <c r="AP559" s="6"/>
      <c r="AQ559" s="6"/>
      <c r="AR559" s="6"/>
    </row>
    <row r="560" spans="1:44">
      <c r="A560" s="6"/>
      <c r="B560" s="6"/>
      <c r="C560" s="6"/>
      <c r="D560" s="6"/>
      <c r="E560" s="6"/>
      <c r="F560" s="6"/>
      <c r="G560" s="11"/>
      <c r="H560" s="6"/>
      <c r="I560" s="6"/>
      <c r="J560" s="6"/>
      <c r="K560" s="7"/>
      <c r="L560" s="21" t="str">
        <f>микс!$H$10</f>
        <v>продажа со склада</v>
      </c>
      <c r="M560" s="22"/>
      <c r="N560" s="22"/>
      <c r="O560" s="22" t="s">
        <v>138</v>
      </c>
      <c r="P560" s="23" t="str">
        <f>микс!$H$49</f>
        <v>Товары для детей</v>
      </c>
      <c r="Q560" s="21" t="s">
        <v>92</v>
      </c>
      <c r="R560" s="25">
        <v>1</v>
      </c>
      <c r="S560" s="28"/>
      <c r="T560" s="31">
        <v>42268</v>
      </c>
      <c r="U560" s="33">
        <v>697</v>
      </c>
      <c r="V560" s="36">
        <f t="shared" si="42"/>
        <v>697</v>
      </c>
      <c r="W560" s="28"/>
      <c r="X560" s="31">
        <v>42311</v>
      </c>
      <c r="Y560" s="33">
        <v>933</v>
      </c>
      <c r="Z560" s="189">
        <f t="shared" si="43"/>
        <v>933</v>
      </c>
      <c r="AA560" s="190"/>
      <c r="AB560" s="31">
        <v>42328</v>
      </c>
      <c r="AC560" s="36">
        <v>697</v>
      </c>
      <c r="AD560" s="8"/>
      <c r="AE560" s="6"/>
      <c r="AF560" s="52">
        <f t="shared" si="40"/>
        <v>29460796</v>
      </c>
      <c r="AG560" s="25">
        <f t="shared" si="41"/>
        <v>39476163</v>
      </c>
      <c r="AH560" s="52">
        <f t="shared" si="44"/>
        <v>29502616</v>
      </c>
      <c r="AI560" s="6"/>
      <c r="AJ560" s="6"/>
      <c r="AK560" s="6"/>
      <c r="AL560" s="6"/>
      <c r="AM560" s="6"/>
      <c r="AN560" s="6"/>
      <c r="AO560" s="6"/>
      <c r="AP560" s="6"/>
      <c r="AQ560" s="6"/>
      <c r="AR560" s="6"/>
    </row>
    <row r="561" spans="1:44">
      <c r="A561" s="6"/>
      <c r="B561" s="6"/>
      <c r="C561" s="6"/>
      <c r="D561" s="6"/>
      <c r="E561" s="6"/>
      <c r="F561" s="6"/>
      <c r="G561" s="11"/>
      <c r="H561" s="6"/>
      <c r="I561" s="6"/>
      <c r="J561" s="6"/>
      <c r="K561" s="7"/>
      <c r="L561" s="21" t="str">
        <f>микс!$H$11</f>
        <v>продажа под заказ</v>
      </c>
      <c r="M561" s="22"/>
      <c r="N561" s="22"/>
      <c r="O561" s="22" t="s">
        <v>138</v>
      </c>
      <c r="P561" s="23" t="str">
        <f>микс!$H$49</f>
        <v>Товары для детей</v>
      </c>
      <c r="Q561" s="21" t="s">
        <v>92</v>
      </c>
      <c r="R561" s="25">
        <v>2</v>
      </c>
      <c r="S561" s="28"/>
      <c r="T561" s="31">
        <v>42304</v>
      </c>
      <c r="U561" s="33">
        <v>697</v>
      </c>
      <c r="V561" s="36">
        <f t="shared" si="42"/>
        <v>1394</v>
      </c>
      <c r="W561" s="28"/>
      <c r="X561" s="31">
        <v>42306</v>
      </c>
      <c r="Y561" s="33">
        <v>906</v>
      </c>
      <c r="Z561" s="189">
        <f t="shared" si="43"/>
        <v>1812</v>
      </c>
      <c r="AA561" s="190"/>
      <c r="AB561" s="31"/>
      <c r="AC561" s="36"/>
      <c r="AD561" s="8"/>
      <c r="AE561" s="6"/>
      <c r="AF561" s="52">
        <f t="shared" si="40"/>
        <v>58971776</v>
      </c>
      <c r="AG561" s="25">
        <f t="shared" si="41"/>
        <v>76658472</v>
      </c>
      <c r="AH561" s="52">
        <f t="shared" si="44"/>
        <v>0</v>
      </c>
      <c r="AI561" s="6"/>
      <c r="AJ561" s="6"/>
      <c r="AK561" s="6"/>
      <c r="AL561" s="6"/>
      <c r="AM561" s="6"/>
      <c r="AN561" s="6"/>
      <c r="AO561" s="6"/>
      <c r="AP561" s="6"/>
      <c r="AQ561" s="6"/>
      <c r="AR561" s="6"/>
    </row>
    <row r="562" spans="1:44">
      <c r="A562" s="6"/>
      <c r="B562" s="6"/>
      <c r="C562" s="6"/>
      <c r="D562" s="6"/>
      <c r="E562" s="6"/>
      <c r="F562" s="6"/>
      <c r="G562" s="11"/>
      <c r="H562" s="6"/>
      <c r="I562" s="6"/>
      <c r="J562" s="6"/>
      <c r="K562" s="7"/>
      <c r="L562" s="21" t="str">
        <f>микс!$H$10</f>
        <v>продажа со склада</v>
      </c>
      <c r="M562" s="22"/>
      <c r="N562" s="22"/>
      <c r="O562" s="22" t="s">
        <v>138</v>
      </c>
      <c r="P562" s="23" t="str">
        <f>микс!$H$49</f>
        <v>Товары для детей</v>
      </c>
      <c r="Q562" s="21" t="s">
        <v>92</v>
      </c>
      <c r="R562" s="25">
        <v>1</v>
      </c>
      <c r="S562" s="28"/>
      <c r="T562" s="31">
        <v>42266</v>
      </c>
      <c r="U562" s="33">
        <v>697</v>
      </c>
      <c r="V562" s="36">
        <f t="shared" si="42"/>
        <v>697</v>
      </c>
      <c r="W562" s="28"/>
      <c r="X562" s="31">
        <v>42304</v>
      </c>
      <c r="Y562" s="33">
        <v>906</v>
      </c>
      <c r="Z562" s="189">
        <f t="shared" si="43"/>
        <v>906</v>
      </c>
      <c r="AA562" s="190"/>
      <c r="AB562" s="31">
        <v>42306</v>
      </c>
      <c r="AC562" s="36">
        <v>697</v>
      </c>
      <c r="AD562" s="8"/>
      <c r="AE562" s="6"/>
      <c r="AF562" s="52">
        <f t="shared" si="40"/>
        <v>29459402</v>
      </c>
      <c r="AG562" s="25">
        <f t="shared" si="41"/>
        <v>38327424</v>
      </c>
      <c r="AH562" s="52">
        <f t="shared" si="44"/>
        <v>29487282</v>
      </c>
      <c r="AI562" s="6"/>
      <c r="AJ562" s="6"/>
      <c r="AK562" s="6"/>
      <c r="AL562" s="6"/>
      <c r="AM562" s="6"/>
      <c r="AN562" s="6"/>
      <c r="AO562" s="6"/>
      <c r="AP562" s="6"/>
      <c r="AQ562" s="6"/>
      <c r="AR562" s="6"/>
    </row>
    <row r="563" spans="1:44">
      <c r="A563" s="6"/>
      <c r="B563" s="6"/>
      <c r="C563" s="6"/>
      <c r="D563" s="6"/>
      <c r="E563" s="6"/>
      <c r="F563" s="6"/>
      <c r="G563" s="11"/>
      <c r="H563" s="6"/>
      <c r="I563" s="6"/>
      <c r="J563" s="6"/>
      <c r="K563" s="7"/>
      <c r="L563" s="21" t="str">
        <f>микс!$H$11</f>
        <v>продажа под заказ</v>
      </c>
      <c r="M563" s="22"/>
      <c r="N563" s="22"/>
      <c r="O563" s="22" t="s">
        <v>138</v>
      </c>
      <c r="P563" s="23" t="str">
        <f>микс!$H$49</f>
        <v>Товары для детей</v>
      </c>
      <c r="Q563" s="21" t="s">
        <v>92</v>
      </c>
      <c r="R563" s="25">
        <v>1</v>
      </c>
      <c r="S563" s="28"/>
      <c r="T563" s="31">
        <v>42304</v>
      </c>
      <c r="U563" s="33">
        <v>700.73</v>
      </c>
      <c r="V563" s="36">
        <f t="shared" si="42"/>
        <v>700.73</v>
      </c>
      <c r="W563" s="28"/>
      <c r="X563" s="31">
        <v>42311</v>
      </c>
      <c r="Y563" s="33">
        <v>933</v>
      </c>
      <c r="Z563" s="189">
        <f t="shared" si="43"/>
        <v>933</v>
      </c>
      <c r="AA563" s="190"/>
      <c r="AB563" s="31">
        <v>42339</v>
      </c>
      <c r="AC563" s="36">
        <v>700.73</v>
      </c>
      <c r="AD563" s="8"/>
      <c r="AE563" s="6"/>
      <c r="AF563" s="52">
        <f t="shared" si="40"/>
        <v>29643681.920000002</v>
      </c>
      <c r="AG563" s="25">
        <f t="shared" si="41"/>
        <v>39476163</v>
      </c>
      <c r="AH563" s="52">
        <f t="shared" si="44"/>
        <v>29668207.470000003</v>
      </c>
      <c r="AI563" s="6"/>
      <c r="AJ563" s="6"/>
      <c r="AK563" s="6"/>
      <c r="AL563" s="6"/>
      <c r="AM563" s="6"/>
      <c r="AN563" s="6"/>
      <c r="AO563" s="6"/>
      <c r="AP563" s="6"/>
      <c r="AQ563" s="6"/>
      <c r="AR563" s="6"/>
    </row>
    <row r="564" spans="1:44">
      <c r="A564" s="6"/>
      <c r="B564" s="6"/>
      <c r="C564" s="6"/>
      <c r="D564" s="6"/>
      <c r="E564" s="6"/>
      <c r="F564" s="6"/>
      <c r="G564" s="11"/>
      <c r="H564" s="6"/>
      <c r="I564" s="6"/>
      <c r="J564" s="6"/>
      <c r="K564" s="7"/>
      <c r="L564" s="21" t="str">
        <f>микс!$H$11</f>
        <v>продажа под заказ</v>
      </c>
      <c r="M564" s="22"/>
      <c r="N564" s="22"/>
      <c r="O564" s="22" t="s">
        <v>138</v>
      </c>
      <c r="P564" s="23" t="str">
        <f>микс!$H$49</f>
        <v>Товары для детей</v>
      </c>
      <c r="Q564" s="21" t="s">
        <v>92</v>
      </c>
      <c r="R564" s="25">
        <v>1</v>
      </c>
      <c r="S564" s="28"/>
      <c r="T564" s="31">
        <v>42326</v>
      </c>
      <c r="U564" s="33">
        <v>533.24</v>
      </c>
      <c r="V564" s="36">
        <f t="shared" si="42"/>
        <v>533.24</v>
      </c>
      <c r="W564" s="28"/>
      <c r="X564" s="31">
        <v>42329</v>
      </c>
      <c r="Y564" s="33">
        <v>906</v>
      </c>
      <c r="Z564" s="189">
        <f t="shared" si="43"/>
        <v>906</v>
      </c>
      <c r="AA564" s="190"/>
      <c r="AB564" s="31">
        <v>42341</v>
      </c>
      <c r="AC564" s="36">
        <v>533.24</v>
      </c>
      <c r="AD564" s="8"/>
      <c r="AE564" s="6"/>
      <c r="AF564" s="52">
        <f t="shared" si="40"/>
        <v>22569916.240000002</v>
      </c>
      <c r="AG564" s="25">
        <f t="shared" si="41"/>
        <v>38350074</v>
      </c>
      <c r="AH564" s="52">
        <f t="shared" si="44"/>
        <v>22577914.84</v>
      </c>
      <c r="AI564" s="6"/>
      <c r="AJ564" s="6"/>
      <c r="AK564" s="6"/>
      <c r="AL564" s="6"/>
      <c r="AM564" s="6"/>
      <c r="AN564" s="6"/>
      <c r="AO564" s="6"/>
      <c r="AP564" s="6"/>
      <c r="AQ564" s="6"/>
      <c r="AR564" s="6"/>
    </row>
    <row r="565" spans="1:44">
      <c r="A565" s="6"/>
      <c r="B565" s="6"/>
      <c r="C565" s="6"/>
      <c r="D565" s="6"/>
      <c r="E565" s="6"/>
      <c r="F565" s="6"/>
      <c r="G565" s="11"/>
      <c r="H565" s="6"/>
      <c r="I565" s="6"/>
      <c r="J565" s="6"/>
      <c r="K565" s="7"/>
      <c r="L565" s="21" t="str">
        <f>микс!$H$11</f>
        <v>продажа под заказ</v>
      </c>
      <c r="M565" s="22"/>
      <c r="N565" s="22"/>
      <c r="O565" s="22" t="s">
        <v>138</v>
      </c>
      <c r="P565" s="23" t="str">
        <f>микс!$H$49</f>
        <v>Товары для детей</v>
      </c>
      <c r="Q565" s="21" t="s">
        <v>92</v>
      </c>
      <c r="R565" s="25">
        <v>1</v>
      </c>
      <c r="S565" s="28"/>
      <c r="T565" s="31">
        <v>42329</v>
      </c>
      <c r="U565" s="33">
        <v>697</v>
      </c>
      <c r="V565" s="36">
        <f t="shared" si="42"/>
        <v>697</v>
      </c>
      <c r="W565" s="28"/>
      <c r="X565" s="31">
        <v>42340</v>
      </c>
      <c r="Y565" s="33">
        <v>968</v>
      </c>
      <c r="Z565" s="189">
        <f t="shared" si="43"/>
        <v>968</v>
      </c>
      <c r="AA565" s="190"/>
      <c r="AB565" s="31"/>
      <c r="AC565" s="36"/>
      <c r="AD565" s="8"/>
      <c r="AE565" s="6"/>
      <c r="AF565" s="52">
        <f t="shared" si="40"/>
        <v>29503313</v>
      </c>
      <c r="AG565" s="25">
        <f t="shared" si="41"/>
        <v>40985120</v>
      </c>
      <c r="AH565" s="52">
        <f t="shared" si="44"/>
        <v>0</v>
      </c>
      <c r="AI565" s="6"/>
      <c r="AJ565" s="6"/>
      <c r="AK565" s="6"/>
      <c r="AL565" s="6"/>
      <c r="AM565" s="6"/>
      <c r="AN565" s="6"/>
      <c r="AO565" s="6"/>
      <c r="AP565" s="6"/>
      <c r="AQ565" s="6"/>
      <c r="AR565" s="6"/>
    </row>
    <row r="566" spans="1:44">
      <c r="A566" s="6"/>
      <c r="B566" s="6"/>
      <c r="C566" s="6"/>
      <c r="D566" s="6"/>
      <c r="E566" s="6"/>
      <c r="F566" s="6"/>
      <c r="G566" s="11"/>
      <c r="H566" s="6"/>
      <c r="I566" s="6"/>
      <c r="J566" s="6"/>
      <c r="K566" s="7"/>
      <c r="L566" s="21" t="str">
        <f>микс!$H$11</f>
        <v>продажа под заказ</v>
      </c>
      <c r="M566" s="22"/>
      <c r="N566" s="22"/>
      <c r="O566" s="22" t="s">
        <v>138</v>
      </c>
      <c r="P566" s="23" t="str">
        <f>микс!$H$49</f>
        <v>Товары для детей</v>
      </c>
      <c r="Q566" s="21" t="s">
        <v>92</v>
      </c>
      <c r="R566" s="25">
        <v>1</v>
      </c>
      <c r="S566" s="28"/>
      <c r="T566" s="31">
        <v>42323</v>
      </c>
      <c r="U566" s="33">
        <v>533.24</v>
      </c>
      <c r="V566" s="36">
        <f t="shared" si="42"/>
        <v>533.24</v>
      </c>
      <c r="W566" s="28"/>
      <c r="X566" s="31">
        <v>42328</v>
      </c>
      <c r="Y566" s="33">
        <v>906</v>
      </c>
      <c r="Z566" s="189">
        <f t="shared" si="43"/>
        <v>906</v>
      </c>
      <c r="AA566" s="190"/>
      <c r="AB566" s="31">
        <v>42343</v>
      </c>
      <c r="AC566" s="36">
        <v>533.24</v>
      </c>
      <c r="AD566" s="8"/>
      <c r="AE566" s="6"/>
      <c r="AF566" s="52">
        <f t="shared" si="40"/>
        <v>22568316.52</v>
      </c>
      <c r="AG566" s="25">
        <f t="shared" si="41"/>
        <v>38349168</v>
      </c>
      <c r="AH566" s="52">
        <f t="shared" si="44"/>
        <v>22578981.32</v>
      </c>
      <c r="AI566" s="6"/>
      <c r="AJ566" s="6"/>
      <c r="AK566" s="6"/>
      <c r="AL566" s="6"/>
      <c r="AM566" s="6"/>
      <c r="AN566" s="6"/>
      <c r="AO566" s="6"/>
      <c r="AP566" s="6"/>
      <c r="AQ566" s="6"/>
      <c r="AR566" s="6"/>
    </row>
    <row r="567" spans="1:44">
      <c r="A567" s="6"/>
      <c r="B567" s="6"/>
      <c r="C567" s="6"/>
      <c r="D567" s="6"/>
      <c r="E567" s="6"/>
      <c r="F567" s="6"/>
      <c r="G567" s="11"/>
      <c r="H567" s="6"/>
      <c r="I567" s="6"/>
      <c r="J567" s="6"/>
      <c r="K567" s="7"/>
      <c r="L567" s="21" t="str">
        <f>микс!$H$11</f>
        <v>продажа под заказ</v>
      </c>
      <c r="M567" s="22"/>
      <c r="N567" s="22"/>
      <c r="O567" s="22" t="s">
        <v>138</v>
      </c>
      <c r="P567" s="23" t="str">
        <f>микс!$H$49</f>
        <v>Товары для детей</v>
      </c>
      <c r="Q567" s="21" t="s">
        <v>92</v>
      </c>
      <c r="R567" s="25">
        <v>1</v>
      </c>
      <c r="S567" s="28"/>
      <c r="T567" s="31">
        <v>42320</v>
      </c>
      <c r="U567" s="33">
        <v>697</v>
      </c>
      <c r="V567" s="36">
        <f t="shared" si="42"/>
        <v>697</v>
      </c>
      <c r="W567" s="28"/>
      <c r="X567" s="31">
        <v>42326</v>
      </c>
      <c r="Y567" s="33">
        <v>933</v>
      </c>
      <c r="Z567" s="189">
        <f t="shared" si="43"/>
        <v>933</v>
      </c>
      <c r="AA567" s="190"/>
      <c r="AB567" s="31">
        <v>42350</v>
      </c>
      <c r="AC567" s="36">
        <v>697</v>
      </c>
      <c r="AD567" s="8"/>
      <c r="AE567" s="6"/>
      <c r="AF567" s="52">
        <f t="shared" si="40"/>
        <v>29497040</v>
      </c>
      <c r="AG567" s="25">
        <f t="shared" si="41"/>
        <v>39490158</v>
      </c>
      <c r="AH567" s="52">
        <f t="shared" si="44"/>
        <v>29517950</v>
      </c>
      <c r="AI567" s="6"/>
      <c r="AJ567" s="6"/>
      <c r="AK567" s="6"/>
      <c r="AL567" s="6"/>
      <c r="AM567" s="6"/>
      <c r="AN567" s="6"/>
      <c r="AO567" s="6"/>
      <c r="AP567" s="6"/>
      <c r="AQ567" s="6"/>
      <c r="AR567" s="6"/>
    </row>
    <row r="568" spans="1:44">
      <c r="A568" s="6"/>
      <c r="B568" s="6"/>
      <c r="C568" s="6"/>
      <c r="D568" s="6"/>
      <c r="E568" s="6"/>
      <c r="F568" s="6"/>
      <c r="G568" s="11"/>
      <c r="H568" s="6"/>
      <c r="I568" s="6"/>
      <c r="J568" s="6"/>
      <c r="K568" s="7"/>
      <c r="L568" s="21" t="str">
        <f>микс!$H$11</f>
        <v>продажа под заказ</v>
      </c>
      <c r="M568" s="22"/>
      <c r="N568" s="22"/>
      <c r="O568" s="22" t="s">
        <v>144</v>
      </c>
      <c r="P568" s="23" t="str">
        <f>микс!$H$48</f>
        <v>Спортивный инвентарь</v>
      </c>
      <c r="Q568" s="21" t="s">
        <v>89</v>
      </c>
      <c r="R568" s="25">
        <v>2</v>
      </c>
      <c r="S568" s="28"/>
      <c r="T568" s="31">
        <v>42312</v>
      </c>
      <c r="U568" s="33">
        <v>594</v>
      </c>
      <c r="V568" s="36">
        <f t="shared" si="42"/>
        <v>1188</v>
      </c>
      <c r="W568" s="28"/>
      <c r="X568" s="31">
        <v>42320</v>
      </c>
      <c r="Y568" s="33">
        <v>689</v>
      </c>
      <c r="Z568" s="189">
        <f t="shared" si="43"/>
        <v>1378</v>
      </c>
      <c r="AA568" s="190"/>
      <c r="AB568" s="31">
        <v>42337</v>
      </c>
      <c r="AC568" s="36">
        <v>1188</v>
      </c>
      <c r="AD568" s="8"/>
      <c r="AE568" s="6"/>
      <c r="AF568" s="52">
        <f t="shared" si="40"/>
        <v>50266656</v>
      </c>
      <c r="AG568" s="25">
        <f t="shared" si="41"/>
        <v>58316960</v>
      </c>
      <c r="AH568" s="52">
        <f t="shared" si="44"/>
        <v>50296356</v>
      </c>
      <c r="AI568" s="6"/>
      <c r="AJ568" s="6"/>
      <c r="AK568" s="6"/>
      <c r="AL568" s="6"/>
      <c r="AM568" s="6"/>
      <c r="AN568" s="6"/>
      <c r="AO568" s="6"/>
      <c r="AP568" s="6"/>
      <c r="AQ568" s="6"/>
      <c r="AR568" s="6"/>
    </row>
    <row r="569" spans="1:44">
      <c r="A569" s="6"/>
      <c r="B569" s="6"/>
      <c r="C569" s="6"/>
      <c r="D569" s="6"/>
      <c r="E569" s="6"/>
      <c r="F569" s="6"/>
      <c r="G569" s="11"/>
      <c r="H569" s="6"/>
      <c r="I569" s="6"/>
      <c r="J569" s="6"/>
      <c r="K569" s="7"/>
      <c r="L569" s="21" t="str">
        <f>микс!$H$10</f>
        <v>продажа со склада</v>
      </c>
      <c r="M569" s="22"/>
      <c r="N569" s="22"/>
      <c r="O569" s="22" t="s">
        <v>144</v>
      </c>
      <c r="P569" s="23" t="str">
        <f>микс!$H$48</f>
        <v>Спортивный инвентарь</v>
      </c>
      <c r="Q569" s="21" t="s">
        <v>89</v>
      </c>
      <c r="R569" s="25">
        <v>1</v>
      </c>
      <c r="S569" s="28"/>
      <c r="T569" s="31">
        <v>42300</v>
      </c>
      <c r="U569" s="33">
        <v>594</v>
      </c>
      <c r="V569" s="36">
        <f t="shared" si="42"/>
        <v>594</v>
      </c>
      <c r="W569" s="28"/>
      <c r="X569" s="31">
        <v>42341</v>
      </c>
      <c r="Y569" s="33">
        <v>689</v>
      </c>
      <c r="Z569" s="189">
        <f t="shared" si="43"/>
        <v>689</v>
      </c>
      <c r="AA569" s="190"/>
      <c r="AB569" s="31"/>
      <c r="AC569" s="36"/>
      <c r="AD569" s="8"/>
      <c r="AE569" s="6"/>
      <c r="AF569" s="52">
        <f t="shared" si="40"/>
        <v>25126200</v>
      </c>
      <c r="AG569" s="25">
        <f t="shared" si="41"/>
        <v>29172949</v>
      </c>
      <c r="AH569" s="52">
        <f t="shared" si="44"/>
        <v>0</v>
      </c>
      <c r="AI569" s="6"/>
      <c r="AJ569" s="6"/>
      <c r="AK569" s="6"/>
      <c r="AL569" s="6"/>
      <c r="AM569" s="6"/>
      <c r="AN569" s="6"/>
      <c r="AO569" s="6"/>
      <c r="AP569" s="6"/>
      <c r="AQ569" s="6"/>
      <c r="AR569" s="6"/>
    </row>
    <row r="570" spans="1:44">
      <c r="A570" s="6"/>
      <c r="B570" s="6"/>
      <c r="C570" s="6"/>
      <c r="D570" s="6"/>
      <c r="E570" s="6"/>
      <c r="F570" s="6"/>
      <c r="G570" s="11"/>
      <c r="H570" s="6"/>
      <c r="I570" s="6"/>
      <c r="J570" s="6"/>
      <c r="K570" s="7"/>
      <c r="L570" s="21" t="str">
        <f>микс!$H$10</f>
        <v>продажа со склада</v>
      </c>
      <c r="M570" s="22"/>
      <c r="N570" s="22"/>
      <c r="O570" s="22" t="s">
        <v>144</v>
      </c>
      <c r="P570" s="23" t="str">
        <f>микс!$H$48</f>
        <v>Спортивный инвентарь</v>
      </c>
      <c r="Q570" s="21" t="s">
        <v>89</v>
      </c>
      <c r="R570" s="25">
        <v>2</v>
      </c>
      <c r="S570" s="28"/>
      <c r="T570" s="31">
        <v>42302</v>
      </c>
      <c r="U570" s="33">
        <v>594</v>
      </c>
      <c r="V570" s="36">
        <f t="shared" si="42"/>
        <v>1188</v>
      </c>
      <c r="W570" s="28"/>
      <c r="X570" s="31">
        <v>42344</v>
      </c>
      <c r="Y570" s="33">
        <v>689</v>
      </c>
      <c r="Z570" s="189">
        <f t="shared" si="43"/>
        <v>1378</v>
      </c>
      <c r="AA570" s="190"/>
      <c r="AB570" s="31">
        <v>42309</v>
      </c>
      <c r="AC570" s="36">
        <v>1188</v>
      </c>
      <c r="AD570" s="8"/>
      <c r="AE570" s="6"/>
      <c r="AF570" s="52">
        <f t="shared" si="40"/>
        <v>50254776</v>
      </c>
      <c r="AG570" s="25">
        <f t="shared" si="41"/>
        <v>58350032</v>
      </c>
      <c r="AH570" s="52">
        <f t="shared" si="44"/>
        <v>50263092</v>
      </c>
      <c r="AI570" s="6"/>
      <c r="AJ570" s="6"/>
      <c r="AK570" s="6"/>
      <c r="AL570" s="6"/>
      <c r="AM570" s="6"/>
      <c r="AN570" s="6"/>
      <c r="AO570" s="6"/>
      <c r="AP570" s="6"/>
      <c r="AQ570" s="6"/>
      <c r="AR570" s="6"/>
    </row>
    <row r="571" spans="1:44">
      <c r="A571" s="6"/>
      <c r="B571" s="6"/>
      <c r="C571" s="6"/>
      <c r="D571" s="6"/>
      <c r="E571" s="6"/>
      <c r="F571" s="6"/>
      <c r="G571" s="11"/>
      <c r="H571" s="6"/>
      <c r="I571" s="6"/>
      <c r="J571" s="6"/>
      <c r="K571" s="7"/>
      <c r="L571" s="21" t="str">
        <f>микс!$H$11</f>
        <v>продажа под заказ</v>
      </c>
      <c r="M571" s="22"/>
      <c r="N571" s="22"/>
      <c r="O571" s="22" t="s">
        <v>136</v>
      </c>
      <c r="P571" s="23" t="str">
        <f>микс!$H$48</f>
        <v>Спортивный инвентарь</v>
      </c>
      <c r="Q571" s="21" t="s">
        <v>89</v>
      </c>
      <c r="R571" s="25">
        <v>1</v>
      </c>
      <c r="S571" s="28"/>
      <c r="T571" s="31">
        <v>42309</v>
      </c>
      <c r="U571" s="33">
        <v>213.2</v>
      </c>
      <c r="V571" s="36">
        <f t="shared" si="42"/>
        <v>213.2</v>
      </c>
      <c r="W571" s="28"/>
      <c r="X571" s="31">
        <v>42315</v>
      </c>
      <c r="Y571" s="33">
        <v>380</v>
      </c>
      <c r="Z571" s="189">
        <f t="shared" si="43"/>
        <v>380</v>
      </c>
      <c r="AA571" s="190"/>
      <c r="AB571" s="31">
        <v>42331</v>
      </c>
      <c r="AC571" s="36">
        <v>213.2</v>
      </c>
      <c r="AD571" s="8"/>
      <c r="AE571" s="6"/>
      <c r="AF571" s="52">
        <f t="shared" si="40"/>
        <v>9020278.7999999989</v>
      </c>
      <c r="AG571" s="25">
        <f t="shared" si="41"/>
        <v>16079700</v>
      </c>
      <c r="AH571" s="52">
        <f t="shared" si="44"/>
        <v>9024969.1999999993</v>
      </c>
      <c r="AI571" s="6"/>
      <c r="AJ571" s="6"/>
      <c r="AK571" s="6"/>
      <c r="AL571" s="6"/>
      <c r="AM571" s="6"/>
      <c r="AN571" s="6"/>
      <c r="AO571" s="6"/>
      <c r="AP571" s="6"/>
      <c r="AQ571" s="6"/>
      <c r="AR571" s="6"/>
    </row>
    <row r="572" spans="1:44">
      <c r="A572" s="6"/>
      <c r="B572" s="6"/>
      <c r="C572" s="6"/>
      <c r="D572" s="6"/>
      <c r="E572" s="6"/>
      <c r="F572" s="6"/>
      <c r="G572" s="11"/>
      <c r="H572" s="6"/>
      <c r="I572" s="6"/>
      <c r="J572" s="6"/>
      <c r="K572" s="7"/>
      <c r="L572" s="21" t="str">
        <f>микс!$H$10</f>
        <v>продажа со склада</v>
      </c>
      <c r="M572" s="22"/>
      <c r="N572" s="22"/>
      <c r="O572" s="22" t="s">
        <v>136</v>
      </c>
      <c r="P572" s="23" t="str">
        <f>микс!$H$48</f>
        <v>Спортивный инвентарь</v>
      </c>
      <c r="Q572" s="21" t="s">
        <v>82</v>
      </c>
      <c r="R572" s="25">
        <v>1</v>
      </c>
      <c r="S572" s="28"/>
      <c r="T572" s="31">
        <v>41893</v>
      </c>
      <c r="U572" s="33">
        <v>518.4</v>
      </c>
      <c r="V572" s="36">
        <f t="shared" si="42"/>
        <v>518.4</v>
      </c>
      <c r="W572" s="28"/>
      <c r="X572" s="31">
        <v>42294</v>
      </c>
      <c r="Y572" s="33">
        <v>664</v>
      </c>
      <c r="Z572" s="189">
        <f t="shared" si="43"/>
        <v>664</v>
      </c>
      <c r="AA572" s="190"/>
      <c r="AB572" s="31"/>
      <c r="AC572" s="36"/>
      <c r="AD572" s="8"/>
      <c r="AE572" s="6"/>
      <c r="AF572" s="52">
        <f t="shared" si="40"/>
        <v>21717331.199999999</v>
      </c>
      <c r="AG572" s="25">
        <f t="shared" si="41"/>
        <v>28083216</v>
      </c>
      <c r="AH572" s="52">
        <f t="shared" si="44"/>
        <v>0</v>
      </c>
      <c r="AI572" s="6"/>
      <c r="AJ572" s="6"/>
      <c r="AK572" s="6"/>
      <c r="AL572" s="6"/>
      <c r="AM572" s="6"/>
      <c r="AN572" s="6"/>
      <c r="AO572" s="6"/>
      <c r="AP572" s="6"/>
      <c r="AQ572" s="6"/>
      <c r="AR572" s="6"/>
    </row>
    <row r="573" spans="1:44">
      <c r="A573" s="6"/>
      <c r="B573" s="6"/>
      <c r="C573" s="6"/>
      <c r="D573" s="6"/>
      <c r="E573" s="6"/>
      <c r="F573" s="6"/>
      <c r="G573" s="11"/>
      <c r="H573" s="6"/>
      <c r="I573" s="6"/>
      <c r="J573" s="6"/>
      <c r="K573" s="7"/>
      <c r="L573" s="21" t="str">
        <f>микс!$H$10</f>
        <v>продажа со склада</v>
      </c>
      <c r="M573" s="22"/>
      <c r="N573" s="22"/>
      <c r="O573" s="22" t="s">
        <v>136</v>
      </c>
      <c r="P573" s="23" t="str">
        <f>микс!$H$48</f>
        <v>Спортивный инвентарь</v>
      </c>
      <c r="Q573" s="21" t="s">
        <v>82</v>
      </c>
      <c r="R573" s="25">
        <v>1</v>
      </c>
      <c r="S573" s="28"/>
      <c r="T573" s="31">
        <v>42260</v>
      </c>
      <c r="U573" s="33">
        <v>518.4</v>
      </c>
      <c r="V573" s="36">
        <f t="shared" si="42"/>
        <v>518.4</v>
      </c>
      <c r="W573" s="28"/>
      <c r="X573" s="31">
        <v>42297</v>
      </c>
      <c r="Y573" s="33">
        <v>664</v>
      </c>
      <c r="Z573" s="189">
        <f t="shared" si="43"/>
        <v>664</v>
      </c>
      <c r="AA573" s="190"/>
      <c r="AB573" s="31">
        <v>42305</v>
      </c>
      <c r="AC573" s="36">
        <v>518.4</v>
      </c>
      <c r="AD573" s="8"/>
      <c r="AE573" s="6"/>
      <c r="AF573" s="52">
        <f t="shared" si="40"/>
        <v>21907584</v>
      </c>
      <c r="AG573" s="25">
        <f t="shared" si="41"/>
        <v>28085208</v>
      </c>
      <c r="AH573" s="52">
        <f t="shared" si="44"/>
        <v>21930912</v>
      </c>
      <c r="AI573" s="6"/>
      <c r="AJ573" s="6"/>
      <c r="AK573" s="6"/>
      <c r="AL573" s="6"/>
      <c r="AM573" s="6"/>
      <c r="AN573" s="6"/>
      <c r="AO573" s="6"/>
      <c r="AP573" s="6"/>
      <c r="AQ573" s="6"/>
      <c r="AR573" s="6"/>
    </row>
    <row r="574" spans="1:44">
      <c r="A574" s="6"/>
      <c r="B574" s="6"/>
      <c r="C574" s="6"/>
      <c r="D574" s="6"/>
      <c r="E574" s="6"/>
      <c r="F574" s="6"/>
      <c r="G574" s="11"/>
      <c r="H574" s="6"/>
      <c r="I574" s="6"/>
      <c r="J574" s="6"/>
      <c r="K574" s="7"/>
      <c r="L574" s="21" t="str">
        <f>микс!$H$10</f>
        <v>продажа со склада</v>
      </c>
      <c r="M574" s="22"/>
      <c r="N574" s="22"/>
      <c r="O574" s="22" t="s">
        <v>136</v>
      </c>
      <c r="P574" s="23" t="str">
        <f>микс!$H$48</f>
        <v>Спортивный инвентарь</v>
      </c>
      <c r="Q574" s="21" t="s">
        <v>82</v>
      </c>
      <c r="R574" s="25">
        <v>1</v>
      </c>
      <c r="S574" s="28"/>
      <c r="T574" s="31">
        <v>42268</v>
      </c>
      <c r="U574" s="33">
        <v>518.4</v>
      </c>
      <c r="V574" s="36">
        <f t="shared" si="42"/>
        <v>518.4</v>
      </c>
      <c r="W574" s="28"/>
      <c r="X574" s="31">
        <v>42305</v>
      </c>
      <c r="Y574" s="33">
        <v>664</v>
      </c>
      <c r="Z574" s="189">
        <f t="shared" si="43"/>
        <v>664</v>
      </c>
      <c r="AA574" s="190"/>
      <c r="AB574" s="31">
        <v>42306</v>
      </c>
      <c r="AC574" s="36">
        <v>518.4</v>
      </c>
      <c r="AD574" s="8"/>
      <c r="AE574" s="6"/>
      <c r="AF574" s="52">
        <f t="shared" si="40"/>
        <v>21911731.199999999</v>
      </c>
      <c r="AG574" s="25">
        <f t="shared" si="41"/>
        <v>28090520</v>
      </c>
      <c r="AH574" s="52">
        <f t="shared" si="44"/>
        <v>21931430.399999999</v>
      </c>
      <c r="AI574" s="6"/>
      <c r="AJ574" s="6"/>
      <c r="AK574" s="6"/>
      <c r="AL574" s="6"/>
      <c r="AM574" s="6"/>
      <c r="AN574" s="6"/>
      <c r="AO574" s="6"/>
      <c r="AP574" s="6"/>
      <c r="AQ574" s="6"/>
      <c r="AR574" s="6"/>
    </row>
    <row r="575" spans="1:44">
      <c r="A575" s="6"/>
      <c r="B575" s="6"/>
      <c r="C575" s="6"/>
      <c r="D575" s="6"/>
      <c r="E575" s="6"/>
      <c r="F575" s="6"/>
      <c r="G575" s="11"/>
      <c r="H575" s="6"/>
      <c r="I575" s="6"/>
      <c r="J575" s="6"/>
      <c r="K575" s="7"/>
      <c r="L575" s="21" t="str">
        <f>микс!$H$11</f>
        <v>продажа под заказ</v>
      </c>
      <c r="M575" s="22"/>
      <c r="N575" s="22"/>
      <c r="O575" s="22" t="s">
        <v>136</v>
      </c>
      <c r="P575" s="23" t="str">
        <f>микс!$H$48</f>
        <v>Спортивный инвентарь</v>
      </c>
      <c r="Q575" s="21" t="s">
        <v>99</v>
      </c>
      <c r="R575" s="25">
        <v>1</v>
      </c>
      <c r="S575" s="28"/>
      <c r="T575" s="31">
        <v>42308</v>
      </c>
      <c r="U575" s="33">
        <v>3225.6</v>
      </c>
      <c r="V575" s="36">
        <f t="shared" si="42"/>
        <v>3225.6</v>
      </c>
      <c r="W575" s="28"/>
      <c r="X575" s="31">
        <v>42322</v>
      </c>
      <c r="Y575" s="33">
        <v>3989</v>
      </c>
      <c r="Z575" s="189">
        <f t="shared" si="43"/>
        <v>3989</v>
      </c>
      <c r="AA575" s="190"/>
      <c r="AB575" s="31">
        <v>42320</v>
      </c>
      <c r="AC575" s="36">
        <v>3225.6</v>
      </c>
      <c r="AD575" s="8"/>
      <c r="AE575" s="6"/>
      <c r="AF575" s="52">
        <f t="shared" si="40"/>
        <v>136468684.79999998</v>
      </c>
      <c r="AG575" s="25">
        <f t="shared" si="41"/>
        <v>168822458</v>
      </c>
      <c r="AH575" s="52">
        <f t="shared" si="44"/>
        <v>136507392</v>
      </c>
      <c r="AI575" s="6"/>
      <c r="AJ575" s="6"/>
      <c r="AK575" s="6"/>
      <c r="AL575" s="6"/>
      <c r="AM575" s="6"/>
      <c r="AN575" s="6"/>
      <c r="AO575" s="6"/>
      <c r="AP575" s="6"/>
      <c r="AQ575" s="6"/>
      <c r="AR575" s="6"/>
    </row>
    <row r="576" spans="1:44">
      <c r="A576" s="6"/>
      <c r="B576" s="6"/>
      <c r="C576" s="6"/>
      <c r="D576" s="6"/>
      <c r="E576" s="6"/>
      <c r="F576" s="6"/>
      <c r="G576" s="11"/>
      <c r="H576" s="6"/>
      <c r="I576" s="6"/>
      <c r="J576" s="6"/>
      <c r="K576" s="7"/>
      <c r="L576" s="21" t="str">
        <f>микс!$H$11</f>
        <v>продажа под заказ</v>
      </c>
      <c r="M576" s="22"/>
      <c r="N576" s="22"/>
      <c r="O576" s="22" t="s">
        <v>136</v>
      </c>
      <c r="P576" s="23" t="str">
        <f>микс!$H$48</f>
        <v>Спортивный инвентарь</v>
      </c>
      <c r="Q576" s="21" t="s">
        <v>99</v>
      </c>
      <c r="R576" s="25">
        <v>1</v>
      </c>
      <c r="S576" s="28"/>
      <c r="T576" s="31">
        <v>42311</v>
      </c>
      <c r="U576" s="33">
        <v>4032</v>
      </c>
      <c r="V576" s="36">
        <f t="shared" si="42"/>
        <v>4032</v>
      </c>
      <c r="W576" s="28"/>
      <c r="X576" s="31">
        <v>42323</v>
      </c>
      <c r="Y576" s="33">
        <v>3989</v>
      </c>
      <c r="Z576" s="189">
        <f t="shared" si="43"/>
        <v>3989</v>
      </c>
      <c r="AA576" s="190"/>
      <c r="AB576" s="31"/>
      <c r="AC576" s="36"/>
      <c r="AD576" s="8"/>
      <c r="AE576" s="6"/>
      <c r="AF576" s="52">
        <f t="shared" si="40"/>
        <v>170597952</v>
      </c>
      <c r="AG576" s="25">
        <f t="shared" si="41"/>
        <v>168826447</v>
      </c>
      <c r="AH576" s="52">
        <f t="shared" si="44"/>
        <v>0</v>
      </c>
      <c r="AI576" s="6"/>
      <c r="AJ576" s="6"/>
      <c r="AK576" s="6"/>
      <c r="AL576" s="6"/>
      <c r="AM576" s="6"/>
      <c r="AN576" s="6"/>
      <c r="AO576" s="6"/>
      <c r="AP576" s="6"/>
      <c r="AQ576" s="6"/>
      <c r="AR576" s="6"/>
    </row>
    <row r="577" spans="1:44">
      <c r="A577" s="6"/>
      <c r="B577" s="6"/>
      <c r="C577" s="6"/>
      <c r="D577" s="6"/>
      <c r="E577" s="6"/>
      <c r="F577" s="6"/>
      <c r="G577" s="11"/>
      <c r="H577" s="6"/>
      <c r="I577" s="6"/>
      <c r="J577" s="6"/>
      <c r="K577" s="7"/>
      <c r="L577" s="21" t="str">
        <f>микс!$H$11</f>
        <v>продажа под заказ</v>
      </c>
      <c r="M577" s="22"/>
      <c r="N577" s="22"/>
      <c r="O577" s="22" t="s">
        <v>136</v>
      </c>
      <c r="P577" s="23" t="str">
        <f>микс!$H$48</f>
        <v>Спортивный инвентарь</v>
      </c>
      <c r="Q577" s="21" t="s">
        <v>99</v>
      </c>
      <c r="R577" s="25">
        <v>1</v>
      </c>
      <c r="S577" s="28"/>
      <c r="T577" s="31">
        <v>42338</v>
      </c>
      <c r="U577" s="33">
        <v>4032</v>
      </c>
      <c r="V577" s="36">
        <f t="shared" si="42"/>
        <v>4032</v>
      </c>
      <c r="W577" s="28"/>
      <c r="X577" s="31">
        <v>42349</v>
      </c>
      <c r="Y577" s="33">
        <v>4249</v>
      </c>
      <c r="Z577" s="189">
        <f t="shared" si="43"/>
        <v>4249</v>
      </c>
      <c r="AA577" s="190"/>
      <c r="AB577" s="31">
        <v>42358</v>
      </c>
      <c r="AC577" s="36">
        <v>4032</v>
      </c>
      <c r="AD577" s="8"/>
      <c r="AE577" s="6"/>
      <c r="AF577" s="52">
        <f t="shared" si="40"/>
        <v>170706816</v>
      </c>
      <c r="AG577" s="25">
        <f t="shared" si="41"/>
        <v>179940901</v>
      </c>
      <c r="AH577" s="52">
        <f t="shared" si="44"/>
        <v>170787456</v>
      </c>
      <c r="AI577" s="6"/>
      <c r="AJ577" s="6"/>
      <c r="AK577" s="6"/>
      <c r="AL577" s="6"/>
      <c r="AM577" s="6"/>
      <c r="AN577" s="6"/>
      <c r="AO577" s="6"/>
      <c r="AP577" s="6"/>
      <c r="AQ577" s="6"/>
      <c r="AR577" s="6"/>
    </row>
    <row r="578" spans="1:44">
      <c r="A578" s="6"/>
      <c r="B578" s="6"/>
      <c r="C578" s="6"/>
      <c r="D578" s="6"/>
      <c r="E578" s="6"/>
      <c r="F578" s="6"/>
      <c r="G578" s="11"/>
      <c r="H578" s="6"/>
      <c r="I578" s="6"/>
      <c r="J578" s="6"/>
      <c r="K578" s="7"/>
      <c r="L578" s="21" t="str">
        <f>микс!$H$10</f>
        <v>продажа со склада</v>
      </c>
      <c r="M578" s="22"/>
      <c r="N578" s="22"/>
      <c r="O578" s="22" t="s">
        <v>138</v>
      </c>
      <c r="P578" s="23" t="str">
        <f>микс!$H$49</f>
        <v>Товары для детей</v>
      </c>
      <c r="Q578" s="21" t="s">
        <v>73</v>
      </c>
      <c r="R578" s="25">
        <v>1</v>
      </c>
      <c r="S578" s="28"/>
      <c r="T578" s="31">
        <v>42265</v>
      </c>
      <c r="U578" s="33">
        <v>3871.65</v>
      </c>
      <c r="V578" s="36">
        <f t="shared" si="42"/>
        <v>3871.65</v>
      </c>
      <c r="W578" s="28"/>
      <c r="X578" s="31">
        <v>42301</v>
      </c>
      <c r="Y578" s="33">
        <v>5130</v>
      </c>
      <c r="Z578" s="189">
        <f t="shared" si="43"/>
        <v>5130</v>
      </c>
      <c r="AA578" s="190"/>
      <c r="AB578" s="31"/>
      <c r="AC578" s="36"/>
      <c r="AD578" s="8"/>
      <c r="AE578" s="6"/>
      <c r="AF578" s="52">
        <f t="shared" si="40"/>
        <v>163635287.25</v>
      </c>
      <c r="AG578" s="25">
        <f t="shared" si="41"/>
        <v>217004130</v>
      </c>
      <c r="AH578" s="52">
        <f t="shared" si="44"/>
        <v>0</v>
      </c>
      <c r="AI578" s="6"/>
      <c r="AJ578" s="6"/>
      <c r="AK578" s="6"/>
      <c r="AL578" s="6"/>
      <c r="AM578" s="6"/>
      <c r="AN578" s="6"/>
      <c r="AO578" s="6"/>
      <c r="AP578" s="6"/>
      <c r="AQ578" s="6"/>
      <c r="AR578" s="6"/>
    </row>
    <row r="579" spans="1:44">
      <c r="A579" s="6"/>
      <c r="B579" s="6"/>
      <c r="C579" s="6"/>
      <c r="D579" s="6"/>
      <c r="E579" s="6"/>
      <c r="F579" s="6"/>
      <c r="G579" s="11"/>
      <c r="H579" s="6"/>
      <c r="I579" s="6"/>
      <c r="J579" s="6"/>
      <c r="K579" s="7"/>
      <c r="L579" s="21" t="str">
        <f>микс!$H$10</f>
        <v>продажа со склада</v>
      </c>
      <c r="M579" s="22"/>
      <c r="N579" s="22"/>
      <c r="O579" s="22" t="s">
        <v>138</v>
      </c>
      <c r="P579" s="23" t="str">
        <f>микс!$H$49</f>
        <v>Товары для детей</v>
      </c>
      <c r="Q579" s="21" t="s">
        <v>60</v>
      </c>
      <c r="R579" s="25">
        <v>1</v>
      </c>
      <c r="S579" s="28"/>
      <c r="T579" s="31">
        <v>42301</v>
      </c>
      <c r="U579" s="33">
        <v>1749.88</v>
      </c>
      <c r="V579" s="36">
        <f t="shared" si="42"/>
        <v>1749.88</v>
      </c>
      <c r="W579" s="28"/>
      <c r="X579" s="31">
        <v>42341</v>
      </c>
      <c r="Y579" s="33">
        <v>2120</v>
      </c>
      <c r="Z579" s="189">
        <f t="shared" si="43"/>
        <v>2120</v>
      </c>
      <c r="AA579" s="190"/>
      <c r="AB579" s="31">
        <v>42331</v>
      </c>
      <c r="AC579" s="36">
        <v>1749.88</v>
      </c>
      <c r="AD579" s="8"/>
      <c r="AE579" s="6"/>
      <c r="AF579" s="52">
        <f t="shared" si="40"/>
        <v>74021673.88000001</v>
      </c>
      <c r="AG579" s="25">
        <f t="shared" si="41"/>
        <v>89762920</v>
      </c>
      <c r="AH579" s="52">
        <f t="shared" si="44"/>
        <v>74074170.280000001</v>
      </c>
      <c r="AI579" s="6"/>
      <c r="AJ579" s="6"/>
      <c r="AK579" s="6"/>
      <c r="AL579" s="6"/>
      <c r="AM579" s="6"/>
      <c r="AN579" s="6"/>
      <c r="AO579" s="6"/>
      <c r="AP579" s="6"/>
      <c r="AQ579" s="6"/>
      <c r="AR579" s="6"/>
    </row>
    <row r="580" spans="1:44">
      <c r="A580" s="6"/>
      <c r="B580" s="6"/>
      <c r="C580" s="6"/>
      <c r="D580" s="6"/>
      <c r="E580" s="6"/>
      <c r="F580" s="6"/>
      <c r="G580" s="11"/>
      <c r="H580" s="6"/>
      <c r="I580" s="6"/>
      <c r="J580" s="6"/>
      <c r="K580" s="7"/>
      <c r="L580" s="21" t="str">
        <f>микс!$H$11</f>
        <v>продажа под заказ</v>
      </c>
      <c r="M580" s="22"/>
      <c r="N580" s="22"/>
      <c r="O580" s="22" t="s">
        <v>138</v>
      </c>
      <c r="P580" s="23" t="str">
        <f>микс!$H$49</f>
        <v>Товары для детей</v>
      </c>
      <c r="Q580" s="21" t="s">
        <v>92</v>
      </c>
      <c r="R580" s="25">
        <v>1</v>
      </c>
      <c r="S580" s="28"/>
      <c r="T580" s="31">
        <v>42336</v>
      </c>
      <c r="U580" s="33">
        <v>1048</v>
      </c>
      <c r="V580" s="36">
        <f t="shared" si="42"/>
        <v>1048</v>
      </c>
      <c r="W580" s="28"/>
      <c r="X580" s="31">
        <v>42342</v>
      </c>
      <c r="Y580" s="33">
        <v>1274</v>
      </c>
      <c r="Z580" s="189">
        <f t="shared" si="43"/>
        <v>1274</v>
      </c>
      <c r="AA580" s="190"/>
      <c r="AB580" s="31"/>
      <c r="AC580" s="36"/>
      <c r="AD580" s="8"/>
      <c r="AE580" s="6"/>
      <c r="AF580" s="52">
        <f t="shared" si="40"/>
        <v>44368128</v>
      </c>
      <c r="AG580" s="25">
        <f t="shared" si="41"/>
        <v>53943708</v>
      </c>
      <c r="AH580" s="52">
        <f t="shared" si="44"/>
        <v>0</v>
      </c>
      <c r="AI580" s="6"/>
      <c r="AJ580" s="6"/>
      <c r="AK580" s="6"/>
      <c r="AL580" s="6"/>
      <c r="AM580" s="6"/>
      <c r="AN580" s="6"/>
      <c r="AO580" s="6"/>
      <c r="AP580" s="6"/>
      <c r="AQ580" s="6"/>
      <c r="AR580" s="6"/>
    </row>
    <row r="581" spans="1:44">
      <c r="A581" s="6"/>
      <c r="B581" s="6"/>
      <c r="C581" s="6"/>
      <c r="D581" s="6"/>
      <c r="E581" s="6"/>
      <c r="F581" s="6"/>
      <c r="G581" s="11"/>
      <c r="H581" s="6"/>
      <c r="I581" s="6"/>
      <c r="J581" s="6"/>
      <c r="K581" s="7"/>
      <c r="L581" s="21" t="str">
        <f>микс!$H$11</f>
        <v>продажа под заказ</v>
      </c>
      <c r="M581" s="22"/>
      <c r="N581" s="22"/>
      <c r="O581" s="22" t="s">
        <v>135</v>
      </c>
      <c r="P581" s="23" t="str">
        <f>микс!$H$49</f>
        <v>Товары для детей</v>
      </c>
      <c r="Q581" s="21" t="s">
        <v>92</v>
      </c>
      <c r="R581" s="25">
        <v>1</v>
      </c>
      <c r="S581" s="28"/>
      <c r="T581" s="31">
        <v>42337</v>
      </c>
      <c r="U581" s="33">
        <v>1691.54</v>
      </c>
      <c r="V581" s="36">
        <f t="shared" si="42"/>
        <v>1691.54</v>
      </c>
      <c r="W581" s="28"/>
      <c r="X581" s="31">
        <v>42341</v>
      </c>
      <c r="Y581" s="33">
        <v>2161</v>
      </c>
      <c r="Z581" s="189">
        <f t="shared" si="43"/>
        <v>2161</v>
      </c>
      <c r="AA581" s="190"/>
      <c r="AB581" s="31"/>
      <c r="AC581" s="36"/>
      <c r="AD581" s="8"/>
      <c r="AE581" s="6"/>
      <c r="AF581" s="52">
        <f t="shared" si="40"/>
        <v>71614728.980000004</v>
      </c>
      <c r="AG581" s="25">
        <f t="shared" si="41"/>
        <v>91498901</v>
      </c>
      <c r="AH581" s="52">
        <f t="shared" si="44"/>
        <v>0</v>
      </c>
      <c r="AI581" s="6"/>
      <c r="AJ581" s="6"/>
      <c r="AK581" s="6"/>
      <c r="AL581" s="6"/>
      <c r="AM581" s="6"/>
      <c r="AN581" s="6"/>
      <c r="AO581" s="6"/>
      <c r="AP581" s="6"/>
      <c r="AQ581" s="6"/>
      <c r="AR581" s="6"/>
    </row>
    <row r="582" spans="1:44">
      <c r="A582" s="6"/>
      <c r="B582" s="6"/>
      <c r="C582" s="6"/>
      <c r="D582" s="6"/>
      <c r="E582" s="6"/>
      <c r="F582" s="6"/>
      <c r="G582" s="11"/>
      <c r="H582" s="6"/>
      <c r="I582" s="6"/>
      <c r="J582" s="6"/>
      <c r="K582" s="7"/>
      <c r="L582" s="21" t="str">
        <f>микс!$H$11</f>
        <v>продажа под заказ</v>
      </c>
      <c r="M582" s="22"/>
      <c r="N582" s="22"/>
      <c r="O582" s="22" t="s">
        <v>134</v>
      </c>
      <c r="P582" s="23" t="str">
        <f>микс!$H$49</f>
        <v>Товары для детей</v>
      </c>
      <c r="Q582" s="21" t="s">
        <v>59</v>
      </c>
      <c r="R582" s="25">
        <v>1</v>
      </c>
      <c r="S582" s="28"/>
      <c r="T582" s="31">
        <v>42329</v>
      </c>
      <c r="U582" s="33">
        <v>3799.6</v>
      </c>
      <c r="V582" s="36">
        <f t="shared" si="42"/>
        <v>3799.6</v>
      </c>
      <c r="W582" s="28"/>
      <c r="X582" s="31">
        <v>42334</v>
      </c>
      <c r="Y582" s="33">
        <v>4228</v>
      </c>
      <c r="Z582" s="189">
        <f t="shared" si="43"/>
        <v>4228</v>
      </c>
      <c r="AA582" s="190"/>
      <c r="AB582" s="31"/>
      <c r="AC582" s="36"/>
      <c r="AD582" s="8"/>
      <c r="AE582" s="6"/>
      <c r="AF582" s="52">
        <f t="shared" si="40"/>
        <v>160833268.40000001</v>
      </c>
      <c r="AG582" s="25">
        <f t="shared" si="41"/>
        <v>178988152</v>
      </c>
      <c r="AH582" s="52">
        <f t="shared" si="44"/>
        <v>0</v>
      </c>
      <c r="AI582" s="6"/>
      <c r="AJ582" s="6"/>
      <c r="AK582" s="6"/>
      <c r="AL582" s="6"/>
      <c r="AM582" s="6"/>
      <c r="AN582" s="6"/>
      <c r="AO582" s="6"/>
      <c r="AP582" s="6"/>
      <c r="AQ582" s="6"/>
      <c r="AR582" s="6"/>
    </row>
    <row r="583" spans="1:44">
      <c r="A583" s="6"/>
      <c r="B583" s="6"/>
      <c r="C583" s="6"/>
      <c r="D583" s="6"/>
      <c r="E583" s="6"/>
      <c r="F583" s="6"/>
      <c r="G583" s="11"/>
      <c r="H583" s="6"/>
      <c r="I583" s="6"/>
      <c r="J583" s="6"/>
      <c r="K583" s="7"/>
      <c r="L583" s="21" t="str">
        <f>микс!$H$11</f>
        <v>продажа под заказ</v>
      </c>
      <c r="M583" s="22"/>
      <c r="N583" s="22"/>
      <c r="O583" s="22" t="s">
        <v>134</v>
      </c>
      <c r="P583" s="23" t="str">
        <f>микс!$H$49</f>
        <v>Товары для детей</v>
      </c>
      <c r="Q583" s="21" t="s">
        <v>59</v>
      </c>
      <c r="R583" s="25">
        <v>1</v>
      </c>
      <c r="S583" s="28"/>
      <c r="T583" s="31">
        <v>42303</v>
      </c>
      <c r="U583" s="33">
        <v>3638</v>
      </c>
      <c r="V583" s="36">
        <f t="shared" si="42"/>
        <v>3638</v>
      </c>
      <c r="W583" s="28"/>
      <c r="X583" s="31">
        <v>42313</v>
      </c>
      <c r="Y583" s="33">
        <v>4155</v>
      </c>
      <c r="Z583" s="189">
        <f t="shared" si="43"/>
        <v>4155</v>
      </c>
      <c r="AA583" s="190"/>
      <c r="AB583" s="31">
        <v>42363</v>
      </c>
      <c r="AC583" s="36">
        <v>3638</v>
      </c>
      <c r="AD583" s="8"/>
      <c r="AE583" s="6"/>
      <c r="AF583" s="52">
        <f t="shared" si="40"/>
        <v>153898314</v>
      </c>
      <c r="AG583" s="25">
        <f t="shared" si="41"/>
        <v>175810515</v>
      </c>
      <c r="AH583" s="52">
        <f t="shared" si="44"/>
        <v>154116594</v>
      </c>
      <c r="AI583" s="6"/>
      <c r="AJ583" s="6"/>
      <c r="AK583" s="6"/>
      <c r="AL583" s="6"/>
      <c r="AM583" s="6"/>
      <c r="AN583" s="6"/>
      <c r="AO583" s="6"/>
      <c r="AP583" s="6"/>
      <c r="AQ583" s="6"/>
      <c r="AR583" s="6"/>
    </row>
    <row r="584" spans="1:44">
      <c r="A584" s="6"/>
      <c r="B584" s="6"/>
      <c r="C584" s="6"/>
      <c r="D584" s="6"/>
      <c r="E584" s="6"/>
      <c r="F584" s="6"/>
      <c r="G584" s="11"/>
      <c r="H584" s="6"/>
      <c r="I584" s="6"/>
      <c r="J584" s="6"/>
      <c r="K584" s="7"/>
      <c r="L584" s="21" t="str">
        <f>микс!$H$10</f>
        <v>продажа со склада</v>
      </c>
      <c r="M584" s="22"/>
      <c r="N584" s="22"/>
      <c r="O584" s="22" t="s">
        <v>137</v>
      </c>
      <c r="P584" s="23" t="str">
        <f>микс!$H$46</f>
        <v>Электроника и бытовая техника</v>
      </c>
      <c r="Q584" s="21" t="s">
        <v>100</v>
      </c>
      <c r="R584" s="25">
        <v>1</v>
      </c>
      <c r="S584" s="28"/>
      <c r="T584" s="31">
        <v>42136</v>
      </c>
      <c r="U584" s="33">
        <v>1045</v>
      </c>
      <c r="V584" s="36">
        <f t="shared" si="42"/>
        <v>1045</v>
      </c>
      <c r="W584" s="28"/>
      <c r="X584" s="31">
        <v>42294</v>
      </c>
      <c r="Y584" s="33">
        <v>697</v>
      </c>
      <c r="Z584" s="189">
        <f t="shared" si="43"/>
        <v>697</v>
      </c>
      <c r="AA584" s="190"/>
      <c r="AB584" s="31">
        <v>42166</v>
      </c>
      <c r="AC584" s="36">
        <v>1045</v>
      </c>
      <c r="AD584" s="8"/>
      <c r="AE584" s="6"/>
      <c r="AF584" s="52">
        <f t="shared" si="40"/>
        <v>44032120</v>
      </c>
      <c r="AG584" s="25">
        <f t="shared" si="41"/>
        <v>29478918</v>
      </c>
      <c r="AH584" s="52">
        <f t="shared" si="44"/>
        <v>44063470</v>
      </c>
      <c r="AI584" s="6"/>
      <c r="AJ584" s="6"/>
      <c r="AK584" s="6"/>
      <c r="AL584" s="6"/>
      <c r="AM584" s="6"/>
      <c r="AN584" s="6"/>
      <c r="AO584" s="6"/>
      <c r="AP584" s="6"/>
      <c r="AQ584" s="6"/>
      <c r="AR584" s="6"/>
    </row>
    <row r="585" spans="1:44">
      <c r="A585" s="6"/>
      <c r="B585" s="6"/>
      <c r="C585" s="6"/>
      <c r="D585" s="6"/>
      <c r="E585" s="6"/>
      <c r="F585" s="6"/>
      <c r="G585" s="11"/>
      <c r="H585" s="6"/>
      <c r="I585" s="6"/>
      <c r="J585" s="6"/>
      <c r="K585" s="7"/>
      <c r="L585" s="21" t="str">
        <f>микс!$H$11</f>
        <v>продажа под заказ</v>
      </c>
      <c r="M585" s="22"/>
      <c r="N585" s="22"/>
      <c r="O585" s="22" t="s">
        <v>146</v>
      </c>
      <c r="P585" s="23" t="str">
        <f>микс!$H$49</f>
        <v>Товары для детей</v>
      </c>
      <c r="Q585" s="21" t="s">
        <v>133</v>
      </c>
      <c r="R585" s="25">
        <v>1</v>
      </c>
      <c r="S585" s="28"/>
      <c r="T585" s="31">
        <v>42330</v>
      </c>
      <c r="U585" s="33">
        <v>699.2</v>
      </c>
      <c r="V585" s="36">
        <f t="shared" si="42"/>
        <v>699.2</v>
      </c>
      <c r="W585" s="28"/>
      <c r="X585" s="31">
        <v>42335</v>
      </c>
      <c r="Y585" s="33">
        <v>1040</v>
      </c>
      <c r="Z585" s="189">
        <f t="shared" si="43"/>
        <v>1040</v>
      </c>
      <c r="AA585" s="190"/>
      <c r="AB585" s="31">
        <v>42350</v>
      </c>
      <c r="AC585" s="36">
        <v>699.2</v>
      </c>
      <c r="AD585" s="8"/>
      <c r="AE585" s="6"/>
      <c r="AF585" s="52">
        <f t="shared" ref="AF585:AF648" si="45">T585*V585</f>
        <v>29597136.000000004</v>
      </c>
      <c r="AG585" s="25">
        <f t="shared" ref="AG585:AG648" si="46">X585*Z585</f>
        <v>44028400</v>
      </c>
      <c r="AH585" s="52">
        <f t="shared" si="44"/>
        <v>29611120.000000004</v>
      </c>
      <c r="AI585" s="6"/>
      <c r="AJ585" s="6"/>
      <c r="AK585" s="6"/>
      <c r="AL585" s="6"/>
      <c r="AM585" s="6"/>
      <c r="AN585" s="6"/>
      <c r="AO585" s="6"/>
      <c r="AP585" s="6"/>
      <c r="AQ585" s="6"/>
      <c r="AR585" s="6"/>
    </row>
    <row r="586" spans="1:44">
      <c r="A586" s="6"/>
      <c r="B586" s="6"/>
      <c r="C586" s="6"/>
      <c r="D586" s="6"/>
      <c r="E586" s="6"/>
      <c r="F586" s="6"/>
      <c r="G586" s="11"/>
      <c r="H586" s="6"/>
      <c r="I586" s="6"/>
      <c r="J586" s="6"/>
      <c r="K586" s="7"/>
      <c r="L586" s="21" t="str">
        <f>микс!$H$11</f>
        <v>продажа под заказ</v>
      </c>
      <c r="M586" s="22"/>
      <c r="N586" s="22"/>
      <c r="O586" s="22" t="s">
        <v>146</v>
      </c>
      <c r="P586" s="23" t="str">
        <f>микс!$H$49</f>
        <v>Товары для детей</v>
      </c>
      <c r="Q586" s="21" t="s">
        <v>133</v>
      </c>
      <c r="R586" s="25">
        <v>1</v>
      </c>
      <c r="S586" s="28"/>
      <c r="T586" s="31">
        <v>42336</v>
      </c>
      <c r="U586" s="33">
        <v>1490</v>
      </c>
      <c r="V586" s="36">
        <f t="shared" ref="V586:V649" si="47">$R586*U586</f>
        <v>1490</v>
      </c>
      <c r="W586" s="28"/>
      <c r="X586" s="31">
        <v>42347</v>
      </c>
      <c r="Y586" s="33">
        <v>2296</v>
      </c>
      <c r="Z586" s="189">
        <f t="shared" ref="Z586:Z649" si="48">$R586*Y586</f>
        <v>2296</v>
      </c>
      <c r="AA586" s="190"/>
      <c r="AB586" s="31">
        <v>42346</v>
      </c>
      <c r="AC586" s="36">
        <v>1490</v>
      </c>
      <c r="AD586" s="8"/>
      <c r="AE586" s="6"/>
      <c r="AF586" s="52">
        <f t="shared" si="45"/>
        <v>63080640</v>
      </c>
      <c r="AG586" s="25">
        <f t="shared" si="46"/>
        <v>97228712</v>
      </c>
      <c r="AH586" s="52">
        <f t="shared" ref="AH586:AH649" si="49">AB586*AC586</f>
        <v>63095540</v>
      </c>
      <c r="AI586" s="6"/>
      <c r="AJ586" s="6"/>
      <c r="AK586" s="6"/>
      <c r="AL586" s="6"/>
      <c r="AM586" s="6"/>
      <c r="AN586" s="6"/>
      <c r="AO586" s="6"/>
      <c r="AP586" s="6"/>
      <c r="AQ586" s="6"/>
      <c r="AR586" s="6"/>
    </row>
    <row r="587" spans="1:44">
      <c r="A587" s="6"/>
      <c r="B587" s="6"/>
      <c r="C587" s="6"/>
      <c r="D587" s="6"/>
      <c r="E587" s="6"/>
      <c r="F587" s="6"/>
      <c r="G587" s="11"/>
      <c r="H587" s="6"/>
      <c r="I587" s="6"/>
      <c r="J587" s="6"/>
      <c r="K587" s="7"/>
      <c r="L587" s="21" t="str">
        <f>микс!$H$11</f>
        <v>продажа под заказ</v>
      </c>
      <c r="M587" s="22"/>
      <c r="N587" s="22"/>
      <c r="O587" s="22" t="s">
        <v>134</v>
      </c>
      <c r="P587" s="23" t="str">
        <f>микс!$H$49</f>
        <v>Товары для детей</v>
      </c>
      <c r="Q587" s="21" t="s">
        <v>63</v>
      </c>
      <c r="R587" s="25">
        <v>1</v>
      </c>
      <c r="S587" s="28"/>
      <c r="T587" s="31">
        <v>42332</v>
      </c>
      <c r="U587" s="33">
        <v>3482</v>
      </c>
      <c r="V587" s="36">
        <f t="shared" si="47"/>
        <v>3482</v>
      </c>
      <c r="W587" s="28"/>
      <c r="X587" s="31">
        <v>42336</v>
      </c>
      <c r="Y587" s="33">
        <v>3665</v>
      </c>
      <c r="Z587" s="189">
        <f t="shared" si="48"/>
        <v>3665</v>
      </c>
      <c r="AA587" s="190"/>
      <c r="AB587" s="31"/>
      <c r="AC587" s="36"/>
      <c r="AD587" s="8"/>
      <c r="AE587" s="6"/>
      <c r="AF587" s="52">
        <f t="shared" si="45"/>
        <v>147400024</v>
      </c>
      <c r="AG587" s="25">
        <f t="shared" si="46"/>
        <v>155161440</v>
      </c>
      <c r="AH587" s="52">
        <f t="shared" si="49"/>
        <v>0</v>
      </c>
      <c r="AI587" s="6"/>
      <c r="AJ587" s="6"/>
      <c r="AK587" s="6"/>
      <c r="AL587" s="6"/>
      <c r="AM587" s="6"/>
      <c r="AN587" s="6"/>
      <c r="AO587" s="6"/>
      <c r="AP587" s="6"/>
      <c r="AQ587" s="6"/>
      <c r="AR587" s="6"/>
    </row>
    <row r="588" spans="1:44">
      <c r="A588" s="6"/>
      <c r="B588" s="6"/>
      <c r="C588" s="6"/>
      <c r="D588" s="6"/>
      <c r="E588" s="6"/>
      <c r="F588" s="6"/>
      <c r="G588" s="11"/>
      <c r="H588" s="6"/>
      <c r="I588" s="6"/>
      <c r="J588" s="6"/>
      <c r="K588" s="7"/>
      <c r="L588" s="21" t="str">
        <f>микс!$H$11</f>
        <v>продажа под заказ</v>
      </c>
      <c r="M588" s="22"/>
      <c r="N588" s="22"/>
      <c r="O588" s="22" t="s">
        <v>134</v>
      </c>
      <c r="P588" s="23" t="str">
        <f>микс!$H$49</f>
        <v>Товары для детей</v>
      </c>
      <c r="Q588" s="21" t="s">
        <v>63</v>
      </c>
      <c r="R588" s="25">
        <v>1</v>
      </c>
      <c r="S588" s="28"/>
      <c r="T588" s="31">
        <v>42312</v>
      </c>
      <c r="U588" s="33">
        <v>3870</v>
      </c>
      <c r="V588" s="36">
        <f t="shared" si="47"/>
        <v>3870</v>
      </c>
      <c r="W588" s="28"/>
      <c r="X588" s="31">
        <v>42316</v>
      </c>
      <c r="Y588" s="33">
        <v>4050</v>
      </c>
      <c r="Z588" s="189">
        <f t="shared" si="48"/>
        <v>4050</v>
      </c>
      <c r="AA588" s="190"/>
      <c r="AB588" s="31">
        <v>42342</v>
      </c>
      <c r="AC588" s="36">
        <v>3870</v>
      </c>
      <c r="AD588" s="8"/>
      <c r="AE588" s="6"/>
      <c r="AF588" s="52">
        <f t="shared" si="45"/>
        <v>163747440</v>
      </c>
      <c r="AG588" s="25">
        <f t="shared" si="46"/>
        <v>171379800</v>
      </c>
      <c r="AH588" s="52">
        <f t="shared" si="49"/>
        <v>163863540</v>
      </c>
      <c r="AI588" s="6"/>
      <c r="AJ588" s="6"/>
      <c r="AK588" s="6"/>
      <c r="AL588" s="6"/>
      <c r="AM588" s="6"/>
      <c r="AN588" s="6"/>
      <c r="AO588" s="6"/>
      <c r="AP588" s="6"/>
      <c r="AQ588" s="6"/>
      <c r="AR588" s="6"/>
    </row>
    <row r="589" spans="1:44">
      <c r="A589" s="6"/>
      <c r="B589" s="6"/>
      <c r="C589" s="6"/>
      <c r="D589" s="6"/>
      <c r="E589" s="6"/>
      <c r="F589" s="6"/>
      <c r="G589" s="11"/>
      <c r="H589" s="6"/>
      <c r="I589" s="6"/>
      <c r="J589" s="6"/>
      <c r="K589" s="7"/>
      <c r="L589" s="21" t="str">
        <f>микс!$H$11</f>
        <v>продажа под заказ</v>
      </c>
      <c r="M589" s="22"/>
      <c r="N589" s="22"/>
      <c r="O589" s="22" t="s">
        <v>134</v>
      </c>
      <c r="P589" s="23" t="str">
        <f>микс!$H$49</f>
        <v>Товары для детей</v>
      </c>
      <c r="Q589" s="21" t="s">
        <v>61</v>
      </c>
      <c r="R589" s="25">
        <v>1</v>
      </c>
      <c r="S589" s="28"/>
      <c r="T589" s="31">
        <v>42334</v>
      </c>
      <c r="U589" s="33">
        <v>4258</v>
      </c>
      <c r="V589" s="36">
        <f t="shared" si="47"/>
        <v>4258</v>
      </c>
      <c r="W589" s="28"/>
      <c r="X589" s="31">
        <v>42345</v>
      </c>
      <c r="Y589" s="33">
        <v>4609</v>
      </c>
      <c r="Z589" s="189">
        <f t="shared" si="48"/>
        <v>4609</v>
      </c>
      <c r="AA589" s="190"/>
      <c r="AB589" s="31">
        <v>42355</v>
      </c>
      <c r="AC589" s="36">
        <v>4258</v>
      </c>
      <c r="AD589" s="8"/>
      <c r="AE589" s="6"/>
      <c r="AF589" s="52">
        <f t="shared" si="45"/>
        <v>180258172</v>
      </c>
      <c r="AG589" s="25">
        <f t="shared" si="46"/>
        <v>195168105</v>
      </c>
      <c r="AH589" s="52">
        <f t="shared" si="49"/>
        <v>180347590</v>
      </c>
      <c r="AI589" s="6"/>
      <c r="AJ589" s="6"/>
      <c r="AK589" s="6"/>
      <c r="AL589" s="6"/>
      <c r="AM589" s="6"/>
      <c r="AN589" s="6"/>
      <c r="AO589" s="6"/>
      <c r="AP589" s="6"/>
      <c r="AQ589" s="6"/>
      <c r="AR589" s="6"/>
    </row>
    <row r="590" spans="1:44">
      <c r="A590" s="6"/>
      <c r="B590" s="6"/>
      <c r="C590" s="6"/>
      <c r="D590" s="6"/>
      <c r="E590" s="6"/>
      <c r="F590" s="6"/>
      <c r="G590" s="11"/>
      <c r="H590" s="6"/>
      <c r="I590" s="6"/>
      <c r="J590" s="6"/>
      <c r="K590" s="7"/>
      <c r="L590" s="21" t="str">
        <f>микс!$H$11</f>
        <v>продажа под заказ</v>
      </c>
      <c r="M590" s="22"/>
      <c r="N590" s="22"/>
      <c r="O590" s="22" t="s">
        <v>134</v>
      </c>
      <c r="P590" s="23" t="str">
        <f>микс!$H$49</f>
        <v>Товары для детей</v>
      </c>
      <c r="Q590" s="21" t="s">
        <v>61</v>
      </c>
      <c r="R590" s="25">
        <v>1</v>
      </c>
      <c r="S590" s="28"/>
      <c r="T590" s="31">
        <v>42335</v>
      </c>
      <c r="U590" s="33">
        <v>4258</v>
      </c>
      <c r="V590" s="36">
        <f t="shared" si="47"/>
        <v>4258</v>
      </c>
      <c r="W590" s="28"/>
      <c r="X590" s="31">
        <v>42346</v>
      </c>
      <c r="Y590" s="33">
        <v>4340</v>
      </c>
      <c r="Z590" s="189">
        <f t="shared" si="48"/>
        <v>4340</v>
      </c>
      <c r="AA590" s="190"/>
      <c r="AB590" s="31"/>
      <c r="AC590" s="36"/>
      <c r="AD590" s="8"/>
      <c r="AE590" s="6"/>
      <c r="AF590" s="52">
        <f t="shared" si="45"/>
        <v>180262430</v>
      </c>
      <c r="AG590" s="25">
        <f t="shared" si="46"/>
        <v>183781640</v>
      </c>
      <c r="AH590" s="52">
        <f t="shared" si="49"/>
        <v>0</v>
      </c>
      <c r="AI590" s="6"/>
      <c r="AJ590" s="6"/>
      <c r="AK590" s="6"/>
      <c r="AL590" s="6"/>
      <c r="AM590" s="6"/>
      <c r="AN590" s="6"/>
      <c r="AO590" s="6"/>
      <c r="AP590" s="6"/>
      <c r="AQ590" s="6"/>
      <c r="AR590" s="6"/>
    </row>
    <row r="591" spans="1:44">
      <c r="A591" s="6"/>
      <c r="B591" s="6"/>
      <c r="C591" s="6"/>
      <c r="D591" s="6"/>
      <c r="E591" s="6"/>
      <c r="F591" s="6"/>
      <c r="G591" s="11"/>
      <c r="H591" s="6"/>
      <c r="I591" s="6"/>
      <c r="J591" s="6"/>
      <c r="K591" s="7"/>
      <c r="L591" s="21" t="str">
        <f>микс!$H$10</f>
        <v>продажа со склада</v>
      </c>
      <c r="M591" s="22"/>
      <c r="N591" s="22"/>
      <c r="O591" s="22" t="s">
        <v>143</v>
      </c>
      <c r="P591" s="23" t="str">
        <f>микс!$H$47</f>
        <v>Домашнее хозяйство</v>
      </c>
      <c r="Q591" s="21" t="s">
        <v>101</v>
      </c>
      <c r="R591" s="25">
        <v>1</v>
      </c>
      <c r="S591" s="28"/>
      <c r="T591" s="31">
        <v>42301</v>
      </c>
      <c r="U591" s="33">
        <v>4991.2</v>
      </c>
      <c r="V591" s="36">
        <f t="shared" si="47"/>
        <v>4991.2</v>
      </c>
      <c r="W591" s="28"/>
      <c r="X591" s="31">
        <v>42338</v>
      </c>
      <c r="Y591" s="33">
        <v>6655</v>
      </c>
      <c r="Z591" s="189">
        <f t="shared" si="48"/>
        <v>6655</v>
      </c>
      <c r="AA591" s="190"/>
      <c r="AB591" s="31">
        <v>42331</v>
      </c>
      <c r="AC591" s="36">
        <v>4991.2</v>
      </c>
      <c r="AD591" s="8"/>
      <c r="AE591" s="6"/>
      <c r="AF591" s="52">
        <f t="shared" si="45"/>
        <v>211132751.19999999</v>
      </c>
      <c r="AG591" s="25">
        <f t="shared" si="46"/>
        <v>281759390</v>
      </c>
      <c r="AH591" s="52">
        <f t="shared" si="49"/>
        <v>211282487.19999999</v>
      </c>
      <c r="AI591" s="6"/>
      <c r="AJ591" s="6"/>
      <c r="AK591" s="6"/>
      <c r="AL591" s="6"/>
      <c r="AM591" s="6"/>
      <c r="AN591" s="6"/>
      <c r="AO591" s="6"/>
      <c r="AP591" s="6"/>
      <c r="AQ591" s="6"/>
      <c r="AR591" s="6"/>
    </row>
    <row r="592" spans="1:44">
      <c r="A592" s="6"/>
      <c r="B592" s="6"/>
      <c r="C592" s="6"/>
      <c r="D592" s="6"/>
      <c r="E592" s="6"/>
      <c r="F592" s="6"/>
      <c r="G592" s="11"/>
      <c r="H592" s="6"/>
      <c r="I592" s="6"/>
      <c r="J592" s="6"/>
      <c r="K592" s="7"/>
      <c r="L592" s="21" t="str">
        <f>микс!$H$10</f>
        <v>продажа со склада</v>
      </c>
      <c r="M592" s="22"/>
      <c r="N592" s="22"/>
      <c r="O592" s="22" t="s">
        <v>143</v>
      </c>
      <c r="P592" s="23" t="str">
        <f>микс!$H$47</f>
        <v>Домашнее хозяйство</v>
      </c>
      <c r="Q592" s="21" t="s">
        <v>101</v>
      </c>
      <c r="R592" s="25">
        <v>1</v>
      </c>
      <c r="S592" s="28"/>
      <c r="T592" s="31">
        <v>42300</v>
      </c>
      <c r="U592" s="33">
        <v>4991.2</v>
      </c>
      <c r="V592" s="36">
        <f t="shared" si="47"/>
        <v>4991.2</v>
      </c>
      <c r="W592" s="28"/>
      <c r="X592" s="31">
        <v>42338</v>
      </c>
      <c r="Y592" s="33">
        <v>6655</v>
      </c>
      <c r="Z592" s="189">
        <f t="shared" si="48"/>
        <v>6655</v>
      </c>
      <c r="AA592" s="190"/>
      <c r="AB592" s="31">
        <v>42315</v>
      </c>
      <c r="AC592" s="36">
        <v>4991.2</v>
      </c>
      <c r="AD592" s="8"/>
      <c r="AE592" s="6"/>
      <c r="AF592" s="52">
        <f t="shared" si="45"/>
        <v>211127760</v>
      </c>
      <c r="AG592" s="25">
        <f t="shared" si="46"/>
        <v>281759390</v>
      </c>
      <c r="AH592" s="52">
        <f t="shared" si="49"/>
        <v>211202628</v>
      </c>
      <c r="AI592" s="6"/>
      <c r="AJ592" s="6"/>
      <c r="AK592" s="6"/>
      <c r="AL592" s="6"/>
      <c r="AM592" s="6"/>
      <c r="AN592" s="6"/>
      <c r="AO592" s="6"/>
      <c r="AP592" s="6"/>
      <c r="AQ592" s="6"/>
      <c r="AR592" s="6"/>
    </row>
    <row r="593" spans="1:44">
      <c r="A593" s="6"/>
      <c r="B593" s="6"/>
      <c r="C593" s="6"/>
      <c r="D593" s="6"/>
      <c r="E593" s="6"/>
      <c r="F593" s="6"/>
      <c r="G593" s="11"/>
      <c r="H593" s="6"/>
      <c r="I593" s="6"/>
      <c r="J593" s="6"/>
      <c r="K593" s="7"/>
      <c r="L593" s="21" t="str">
        <f>микс!$H$11</f>
        <v>продажа под заказ</v>
      </c>
      <c r="M593" s="22"/>
      <c r="N593" s="22"/>
      <c r="O593" s="22" t="s">
        <v>143</v>
      </c>
      <c r="P593" s="23" t="str">
        <f>микс!$H$47</f>
        <v>Домашнее хозяйство</v>
      </c>
      <c r="Q593" s="21" t="s">
        <v>101</v>
      </c>
      <c r="R593" s="25">
        <v>1</v>
      </c>
      <c r="S593" s="28"/>
      <c r="T593" s="31">
        <v>42310</v>
      </c>
      <c r="U593" s="33">
        <v>4245.1499999999996</v>
      </c>
      <c r="V593" s="36">
        <f t="shared" si="47"/>
        <v>4245.1499999999996</v>
      </c>
      <c r="W593" s="28"/>
      <c r="X593" s="31">
        <v>42322</v>
      </c>
      <c r="Y593" s="33">
        <v>6239</v>
      </c>
      <c r="Z593" s="189">
        <f t="shared" si="48"/>
        <v>6239</v>
      </c>
      <c r="AA593" s="190"/>
      <c r="AB593" s="31">
        <v>42332</v>
      </c>
      <c r="AC593" s="36">
        <v>4245.1499999999996</v>
      </c>
      <c r="AD593" s="8"/>
      <c r="AE593" s="6"/>
      <c r="AF593" s="52">
        <f t="shared" si="45"/>
        <v>179612296.49999997</v>
      </c>
      <c r="AG593" s="25">
        <f t="shared" si="46"/>
        <v>264046958</v>
      </c>
      <c r="AH593" s="52">
        <f t="shared" si="49"/>
        <v>179705689.79999998</v>
      </c>
      <c r="AI593" s="6"/>
      <c r="AJ593" s="6"/>
      <c r="AK593" s="6"/>
      <c r="AL593" s="6"/>
      <c r="AM593" s="6"/>
      <c r="AN593" s="6"/>
      <c r="AO593" s="6"/>
      <c r="AP593" s="6"/>
      <c r="AQ593" s="6"/>
      <c r="AR593" s="6"/>
    </row>
    <row r="594" spans="1:44">
      <c r="A594" s="6"/>
      <c r="B594" s="6"/>
      <c r="C594" s="6"/>
      <c r="D594" s="6"/>
      <c r="E594" s="6"/>
      <c r="F594" s="6"/>
      <c r="G594" s="11"/>
      <c r="H594" s="6"/>
      <c r="I594" s="6"/>
      <c r="J594" s="6"/>
      <c r="K594" s="7"/>
      <c r="L594" s="21" t="str">
        <f>микс!$H$11</f>
        <v>продажа под заказ</v>
      </c>
      <c r="M594" s="22"/>
      <c r="N594" s="22"/>
      <c r="O594" s="22" t="s">
        <v>143</v>
      </c>
      <c r="P594" s="23" t="str">
        <f>микс!$H$47</f>
        <v>Домашнее хозяйство</v>
      </c>
      <c r="Q594" s="21" t="s">
        <v>101</v>
      </c>
      <c r="R594" s="25">
        <v>1</v>
      </c>
      <c r="S594" s="28"/>
      <c r="T594" s="31">
        <v>42309</v>
      </c>
      <c r="U594" s="33">
        <v>4991.2</v>
      </c>
      <c r="V594" s="36">
        <f t="shared" si="47"/>
        <v>4991.2</v>
      </c>
      <c r="W594" s="28"/>
      <c r="X594" s="31">
        <v>42323</v>
      </c>
      <c r="Y594" s="33">
        <v>6239</v>
      </c>
      <c r="Z594" s="189">
        <f t="shared" si="48"/>
        <v>6239</v>
      </c>
      <c r="AA594" s="190"/>
      <c r="AB594" s="31">
        <v>42369</v>
      </c>
      <c r="AC594" s="36">
        <v>4991.2</v>
      </c>
      <c r="AD594" s="8"/>
      <c r="AE594" s="6"/>
      <c r="AF594" s="52">
        <f t="shared" si="45"/>
        <v>211172680.79999998</v>
      </c>
      <c r="AG594" s="25">
        <f t="shared" si="46"/>
        <v>264053197</v>
      </c>
      <c r="AH594" s="52">
        <f t="shared" si="49"/>
        <v>211472152.79999998</v>
      </c>
      <c r="AI594" s="6"/>
      <c r="AJ594" s="6"/>
      <c r="AK594" s="6"/>
      <c r="AL594" s="6"/>
      <c r="AM594" s="6"/>
      <c r="AN594" s="6"/>
      <c r="AO594" s="6"/>
      <c r="AP594" s="6"/>
      <c r="AQ594" s="6"/>
      <c r="AR594" s="6"/>
    </row>
    <row r="595" spans="1:44">
      <c r="A595" s="6"/>
      <c r="B595" s="6"/>
      <c r="C595" s="6"/>
      <c r="D595" s="6"/>
      <c r="E595" s="6"/>
      <c r="F595" s="6"/>
      <c r="G595" s="11"/>
      <c r="H595" s="6"/>
      <c r="I595" s="6"/>
      <c r="J595" s="6"/>
      <c r="K595" s="7"/>
      <c r="L595" s="21" t="str">
        <f>микс!$H$11</f>
        <v>продажа под заказ</v>
      </c>
      <c r="M595" s="22"/>
      <c r="N595" s="22"/>
      <c r="O595" s="22" t="s">
        <v>139</v>
      </c>
      <c r="P595" s="23" t="str">
        <f>микс!$H$49</f>
        <v>Товары для детей</v>
      </c>
      <c r="Q595" s="21" t="s">
        <v>73</v>
      </c>
      <c r="R595" s="25">
        <v>1</v>
      </c>
      <c r="S595" s="28"/>
      <c r="T595" s="31">
        <v>42338</v>
      </c>
      <c r="U595" s="33">
        <v>3967.36</v>
      </c>
      <c r="V595" s="36">
        <f t="shared" si="47"/>
        <v>3967.36</v>
      </c>
      <c r="W595" s="28"/>
      <c r="X595" s="31">
        <v>42346</v>
      </c>
      <c r="Y595" s="33">
        <v>4236</v>
      </c>
      <c r="Z595" s="189">
        <f t="shared" si="48"/>
        <v>4236</v>
      </c>
      <c r="AA595" s="190"/>
      <c r="AB595" s="31">
        <v>42343</v>
      </c>
      <c r="AC595" s="36">
        <v>3967.36</v>
      </c>
      <c r="AD595" s="8"/>
      <c r="AE595" s="6"/>
      <c r="AF595" s="52">
        <f t="shared" si="45"/>
        <v>167970087.68000001</v>
      </c>
      <c r="AG595" s="25">
        <f t="shared" si="46"/>
        <v>179377656</v>
      </c>
      <c r="AH595" s="52">
        <f t="shared" si="49"/>
        <v>167989924.48000002</v>
      </c>
      <c r="AI595" s="6"/>
      <c r="AJ595" s="6"/>
      <c r="AK595" s="6"/>
      <c r="AL595" s="6"/>
      <c r="AM595" s="6"/>
      <c r="AN595" s="6"/>
      <c r="AO595" s="6"/>
      <c r="AP595" s="6"/>
      <c r="AQ595" s="6"/>
      <c r="AR595" s="6"/>
    </row>
    <row r="596" spans="1:44">
      <c r="A596" s="6"/>
      <c r="B596" s="6"/>
      <c r="C596" s="6"/>
      <c r="D596" s="6"/>
      <c r="E596" s="6"/>
      <c r="F596" s="6"/>
      <c r="G596" s="11"/>
      <c r="H596" s="6"/>
      <c r="I596" s="6"/>
      <c r="J596" s="6"/>
      <c r="K596" s="7"/>
      <c r="L596" s="21" t="str">
        <f>микс!$H$11</f>
        <v>продажа под заказ</v>
      </c>
      <c r="M596" s="22"/>
      <c r="N596" s="22"/>
      <c r="O596" s="22" t="s">
        <v>139</v>
      </c>
      <c r="P596" s="23" t="str">
        <f>микс!$H$49</f>
        <v>Товары для детей</v>
      </c>
      <c r="Q596" s="21" t="s">
        <v>73</v>
      </c>
      <c r="R596" s="25">
        <v>1</v>
      </c>
      <c r="S596" s="28"/>
      <c r="T596" s="31">
        <v>42338</v>
      </c>
      <c r="U596" s="33">
        <v>3967.36</v>
      </c>
      <c r="V596" s="36">
        <f t="shared" si="47"/>
        <v>3967.36</v>
      </c>
      <c r="W596" s="28"/>
      <c r="X596" s="31">
        <v>42343</v>
      </c>
      <c r="Y596" s="33">
        <v>4236</v>
      </c>
      <c r="Z596" s="189">
        <f t="shared" si="48"/>
        <v>4236</v>
      </c>
      <c r="AA596" s="190"/>
      <c r="AB596" s="31"/>
      <c r="AC596" s="36"/>
      <c r="AD596" s="8"/>
      <c r="AE596" s="6"/>
      <c r="AF596" s="52">
        <f t="shared" si="45"/>
        <v>167970087.68000001</v>
      </c>
      <c r="AG596" s="25">
        <f t="shared" si="46"/>
        <v>179364948</v>
      </c>
      <c r="AH596" s="52">
        <f t="shared" si="49"/>
        <v>0</v>
      </c>
      <c r="AI596" s="6"/>
      <c r="AJ596" s="6"/>
      <c r="AK596" s="6"/>
      <c r="AL596" s="6"/>
      <c r="AM596" s="6"/>
      <c r="AN596" s="6"/>
      <c r="AO596" s="6"/>
      <c r="AP596" s="6"/>
      <c r="AQ596" s="6"/>
      <c r="AR596" s="6"/>
    </row>
    <row r="597" spans="1:44">
      <c r="A597" s="6"/>
      <c r="B597" s="6"/>
      <c r="C597" s="6"/>
      <c r="D597" s="6"/>
      <c r="E597" s="6"/>
      <c r="F597" s="6"/>
      <c r="G597" s="11"/>
      <c r="H597" s="6"/>
      <c r="I597" s="6"/>
      <c r="J597" s="6"/>
      <c r="K597" s="7"/>
      <c r="L597" s="21" t="str">
        <f>микс!$H$10</f>
        <v>продажа со склада</v>
      </c>
      <c r="M597" s="22"/>
      <c r="N597" s="22"/>
      <c r="O597" s="22" t="s">
        <v>138</v>
      </c>
      <c r="P597" s="23" t="str">
        <f>микс!$H$49</f>
        <v>Товары для детей</v>
      </c>
      <c r="Q597" s="21" t="s">
        <v>59</v>
      </c>
      <c r="R597" s="25">
        <v>1</v>
      </c>
      <c r="S597" s="28"/>
      <c r="T597" s="31">
        <v>42270</v>
      </c>
      <c r="U597" s="33">
        <v>12885</v>
      </c>
      <c r="V597" s="36">
        <f t="shared" si="47"/>
        <v>12885</v>
      </c>
      <c r="W597" s="28"/>
      <c r="X597" s="31">
        <v>42306</v>
      </c>
      <c r="Y597" s="33">
        <v>13555</v>
      </c>
      <c r="Z597" s="189">
        <f t="shared" si="48"/>
        <v>13555</v>
      </c>
      <c r="AA597" s="190"/>
      <c r="AB597" s="31">
        <v>42305</v>
      </c>
      <c r="AC597" s="36">
        <v>12885</v>
      </c>
      <c r="AD597" s="8"/>
      <c r="AE597" s="6"/>
      <c r="AF597" s="52">
        <f t="shared" si="45"/>
        <v>544648950</v>
      </c>
      <c r="AG597" s="25">
        <f t="shared" si="46"/>
        <v>573457830</v>
      </c>
      <c r="AH597" s="52">
        <f t="shared" si="49"/>
        <v>545099925</v>
      </c>
      <c r="AI597" s="6"/>
      <c r="AJ597" s="6"/>
      <c r="AK597" s="6"/>
      <c r="AL597" s="6"/>
      <c r="AM597" s="6"/>
      <c r="AN597" s="6"/>
      <c r="AO597" s="6"/>
      <c r="AP597" s="6"/>
      <c r="AQ597" s="6"/>
      <c r="AR597" s="6"/>
    </row>
    <row r="598" spans="1:44">
      <c r="A598" s="6"/>
      <c r="B598" s="6"/>
      <c r="C598" s="6"/>
      <c r="D598" s="6"/>
      <c r="E598" s="6"/>
      <c r="F598" s="6"/>
      <c r="G598" s="11"/>
      <c r="H598" s="6"/>
      <c r="I598" s="6"/>
      <c r="J598" s="6"/>
      <c r="K598" s="7"/>
      <c r="L598" s="21" t="str">
        <f>микс!$H$10</f>
        <v>продажа со склада</v>
      </c>
      <c r="M598" s="22"/>
      <c r="N598" s="22"/>
      <c r="O598" s="22" t="s">
        <v>138</v>
      </c>
      <c r="P598" s="23" t="str">
        <f>микс!$H$49</f>
        <v>Товары для детей</v>
      </c>
      <c r="Q598" s="21" t="s">
        <v>59</v>
      </c>
      <c r="R598" s="25">
        <v>1</v>
      </c>
      <c r="S598" s="28"/>
      <c r="T598" s="31">
        <v>42269</v>
      </c>
      <c r="U598" s="33">
        <v>12885</v>
      </c>
      <c r="V598" s="36">
        <f t="shared" si="47"/>
        <v>12885</v>
      </c>
      <c r="W598" s="28"/>
      <c r="X598" s="31">
        <v>42305</v>
      </c>
      <c r="Y598" s="33">
        <v>13555</v>
      </c>
      <c r="Z598" s="189">
        <f t="shared" si="48"/>
        <v>13555</v>
      </c>
      <c r="AA598" s="190"/>
      <c r="AB598" s="31">
        <v>42284</v>
      </c>
      <c r="AC598" s="36">
        <v>12885</v>
      </c>
      <c r="AD598" s="8"/>
      <c r="AE598" s="6"/>
      <c r="AF598" s="52">
        <f t="shared" si="45"/>
        <v>544636065</v>
      </c>
      <c r="AG598" s="25">
        <f t="shared" si="46"/>
        <v>573444275</v>
      </c>
      <c r="AH598" s="52">
        <f t="shared" si="49"/>
        <v>544829340</v>
      </c>
      <c r="AI598" s="6"/>
      <c r="AJ598" s="6"/>
      <c r="AK598" s="6"/>
      <c r="AL598" s="6"/>
      <c r="AM598" s="6"/>
      <c r="AN598" s="6"/>
      <c r="AO598" s="6"/>
      <c r="AP598" s="6"/>
      <c r="AQ598" s="6"/>
      <c r="AR598" s="6"/>
    </row>
    <row r="599" spans="1:44">
      <c r="A599" s="6"/>
      <c r="B599" s="6"/>
      <c r="C599" s="6"/>
      <c r="D599" s="6"/>
      <c r="E599" s="6"/>
      <c r="F599" s="6"/>
      <c r="G599" s="11"/>
      <c r="H599" s="6"/>
      <c r="I599" s="6"/>
      <c r="J599" s="6"/>
      <c r="K599" s="7"/>
      <c r="L599" s="21" t="str">
        <f>микс!$H$10</f>
        <v>продажа со склада</v>
      </c>
      <c r="M599" s="22"/>
      <c r="N599" s="22"/>
      <c r="O599" s="22" t="s">
        <v>138</v>
      </c>
      <c r="P599" s="23" t="str">
        <f>микс!$H$49</f>
        <v>Товары для детей</v>
      </c>
      <c r="Q599" s="21" t="s">
        <v>59</v>
      </c>
      <c r="R599" s="25">
        <v>1</v>
      </c>
      <c r="S599" s="28"/>
      <c r="T599" s="31">
        <v>42261</v>
      </c>
      <c r="U599" s="33">
        <v>12885</v>
      </c>
      <c r="V599" s="36">
        <f t="shared" si="47"/>
        <v>12885</v>
      </c>
      <c r="W599" s="28"/>
      <c r="X599" s="31">
        <v>42307</v>
      </c>
      <c r="Y599" s="33">
        <v>13555</v>
      </c>
      <c r="Z599" s="189">
        <f t="shared" si="48"/>
        <v>13555</v>
      </c>
      <c r="AA599" s="190"/>
      <c r="AB599" s="31"/>
      <c r="AC599" s="36"/>
      <c r="AD599" s="8"/>
      <c r="AE599" s="6"/>
      <c r="AF599" s="52">
        <f t="shared" si="45"/>
        <v>544532985</v>
      </c>
      <c r="AG599" s="25">
        <f t="shared" si="46"/>
        <v>573471385</v>
      </c>
      <c r="AH599" s="52">
        <f t="shared" si="49"/>
        <v>0</v>
      </c>
      <c r="AI599" s="6"/>
      <c r="AJ599" s="6"/>
      <c r="AK599" s="6"/>
      <c r="AL599" s="6"/>
      <c r="AM599" s="6"/>
      <c r="AN599" s="6"/>
      <c r="AO599" s="6"/>
      <c r="AP599" s="6"/>
      <c r="AQ599" s="6"/>
      <c r="AR599" s="6"/>
    </row>
    <row r="600" spans="1:44">
      <c r="A600" s="6"/>
      <c r="B600" s="6"/>
      <c r="C600" s="6"/>
      <c r="D600" s="6"/>
      <c r="E600" s="6"/>
      <c r="F600" s="6"/>
      <c r="G600" s="11"/>
      <c r="H600" s="6"/>
      <c r="I600" s="6"/>
      <c r="J600" s="6"/>
      <c r="K600" s="7"/>
      <c r="L600" s="21" t="str">
        <f>микс!$H$11</f>
        <v>продажа под заказ</v>
      </c>
      <c r="M600" s="22"/>
      <c r="N600" s="22"/>
      <c r="O600" s="22" t="s">
        <v>138</v>
      </c>
      <c r="P600" s="23" t="str">
        <f>микс!$H$49</f>
        <v>Товары для детей</v>
      </c>
      <c r="Q600" s="21" t="s">
        <v>59</v>
      </c>
      <c r="R600" s="25">
        <v>2</v>
      </c>
      <c r="S600" s="28"/>
      <c r="T600" s="31">
        <v>42296</v>
      </c>
      <c r="U600" s="33">
        <v>12885</v>
      </c>
      <c r="V600" s="36">
        <f t="shared" si="47"/>
        <v>25770</v>
      </c>
      <c r="W600" s="28"/>
      <c r="X600" s="31">
        <v>42298</v>
      </c>
      <c r="Y600" s="33">
        <v>13550</v>
      </c>
      <c r="Z600" s="189">
        <f t="shared" si="48"/>
        <v>27100</v>
      </c>
      <c r="AA600" s="190"/>
      <c r="AB600" s="31">
        <v>42316</v>
      </c>
      <c r="AC600" s="36">
        <v>25770</v>
      </c>
      <c r="AD600" s="8"/>
      <c r="AE600" s="6"/>
      <c r="AF600" s="52">
        <f t="shared" si="45"/>
        <v>1089967920</v>
      </c>
      <c r="AG600" s="25">
        <f t="shared" si="46"/>
        <v>1146275800</v>
      </c>
      <c r="AH600" s="52">
        <f t="shared" si="49"/>
        <v>1090483320</v>
      </c>
      <c r="AI600" s="6"/>
      <c r="AJ600" s="6"/>
      <c r="AK600" s="6"/>
      <c r="AL600" s="6"/>
      <c r="AM600" s="6"/>
      <c r="AN600" s="6"/>
      <c r="AO600" s="6"/>
      <c r="AP600" s="6"/>
      <c r="AQ600" s="6"/>
      <c r="AR600" s="6"/>
    </row>
    <row r="601" spans="1:44">
      <c r="A601" s="6"/>
      <c r="B601" s="6"/>
      <c r="C601" s="6"/>
      <c r="D601" s="6"/>
      <c r="E601" s="6"/>
      <c r="F601" s="6"/>
      <c r="G601" s="11"/>
      <c r="H601" s="6"/>
      <c r="I601" s="6"/>
      <c r="J601" s="6"/>
      <c r="K601" s="7"/>
      <c r="L601" s="21" t="str">
        <f>микс!$H$10</f>
        <v>продажа со склада</v>
      </c>
      <c r="M601" s="22"/>
      <c r="N601" s="22"/>
      <c r="O601" s="22" t="s">
        <v>138</v>
      </c>
      <c r="P601" s="23" t="str">
        <f>микс!$H$49</f>
        <v>Товары для детей</v>
      </c>
      <c r="Q601" s="21" t="s">
        <v>59</v>
      </c>
      <c r="R601" s="25">
        <v>2</v>
      </c>
      <c r="S601" s="28"/>
      <c r="T601" s="31">
        <v>42253</v>
      </c>
      <c r="U601" s="33">
        <v>12885</v>
      </c>
      <c r="V601" s="36">
        <f t="shared" si="47"/>
        <v>25770</v>
      </c>
      <c r="W601" s="28"/>
      <c r="X601" s="31">
        <v>42300</v>
      </c>
      <c r="Y601" s="33">
        <v>13555</v>
      </c>
      <c r="Z601" s="189">
        <f t="shared" si="48"/>
        <v>27110</v>
      </c>
      <c r="AA601" s="190"/>
      <c r="AB601" s="31"/>
      <c r="AC601" s="36"/>
      <c r="AD601" s="8"/>
      <c r="AE601" s="6"/>
      <c r="AF601" s="52">
        <f t="shared" si="45"/>
        <v>1088859810</v>
      </c>
      <c r="AG601" s="25">
        <f t="shared" si="46"/>
        <v>1146753000</v>
      </c>
      <c r="AH601" s="52">
        <f t="shared" si="49"/>
        <v>0</v>
      </c>
      <c r="AI601" s="6"/>
      <c r="AJ601" s="6"/>
      <c r="AK601" s="6"/>
      <c r="AL601" s="6"/>
      <c r="AM601" s="6"/>
      <c r="AN601" s="6"/>
      <c r="AO601" s="6"/>
      <c r="AP601" s="6"/>
      <c r="AQ601" s="6"/>
      <c r="AR601" s="6"/>
    </row>
    <row r="602" spans="1:44">
      <c r="A602" s="6"/>
      <c r="B602" s="6"/>
      <c r="C602" s="6"/>
      <c r="D602" s="6"/>
      <c r="E602" s="6"/>
      <c r="F602" s="6"/>
      <c r="G602" s="11"/>
      <c r="H602" s="6"/>
      <c r="I602" s="6"/>
      <c r="J602" s="6"/>
      <c r="K602" s="7"/>
      <c r="L602" s="21" t="str">
        <f>микс!$H$10</f>
        <v>продажа со склада</v>
      </c>
      <c r="M602" s="22"/>
      <c r="N602" s="22"/>
      <c r="O602" s="22" t="s">
        <v>138</v>
      </c>
      <c r="P602" s="23" t="str">
        <f>микс!$H$49</f>
        <v>Товары для детей</v>
      </c>
      <c r="Q602" s="21" t="s">
        <v>59</v>
      </c>
      <c r="R602" s="25">
        <v>1</v>
      </c>
      <c r="S602" s="28"/>
      <c r="T602" s="31">
        <v>42256</v>
      </c>
      <c r="U602" s="33">
        <v>12885</v>
      </c>
      <c r="V602" s="36">
        <f t="shared" si="47"/>
        <v>12885</v>
      </c>
      <c r="W602" s="28"/>
      <c r="X602" s="31">
        <v>42304</v>
      </c>
      <c r="Y602" s="33">
        <v>13555</v>
      </c>
      <c r="Z602" s="189">
        <f t="shared" si="48"/>
        <v>13555</v>
      </c>
      <c r="AA602" s="190"/>
      <c r="AB602" s="31">
        <v>42281</v>
      </c>
      <c r="AC602" s="36">
        <v>12885</v>
      </c>
      <c r="AD602" s="8"/>
      <c r="AE602" s="6"/>
      <c r="AF602" s="52">
        <f t="shared" si="45"/>
        <v>544468560</v>
      </c>
      <c r="AG602" s="25">
        <f t="shared" si="46"/>
        <v>573430720</v>
      </c>
      <c r="AH602" s="52">
        <f t="shared" si="49"/>
        <v>544790685</v>
      </c>
      <c r="AI602" s="6"/>
      <c r="AJ602" s="6"/>
      <c r="AK602" s="6"/>
      <c r="AL602" s="6"/>
      <c r="AM602" s="6"/>
      <c r="AN602" s="6"/>
      <c r="AO602" s="6"/>
      <c r="AP602" s="6"/>
      <c r="AQ602" s="6"/>
      <c r="AR602" s="6"/>
    </row>
    <row r="603" spans="1:44">
      <c r="A603" s="6"/>
      <c r="B603" s="6"/>
      <c r="C603" s="6"/>
      <c r="D603" s="6"/>
      <c r="E603" s="6"/>
      <c r="F603" s="6"/>
      <c r="G603" s="11"/>
      <c r="H603" s="6"/>
      <c r="I603" s="6"/>
      <c r="J603" s="6"/>
      <c r="K603" s="7"/>
      <c r="L603" s="21" t="str">
        <f>микс!$H$10</f>
        <v>продажа со склада</v>
      </c>
      <c r="M603" s="22"/>
      <c r="N603" s="22"/>
      <c r="O603" s="22" t="s">
        <v>138</v>
      </c>
      <c r="P603" s="23" t="str">
        <f>микс!$H$49</f>
        <v>Товары для детей</v>
      </c>
      <c r="Q603" s="21" t="s">
        <v>60</v>
      </c>
      <c r="R603" s="25">
        <v>1</v>
      </c>
      <c r="S603" s="28"/>
      <c r="T603" s="31">
        <v>42271</v>
      </c>
      <c r="U603" s="33">
        <v>3172.82</v>
      </c>
      <c r="V603" s="36">
        <f t="shared" si="47"/>
        <v>3172.82</v>
      </c>
      <c r="W603" s="28"/>
      <c r="X603" s="31">
        <v>42327</v>
      </c>
      <c r="Y603" s="33">
        <v>3560</v>
      </c>
      <c r="Z603" s="189">
        <f t="shared" si="48"/>
        <v>3560</v>
      </c>
      <c r="AA603" s="190"/>
      <c r="AB603" s="31">
        <v>42281</v>
      </c>
      <c r="AC603" s="36">
        <v>3172.82</v>
      </c>
      <c r="AD603" s="8"/>
      <c r="AE603" s="6"/>
      <c r="AF603" s="52">
        <f t="shared" si="45"/>
        <v>134118274.22000001</v>
      </c>
      <c r="AG603" s="25">
        <f t="shared" si="46"/>
        <v>150684120</v>
      </c>
      <c r="AH603" s="52">
        <f t="shared" si="49"/>
        <v>134150002.42</v>
      </c>
      <c r="AI603" s="6"/>
      <c r="AJ603" s="6"/>
      <c r="AK603" s="6"/>
      <c r="AL603" s="6"/>
      <c r="AM603" s="6"/>
      <c r="AN603" s="6"/>
      <c r="AO603" s="6"/>
      <c r="AP603" s="6"/>
      <c r="AQ603" s="6"/>
      <c r="AR603" s="6"/>
    </row>
    <row r="604" spans="1:44">
      <c r="A604" s="6"/>
      <c r="B604" s="6"/>
      <c r="C604" s="6"/>
      <c r="D604" s="6"/>
      <c r="E604" s="6"/>
      <c r="F604" s="6"/>
      <c r="G604" s="11"/>
      <c r="H604" s="6"/>
      <c r="I604" s="6"/>
      <c r="J604" s="6"/>
      <c r="K604" s="7"/>
      <c r="L604" s="21" t="str">
        <f>микс!$H$10</f>
        <v>продажа со склада</v>
      </c>
      <c r="M604" s="22"/>
      <c r="N604" s="22"/>
      <c r="O604" s="22" t="s">
        <v>138</v>
      </c>
      <c r="P604" s="23" t="str">
        <f>микс!$H$49</f>
        <v>Товары для детей</v>
      </c>
      <c r="Q604" s="21" t="s">
        <v>60</v>
      </c>
      <c r="R604" s="25">
        <v>1</v>
      </c>
      <c r="S604" s="28"/>
      <c r="T604" s="31">
        <v>42274</v>
      </c>
      <c r="U604" s="33">
        <v>3172.82</v>
      </c>
      <c r="V604" s="36">
        <f t="shared" si="47"/>
        <v>3172.82</v>
      </c>
      <c r="W604" s="28"/>
      <c r="X604" s="31">
        <v>42325</v>
      </c>
      <c r="Y604" s="33">
        <v>3560</v>
      </c>
      <c r="Z604" s="189">
        <f t="shared" si="48"/>
        <v>3560</v>
      </c>
      <c r="AA604" s="190"/>
      <c r="AB604" s="31">
        <v>42281</v>
      </c>
      <c r="AC604" s="36">
        <v>3172.82</v>
      </c>
      <c r="AD604" s="8"/>
      <c r="AE604" s="6"/>
      <c r="AF604" s="52">
        <f t="shared" si="45"/>
        <v>134127792.68000001</v>
      </c>
      <c r="AG604" s="25">
        <f t="shared" si="46"/>
        <v>150677000</v>
      </c>
      <c r="AH604" s="52">
        <f t="shared" si="49"/>
        <v>134150002.42</v>
      </c>
      <c r="AI604" s="6"/>
      <c r="AJ604" s="6"/>
      <c r="AK604" s="6"/>
      <c r="AL604" s="6"/>
      <c r="AM604" s="6"/>
      <c r="AN604" s="6"/>
      <c r="AO604" s="6"/>
      <c r="AP604" s="6"/>
      <c r="AQ604" s="6"/>
      <c r="AR604" s="6"/>
    </row>
    <row r="605" spans="1:44">
      <c r="A605" s="6"/>
      <c r="B605" s="6"/>
      <c r="C605" s="6"/>
      <c r="D605" s="6"/>
      <c r="E605" s="6"/>
      <c r="F605" s="6"/>
      <c r="G605" s="11"/>
      <c r="H605" s="6"/>
      <c r="I605" s="6"/>
      <c r="J605" s="6"/>
      <c r="K605" s="7"/>
      <c r="L605" s="21" t="str">
        <f>микс!$H$10</f>
        <v>продажа со склада</v>
      </c>
      <c r="M605" s="22"/>
      <c r="N605" s="22"/>
      <c r="O605" s="22" t="s">
        <v>138</v>
      </c>
      <c r="P605" s="23" t="str">
        <f>микс!$H$49</f>
        <v>Товары для детей</v>
      </c>
      <c r="Q605" s="21" t="s">
        <v>60</v>
      </c>
      <c r="R605" s="25">
        <v>1</v>
      </c>
      <c r="S605" s="28"/>
      <c r="T605" s="31">
        <v>42290</v>
      </c>
      <c r="U605" s="33">
        <v>3172.82</v>
      </c>
      <c r="V605" s="36">
        <f t="shared" si="47"/>
        <v>3172.82</v>
      </c>
      <c r="W605" s="28"/>
      <c r="X605" s="31">
        <v>42340</v>
      </c>
      <c r="Y605" s="33">
        <v>4500</v>
      </c>
      <c r="Z605" s="189">
        <f t="shared" si="48"/>
        <v>4500</v>
      </c>
      <c r="AA605" s="190"/>
      <c r="AB605" s="31">
        <v>42312</v>
      </c>
      <c r="AC605" s="36">
        <v>3172.82</v>
      </c>
      <c r="AD605" s="8"/>
      <c r="AE605" s="6"/>
      <c r="AF605" s="52">
        <f t="shared" si="45"/>
        <v>134178557.80000001</v>
      </c>
      <c r="AG605" s="25">
        <f t="shared" si="46"/>
        <v>190530000</v>
      </c>
      <c r="AH605" s="52">
        <f t="shared" si="49"/>
        <v>134248359.84</v>
      </c>
      <c r="AI605" s="6"/>
      <c r="AJ605" s="6"/>
      <c r="AK605" s="6"/>
      <c r="AL605" s="6"/>
      <c r="AM605" s="6"/>
      <c r="AN605" s="6"/>
      <c r="AO605" s="6"/>
      <c r="AP605" s="6"/>
      <c r="AQ605" s="6"/>
      <c r="AR605" s="6"/>
    </row>
    <row r="606" spans="1:44">
      <c r="A606" s="6"/>
      <c r="B606" s="6"/>
      <c r="C606" s="6"/>
      <c r="D606" s="6"/>
      <c r="E606" s="6"/>
      <c r="F606" s="6"/>
      <c r="G606" s="11"/>
      <c r="H606" s="6"/>
      <c r="I606" s="6"/>
      <c r="J606" s="6"/>
      <c r="K606" s="7"/>
      <c r="L606" s="21" t="str">
        <f>микс!$H$10</f>
        <v>продажа со склада</v>
      </c>
      <c r="M606" s="22"/>
      <c r="N606" s="22"/>
      <c r="O606" s="22" t="s">
        <v>138</v>
      </c>
      <c r="P606" s="23" t="str">
        <f>микс!$H$49</f>
        <v>Товары для детей</v>
      </c>
      <c r="Q606" s="21" t="s">
        <v>60</v>
      </c>
      <c r="R606" s="25">
        <v>1</v>
      </c>
      <c r="S606" s="28"/>
      <c r="T606" s="31">
        <v>42290</v>
      </c>
      <c r="U606" s="33">
        <v>3172.82</v>
      </c>
      <c r="V606" s="36">
        <f t="shared" si="47"/>
        <v>3172.82</v>
      </c>
      <c r="W606" s="28"/>
      <c r="X606" s="31">
        <v>42338</v>
      </c>
      <c r="Y606" s="33">
        <v>3820</v>
      </c>
      <c r="Z606" s="189">
        <f t="shared" si="48"/>
        <v>3820</v>
      </c>
      <c r="AA606" s="190"/>
      <c r="AB606" s="31">
        <v>42322</v>
      </c>
      <c r="AC606" s="36">
        <v>3172.82</v>
      </c>
      <c r="AD606" s="8"/>
      <c r="AE606" s="6"/>
      <c r="AF606" s="52">
        <f t="shared" si="45"/>
        <v>134178557.80000001</v>
      </c>
      <c r="AG606" s="25">
        <f t="shared" si="46"/>
        <v>161731160</v>
      </c>
      <c r="AH606" s="52">
        <f t="shared" si="49"/>
        <v>134280088.04000002</v>
      </c>
      <c r="AI606" s="6"/>
      <c r="AJ606" s="6"/>
      <c r="AK606" s="6"/>
      <c r="AL606" s="6"/>
      <c r="AM606" s="6"/>
      <c r="AN606" s="6"/>
      <c r="AO606" s="6"/>
      <c r="AP606" s="6"/>
      <c r="AQ606" s="6"/>
      <c r="AR606" s="6"/>
    </row>
    <row r="607" spans="1:44">
      <c r="A607" s="6"/>
      <c r="B607" s="6"/>
      <c r="C607" s="6"/>
      <c r="D607" s="6"/>
      <c r="E607" s="6"/>
      <c r="F607" s="6"/>
      <c r="G607" s="11"/>
      <c r="H607" s="6"/>
      <c r="I607" s="6"/>
      <c r="J607" s="6"/>
      <c r="K607" s="7"/>
      <c r="L607" s="21" t="str">
        <f>микс!$H$11</f>
        <v>продажа под заказ</v>
      </c>
      <c r="M607" s="22"/>
      <c r="N607" s="22"/>
      <c r="O607" s="22" t="s">
        <v>146</v>
      </c>
      <c r="P607" s="23" t="str">
        <f>микс!$H$49</f>
        <v>Товары для детей</v>
      </c>
      <c r="Q607" s="21" t="s">
        <v>133</v>
      </c>
      <c r="R607" s="25">
        <v>1</v>
      </c>
      <c r="S607" s="28"/>
      <c r="T607" s="31">
        <v>42305</v>
      </c>
      <c r="U607" s="33">
        <v>1011.15</v>
      </c>
      <c r="V607" s="36">
        <f t="shared" si="47"/>
        <v>1011.15</v>
      </c>
      <c r="W607" s="28"/>
      <c r="X607" s="31">
        <v>42308</v>
      </c>
      <c r="Y607" s="33">
        <v>1310</v>
      </c>
      <c r="Z607" s="189">
        <f t="shared" si="48"/>
        <v>1310</v>
      </c>
      <c r="AA607" s="190"/>
      <c r="AB607" s="31"/>
      <c r="AC607" s="36"/>
      <c r="AD607" s="8"/>
      <c r="AE607" s="6"/>
      <c r="AF607" s="52">
        <f t="shared" si="45"/>
        <v>42776700.75</v>
      </c>
      <c r="AG607" s="25">
        <f t="shared" si="46"/>
        <v>55423480</v>
      </c>
      <c r="AH607" s="52">
        <f t="shared" si="49"/>
        <v>0</v>
      </c>
      <c r="AI607" s="6"/>
      <c r="AJ607" s="6"/>
      <c r="AK607" s="6"/>
      <c r="AL607" s="6"/>
      <c r="AM607" s="6"/>
      <c r="AN607" s="6"/>
      <c r="AO607" s="6"/>
      <c r="AP607" s="6"/>
      <c r="AQ607" s="6"/>
      <c r="AR607" s="6"/>
    </row>
    <row r="608" spans="1:44">
      <c r="A608" s="6"/>
      <c r="B608" s="6"/>
      <c r="C608" s="6"/>
      <c r="D608" s="6"/>
      <c r="E608" s="6"/>
      <c r="F608" s="6"/>
      <c r="G608" s="11"/>
      <c r="H608" s="6"/>
      <c r="I608" s="6"/>
      <c r="J608" s="6"/>
      <c r="K608" s="7"/>
      <c r="L608" s="21" t="str">
        <f>микс!$H$11</f>
        <v>продажа под заказ</v>
      </c>
      <c r="M608" s="22"/>
      <c r="N608" s="22"/>
      <c r="O608" s="22" t="s">
        <v>140</v>
      </c>
      <c r="P608" s="23" t="str">
        <f>микс!$H$49</f>
        <v>Товары для детей</v>
      </c>
      <c r="Q608" s="21" t="s">
        <v>102</v>
      </c>
      <c r="R608" s="25">
        <v>1</v>
      </c>
      <c r="S608" s="28"/>
      <c r="T608" s="31">
        <v>42328</v>
      </c>
      <c r="U608" s="33">
        <v>16898.64</v>
      </c>
      <c r="V608" s="36">
        <f t="shared" si="47"/>
        <v>16898.64</v>
      </c>
      <c r="W608" s="28"/>
      <c r="X608" s="31">
        <v>42346</v>
      </c>
      <c r="Y608" s="33">
        <v>17195</v>
      </c>
      <c r="Z608" s="189">
        <f t="shared" si="48"/>
        <v>17195</v>
      </c>
      <c r="AA608" s="190"/>
      <c r="AB608" s="31">
        <v>42366</v>
      </c>
      <c r="AC608" s="36">
        <v>16898.64</v>
      </c>
      <c r="AD608" s="8"/>
      <c r="AE608" s="6"/>
      <c r="AF608" s="52">
        <f t="shared" si="45"/>
        <v>715285633.91999996</v>
      </c>
      <c r="AG608" s="25">
        <f t="shared" si="46"/>
        <v>728139470</v>
      </c>
      <c r="AH608" s="52">
        <f t="shared" si="49"/>
        <v>715927782.24000001</v>
      </c>
      <c r="AI608" s="6"/>
      <c r="AJ608" s="6"/>
      <c r="AK608" s="6"/>
      <c r="AL608" s="6"/>
      <c r="AM608" s="6"/>
      <c r="AN608" s="6"/>
      <c r="AO608" s="6"/>
      <c r="AP608" s="6"/>
      <c r="AQ608" s="6"/>
      <c r="AR608" s="6"/>
    </row>
    <row r="609" spans="1:44">
      <c r="A609" s="6"/>
      <c r="B609" s="6"/>
      <c r="C609" s="6"/>
      <c r="D609" s="6"/>
      <c r="E609" s="6"/>
      <c r="F609" s="6"/>
      <c r="G609" s="11"/>
      <c r="H609" s="6"/>
      <c r="I609" s="6"/>
      <c r="J609" s="6"/>
      <c r="K609" s="7"/>
      <c r="L609" s="21" t="str">
        <f>микс!$H$10</f>
        <v>продажа со склада</v>
      </c>
      <c r="M609" s="22"/>
      <c r="N609" s="22"/>
      <c r="O609" s="22" t="s">
        <v>140</v>
      </c>
      <c r="P609" s="23" t="str">
        <f>микс!$H$49</f>
        <v>Товары для детей</v>
      </c>
      <c r="Q609" s="21" t="s">
        <v>133</v>
      </c>
      <c r="R609" s="25">
        <v>1</v>
      </c>
      <c r="S609" s="28"/>
      <c r="T609" s="31">
        <v>42263</v>
      </c>
      <c r="U609" s="33">
        <v>356.42</v>
      </c>
      <c r="V609" s="36">
        <f t="shared" si="47"/>
        <v>356.42</v>
      </c>
      <c r="W609" s="28"/>
      <c r="X609" s="31">
        <v>42319</v>
      </c>
      <c r="Y609" s="33">
        <v>560</v>
      </c>
      <c r="Z609" s="189">
        <f t="shared" si="48"/>
        <v>560</v>
      </c>
      <c r="AA609" s="190"/>
      <c r="AB609" s="31">
        <v>42275</v>
      </c>
      <c r="AC609" s="36">
        <v>356.42</v>
      </c>
      <c r="AD609" s="8"/>
      <c r="AE609" s="6"/>
      <c r="AF609" s="52">
        <f t="shared" si="45"/>
        <v>15063378.460000001</v>
      </c>
      <c r="AG609" s="25">
        <f t="shared" si="46"/>
        <v>23698640</v>
      </c>
      <c r="AH609" s="52">
        <f t="shared" si="49"/>
        <v>15067655.5</v>
      </c>
      <c r="AI609" s="6"/>
      <c r="AJ609" s="6"/>
      <c r="AK609" s="6"/>
      <c r="AL609" s="6"/>
      <c r="AM609" s="6"/>
      <c r="AN609" s="6"/>
      <c r="AO609" s="6"/>
      <c r="AP609" s="6"/>
      <c r="AQ609" s="6"/>
      <c r="AR609" s="6"/>
    </row>
    <row r="610" spans="1:44">
      <c r="A610" s="6"/>
      <c r="B610" s="6"/>
      <c r="C610" s="6"/>
      <c r="D610" s="6"/>
      <c r="E610" s="6"/>
      <c r="F610" s="6"/>
      <c r="G610" s="11"/>
      <c r="H610" s="6"/>
      <c r="I610" s="6"/>
      <c r="J610" s="6"/>
      <c r="K610" s="7"/>
      <c r="L610" s="21" t="str">
        <f>микс!$H$11</f>
        <v>продажа под заказ</v>
      </c>
      <c r="M610" s="22"/>
      <c r="N610" s="22"/>
      <c r="O610" s="22" t="s">
        <v>140</v>
      </c>
      <c r="P610" s="23" t="str">
        <f>микс!$H$49</f>
        <v>Товары для детей</v>
      </c>
      <c r="Q610" s="21" t="s">
        <v>133</v>
      </c>
      <c r="R610" s="25">
        <v>1</v>
      </c>
      <c r="S610" s="28"/>
      <c r="T610" s="31">
        <v>42308</v>
      </c>
      <c r="U610" s="33">
        <v>356.42</v>
      </c>
      <c r="V610" s="36">
        <f t="shared" si="47"/>
        <v>356.42</v>
      </c>
      <c r="W610" s="28"/>
      <c r="X610" s="31">
        <v>42315</v>
      </c>
      <c r="Y610" s="33">
        <v>560</v>
      </c>
      <c r="Z610" s="189">
        <f t="shared" si="48"/>
        <v>560</v>
      </c>
      <c r="AA610" s="190"/>
      <c r="AB610" s="31">
        <v>42318</v>
      </c>
      <c r="AC610" s="36">
        <v>356.42</v>
      </c>
      <c r="AD610" s="8"/>
      <c r="AE610" s="6"/>
      <c r="AF610" s="52">
        <f t="shared" si="45"/>
        <v>15079417.360000001</v>
      </c>
      <c r="AG610" s="25">
        <f t="shared" si="46"/>
        <v>23696400</v>
      </c>
      <c r="AH610" s="52">
        <f t="shared" si="49"/>
        <v>15082981.560000001</v>
      </c>
      <c r="AI610" s="6"/>
      <c r="AJ610" s="6"/>
      <c r="AK610" s="6"/>
      <c r="AL610" s="6"/>
      <c r="AM610" s="6"/>
      <c r="AN610" s="6"/>
      <c r="AO610" s="6"/>
      <c r="AP610" s="6"/>
      <c r="AQ610" s="6"/>
      <c r="AR610" s="6"/>
    </row>
    <row r="611" spans="1:44">
      <c r="A611" s="6"/>
      <c r="B611" s="6"/>
      <c r="C611" s="6"/>
      <c r="D611" s="6"/>
      <c r="E611" s="6"/>
      <c r="F611" s="6"/>
      <c r="G611" s="11"/>
      <c r="H611" s="6"/>
      <c r="I611" s="6"/>
      <c r="J611" s="6"/>
      <c r="K611" s="7"/>
      <c r="L611" s="21" t="str">
        <f>микс!$H$10</f>
        <v>продажа со склада</v>
      </c>
      <c r="M611" s="22"/>
      <c r="N611" s="22"/>
      <c r="O611" s="22" t="s">
        <v>140</v>
      </c>
      <c r="P611" s="23" t="str">
        <f>микс!$H$49</f>
        <v>Товары для детей</v>
      </c>
      <c r="Q611" s="21" t="s">
        <v>133</v>
      </c>
      <c r="R611" s="25">
        <v>1</v>
      </c>
      <c r="S611" s="28"/>
      <c r="T611" s="31">
        <v>42126</v>
      </c>
      <c r="U611" s="33">
        <v>356.43</v>
      </c>
      <c r="V611" s="36">
        <f t="shared" si="47"/>
        <v>356.43</v>
      </c>
      <c r="W611" s="28"/>
      <c r="X611" s="31">
        <v>42305</v>
      </c>
      <c r="Y611" s="33">
        <v>217</v>
      </c>
      <c r="Z611" s="189">
        <f t="shared" si="48"/>
        <v>217</v>
      </c>
      <c r="AA611" s="190"/>
      <c r="AB611" s="31"/>
      <c r="AC611" s="36"/>
      <c r="AD611" s="8"/>
      <c r="AE611" s="6"/>
      <c r="AF611" s="52">
        <f t="shared" si="45"/>
        <v>15014970.18</v>
      </c>
      <c r="AG611" s="25">
        <f t="shared" si="46"/>
        <v>9180185</v>
      </c>
      <c r="AH611" s="52">
        <f t="shared" si="49"/>
        <v>0</v>
      </c>
      <c r="AI611" s="6"/>
      <c r="AJ611" s="6"/>
      <c r="AK611" s="6"/>
      <c r="AL611" s="6"/>
      <c r="AM611" s="6"/>
      <c r="AN611" s="6"/>
      <c r="AO611" s="6"/>
      <c r="AP611" s="6"/>
      <c r="AQ611" s="6"/>
      <c r="AR611" s="6"/>
    </row>
    <row r="612" spans="1:44">
      <c r="A612" s="6"/>
      <c r="B612" s="6"/>
      <c r="C612" s="6"/>
      <c r="D612" s="6"/>
      <c r="E612" s="6"/>
      <c r="F612" s="6"/>
      <c r="G612" s="11"/>
      <c r="H612" s="6"/>
      <c r="I612" s="6"/>
      <c r="J612" s="6"/>
      <c r="K612" s="7"/>
      <c r="L612" s="21" t="str">
        <f>микс!$H$10</f>
        <v>продажа со склада</v>
      </c>
      <c r="M612" s="22"/>
      <c r="N612" s="22"/>
      <c r="O612" s="22" t="s">
        <v>140</v>
      </c>
      <c r="P612" s="23" t="str">
        <f>микс!$H$49</f>
        <v>Товары для детей</v>
      </c>
      <c r="Q612" s="21" t="s">
        <v>133</v>
      </c>
      <c r="R612" s="25">
        <v>1</v>
      </c>
      <c r="S612" s="28"/>
      <c r="T612" s="31">
        <v>42285</v>
      </c>
      <c r="U612" s="33">
        <v>350.64</v>
      </c>
      <c r="V612" s="36">
        <f t="shared" si="47"/>
        <v>350.64</v>
      </c>
      <c r="W612" s="28"/>
      <c r="X612" s="31">
        <v>42333</v>
      </c>
      <c r="Y612" s="33">
        <v>574</v>
      </c>
      <c r="Z612" s="189">
        <f t="shared" si="48"/>
        <v>574</v>
      </c>
      <c r="AA612" s="190"/>
      <c r="AB612" s="31">
        <v>42315</v>
      </c>
      <c r="AC612" s="36">
        <v>350.64</v>
      </c>
      <c r="AD612" s="8"/>
      <c r="AE612" s="6"/>
      <c r="AF612" s="52">
        <f t="shared" si="45"/>
        <v>14826812.399999999</v>
      </c>
      <c r="AG612" s="25">
        <f t="shared" si="46"/>
        <v>24299142</v>
      </c>
      <c r="AH612" s="52">
        <f t="shared" si="49"/>
        <v>14837331.6</v>
      </c>
      <c r="AI612" s="6"/>
      <c r="AJ612" s="6"/>
      <c r="AK612" s="6"/>
      <c r="AL612" s="6"/>
      <c r="AM612" s="6"/>
      <c r="AN612" s="6"/>
      <c r="AO612" s="6"/>
      <c r="AP612" s="6"/>
      <c r="AQ612" s="6"/>
      <c r="AR612" s="6"/>
    </row>
    <row r="613" spans="1:44">
      <c r="A613" s="6"/>
      <c r="B613" s="6"/>
      <c r="C613" s="6"/>
      <c r="D613" s="6"/>
      <c r="E613" s="6"/>
      <c r="F613" s="6"/>
      <c r="G613" s="11"/>
      <c r="H613" s="6"/>
      <c r="I613" s="6"/>
      <c r="J613" s="6"/>
      <c r="K613" s="7"/>
      <c r="L613" s="21" t="str">
        <f>микс!$H$11</f>
        <v>продажа под заказ</v>
      </c>
      <c r="M613" s="22"/>
      <c r="N613" s="22"/>
      <c r="O613" s="22" t="s">
        <v>140</v>
      </c>
      <c r="P613" s="23" t="str">
        <f>микс!$H$49</f>
        <v>Товары для детей</v>
      </c>
      <c r="Q613" s="21" t="s">
        <v>133</v>
      </c>
      <c r="R613" s="25">
        <v>1</v>
      </c>
      <c r="S613" s="28"/>
      <c r="T613" s="31">
        <v>42329</v>
      </c>
      <c r="U613" s="33">
        <v>367.82</v>
      </c>
      <c r="V613" s="36">
        <f t="shared" si="47"/>
        <v>367.82</v>
      </c>
      <c r="W613" s="28"/>
      <c r="X613" s="31">
        <v>42341</v>
      </c>
      <c r="Y613" s="33">
        <v>574</v>
      </c>
      <c r="Z613" s="189">
        <f t="shared" si="48"/>
        <v>574</v>
      </c>
      <c r="AA613" s="190"/>
      <c r="AB613" s="31">
        <v>42359</v>
      </c>
      <c r="AC613" s="36">
        <v>367.82</v>
      </c>
      <c r="AD613" s="8"/>
      <c r="AE613" s="6"/>
      <c r="AF613" s="52">
        <f t="shared" si="45"/>
        <v>15569452.779999999</v>
      </c>
      <c r="AG613" s="25">
        <f t="shared" si="46"/>
        <v>24303734</v>
      </c>
      <c r="AH613" s="52">
        <f t="shared" si="49"/>
        <v>15580487.379999999</v>
      </c>
      <c r="AI613" s="6"/>
      <c r="AJ613" s="6"/>
      <c r="AK613" s="6"/>
      <c r="AL613" s="6"/>
      <c r="AM613" s="6"/>
      <c r="AN613" s="6"/>
      <c r="AO613" s="6"/>
      <c r="AP613" s="6"/>
      <c r="AQ613" s="6"/>
      <c r="AR613" s="6"/>
    </row>
    <row r="614" spans="1:44">
      <c r="A614" s="6"/>
      <c r="B614" s="6"/>
      <c r="C614" s="6"/>
      <c r="D614" s="6"/>
      <c r="E614" s="6"/>
      <c r="F614" s="6"/>
      <c r="G614" s="11"/>
      <c r="H614" s="6"/>
      <c r="I614" s="6"/>
      <c r="J614" s="6"/>
      <c r="K614" s="7"/>
      <c r="L614" s="21" t="str">
        <f>микс!$H$11</f>
        <v>продажа под заказ</v>
      </c>
      <c r="M614" s="22"/>
      <c r="N614" s="22"/>
      <c r="O614" s="22" t="s">
        <v>140</v>
      </c>
      <c r="P614" s="23" t="str">
        <f>микс!$H$49</f>
        <v>Товары для детей</v>
      </c>
      <c r="Q614" s="21" t="s">
        <v>133</v>
      </c>
      <c r="R614" s="25">
        <v>1</v>
      </c>
      <c r="S614" s="28"/>
      <c r="T614" s="31">
        <v>42326</v>
      </c>
      <c r="U614" s="33">
        <v>351</v>
      </c>
      <c r="V614" s="36">
        <f t="shared" si="47"/>
        <v>351</v>
      </c>
      <c r="W614" s="28"/>
      <c r="X614" s="31">
        <v>42335</v>
      </c>
      <c r="Y614" s="33">
        <v>591</v>
      </c>
      <c r="Z614" s="189">
        <f t="shared" si="48"/>
        <v>591</v>
      </c>
      <c r="AA614" s="190"/>
      <c r="AB614" s="31"/>
      <c r="AC614" s="36"/>
      <c r="AD614" s="8"/>
      <c r="AE614" s="6"/>
      <c r="AF614" s="52">
        <f t="shared" si="45"/>
        <v>14856426</v>
      </c>
      <c r="AG614" s="25">
        <f t="shared" si="46"/>
        <v>25019985</v>
      </c>
      <c r="AH614" s="52">
        <f t="shared" si="49"/>
        <v>0</v>
      </c>
      <c r="AI614" s="6"/>
      <c r="AJ614" s="6"/>
      <c r="AK614" s="6"/>
      <c r="AL614" s="6"/>
      <c r="AM614" s="6"/>
      <c r="AN614" s="6"/>
      <c r="AO614" s="6"/>
      <c r="AP614" s="6"/>
      <c r="AQ614" s="6"/>
      <c r="AR614" s="6"/>
    </row>
    <row r="615" spans="1:44">
      <c r="A615" s="6"/>
      <c r="B615" s="6"/>
      <c r="C615" s="6"/>
      <c r="D615" s="6"/>
      <c r="E615" s="6"/>
      <c r="F615" s="6"/>
      <c r="G615" s="11"/>
      <c r="H615" s="6"/>
      <c r="I615" s="6"/>
      <c r="J615" s="6"/>
      <c r="K615" s="7"/>
      <c r="L615" s="21" t="str">
        <f>микс!$H$11</f>
        <v>продажа под заказ</v>
      </c>
      <c r="M615" s="22"/>
      <c r="N615" s="22"/>
      <c r="O615" s="22" t="s">
        <v>140</v>
      </c>
      <c r="P615" s="23" t="str">
        <f>микс!$H$49</f>
        <v>Товары для детей</v>
      </c>
      <c r="Q615" s="21" t="s">
        <v>133</v>
      </c>
      <c r="R615" s="25">
        <v>1</v>
      </c>
      <c r="S615" s="28"/>
      <c r="T615" s="31">
        <v>42317</v>
      </c>
      <c r="U615" s="33">
        <v>367.82</v>
      </c>
      <c r="V615" s="36">
        <f t="shared" si="47"/>
        <v>367.82</v>
      </c>
      <c r="W615" s="28"/>
      <c r="X615" s="31">
        <v>42325</v>
      </c>
      <c r="Y615" s="33">
        <v>591</v>
      </c>
      <c r="Z615" s="189">
        <f t="shared" si="48"/>
        <v>591</v>
      </c>
      <c r="AA615" s="190"/>
      <c r="AB615" s="31"/>
      <c r="AC615" s="36"/>
      <c r="AD615" s="8"/>
      <c r="AE615" s="6"/>
      <c r="AF615" s="52">
        <f t="shared" si="45"/>
        <v>15565038.939999999</v>
      </c>
      <c r="AG615" s="25">
        <f t="shared" si="46"/>
        <v>25014075</v>
      </c>
      <c r="AH615" s="52">
        <f t="shared" si="49"/>
        <v>0</v>
      </c>
      <c r="AI615" s="6"/>
      <c r="AJ615" s="6"/>
      <c r="AK615" s="6"/>
      <c r="AL615" s="6"/>
      <c r="AM615" s="6"/>
      <c r="AN615" s="6"/>
      <c r="AO615" s="6"/>
      <c r="AP615" s="6"/>
      <c r="AQ615" s="6"/>
      <c r="AR615" s="6"/>
    </row>
    <row r="616" spans="1:44">
      <c r="A616" s="6"/>
      <c r="B616" s="6"/>
      <c r="C616" s="6"/>
      <c r="D616" s="6"/>
      <c r="E616" s="6"/>
      <c r="F616" s="6"/>
      <c r="G616" s="11"/>
      <c r="H616" s="6"/>
      <c r="I616" s="6"/>
      <c r="J616" s="6"/>
      <c r="K616" s="7"/>
      <c r="L616" s="21" t="str">
        <f>микс!$H$11</f>
        <v>продажа под заказ</v>
      </c>
      <c r="M616" s="22"/>
      <c r="N616" s="22"/>
      <c r="O616" s="22" t="s">
        <v>140</v>
      </c>
      <c r="P616" s="23" t="str">
        <f>микс!$H$49</f>
        <v>Товары для детей</v>
      </c>
      <c r="Q616" s="21" t="s">
        <v>133</v>
      </c>
      <c r="R616" s="25">
        <v>1</v>
      </c>
      <c r="S616" s="28"/>
      <c r="T616" s="31">
        <v>42322</v>
      </c>
      <c r="U616" s="33">
        <v>350.64</v>
      </c>
      <c r="V616" s="36">
        <f t="shared" si="47"/>
        <v>350.64</v>
      </c>
      <c r="W616" s="28"/>
      <c r="X616" s="31">
        <v>42327</v>
      </c>
      <c r="Y616" s="33">
        <v>574</v>
      </c>
      <c r="Z616" s="189">
        <f t="shared" si="48"/>
        <v>574</v>
      </c>
      <c r="AA616" s="190"/>
      <c r="AB616" s="31"/>
      <c r="AC616" s="36"/>
      <c r="AD616" s="8"/>
      <c r="AE616" s="6"/>
      <c r="AF616" s="52">
        <f t="shared" si="45"/>
        <v>14839786.08</v>
      </c>
      <c r="AG616" s="25">
        <f t="shared" si="46"/>
        <v>24295698</v>
      </c>
      <c r="AH616" s="52">
        <f t="shared" si="49"/>
        <v>0</v>
      </c>
      <c r="AI616" s="6"/>
      <c r="AJ616" s="6"/>
      <c r="AK616" s="6"/>
      <c r="AL616" s="6"/>
      <c r="AM616" s="6"/>
      <c r="AN616" s="6"/>
      <c r="AO616" s="6"/>
      <c r="AP616" s="6"/>
      <c r="AQ616" s="6"/>
      <c r="AR616" s="6"/>
    </row>
    <row r="617" spans="1:44">
      <c r="A617" s="6"/>
      <c r="B617" s="6"/>
      <c r="C617" s="6"/>
      <c r="D617" s="6"/>
      <c r="E617" s="6"/>
      <c r="F617" s="6"/>
      <c r="G617" s="11"/>
      <c r="H617" s="6"/>
      <c r="I617" s="6"/>
      <c r="J617" s="6"/>
      <c r="K617" s="7"/>
      <c r="L617" s="21" t="str">
        <f>микс!$H$11</f>
        <v>продажа под заказ</v>
      </c>
      <c r="M617" s="22"/>
      <c r="N617" s="22"/>
      <c r="O617" s="22" t="s">
        <v>140</v>
      </c>
      <c r="P617" s="23" t="str">
        <f>микс!$H$49</f>
        <v>Товары для детей</v>
      </c>
      <c r="Q617" s="21" t="s">
        <v>133</v>
      </c>
      <c r="R617" s="25">
        <v>1</v>
      </c>
      <c r="S617" s="28"/>
      <c r="T617" s="31">
        <v>42336</v>
      </c>
      <c r="U617" s="33">
        <v>436.84</v>
      </c>
      <c r="V617" s="36">
        <f t="shared" si="47"/>
        <v>436.84</v>
      </c>
      <c r="W617" s="28"/>
      <c r="X617" s="31">
        <v>42346</v>
      </c>
      <c r="Y617" s="33">
        <v>521</v>
      </c>
      <c r="Z617" s="189">
        <f t="shared" si="48"/>
        <v>521</v>
      </c>
      <c r="AA617" s="190"/>
      <c r="AB617" s="31"/>
      <c r="AC617" s="36"/>
      <c r="AD617" s="8"/>
      <c r="AE617" s="6"/>
      <c r="AF617" s="52">
        <f t="shared" si="45"/>
        <v>18494058.239999998</v>
      </c>
      <c r="AG617" s="25">
        <f t="shared" si="46"/>
        <v>22062266</v>
      </c>
      <c r="AH617" s="52">
        <f t="shared" si="49"/>
        <v>0</v>
      </c>
      <c r="AI617" s="6"/>
      <c r="AJ617" s="6"/>
      <c r="AK617" s="6"/>
      <c r="AL617" s="6"/>
      <c r="AM617" s="6"/>
      <c r="AN617" s="6"/>
      <c r="AO617" s="6"/>
      <c r="AP617" s="6"/>
      <c r="AQ617" s="6"/>
      <c r="AR617" s="6"/>
    </row>
    <row r="618" spans="1:44">
      <c r="A618" s="6"/>
      <c r="B618" s="6"/>
      <c r="C618" s="6"/>
      <c r="D618" s="6"/>
      <c r="E618" s="6"/>
      <c r="F618" s="6"/>
      <c r="G618" s="11"/>
      <c r="H618" s="6"/>
      <c r="I618" s="6"/>
      <c r="J618" s="6"/>
      <c r="K618" s="7"/>
      <c r="L618" s="21" t="str">
        <f>микс!$H$11</f>
        <v>продажа под заказ</v>
      </c>
      <c r="M618" s="22"/>
      <c r="N618" s="22"/>
      <c r="O618" s="22" t="s">
        <v>140</v>
      </c>
      <c r="P618" s="23" t="str">
        <f>микс!$H$49</f>
        <v>Товары для детей</v>
      </c>
      <c r="Q618" s="21" t="s">
        <v>133</v>
      </c>
      <c r="R618" s="25">
        <v>1</v>
      </c>
      <c r="S618" s="28"/>
      <c r="T618" s="31">
        <v>42337</v>
      </c>
      <c r="U618" s="33">
        <v>436.84</v>
      </c>
      <c r="V618" s="36">
        <f t="shared" si="47"/>
        <v>436.84</v>
      </c>
      <c r="W618" s="28"/>
      <c r="X618" s="31">
        <v>42345</v>
      </c>
      <c r="Y618" s="33">
        <v>521</v>
      </c>
      <c r="Z618" s="189">
        <f t="shared" si="48"/>
        <v>521</v>
      </c>
      <c r="AA618" s="190"/>
      <c r="AB618" s="31">
        <v>42367</v>
      </c>
      <c r="AC618" s="36">
        <v>436.84</v>
      </c>
      <c r="AD618" s="8"/>
      <c r="AE618" s="6"/>
      <c r="AF618" s="52">
        <f t="shared" si="45"/>
        <v>18494495.079999998</v>
      </c>
      <c r="AG618" s="25">
        <f t="shared" si="46"/>
        <v>22061745</v>
      </c>
      <c r="AH618" s="52">
        <f t="shared" si="49"/>
        <v>18507600.279999997</v>
      </c>
      <c r="AI618" s="6"/>
      <c r="AJ618" s="6"/>
      <c r="AK618" s="6"/>
      <c r="AL618" s="6"/>
      <c r="AM618" s="6"/>
      <c r="AN618" s="6"/>
      <c r="AO618" s="6"/>
      <c r="AP618" s="6"/>
      <c r="AQ618" s="6"/>
      <c r="AR618" s="6"/>
    </row>
    <row r="619" spans="1:44">
      <c r="A619" s="6"/>
      <c r="B619" s="6"/>
      <c r="C619" s="6"/>
      <c r="D619" s="6"/>
      <c r="E619" s="6"/>
      <c r="F619" s="6"/>
      <c r="G619" s="11"/>
      <c r="H619" s="6"/>
      <c r="I619" s="6"/>
      <c r="J619" s="6"/>
      <c r="K619" s="7"/>
      <c r="L619" s="21" t="str">
        <f>микс!$H$11</f>
        <v>продажа под заказ</v>
      </c>
      <c r="M619" s="22"/>
      <c r="N619" s="22"/>
      <c r="O619" s="22" t="s">
        <v>140</v>
      </c>
      <c r="P619" s="23" t="str">
        <f>микс!$H$49</f>
        <v>Товары для детей</v>
      </c>
      <c r="Q619" s="21" t="s">
        <v>133</v>
      </c>
      <c r="R619" s="25">
        <v>1</v>
      </c>
      <c r="S619" s="28"/>
      <c r="T619" s="31">
        <v>42326</v>
      </c>
      <c r="U619" s="33">
        <v>1550.6</v>
      </c>
      <c r="V619" s="36">
        <f t="shared" si="47"/>
        <v>1550.6</v>
      </c>
      <c r="W619" s="28"/>
      <c r="X619" s="31">
        <v>42339</v>
      </c>
      <c r="Y619" s="33">
        <v>1878</v>
      </c>
      <c r="Z619" s="189">
        <f t="shared" si="48"/>
        <v>1878</v>
      </c>
      <c r="AA619" s="190"/>
      <c r="AB619" s="31">
        <v>42346</v>
      </c>
      <c r="AC619" s="36">
        <v>1550.6</v>
      </c>
      <c r="AD619" s="8"/>
      <c r="AE619" s="6"/>
      <c r="AF619" s="52">
        <f t="shared" si="45"/>
        <v>65630695.599999994</v>
      </c>
      <c r="AG619" s="25">
        <f t="shared" si="46"/>
        <v>79512642</v>
      </c>
      <c r="AH619" s="52">
        <f t="shared" si="49"/>
        <v>65661707.599999994</v>
      </c>
      <c r="AI619" s="6"/>
      <c r="AJ619" s="6"/>
      <c r="AK619" s="6"/>
      <c r="AL619" s="6"/>
      <c r="AM619" s="6"/>
      <c r="AN619" s="6"/>
      <c r="AO619" s="6"/>
      <c r="AP619" s="6"/>
      <c r="AQ619" s="6"/>
      <c r="AR619" s="6"/>
    </row>
    <row r="620" spans="1:44">
      <c r="A620" s="6"/>
      <c r="B620" s="6"/>
      <c r="C620" s="6"/>
      <c r="D620" s="6"/>
      <c r="E620" s="6"/>
      <c r="F620" s="6"/>
      <c r="G620" s="11"/>
      <c r="H620" s="6"/>
      <c r="I620" s="6"/>
      <c r="J620" s="6"/>
      <c r="K620" s="7"/>
      <c r="L620" s="21" t="str">
        <f>микс!$H$11</f>
        <v>продажа под заказ</v>
      </c>
      <c r="M620" s="22"/>
      <c r="N620" s="22"/>
      <c r="O620" s="22" t="s">
        <v>139</v>
      </c>
      <c r="P620" s="23" t="str">
        <f>микс!$H$49</f>
        <v>Товары для детей</v>
      </c>
      <c r="Q620" s="21" t="s">
        <v>103</v>
      </c>
      <c r="R620" s="25">
        <v>1</v>
      </c>
      <c r="S620" s="28"/>
      <c r="T620" s="31">
        <v>42320</v>
      </c>
      <c r="U620" s="33">
        <v>919.08</v>
      </c>
      <c r="V620" s="36">
        <f t="shared" si="47"/>
        <v>919.08</v>
      </c>
      <c r="W620" s="28"/>
      <c r="X620" s="31">
        <v>42322</v>
      </c>
      <c r="Y620" s="33">
        <v>1405</v>
      </c>
      <c r="Z620" s="189">
        <f t="shared" si="48"/>
        <v>1405</v>
      </c>
      <c r="AA620" s="190"/>
      <c r="AB620" s="31"/>
      <c r="AC620" s="36"/>
      <c r="AD620" s="8"/>
      <c r="AE620" s="6"/>
      <c r="AF620" s="52">
        <f t="shared" si="45"/>
        <v>38895465.600000001</v>
      </c>
      <c r="AG620" s="25">
        <f t="shared" si="46"/>
        <v>59462410</v>
      </c>
      <c r="AH620" s="52">
        <f t="shared" si="49"/>
        <v>0</v>
      </c>
      <c r="AI620" s="6"/>
      <c r="AJ620" s="6"/>
      <c r="AK620" s="6"/>
      <c r="AL620" s="6"/>
      <c r="AM620" s="6"/>
      <c r="AN620" s="6"/>
      <c r="AO620" s="6"/>
      <c r="AP620" s="6"/>
      <c r="AQ620" s="6"/>
      <c r="AR620" s="6"/>
    </row>
    <row r="621" spans="1:44">
      <c r="A621" s="6"/>
      <c r="B621" s="6"/>
      <c r="C621" s="6"/>
      <c r="D621" s="6"/>
      <c r="E621" s="6"/>
      <c r="F621" s="6"/>
      <c r="G621" s="11"/>
      <c r="H621" s="6"/>
      <c r="I621" s="6"/>
      <c r="J621" s="6"/>
      <c r="K621" s="7"/>
      <c r="L621" s="21" t="str">
        <f>микс!$H$11</f>
        <v>продажа под заказ</v>
      </c>
      <c r="M621" s="22"/>
      <c r="N621" s="22"/>
      <c r="O621" s="22" t="s">
        <v>139</v>
      </c>
      <c r="P621" s="23" t="str">
        <f>микс!$H$49</f>
        <v>Товары для детей</v>
      </c>
      <c r="Q621" s="21" t="s">
        <v>103</v>
      </c>
      <c r="R621" s="25">
        <v>1</v>
      </c>
      <c r="S621" s="28"/>
      <c r="T621" s="31">
        <v>42322</v>
      </c>
      <c r="U621" s="33">
        <v>968.09</v>
      </c>
      <c r="V621" s="36">
        <f t="shared" si="47"/>
        <v>968.09</v>
      </c>
      <c r="W621" s="28"/>
      <c r="X621" s="31">
        <v>42332</v>
      </c>
      <c r="Y621" s="33">
        <v>1173</v>
      </c>
      <c r="Z621" s="189">
        <f t="shared" si="48"/>
        <v>1173</v>
      </c>
      <c r="AA621" s="190"/>
      <c r="AB621" s="31">
        <v>42332</v>
      </c>
      <c r="AC621" s="36">
        <v>968.09</v>
      </c>
      <c r="AD621" s="8"/>
      <c r="AE621" s="6"/>
      <c r="AF621" s="52">
        <f t="shared" si="45"/>
        <v>40971504.980000004</v>
      </c>
      <c r="AG621" s="25">
        <f t="shared" si="46"/>
        <v>49655436</v>
      </c>
      <c r="AH621" s="52">
        <f t="shared" si="49"/>
        <v>40981185.880000003</v>
      </c>
      <c r="AI621" s="6"/>
      <c r="AJ621" s="6"/>
      <c r="AK621" s="6"/>
      <c r="AL621" s="6"/>
      <c r="AM621" s="6"/>
      <c r="AN621" s="6"/>
      <c r="AO621" s="6"/>
      <c r="AP621" s="6"/>
      <c r="AQ621" s="6"/>
      <c r="AR621" s="6"/>
    </row>
    <row r="622" spans="1:44">
      <c r="A622" s="6"/>
      <c r="B622" s="6"/>
      <c r="C622" s="6"/>
      <c r="D622" s="6"/>
      <c r="E622" s="6"/>
      <c r="F622" s="6"/>
      <c r="G622" s="11"/>
      <c r="H622" s="6"/>
      <c r="I622" s="6"/>
      <c r="J622" s="6"/>
      <c r="K622" s="7"/>
      <c r="L622" s="21" t="str">
        <f>микс!$H$10</f>
        <v>продажа со склада</v>
      </c>
      <c r="M622" s="22"/>
      <c r="N622" s="22"/>
      <c r="O622" s="22" t="s">
        <v>146</v>
      </c>
      <c r="P622" s="23" t="str">
        <f>микс!$H$49</f>
        <v>Товары для детей</v>
      </c>
      <c r="Q622" s="21" t="s">
        <v>103</v>
      </c>
      <c r="R622" s="25">
        <v>1</v>
      </c>
      <c r="S622" s="28"/>
      <c r="T622" s="31">
        <v>42286</v>
      </c>
      <c r="U622" s="33">
        <v>919.08</v>
      </c>
      <c r="V622" s="36">
        <f t="shared" si="47"/>
        <v>919.08</v>
      </c>
      <c r="W622" s="28"/>
      <c r="X622" s="31">
        <v>42342</v>
      </c>
      <c r="Y622" s="33">
        <v>1207</v>
      </c>
      <c r="Z622" s="189">
        <f t="shared" si="48"/>
        <v>1207</v>
      </c>
      <c r="AA622" s="190"/>
      <c r="AB622" s="31">
        <v>42316</v>
      </c>
      <c r="AC622" s="36">
        <v>919.08</v>
      </c>
      <c r="AD622" s="8"/>
      <c r="AE622" s="6"/>
      <c r="AF622" s="52">
        <f t="shared" si="45"/>
        <v>38864216.880000003</v>
      </c>
      <c r="AG622" s="25">
        <f t="shared" si="46"/>
        <v>51106794</v>
      </c>
      <c r="AH622" s="52">
        <f t="shared" si="49"/>
        <v>38891789.280000001</v>
      </c>
      <c r="AI622" s="6"/>
      <c r="AJ622" s="6"/>
      <c r="AK622" s="6"/>
      <c r="AL622" s="6"/>
      <c r="AM622" s="6"/>
      <c r="AN622" s="6"/>
      <c r="AO622" s="6"/>
      <c r="AP622" s="6"/>
      <c r="AQ622" s="6"/>
      <c r="AR622" s="6"/>
    </row>
    <row r="623" spans="1:44">
      <c r="A623" s="6"/>
      <c r="B623" s="6"/>
      <c r="C623" s="6"/>
      <c r="D623" s="6"/>
      <c r="E623" s="6"/>
      <c r="F623" s="6"/>
      <c r="G623" s="11"/>
      <c r="H623" s="6"/>
      <c r="I623" s="6"/>
      <c r="J623" s="6"/>
      <c r="K623" s="7"/>
      <c r="L623" s="21" t="str">
        <f>микс!$H$10</f>
        <v>продажа со склада</v>
      </c>
      <c r="M623" s="22"/>
      <c r="N623" s="22"/>
      <c r="O623" s="22" t="s">
        <v>146</v>
      </c>
      <c r="P623" s="23" t="str">
        <f>микс!$H$49</f>
        <v>Товары для детей</v>
      </c>
      <c r="Q623" s="21" t="s">
        <v>103</v>
      </c>
      <c r="R623" s="25">
        <v>1</v>
      </c>
      <c r="S623" s="28"/>
      <c r="T623" s="31">
        <v>42267</v>
      </c>
      <c r="U623" s="33">
        <v>705.85</v>
      </c>
      <c r="V623" s="36">
        <f t="shared" si="47"/>
        <v>705.85</v>
      </c>
      <c r="W623" s="28"/>
      <c r="X623" s="31">
        <v>42320</v>
      </c>
      <c r="Y623" s="33">
        <v>970</v>
      </c>
      <c r="Z623" s="189">
        <f t="shared" si="48"/>
        <v>970</v>
      </c>
      <c r="AA623" s="190"/>
      <c r="AB623" s="31">
        <v>42288</v>
      </c>
      <c r="AC623" s="36">
        <v>705.85</v>
      </c>
      <c r="AD623" s="8"/>
      <c r="AE623" s="6"/>
      <c r="AF623" s="52">
        <f t="shared" si="45"/>
        <v>29834161.949999999</v>
      </c>
      <c r="AG623" s="25">
        <f t="shared" si="46"/>
        <v>41050400</v>
      </c>
      <c r="AH623" s="52">
        <f t="shared" si="49"/>
        <v>29848984.800000001</v>
      </c>
      <c r="AI623" s="6"/>
      <c r="AJ623" s="6"/>
      <c r="AK623" s="6"/>
      <c r="AL623" s="6"/>
      <c r="AM623" s="6"/>
      <c r="AN623" s="6"/>
      <c r="AO623" s="6"/>
      <c r="AP623" s="6"/>
      <c r="AQ623" s="6"/>
      <c r="AR623" s="6"/>
    </row>
    <row r="624" spans="1:44">
      <c r="A624" s="6"/>
      <c r="B624" s="6"/>
      <c r="C624" s="6"/>
      <c r="D624" s="6"/>
      <c r="E624" s="6"/>
      <c r="F624" s="6"/>
      <c r="G624" s="11"/>
      <c r="H624" s="6"/>
      <c r="I624" s="6"/>
      <c r="J624" s="6"/>
      <c r="K624" s="7"/>
      <c r="L624" s="21" t="str">
        <f>микс!$H$11</f>
        <v>продажа под заказ</v>
      </c>
      <c r="M624" s="22"/>
      <c r="N624" s="22"/>
      <c r="O624" s="22" t="s">
        <v>146</v>
      </c>
      <c r="P624" s="23" t="str">
        <f>микс!$H$49</f>
        <v>Товары для детей</v>
      </c>
      <c r="Q624" s="21" t="s">
        <v>103</v>
      </c>
      <c r="R624" s="25">
        <v>1</v>
      </c>
      <c r="S624" s="28"/>
      <c r="T624" s="31">
        <v>42323</v>
      </c>
      <c r="U624" s="33">
        <v>1080</v>
      </c>
      <c r="V624" s="36">
        <f t="shared" si="47"/>
        <v>1080</v>
      </c>
      <c r="W624" s="28"/>
      <c r="X624" s="31">
        <v>42332</v>
      </c>
      <c r="Y624" s="33">
        <v>1514</v>
      </c>
      <c r="Z624" s="189">
        <f t="shared" si="48"/>
        <v>1514</v>
      </c>
      <c r="AA624" s="190"/>
      <c r="AB624" s="31"/>
      <c r="AC624" s="36"/>
      <c r="AD624" s="8"/>
      <c r="AE624" s="6"/>
      <c r="AF624" s="52">
        <f t="shared" si="45"/>
        <v>45708840</v>
      </c>
      <c r="AG624" s="25">
        <f t="shared" si="46"/>
        <v>64090648</v>
      </c>
      <c r="AH624" s="52">
        <f t="shared" si="49"/>
        <v>0</v>
      </c>
      <c r="AI624" s="6"/>
      <c r="AJ624" s="6"/>
      <c r="AK624" s="6"/>
      <c r="AL624" s="6"/>
      <c r="AM624" s="6"/>
      <c r="AN624" s="6"/>
      <c r="AO624" s="6"/>
      <c r="AP624" s="6"/>
      <c r="AQ624" s="6"/>
      <c r="AR624" s="6"/>
    </row>
    <row r="625" spans="1:44">
      <c r="A625" s="6"/>
      <c r="B625" s="6"/>
      <c r="C625" s="6"/>
      <c r="D625" s="6"/>
      <c r="E625" s="6"/>
      <c r="F625" s="6"/>
      <c r="G625" s="11"/>
      <c r="H625" s="6"/>
      <c r="I625" s="6"/>
      <c r="J625" s="6"/>
      <c r="K625" s="7"/>
      <c r="L625" s="21" t="str">
        <f>микс!$H$11</f>
        <v>продажа под заказ</v>
      </c>
      <c r="M625" s="22"/>
      <c r="N625" s="22"/>
      <c r="O625" s="22" t="s">
        <v>146</v>
      </c>
      <c r="P625" s="23" t="str">
        <f>микс!$H$49</f>
        <v>Товары для детей</v>
      </c>
      <c r="Q625" s="21" t="s">
        <v>103</v>
      </c>
      <c r="R625" s="25">
        <v>1</v>
      </c>
      <c r="S625" s="28"/>
      <c r="T625" s="31">
        <v>42305</v>
      </c>
      <c r="U625" s="33">
        <v>1055.3800000000001</v>
      </c>
      <c r="V625" s="36">
        <f t="shared" si="47"/>
        <v>1055.3800000000001</v>
      </c>
      <c r="W625" s="28"/>
      <c r="X625" s="31">
        <v>42307</v>
      </c>
      <c r="Y625" s="33">
        <v>1514</v>
      </c>
      <c r="Z625" s="189">
        <f t="shared" si="48"/>
        <v>1514</v>
      </c>
      <c r="AA625" s="190"/>
      <c r="AB625" s="31">
        <v>42335</v>
      </c>
      <c r="AC625" s="36">
        <v>1055.3800000000001</v>
      </c>
      <c r="AD625" s="8"/>
      <c r="AE625" s="6"/>
      <c r="AF625" s="52">
        <f t="shared" si="45"/>
        <v>44647850.900000006</v>
      </c>
      <c r="AG625" s="25">
        <f t="shared" si="46"/>
        <v>64052798</v>
      </c>
      <c r="AH625" s="52">
        <f t="shared" si="49"/>
        <v>44679512.300000004</v>
      </c>
      <c r="AI625" s="6"/>
      <c r="AJ625" s="6"/>
      <c r="AK625" s="6"/>
      <c r="AL625" s="6"/>
      <c r="AM625" s="6"/>
      <c r="AN625" s="6"/>
      <c r="AO625" s="6"/>
      <c r="AP625" s="6"/>
      <c r="AQ625" s="6"/>
      <c r="AR625" s="6"/>
    </row>
    <row r="626" spans="1:44">
      <c r="A626" s="6"/>
      <c r="B626" s="6"/>
      <c r="C626" s="6"/>
      <c r="D626" s="6"/>
      <c r="E626" s="6"/>
      <c r="F626" s="6"/>
      <c r="G626" s="11"/>
      <c r="H626" s="6"/>
      <c r="I626" s="6"/>
      <c r="J626" s="6"/>
      <c r="K626" s="7"/>
      <c r="L626" s="21" t="str">
        <f>микс!$H$11</f>
        <v>продажа под заказ</v>
      </c>
      <c r="M626" s="22"/>
      <c r="N626" s="22"/>
      <c r="O626" s="22" t="s">
        <v>140</v>
      </c>
      <c r="P626" s="23" t="str">
        <f>микс!$H$49</f>
        <v>Товары для детей</v>
      </c>
      <c r="Q626" s="21" t="s">
        <v>98</v>
      </c>
      <c r="R626" s="25">
        <v>1</v>
      </c>
      <c r="S626" s="28"/>
      <c r="T626" s="31">
        <v>42314</v>
      </c>
      <c r="U626" s="33">
        <v>2059.81</v>
      </c>
      <c r="V626" s="36">
        <f t="shared" si="47"/>
        <v>2059.81</v>
      </c>
      <c r="W626" s="28"/>
      <c r="X626" s="31">
        <v>42325</v>
      </c>
      <c r="Y626" s="33">
        <v>2678</v>
      </c>
      <c r="Z626" s="189">
        <f t="shared" si="48"/>
        <v>2678</v>
      </c>
      <c r="AA626" s="190"/>
      <c r="AB626" s="31">
        <v>42329</v>
      </c>
      <c r="AC626" s="36">
        <v>2059.81</v>
      </c>
      <c r="AD626" s="8"/>
      <c r="AE626" s="6"/>
      <c r="AF626" s="52">
        <f t="shared" si="45"/>
        <v>87158800.340000004</v>
      </c>
      <c r="AG626" s="25">
        <f t="shared" si="46"/>
        <v>113346350</v>
      </c>
      <c r="AH626" s="52">
        <f t="shared" si="49"/>
        <v>87189697.489999995</v>
      </c>
      <c r="AI626" s="6"/>
      <c r="AJ626" s="6"/>
      <c r="AK626" s="6"/>
      <c r="AL626" s="6"/>
      <c r="AM626" s="6"/>
      <c r="AN626" s="6"/>
      <c r="AO626" s="6"/>
      <c r="AP626" s="6"/>
      <c r="AQ626" s="6"/>
      <c r="AR626" s="6"/>
    </row>
    <row r="627" spans="1:44">
      <c r="A627" s="6"/>
      <c r="B627" s="6"/>
      <c r="C627" s="6"/>
      <c r="D627" s="6"/>
      <c r="E627" s="6"/>
      <c r="F627" s="6"/>
      <c r="G627" s="11"/>
      <c r="H627" s="6"/>
      <c r="I627" s="6"/>
      <c r="J627" s="6"/>
      <c r="K627" s="7"/>
      <c r="L627" s="21" t="str">
        <f>микс!$H$11</f>
        <v>продажа под заказ</v>
      </c>
      <c r="M627" s="22"/>
      <c r="N627" s="22"/>
      <c r="O627" s="22" t="s">
        <v>140</v>
      </c>
      <c r="P627" s="23" t="str">
        <f>микс!$H$49</f>
        <v>Товары для детей</v>
      </c>
      <c r="Q627" s="21" t="s">
        <v>98</v>
      </c>
      <c r="R627" s="25">
        <v>1</v>
      </c>
      <c r="S627" s="28"/>
      <c r="T627" s="31">
        <v>42326</v>
      </c>
      <c r="U627" s="33">
        <v>2188.9</v>
      </c>
      <c r="V627" s="36">
        <f t="shared" si="47"/>
        <v>2188.9</v>
      </c>
      <c r="W627" s="28"/>
      <c r="X627" s="31">
        <v>42328</v>
      </c>
      <c r="Y627" s="33">
        <v>2798</v>
      </c>
      <c r="Z627" s="189">
        <f t="shared" si="48"/>
        <v>2798</v>
      </c>
      <c r="AA627" s="190"/>
      <c r="AB627" s="31">
        <v>42348</v>
      </c>
      <c r="AC627" s="36">
        <v>2188.9</v>
      </c>
      <c r="AD627" s="8"/>
      <c r="AE627" s="6"/>
      <c r="AF627" s="52">
        <f t="shared" si="45"/>
        <v>92647381.400000006</v>
      </c>
      <c r="AG627" s="25">
        <f t="shared" si="46"/>
        <v>118433744</v>
      </c>
      <c r="AH627" s="52">
        <f t="shared" si="49"/>
        <v>92695537.200000003</v>
      </c>
      <c r="AI627" s="6"/>
      <c r="AJ627" s="6"/>
      <c r="AK627" s="6"/>
      <c r="AL627" s="6"/>
      <c r="AM627" s="6"/>
      <c r="AN627" s="6"/>
      <c r="AO627" s="6"/>
      <c r="AP627" s="6"/>
      <c r="AQ627" s="6"/>
      <c r="AR627" s="6"/>
    </row>
    <row r="628" spans="1:44">
      <c r="A628" s="6"/>
      <c r="B628" s="6"/>
      <c r="C628" s="6"/>
      <c r="D628" s="6"/>
      <c r="E628" s="6"/>
      <c r="F628" s="6"/>
      <c r="G628" s="11"/>
      <c r="H628" s="6"/>
      <c r="I628" s="6"/>
      <c r="J628" s="6"/>
      <c r="K628" s="7"/>
      <c r="L628" s="21" t="str">
        <f>микс!$H$11</f>
        <v>продажа под заказ</v>
      </c>
      <c r="M628" s="22"/>
      <c r="N628" s="22"/>
      <c r="O628" s="22" t="s">
        <v>143</v>
      </c>
      <c r="P628" s="23" t="str">
        <f>микс!$H$47</f>
        <v>Домашнее хозяйство</v>
      </c>
      <c r="Q628" s="21" t="s">
        <v>104</v>
      </c>
      <c r="R628" s="25">
        <v>1</v>
      </c>
      <c r="S628" s="28"/>
      <c r="T628" s="31">
        <v>42323</v>
      </c>
      <c r="U628" s="33">
        <v>2959.45</v>
      </c>
      <c r="V628" s="36">
        <f t="shared" si="47"/>
        <v>2959.45</v>
      </c>
      <c r="W628" s="28"/>
      <c r="X628" s="31">
        <v>42327</v>
      </c>
      <c r="Y628" s="33">
        <v>3770</v>
      </c>
      <c r="Z628" s="189">
        <f t="shared" si="48"/>
        <v>3770</v>
      </c>
      <c r="AA628" s="190"/>
      <c r="AB628" s="31"/>
      <c r="AC628" s="36"/>
      <c r="AD628" s="8"/>
      <c r="AE628" s="6"/>
      <c r="AF628" s="52">
        <f t="shared" si="45"/>
        <v>125252802.34999999</v>
      </c>
      <c r="AG628" s="25">
        <f t="shared" si="46"/>
        <v>159572790</v>
      </c>
      <c r="AH628" s="52">
        <f t="shared" si="49"/>
        <v>0</v>
      </c>
      <c r="AI628" s="6"/>
      <c r="AJ628" s="6"/>
      <c r="AK628" s="6"/>
      <c r="AL628" s="6"/>
      <c r="AM628" s="6"/>
      <c r="AN628" s="6"/>
      <c r="AO628" s="6"/>
      <c r="AP628" s="6"/>
      <c r="AQ628" s="6"/>
      <c r="AR628" s="6"/>
    </row>
    <row r="629" spans="1:44">
      <c r="A629" s="6"/>
      <c r="B629" s="6"/>
      <c r="C629" s="6"/>
      <c r="D629" s="6"/>
      <c r="E629" s="6"/>
      <c r="F629" s="6"/>
      <c r="G629" s="11"/>
      <c r="H629" s="6"/>
      <c r="I629" s="6"/>
      <c r="J629" s="6"/>
      <c r="K629" s="7"/>
      <c r="L629" s="21" t="str">
        <f>микс!$H$11</f>
        <v>продажа под заказ</v>
      </c>
      <c r="M629" s="22"/>
      <c r="N629" s="22"/>
      <c r="O629" s="22" t="s">
        <v>135</v>
      </c>
      <c r="P629" s="23" t="str">
        <f>микс!$H$49</f>
        <v>Товары для детей</v>
      </c>
      <c r="Q629" s="21" t="s">
        <v>105</v>
      </c>
      <c r="R629" s="25">
        <v>2</v>
      </c>
      <c r="S629" s="28"/>
      <c r="T629" s="31">
        <v>42318</v>
      </c>
      <c r="U629" s="33">
        <v>584.32000000000005</v>
      </c>
      <c r="V629" s="36">
        <f t="shared" si="47"/>
        <v>1168.6400000000001</v>
      </c>
      <c r="W629" s="28"/>
      <c r="X629" s="31">
        <v>42320</v>
      </c>
      <c r="Y629" s="33">
        <v>813</v>
      </c>
      <c r="Z629" s="189">
        <f t="shared" si="48"/>
        <v>1626</v>
      </c>
      <c r="AA629" s="190"/>
      <c r="AB629" s="31">
        <v>42323</v>
      </c>
      <c r="AC629" s="36">
        <v>1168.6400000000001</v>
      </c>
      <c r="AD629" s="8"/>
      <c r="AE629" s="6"/>
      <c r="AF629" s="52">
        <f t="shared" si="45"/>
        <v>49454507.520000003</v>
      </c>
      <c r="AG629" s="25">
        <f t="shared" si="46"/>
        <v>68812320</v>
      </c>
      <c r="AH629" s="52">
        <f t="shared" si="49"/>
        <v>49460350.720000006</v>
      </c>
      <c r="AI629" s="6"/>
      <c r="AJ629" s="6"/>
      <c r="AK629" s="6"/>
      <c r="AL629" s="6"/>
      <c r="AM629" s="6"/>
      <c r="AN629" s="6"/>
      <c r="AO629" s="6"/>
      <c r="AP629" s="6"/>
      <c r="AQ629" s="6"/>
      <c r="AR629" s="6"/>
    </row>
    <row r="630" spans="1:44">
      <c r="A630" s="6"/>
      <c r="B630" s="6"/>
      <c r="C630" s="6"/>
      <c r="D630" s="6"/>
      <c r="E630" s="6"/>
      <c r="F630" s="6"/>
      <c r="G630" s="11"/>
      <c r="H630" s="6"/>
      <c r="I630" s="6"/>
      <c r="J630" s="6"/>
      <c r="K630" s="7"/>
      <c r="L630" s="21" t="str">
        <f>микс!$H$10</f>
        <v>продажа со склада</v>
      </c>
      <c r="M630" s="22"/>
      <c r="N630" s="22"/>
      <c r="O630" s="22" t="s">
        <v>136</v>
      </c>
      <c r="P630" s="23" t="str">
        <f>микс!$H$48</f>
        <v>Спортивный инвентарь</v>
      </c>
      <c r="Q630" s="21" t="s">
        <v>78</v>
      </c>
      <c r="R630" s="25">
        <v>1</v>
      </c>
      <c r="S630" s="28"/>
      <c r="T630" s="31">
        <v>42272</v>
      </c>
      <c r="U630" s="33">
        <v>1156.32</v>
      </c>
      <c r="V630" s="36">
        <f t="shared" si="47"/>
        <v>1156.32</v>
      </c>
      <c r="W630" s="28"/>
      <c r="X630" s="31">
        <v>42320</v>
      </c>
      <c r="Y630" s="33">
        <v>1264</v>
      </c>
      <c r="Z630" s="189">
        <f t="shared" si="48"/>
        <v>1264</v>
      </c>
      <c r="AA630" s="190"/>
      <c r="AB630" s="31">
        <v>42312</v>
      </c>
      <c r="AC630" s="36">
        <v>1156.32</v>
      </c>
      <c r="AD630" s="8"/>
      <c r="AE630" s="6"/>
      <c r="AF630" s="52">
        <f t="shared" si="45"/>
        <v>48879959.039999999</v>
      </c>
      <c r="AG630" s="25">
        <f t="shared" si="46"/>
        <v>53492480</v>
      </c>
      <c r="AH630" s="52">
        <f t="shared" si="49"/>
        <v>48926211.839999996</v>
      </c>
      <c r="AI630" s="6"/>
      <c r="AJ630" s="6"/>
      <c r="AK630" s="6"/>
      <c r="AL630" s="6"/>
      <c r="AM630" s="6"/>
      <c r="AN630" s="6"/>
      <c r="AO630" s="6"/>
      <c r="AP630" s="6"/>
      <c r="AQ630" s="6"/>
      <c r="AR630" s="6"/>
    </row>
    <row r="631" spans="1:44">
      <c r="A631" s="6"/>
      <c r="B631" s="6"/>
      <c r="C631" s="6"/>
      <c r="D631" s="6"/>
      <c r="E631" s="6"/>
      <c r="F631" s="6"/>
      <c r="G631" s="11"/>
      <c r="H631" s="6"/>
      <c r="I631" s="6"/>
      <c r="J631" s="6"/>
      <c r="K631" s="7"/>
      <c r="L631" s="21" t="str">
        <f>микс!$H$11</f>
        <v>продажа под заказ</v>
      </c>
      <c r="M631" s="22"/>
      <c r="N631" s="22"/>
      <c r="O631" s="22" t="s">
        <v>144</v>
      </c>
      <c r="P631" s="23" t="str">
        <f>микс!$H$48</f>
        <v>Спортивный инвентарь</v>
      </c>
      <c r="Q631" s="21" t="s">
        <v>78</v>
      </c>
      <c r="R631" s="25">
        <v>1</v>
      </c>
      <c r="S631" s="28"/>
      <c r="T631" s="31">
        <v>42302</v>
      </c>
      <c r="U631" s="33">
        <v>1156.32</v>
      </c>
      <c r="V631" s="36">
        <f t="shared" si="47"/>
        <v>1156.32</v>
      </c>
      <c r="W631" s="28"/>
      <c r="X631" s="31">
        <v>42306</v>
      </c>
      <c r="Y631" s="33">
        <v>1234</v>
      </c>
      <c r="Z631" s="189">
        <f t="shared" si="48"/>
        <v>1234</v>
      </c>
      <c r="AA631" s="190"/>
      <c r="AB631" s="31">
        <v>42337</v>
      </c>
      <c r="AC631" s="36">
        <v>1156.32</v>
      </c>
      <c r="AD631" s="8"/>
      <c r="AE631" s="6"/>
      <c r="AF631" s="52">
        <f t="shared" si="45"/>
        <v>48914648.640000001</v>
      </c>
      <c r="AG631" s="25">
        <f t="shared" si="46"/>
        <v>52205604</v>
      </c>
      <c r="AH631" s="52">
        <f t="shared" si="49"/>
        <v>48955119.839999996</v>
      </c>
      <c r="AI631" s="6"/>
      <c r="AJ631" s="6"/>
      <c r="AK631" s="6"/>
      <c r="AL631" s="6"/>
      <c r="AM631" s="6"/>
      <c r="AN631" s="6"/>
      <c r="AO631" s="6"/>
      <c r="AP631" s="6"/>
      <c r="AQ631" s="6"/>
      <c r="AR631" s="6"/>
    </row>
    <row r="632" spans="1:44">
      <c r="A632" s="6"/>
      <c r="B632" s="6"/>
      <c r="C632" s="6"/>
      <c r="D632" s="6"/>
      <c r="E632" s="6"/>
      <c r="F632" s="6"/>
      <c r="G632" s="11"/>
      <c r="H632" s="6"/>
      <c r="I632" s="6"/>
      <c r="J632" s="6"/>
      <c r="K632" s="7"/>
      <c r="L632" s="21" t="str">
        <f>микс!$H$11</f>
        <v>продажа под заказ</v>
      </c>
      <c r="M632" s="22"/>
      <c r="N632" s="22"/>
      <c r="O632" s="22" t="s">
        <v>144</v>
      </c>
      <c r="P632" s="23" t="str">
        <f>микс!$H$48</f>
        <v>Спортивный инвентарь</v>
      </c>
      <c r="Q632" s="21" t="s">
        <v>78</v>
      </c>
      <c r="R632" s="25">
        <v>1</v>
      </c>
      <c r="S632" s="28"/>
      <c r="T632" s="31">
        <v>42335</v>
      </c>
      <c r="U632" s="33">
        <v>1156.32</v>
      </c>
      <c r="V632" s="36">
        <f t="shared" si="47"/>
        <v>1156.32</v>
      </c>
      <c r="W632" s="28"/>
      <c r="X632" s="31">
        <v>42341</v>
      </c>
      <c r="Y632" s="33">
        <v>1286</v>
      </c>
      <c r="Z632" s="189">
        <f t="shared" si="48"/>
        <v>1286</v>
      </c>
      <c r="AA632" s="190"/>
      <c r="AB632" s="31">
        <v>42350</v>
      </c>
      <c r="AC632" s="36">
        <v>1156.32</v>
      </c>
      <c r="AD632" s="8"/>
      <c r="AE632" s="6"/>
      <c r="AF632" s="52">
        <f t="shared" si="45"/>
        <v>48952807.199999996</v>
      </c>
      <c r="AG632" s="25">
        <f t="shared" si="46"/>
        <v>54450526</v>
      </c>
      <c r="AH632" s="52">
        <f t="shared" si="49"/>
        <v>48970152</v>
      </c>
      <c r="AI632" s="6"/>
      <c r="AJ632" s="6"/>
      <c r="AK632" s="6"/>
      <c r="AL632" s="6"/>
      <c r="AM632" s="6"/>
      <c r="AN632" s="6"/>
      <c r="AO632" s="6"/>
      <c r="AP632" s="6"/>
      <c r="AQ632" s="6"/>
      <c r="AR632" s="6"/>
    </row>
    <row r="633" spans="1:44">
      <c r="A633" s="6"/>
      <c r="B633" s="6"/>
      <c r="C633" s="6"/>
      <c r="D633" s="6"/>
      <c r="E633" s="6"/>
      <c r="F633" s="6"/>
      <c r="G633" s="11"/>
      <c r="H633" s="6"/>
      <c r="I633" s="6"/>
      <c r="J633" s="6"/>
      <c r="K633" s="7"/>
      <c r="L633" s="21" t="str">
        <f>микс!$H$10</f>
        <v>продажа со склада</v>
      </c>
      <c r="M633" s="22"/>
      <c r="N633" s="22"/>
      <c r="O633" s="22" t="s">
        <v>138</v>
      </c>
      <c r="P633" s="23" t="str">
        <f>микс!$H$49</f>
        <v>Товары для детей</v>
      </c>
      <c r="Q633" s="21" t="s">
        <v>106</v>
      </c>
      <c r="R633" s="25">
        <v>1</v>
      </c>
      <c r="S633" s="28"/>
      <c r="T633" s="31">
        <v>42260</v>
      </c>
      <c r="U633" s="33">
        <v>1570</v>
      </c>
      <c r="V633" s="36">
        <f t="shared" si="47"/>
        <v>1570</v>
      </c>
      <c r="W633" s="28"/>
      <c r="X633" s="31">
        <v>42315</v>
      </c>
      <c r="Y633" s="33">
        <v>1880</v>
      </c>
      <c r="Z633" s="189">
        <f t="shared" si="48"/>
        <v>1880</v>
      </c>
      <c r="AA633" s="190"/>
      <c r="AB633" s="31"/>
      <c r="AC633" s="36"/>
      <c r="AD633" s="8"/>
      <c r="AE633" s="6"/>
      <c r="AF633" s="52">
        <f t="shared" si="45"/>
        <v>66348200</v>
      </c>
      <c r="AG633" s="25">
        <f t="shared" si="46"/>
        <v>79552200</v>
      </c>
      <c r="AH633" s="52">
        <f t="shared" si="49"/>
        <v>0</v>
      </c>
      <c r="AI633" s="6"/>
      <c r="AJ633" s="6"/>
      <c r="AK633" s="6"/>
      <c r="AL633" s="6"/>
      <c r="AM633" s="6"/>
      <c r="AN633" s="6"/>
      <c r="AO633" s="6"/>
      <c r="AP633" s="6"/>
      <c r="AQ633" s="6"/>
      <c r="AR633" s="6"/>
    </row>
    <row r="634" spans="1:44">
      <c r="A634" s="6"/>
      <c r="B634" s="6"/>
      <c r="C634" s="6"/>
      <c r="D634" s="6"/>
      <c r="E634" s="6"/>
      <c r="F634" s="6"/>
      <c r="G634" s="11"/>
      <c r="H634" s="6"/>
      <c r="I634" s="6"/>
      <c r="J634" s="6"/>
      <c r="K634" s="7"/>
      <c r="L634" s="21" t="str">
        <f>микс!$H$10</f>
        <v>продажа со склада</v>
      </c>
      <c r="M634" s="22"/>
      <c r="N634" s="22"/>
      <c r="O634" s="22" t="s">
        <v>138</v>
      </c>
      <c r="P634" s="23" t="str">
        <f>микс!$H$49</f>
        <v>Товары для детей</v>
      </c>
      <c r="Q634" s="21" t="s">
        <v>106</v>
      </c>
      <c r="R634" s="25">
        <v>1</v>
      </c>
      <c r="S634" s="28"/>
      <c r="T634" s="31">
        <v>42256</v>
      </c>
      <c r="U634" s="33">
        <v>1570</v>
      </c>
      <c r="V634" s="36">
        <f t="shared" si="47"/>
        <v>1570</v>
      </c>
      <c r="W634" s="28"/>
      <c r="X634" s="31">
        <v>42304</v>
      </c>
      <c r="Y634" s="33">
        <v>1880</v>
      </c>
      <c r="Z634" s="189">
        <f t="shared" si="48"/>
        <v>1880</v>
      </c>
      <c r="AA634" s="190"/>
      <c r="AB634" s="31">
        <v>42276</v>
      </c>
      <c r="AC634" s="36">
        <v>1570</v>
      </c>
      <c r="AD634" s="8"/>
      <c r="AE634" s="6"/>
      <c r="AF634" s="52">
        <f t="shared" si="45"/>
        <v>66341920</v>
      </c>
      <c r="AG634" s="25">
        <f t="shared" si="46"/>
        <v>79531520</v>
      </c>
      <c r="AH634" s="52">
        <f t="shared" si="49"/>
        <v>66373320</v>
      </c>
      <c r="AI634" s="6"/>
      <c r="AJ634" s="6"/>
      <c r="AK634" s="6"/>
      <c r="AL634" s="6"/>
      <c r="AM634" s="6"/>
      <c r="AN634" s="6"/>
      <c r="AO634" s="6"/>
      <c r="AP634" s="6"/>
      <c r="AQ634" s="6"/>
      <c r="AR634" s="6"/>
    </row>
    <row r="635" spans="1:44">
      <c r="A635" s="6"/>
      <c r="B635" s="6"/>
      <c r="C635" s="6"/>
      <c r="D635" s="6"/>
      <c r="E635" s="6"/>
      <c r="F635" s="6"/>
      <c r="G635" s="11"/>
      <c r="H635" s="6"/>
      <c r="I635" s="6"/>
      <c r="J635" s="6"/>
      <c r="K635" s="7"/>
      <c r="L635" s="21" t="str">
        <f>микс!$H$11</f>
        <v>продажа под заказ</v>
      </c>
      <c r="M635" s="22"/>
      <c r="N635" s="22"/>
      <c r="O635" s="22" t="s">
        <v>138</v>
      </c>
      <c r="P635" s="23" t="str">
        <f>микс!$H$49</f>
        <v>Товары для детей</v>
      </c>
      <c r="Q635" s="21" t="s">
        <v>106</v>
      </c>
      <c r="R635" s="25">
        <v>1</v>
      </c>
      <c r="S635" s="28"/>
      <c r="T635" s="31">
        <v>42325</v>
      </c>
      <c r="U635" s="33">
        <v>1570</v>
      </c>
      <c r="V635" s="36">
        <f t="shared" si="47"/>
        <v>1570</v>
      </c>
      <c r="W635" s="28"/>
      <c r="X635" s="31">
        <v>42329</v>
      </c>
      <c r="Y635" s="33">
        <v>1880</v>
      </c>
      <c r="Z635" s="189">
        <f t="shared" si="48"/>
        <v>1880</v>
      </c>
      <c r="AA635" s="190"/>
      <c r="AB635" s="31">
        <v>42355</v>
      </c>
      <c r="AC635" s="36">
        <v>1570</v>
      </c>
      <c r="AD635" s="8"/>
      <c r="AE635" s="6"/>
      <c r="AF635" s="52">
        <f t="shared" si="45"/>
        <v>66450250</v>
      </c>
      <c r="AG635" s="25">
        <f t="shared" si="46"/>
        <v>79578520</v>
      </c>
      <c r="AH635" s="52">
        <f t="shared" si="49"/>
        <v>66497350</v>
      </c>
      <c r="AI635" s="6"/>
      <c r="AJ635" s="6"/>
      <c r="AK635" s="6"/>
      <c r="AL635" s="6"/>
      <c r="AM635" s="6"/>
      <c r="AN635" s="6"/>
      <c r="AO635" s="6"/>
      <c r="AP635" s="6"/>
      <c r="AQ635" s="6"/>
      <c r="AR635" s="6"/>
    </row>
    <row r="636" spans="1:44">
      <c r="A636" s="6"/>
      <c r="B636" s="6"/>
      <c r="C636" s="6"/>
      <c r="D636" s="6"/>
      <c r="E636" s="6"/>
      <c r="F636" s="6"/>
      <c r="G636" s="11"/>
      <c r="H636" s="6"/>
      <c r="I636" s="6"/>
      <c r="J636" s="6"/>
      <c r="K636" s="7"/>
      <c r="L636" s="21" t="str">
        <f>микс!$H$11</f>
        <v>продажа под заказ</v>
      </c>
      <c r="M636" s="22"/>
      <c r="N636" s="22"/>
      <c r="O636" s="22" t="s">
        <v>138</v>
      </c>
      <c r="P636" s="23" t="str">
        <f>микс!$H$49</f>
        <v>Товары для детей</v>
      </c>
      <c r="Q636" s="21" t="s">
        <v>106</v>
      </c>
      <c r="R636" s="25">
        <v>1</v>
      </c>
      <c r="S636" s="28"/>
      <c r="T636" s="31">
        <v>42325</v>
      </c>
      <c r="U636" s="33">
        <v>1570</v>
      </c>
      <c r="V636" s="36">
        <f t="shared" si="47"/>
        <v>1570</v>
      </c>
      <c r="W636" s="28"/>
      <c r="X636" s="31">
        <v>42327</v>
      </c>
      <c r="Y636" s="33">
        <v>1880</v>
      </c>
      <c r="Z636" s="189">
        <f t="shared" si="48"/>
        <v>1880</v>
      </c>
      <c r="AA636" s="190"/>
      <c r="AB636" s="31">
        <v>42350</v>
      </c>
      <c r="AC636" s="36">
        <v>1570</v>
      </c>
      <c r="AD636" s="8"/>
      <c r="AE636" s="6"/>
      <c r="AF636" s="52">
        <f t="shared" si="45"/>
        <v>66450250</v>
      </c>
      <c r="AG636" s="25">
        <f t="shared" si="46"/>
        <v>79574760</v>
      </c>
      <c r="AH636" s="52">
        <f t="shared" si="49"/>
        <v>66489500</v>
      </c>
      <c r="AI636" s="6"/>
      <c r="AJ636" s="6"/>
      <c r="AK636" s="6"/>
      <c r="AL636" s="6"/>
      <c r="AM636" s="6"/>
      <c r="AN636" s="6"/>
      <c r="AO636" s="6"/>
      <c r="AP636" s="6"/>
      <c r="AQ636" s="6"/>
      <c r="AR636" s="6"/>
    </row>
    <row r="637" spans="1:44">
      <c r="A637" s="6"/>
      <c r="B637" s="6"/>
      <c r="C637" s="6"/>
      <c r="D637" s="6"/>
      <c r="E637" s="6"/>
      <c r="F637" s="6"/>
      <c r="G637" s="11"/>
      <c r="H637" s="6"/>
      <c r="I637" s="6"/>
      <c r="J637" s="6"/>
      <c r="K637" s="7"/>
      <c r="L637" s="21" t="str">
        <f>микс!$H$11</f>
        <v>продажа под заказ</v>
      </c>
      <c r="M637" s="22"/>
      <c r="N637" s="22"/>
      <c r="O637" s="22" t="s">
        <v>138</v>
      </c>
      <c r="P637" s="23" t="str">
        <f>микс!$H$49</f>
        <v>Товары для детей</v>
      </c>
      <c r="Q637" s="21" t="s">
        <v>106</v>
      </c>
      <c r="R637" s="25">
        <v>1</v>
      </c>
      <c r="S637" s="28"/>
      <c r="T637" s="31">
        <v>42328</v>
      </c>
      <c r="U637" s="33">
        <v>1570</v>
      </c>
      <c r="V637" s="36">
        <f t="shared" si="47"/>
        <v>1570</v>
      </c>
      <c r="W637" s="28"/>
      <c r="X637" s="31">
        <v>42331</v>
      </c>
      <c r="Y637" s="33">
        <v>1880</v>
      </c>
      <c r="Z637" s="189">
        <f t="shared" si="48"/>
        <v>1880</v>
      </c>
      <c r="AA637" s="190"/>
      <c r="AB637" s="31">
        <v>42338</v>
      </c>
      <c r="AC637" s="36">
        <v>1570</v>
      </c>
      <c r="AD637" s="8"/>
      <c r="AE637" s="6"/>
      <c r="AF637" s="52">
        <f t="shared" si="45"/>
        <v>66454960</v>
      </c>
      <c r="AG637" s="25">
        <f t="shared" si="46"/>
        <v>79582280</v>
      </c>
      <c r="AH637" s="52">
        <f t="shared" si="49"/>
        <v>66470660</v>
      </c>
      <c r="AI637" s="6"/>
      <c r="AJ637" s="6"/>
      <c r="AK637" s="6"/>
      <c r="AL637" s="6"/>
      <c r="AM637" s="6"/>
      <c r="AN637" s="6"/>
      <c r="AO637" s="6"/>
      <c r="AP637" s="6"/>
      <c r="AQ637" s="6"/>
      <c r="AR637" s="6"/>
    </row>
    <row r="638" spans="1:44">
      <c r="A638" s="6"/>
      <c r="B638" s="6"/>
      <c r="C638" s="6"/>
      <c r="D638" s="6"/>
      <c r="E638" s="6"/>
      <c r="F638" s="6"/>
      <c r="G638" s="11"/>
      <c r="H638" s="6"/>
      <c r="I638" s="6"/>
      <c r="J638" s="6"/>
      <c r="K638" s="7"/>
      <c r="L638" s="21" t="str">
        <f>микс!$H$11</f>
        <v>продажа под заказ</v>
      </c>
      <c r="M638" s="22"/>
      <c r="N638" s="22"/>
      <c r="O638" s="22" t="s">
        <v>138</v>
      </c>
      <c r="P638" s="23" t="str">
        <f>микс!$H$49</f>
        <v>Товары для детей</v>
      </c>
      <c r="Q638" s="21" t="s">
        <v>106</v>
      </c>
      <c r="R638" s="25">
        <v>1</v>
      </c>
      <c r="S638" s="28"/>
      <c r="T638" s="31">
        <v>42319</v>
      </c>
      <c r="U638" s="33">
        <v>1570</v>
      </c>
      <c r="V638" s="36">
        <f t="shared" si="47"/>
        <v>1570</v>
      </c>
      <c r="W638" s="28"/>
      <c r="X638" s="31">
        <v>42321</v>
      </c>
      <c r="Y638" s="33">
        <v>1880</v>
      </c>
      <c r="Z638" s="189">
        <f t="shared" si="48"/>
        <v>1880</v>
      </c>
      <c r="AA638" s="190"/>
      <c r="AB638" s="31"/>
      <c r="AC638" s="36"/>
      <c r="AD638" s="8"/>
      <c r="AE638" s="6"/>
      <c r="AF638" s="52">
        <f t="shared" si="45"/>
        <v>66440830</v>
      </c>
      <c r="AG638" s="25">
        <f t="shared" si="46"/>
        <v>79563480</v>
      </c>
      <c r="AH638" s="52">
        <f t="shared" si="49"/>
        <v>0</v>
      </c>
      <c r="AI638" s="6"/>
      <c r="AJ638" s="6"/>
      <c r="AK638" s="6"/>
      <c r="AL638" s="6"/>
      <c r="AM638" s="6"/>
      <c r="AN638" s="6"/>
      <c r="AO638" s="6"/>
      <c r="AP638" s="6"/>
      <c r="AQ638" s="6"/>
      <c r="AR638" s="6"/>
    </row>
    <row r="639" spans="1:44">
      <c r="A639" s="6"/>
      <c r="B639" s="6"/>
      <c r="C639" s="6"/>
      <c r="D639" s="6"/>
      <c r="E639" s="6"/>
      <c r="F639" s="6"/>
      <c r="G639" s="11"/>
      <c r="H639" s="6"/>
      <c r="I639" s="6"/>
      <c r="J639" s="6"/>
      <c r="K639" s="7"/>
      <c r="L639" s="21" t="str">
        <f>микс!$H$11</f>
        <v>продажа под заказ</v>
      </c>
      <c r="M639" s="22"/>
      <c r="N639" s="22"/>
      <c r="O639" s="22" t="s">
        <v>138</v>
      </c>
      <c r="P639" s="23" t="str">
        <f>микс!$H$49</f>
        <v>Товары для детей</v>
      </c>
      <c r="Q639" s="21" t="s">
        <v>106</v>
      </c>
      <c r="R639" s="25">
        <v>1</v>
      </c>
      <c r="S639" s="28"/>
      <c r="T639" s="31">
        <v>42318</v>
      </c>
      <c r="U639" s="33">
        <v>1570</v>
      </c>
      <c r="V639" s="36">
        <f t="shared" si="47"/>
        <v>1570</v>
      </c>
      <c r="W639" s="28"/>
      <c r="X639" s="31">
        <v>42326</v>
      </c>
      <c r="Y639" s="33">
        <v>1880</v>
      </c>
      <c r="Z639" s="189">
        <f t="shared" si="48"/>
        <v>1880</v>
      </c>
      <c r="AA639" s="190"/>
      <c r="AB639" s="31">
        <v>42340</v>
      </c>
      <c r="AC639" s="36">
        <v>1570</v>
      </c>
      <c r="AD639" s="8"/>
      <c r="AE639" s="6"/>
      <c r="AF639" s="52">
        <f t="shared" si="45"/>
        <v>66439260</v>
      </c>
      <c r="AG639" s="25">
        <f t="shared" si="46"/>
        <v>79572880</v>
      </c>
      <c r="AH639" s="52">
        <f t="shared" si="49"/>
        <v>66473800</v>
      </c>
      <c r="AI639" s="6"/>
      <c r="AJ639" s="6"/>
      <c r="AK639" s="6"/>
      <c r="AL639" s="6"/>
      <c r="AM639" s="6"/>
      <c r="AN639" s="6"/>
      <c r="AO639" s="6"/>
      <c r="AP639" s="6"/>
      <c r="AQ639" s="6"/>
      <c r="AR639" s="6"/>
    </row>
    <row r="640" spans="1:44">
      <c r="A640" s="6"/>
      <c r="B640" s="6"/>
      <c r="C640" s="6"/>
      <c r="D640" s="6"/>
      <c r="E640" s="6"/>
      <c r="F640" s="6"/>
      <c r="G640" s="11"/>
      <c r="H640" s="6"/>
      <c r="I640" s="6"/>
      <c r="J640" s="6"/>
      <c r="K640" s="7"/>
      <c r="L640" s="21" t="str">
        <f>микс!$H$11</f>
        <v>продажа под заказ</v>
      </c>
      <c r="M640" s="22"/>
      <c r="N640" s="22"/>
      <c r="O640" s="22" t="s">
        <v>138</v>
      </c>
      <c r="P640" s="23" t="str">
        <f>микс!$H$49</f>
        <v>Товары для детей</v>
      </c>
      <c r="Q640" s="21" t="s">
        <v>106</v>
      </c>
      <c r="R640" s="25">
        <v>1</v>
      </c>
      <c r="S640" s="28"/>
      <c r="T640" s="31">
        <v>42298</v>
      </c>
      <c r="U640" s="33">
        <v>1570</v>
      </c>
      <c r="V640" s="36">
        <f t="shared" si="47"/>
        <v>1570</v>
      </c>
      <c r="W640" s="28"/>
      <c r="X640" s="31">
        <v>42300</v>
      </c>
      <c r="Y640" s="33">
        <v>1880</v>
      </c>
      <c r="Z640" s="189">
        <f t="shared" si="48"/>
        <v>1880</v>
      </c>
      <c r="AA640" s="190"/>
      <c r="AB640" s="31">
        <v>42330</v>
      </c>
      <c r="AC640" s="36">
        <v>1570</v>
      </c>
      <c r="AD640" s="8"/>
      <c r="AE640" s="6"/>
      <c r="AF640" s="52">
        <f t="shared" si="45"/>
        <v>66407860</v>
      </c>
      <c r="AG640" s="25">
        <f t="shared" si="46"/>
        <v>79524000</v>
      </c>
      <c r="AH640" s="52">
        <f t="shared" si="49"/>
        <v>66458100</v>
      </c>
      <c r="AI640" s="6"/>
      <c r="AJ640" s="6"/>
      <c r="AK640" s="6"/>
      <c r="AL640" s="6"/>
      <c r="AM640" s="6"/>
      <c r="AN640" s="6"/>
      <c r="AO640" s="6"/>
      <c r="AP640" s="6"/>
      <c r="AQ640" s="6"/>
      <c r="AR640" s="6"/>
    </row>
    <row r="641" spans="1:44">
      <c r="A641" s="6"/>
      <c r="B641" s="6"/>
      <c r="C641" s="6"/>
      <c r="D641" s="6"/>
      <c r="E641" s="6"/>
      <c r="F641" s="6"/>
      <c r="G641" s="11"/>
      <c r="H641" s="6"/>
      <c r="I641" s="6"/>
      <c r="J641" s="6"/>
      <c r="K641" s="7"/>
      <c r="L641" s="21" t="str">
        <f>микс!$H$11</f>
        <v>продажа под заказ</v>
      </c>
      <c r="M641" s="22"/>
      <c r="N641" s="22"/>
      <c r="O641" s="22" t="s">
        <v>138</v>
      </c>
      <c r="P641" s="23" t="str">
        <f>микс!$H$49</f>
        <v>Товары для детей</v>
      </c>
      <c r="Q641" s="21" t="s">
        <v>106</v>
      </c>
      <c r="R641" s="25">
        <v>1</v>
      </c>
      <c r="S641" s="28"/>
      <c r="T641" s="31">
        <v>42336</v>
      </c>
      <c r="U641" s="33">
        <v>1570</v>
      </c>
      <c r="V641" s="36">
        <f t="shared" si="47"/>
        <v>1570</v>
      </c>
      <c r="W641" s="28"/>
      <c r="X641" s="31">
        <v>42342</v>
      </c>
      <c r="Y641" s="33">
        <v>1884</v>
      </c>
      <c r="Z641" s="189">
        <f t="shared" si="48"/>
        <v>1884</v>
      </c>
      <c r="AA641" s="190"/>
      <c r="AB641" s="31"/>
      <c r="AC641" s="36"/>
      <c r="AD641" s="8"/>
      <c r="AE641" s="6"/>
      <c r="AF641" s="52">
        <f t="shared" si="45"/>
        <v>66467520</v>
      </c>
      <c r="AG641" s="25">
        <f t="shared" si="46"/>
        <v>79772328</v>
      </c>
      <c r="AH641" s="52">
        <f t="shared" si="49"/>
        <v>0</v>
      </c>
      <c r="AI641" s="6"/>
      <c r="AJ641" s="6"/>
      <c r="AK641" s="6"/>
      <c r="AL641" s="6"/>
      <c r="AM641" s="6"/>
      <c r="AN641" s="6"/>
      <c r="AO641" s="6"/>
      <c r="AP641" s="6"/>
      <c r="AQ641" s="6"/>
      <c r="AR641" s="6"/>
    </row>
    <row r="642" spans="1:44">
      <c r="A642" s="6"/>
      <c r="B642" s="6"/>
      <c r="C642" s="6"/>
      <c r="D642" s="6"/>
      <c r="E642" s="6"/>
      <c r="F642" s="6"/>
      <c r="G642" s="11"/>
      <c r="H642" s="6"/>
      <c r="I642" s="6"/>
      <c r="J642" s="6"/>
      <c r="K642" s="7"/>
      <c r="L642" s="21" t="str">
        <f>микс!$H$11</f>
        <v>продажа под заказ</v>
      </c>
      <c r="M642" s="22"/>
      <c r="N642" s="22"/>
      <c r="O642" s="22" t="s">
        <v>138</v>
      </c>
      <c r="P642" s="23" t="str">
        <f>микс!$H$49</f>
        <v>Товары для детей</v>
      </c>
      <c r="Q642" s="21" t="s">
        <v>106</v>
      </c>
      <c r="R642" s="25">
        <v>1</v>
      </c>
      <c r="S642" s="28"/>
      <c r="T642" s="31">
        <v>42338</v>
      </c>
      <c r="U642" s="33">
        <v>1570</v>
      </c>
      <c r="V642" s="36">
        <f t="shared" si="47"/>
        <v>1570</v>
      </c>
      <c r="W642" s="28"/>
      <c r="X642" s="31">
        <v>42349</v>
      </c>
      <c r="Y642" s="33">
        <v>1940</v>
      </c>
      <c r="Z642" s="189">
        <f t="shared" si="48"/>
        <v>1940</v>
      </c>
      <c r="AA642" s="190"/>
      <c r="AB642" s="31"/>
      <c r="AC642" s="36"/>
      <c r="AD642" s="8"/>
      <c r="AE642" s="6"/>
      <c r="AF642" s="52">
        <f t="shared" si="45"/>
        <v>66470660</v>
      </c>
      <c r="AG642" s="25">
        <f t="shared" si="46"/>
        <v>82157060</v>
      </c>
      <c r="AH642" s="52">
        <f t="shared" si="49"/>
        <v>0</v>
      </c>
      <c r="AI642" s="6"/>
      <c r="AJ642" s="6"/>
      <c r="AK642" s="6"/>
      <c r="AL642" s="6"/>
      <c r="AM642" s="6"/>
      <c r="AN642" s="6"/>
      <c r="AO642" s="6"/>
      <c r="AP642" s="6"/>
      <c r="AQ642" s="6"/>
      <c r="AR642" s="6"/>
    </row>
    <row r="643" spans="1:44">
      <c r="A643" s="6"/>
      <c r="B643" s="6"/>
      <c r="C643" s="6"/>
      <c r="D643" s="6"/>
      <c r="E643" s="6"/>
      <c r="F643" s="6"/>
      <c r="G643" s="11"/>
      <c r="H643" s="6"/>
      <c r="I643" s="6"/>
      <c r="J643" s="6"/>
      <c r="K643" s="7"/>
      <c r="L643" s="21" t="str">
        <f>микс!$H$11</f>
        <v>продажа под заказ</v>
      </c>
      <c r="M643" s="22"/>
      <c r="N643" s="22"/>
      <c r="O643" s="22" t="s">
        <v>138</v>
      </c>
      <c r="P643" s="23" t="str">
        <f>микс!$H$49</f>
        <v>Товары для детей</v>
      </c>
      <c r="Q643" s="21" t="s">
        <v>106</v>
      </c>
      <c r="R643" s="25">
        <v>1</v>
      </c>
      <c r="S643" s="28"/>
      <c r="T643" s="31">
        <v>42338</v>
      </c>
      <c r="U643" s="33">
        <v>1570</v>
      </c>
      <c r="V643" s="36">
        <f t="shared" si="47"/>
        <v>1570</v>
      </c>
      <c r="W643" s="28"/>
      <c r="X643" s="31">
        <v>42341</v>
      </c>
      <c r="Y643" s="33">
        <v>1884</v>
      </c>
      <c r="Z643" s="189">
        <f t="shared" si="48"/>
        <v>1884</v>
      </c>
      <c r="AA643" s="190"/>
      <c r="AB643" s="31">
        <v>42350</v>
      </c>
      <c r="AC643" s="36">
        <v>1570</v>
      </c>
      <c r="AD643" s="8"/>
      <c r="AE643" s="6"/>
      <c r="AF643" s="52">
        <f t="shared" si="45"/>
        <v>66470660</v>
      </c>
      <c r="AG643" s="25">
        <f t="shared" si="46"/>
        <v>79770444</v>
      </c>
      <c r="AH643" s="52">
        <f t="shared" si="49"/>
        <v>66489500</v>
      </c>
      <c r="AI643" s="6"/>
      <c r="AJ643" s="6"/>
      <c r="AK643" s="6"/>
      <c r="AL643" s="6"/>
      <c r="AM643" s="6"/>
      <c r="AN643" s="6"/>
      <c r="AO643" s="6"/>
      <c r="AP643" s="6"/>
      <c r="AQ643" s="6"/>
      <c r="AR643" s="6"/>
    </row>
    <row r="644" spans="1:44">
      <c r="A644" s="6"/>
      <c r="B644" s="6"/>
      <c r="C644" s="6"/>
      <c r="D644" s="6"/>
      <c r="E644" s="6"/>
      <c r="F644" s="6"/>
      <c r="G644" s="11"/>
      <c r="H644" s="6"/>
      <c r="I644" s="6"/>
      <c r="J644" s="6"/>
      <c r="K644" s="7"/>
      <c r="L644" s="21" t="str">
        <f>микс!$H$11</f>
        <v>продажа под заказ</v>
      </c>
      <c r="M644" s="22"/>
      <c r="N644" s="22"/>
      <c r="O644" s="22" t="s">
        <v>138</v>
      </c>
      <c r="P644" s="23" t="str">
        <f>микс!$H$49</f>
        <v>Товары для детей</v>
      </c>
      <c r="Q644" s="21" t="s">
        <v>59</v>
      </c>
      <c r="R644" s="25">
        <v>1</v>
      </c>
      <c r="S644" s="28"/>
      <c r="T644" s="31">
        <v>42326</v>
      </c>
      <c r="U644" s="33">
        <v>3385</v>
      </c>
      <c r="V644" s="36">
        <f t="shared" si="47"/>
        <v>3385</v>
      </c>
      <c r="W644" s="28"/>
      <c r="X644" s="31">
        <v>42335</v>
      </c>
      <c r="Y644" s="33">
        <v>3600</v>
      </c>
      <c r="Z644" s="189">
        <f t="shared" si="48"/>
        <v>3600</v>
      </c>
      <c r="AA644" s="190"/>
      <c r="AB644" s="31">
        <v>42336</v>
      </c>
      <c r="AC644" s="36">
        <v>3385</v>
      </c>
      <c r="AD644" s="8"/>
      <c r="AE644" s="6"/>
      <c r="AF644" s="52">
        <f t="shared" si="45"/>
        <v>143273510</v>
      </c>
      <c r="AG644" s="25">
        <f t="shared" si="46"/>
        <v>152406000</v>
      </c>
      <c r="AH644" s="52">
        <f t="shared" si="49"/>
        <v>143307360</v>
      </c>
      <c r="AI644" s="6"/>
      <c r="AJ644" s="6"/>
      <c r="AK644" s="6"/>
      <c r="AL644" s="6"/>
      <c r="AM644" s="6"/>
      <c r="AN644" s="6"/>
      <c r="AO644" s="6"/>
      <c r="AP644" s="6"/>
      <c r="AQ644" s="6"/>
      <c r="AR644" s="6"/>
    </row>
    <row r="645" spans="1:44">
      <c r="A645" s="6"/>
      <c r="B645" s="6"/>
      <c r="C645" s="6"/>
      <c r="D645" s="6"/>
      <c r="E645" s="6"/>
      <c r="F645" s="6"/>
      <c r="G645" s="11"/>
      <c r="H645" s="6"/>
      <c r="I645" s="6"/>
      <c r="J645" s="6"/>
      <c r="K645" s="7"/>
      <c r="L645" s="21" t="str">
        <f>микс!$H$11</f>
        <v>продажа под заказ</v>
      </c>
      <c r="M645" s="22"/>
      <c r="N645" s="22"/>
      <c r="O645" s="22" t="s">
        <v>138</v>
      </c>
      <c r="P645" s="23" t="str">
        <f>микс!$H$49</f>
        <v>Товары для детей</v>
      </c>
      <c r="Q645" s="21" t="s">
        <v>59</v>
      </c>
      <c r="R645" s="25">
        <v>1</v>
      </c>
      <c r="S645" s="28"/>
      <c r="T645" s="31">
        <v>42306</v>
      </c>
      <c r="U645" s="33">
        <v>1420</v>
      </c>
      <c r="V645" s="36">
        <f t="shared" si="47"/>
        <v>1420</v>
      </c>
      <c r="W645" s="28"/>
      <c r="X645" s="31">
        <v>42307</v>
      </c>
      <c r="Y645" s="33">
        <v>1740</v>
      </c>
      <c r="Z645" s="189">
        <f t="shared" si="48"/>
        <v>1740</v>
      </c>
      <c r="AA645" s="190"/>
      <c r="AB645" s="31">
        <v>42326</v>
      </c>
      <c r="AC645" s="36">
        <v>1420</v>
      </c>
      <c r="AD645" s="8"/>
      <c r="AE645" s="6"/>
      <c r="AF645" s="52">
        <f t="shared" si="45"/>
        <v>60074520</v>
      </c>
      <c r="AG645" s="25">
        <f t="shared" si="46"/>
        <v>73614180</v>
      </c>
      <c r="AH645" s="52">
        <f t="shared" si="49"/>
        <v>60102920</v>
      </c>
      <c r="AI645" s="6"/>
      <c r="AJ645" s="6"/>
      <c r="AK645" s="6"/>
      <c r="AL645" s="6"/>
      <c r="AM645" s="6"/>
      <c r="AN645" s="6"/>
      <c r="AO645" s="6"/>
      <c r="AP645" s="6"/>
      <c r="AQ645" s="6"/>
      <c r="AR645" s="6"/>
    </row>
    <row r="646" spans="1:44">
      <c r="A646" s="6"/>
      <c r="B646" s="6"/>
      <c r="C646" s="6"/>
      <c r="D646" s="6"/>
      <c r="E646" s="6"/>
      <c r="F646" s="6"/>
      <c r="G646" s="11"/>
      <c r="H646" s="6"/>
      <c r="I646" s="6"/>
      <c r="J646" s="6"/>
      <c r="K646" s="7"/>
      <c r="L646" s="21" t="str">
        <f>микс!$H$10</f>
        <v>продажа со склада</v>
      </c>
      <c r="M646" s="22"/>
      <c r="N646" s="22"/>
      <c r="O646" s="22" t="s">
        <v>138</v>
      </c>
      <c r="P646" s="23" t="str">
        <f>микс!$H$49</f>
        <v>Товары для детей</v>
      </c>
      <c r="Q646" s="21" t="s">
        <v>59</v>
      </c>
      <c r="R646" s="25">
        <v>1</v>
      </c>
      <c r="S646" s="28"/>
      <c r="T646" s="31">
        <v>42260</v>
      </c>
      <c r="U646" s="33">
        <v>1162</v>
      </c>
      <c r="V646" s="36">
        <f t="shared" si="47"/>
        <v>1162</v>
      </c>
      <c r="W646" s="28"/>
      <c r="X646" s="31">
        <v>42316</v>
      </c>
      <c r="Y646" s="33">
        <v>1686</v>
      </c>
      <c r="Z646" s="189">
        <f t="shared" si="48"/>
        <v>1686</v>
      </c>
      <c r="AA646" s="190"/>
      <c r="AB646" s="31">
        <v>42290</v>
      </c>
      <c r="AC646" s="36">
        <v>1162</v>
      </c>
      <c r="AD646" s="8"/>
      <c r="AE646" s="6"/>
      <c r="AF646" s="52">
        <f t="shared" si="45"/>
        <v>49106120</v>
      </c>
      <c r="AG646" s="25">
        <f t="shared" si="46"/>
        <v>71344776</v>
      </c>
      <c r="AH646" s="52">
        <f t="shared" si="49"/>
        <v>49140980</v>
      </c>
      <c r="AI646" s="6"/>
      <c r="AJ646" s="6"/>
      <c r="AK646" s="6"/>
      <c r="AL646" s="6"/>
      <c r="AM646" s="6"/>
      <c r="AN646" s="6"/>
      <c r="AO646" s="6"/>
      <c r="AP646" s="6"/>
      <c r="AQ646" s="6"/>
      <c r="AR646" s="6"/>
    </row>
    <row r="647" spans="1:44">
      <c r="A647" s="6"/>
      <c r="B647" s="6"/>
      <c r="C647" s="6"/>
      <c r="D647" s="6"/>
      <c r="E647" s="6"/>
      <c r="F647" s="6"/>
      <c r="G647" s="11"/>
      <c r="H647" s="6"/>
      <c r="I647" s="6"/>
      <c r="J647" s="6"/>
      <c r="K647" s="7"/>
      <c r="L647" s="21" t="str">
        <f>микс!$H$10</f>
        <v>продажа со склада</v>
      </c>
      <c r="M647" s="22"/>
      <c r="N647" s="22"/>
      <c r="O647" s="22" t="s">
        <v>138</v>
      </c>
      <c r="P647" s="23" t="str">
        <f>микс!$H$49</f>
        <v>Товары для детей</v>
      </c>
      <c r="Q647" s="21" t="s">
        <v>59</v>
      </c>
      <c r="R647" s="25">
        <v>1</v>
      </c>
      <c r="S647" s="28"/>
      <c r="T647" s="31">
        <v>42257</v>
      </c>
      <c r="U647" s="33">
        <v>1159</v>
      </c>
      <c r="V647" s="36">
        <f t="shared" si="47"/>
        <v>1159</v>
      </c>
      <c r="W647" s="28"/>
      <c r="X647" s="31">
        <v>42305</v>
      </c>
      <c r="Y647" s="33">
        <v>1686</v>
      </c>
      <c r="Z647" s="189">
        <f t="shared" si="48"/>
        <v>1686</v>
      </c>
      <c r="AA647" s="190"/>
      <c r="AB647" s="31">
        <v>42287</v>
      </c>
      <c r="AC647" s="36">
        <v>1159</v>
      </c>
      <c r="AD647" s="8"/>
      <c r="AE647" s="6"/>
      <c r="AF647" s="52">
        <f t="shared" si="45"/>
        <v>48975863</v>
      </c>
      <c r="AG647" s="25">
        <f t="shared" si="46"/>
        <v>71326230</v>
      </c>
      <c r="AH647" s="52">
        <f t="shared" si="49"/>
        <v>49010633</v>
      </c>
      <c r="AI647" s="6"/>
      <c r="AJ647" s="6"/>
      <c r="AK647" s="6"/>
      <c r="AL647" s="6"/>
      <c r="AM647" s="6"/>
      <c r="AN647" s="6"/>
      <c r="AO647" s="6"/>
      <c r="AP647" s="6"/>
      <c r="AQ647" s="6"/>
      <c r="AR647" s="6"/>
    </row>
    <row r="648" spans="1:44">
      <c r="A648" s="6"/>
      <c r="B648" s="6"/>
      <c r="C648" s="6"/>
      <c r="D648" s="6"/>
      <c r="E648" s="6"/>
      <c r="F648" s="6"/>
      <c r="G648" s="11"/>
      <c r="H648" s="6"/>
      <c r="I648" s="6"/>
      <c r="J648" s="6"/>
      <c r="K648" s="7"/>
      <c r="L648" s="21" t="str">
        <f>микс!$H$11</f>
        <v>продажа под заказ</v>
      </c>
      <c r="M648" s="22"/>
      <c r="N648" s="22"/>
      <c r="O648" s="22" t="s">
        <v>138</v>
      </c>
      <c r="P648" s="23" t="str">
        <f>микс!$H$49</f>
        <v>Товары для детей</v>
      </c>
      <c r="Q648" s="21" t="s">
        <v>59</v>
      </c>
      <c r="R648" s="25">
        <v>1</v>
      </c>
      <c r="S648" s="28"/>
      <c r="T648" s="31">
        <v>42307</v>
      </c>
      <c r="U648" s="33">
        <v>1282.48</v>
      </c>
      <c r="V648" s="36">
        <f t="shared" si="47"/>
        <v>1282.48</v>
      </c>
      <c r="W648" s="28"/>
      <c r="X648" s="31">
        <v>42311</v>
      </c>
      <c r="Y648" s="33">
        <v>1300</v>
      </c>
      <c r="Z648" s="189">
        <f t="shared" si="48"/>
        <v>1300</v>
      </c>
      <c r="AA648" s="190"/>
      <c r="AB648" s="31"/>
      <c r="AC648" s="36"/>
      <c r="AD648" s="8"/>
      <c r="AE648" s="6"/>
      <c r="AF648" s="52">
        <f t="shared" si="45"/>
        <v>54257881.359999999</v>
      </c>
      <c r="AG648" s="25">
        <f t="shared" si="46"/>
        <v>55004300</v>
      </c>
      <c r="AH648" s="52">
        <f t="shared" si="49"/>
        <v>0</v>
      </c>
      <c r="AI648" s="6"/>
      <c r="AJ648" s="6"/>
      <c r="AK648" s="6"/>
      <c r="AL648" s="6"/>
      <c r="AM648" s="6"/>
      <c r="AN648" s="6"/>
      <c r="AO648" s="6"/>
      <c r="AP648" s="6"/>
      <c r="AQ648" s="6"/>
      <c r="AR648" s="6"/>
    </row>
    <row r="649" spans="1:44">
      <c r="A649" s="6"/>
      <c r="B649" s="6"/>
      <c r="C649" s="6"/>
      <c r="D649" s="6"/>
      <c r="E649" s="6"/>
      <c r="F649" s="6"/>
      <c r="G649" s="11"/>
      <c r="H649" s="6"/>
      <c r="I649" s="6"/>
      <c r="J649" s="6"/>
      <c r="K649" s="7"/>
      <c r="L649" s="21" t="str">
        <f>микс!$H$10</f>
        <v>продажа со склада</v>
      </c>
      <c r="M649" s="22"/>
      <c r="N649" s="22"/>
      <c r="O649" s="22" t="s">
        <v>138</v>
      </c>
      <c r="P649" s="23" t="str">
        <f>микс!$H$49</f>
        <v>Товары для детей</v>
      </c>
      <c r="Q649" s="21" t="s">
        <v>59</v>
      </c>
      <c r="R649" s="25">
        <v>1</v>
      </c>
      <c r="S649" s="28"/>
      <c r="T649" s="31">
        <v>42261</v>
      </c>
      <c r="U649" s="33">
        <v>1159</v>
      </c>
      <c r="V649" s="36">
        <f t="shared" si="47"/>
        <v>1159</v>
      </c>
      <c r="W649" s="28"/>
      <c r="X649" s="31">
        <v>42308</v>
      </c>
      <c r="Y649" s="33">
        <v>1637</v>
      </c>
      <c r="Z649" s="189">
        <f t="shared" si="48"/>
        <v>1637</v>
      </c>
      <c r="AA649" s="190"/>
      <c r="AB649" s="31">
        <v>42321</v>
      </c>
      <c r="AC649" s="36">
        <v>1159</v>
      </c>
      <c r="AD649" s="8"/>
      <c r="AE649" s="6"/>
      <c r="AF649" s="52">
        <f t="shared" ref="AF649:AF712" si="50">T649*V649</f>
        <v>48980499</v>
      </c>
      <c r="AG649" s="25">
        <f t="shared" ref="AG649:AG712" si="51">X649*Z649</f>
        <v>69258196</v>
      </c>
      <c r="AH649" s="52">
        <f t="shared" si="49"/>
        <v>49050039</v>
      </c>
      <c r="AI649" s="6"/>
      <c r="AJ649" s="6"/>
      <c r="AK649" s="6"/>
      <c r="AL649" s="6"/>
      <c r="AM649" s="6"/>
      <c r="AN649" s="6"/>
      <c r="AO649" s="6"/>
      <c r="AP649" s="6"/>
      <c r="AQ649" s="6"/>
      <c r="AR649" s="6"/>
    </row>
    <row r="650" spans="1:44">
      <c r="A650" s="6"/>
      <c r="B650" s="6"/>
      <c r="C650" s="6"/>
      <c r="D650" s="6"/>
      <c r="E650" s="6"/>
      <c r="F650" s="6"/>
      <c r="G650" s="11"/>
      <c r="H650" s="6"/>
      <c r="I650" s="6"/>
      <c r="J650" s="6"/>
      <c r="K650" s="7"/>
      <c r="L650" s="21" t="str">
        <f>микс!$H$10</f>
        <v>продажа со склада</v>
      </c>
      <c r="M650" s="22"/>
      <c r="N650" s="22"/>
      <c r="O650" s="22" t="s">
        <v>138</v>
      </c>
      <c r="P650" s="23" t="str">
        <f>микс!$H$49</f>
        <v>Товары для детей</v>
      </c>
      <c r="Q650" s="21" t="s">
        <v>59</v>
      </c>
      <c r="R650" s="25">
        <v>1</v>
      </c>
      <c r="S650" s="28"/>
      <c r="T650" s="31">
        <v>42126</v>
      </c>
      <c r="U650" s="33">
        <v>1282.48</v>
      </c>
      <c r="V650" s="36">
        <f t="shared" ref="V650:V713" si="52">$R650*U650</f>
        <v>1282.48</v>
      </c>
      <c r="W650" s="28"/>
      <c r="X650" s="31">
        <v>42301</v>
      </c>
      <c r="Y650" s="33">
        <v>1426</v>
      </c>
      <c r="Z650" s="189">
        <f t="shared" ref="Z650:Z713" si="53">$R650*Y650</f>
        <v>1426</v>
      </c>
      <c r="AA650" s="190"/>
      <c r="AB650" s="31">
        <v>42176</v>
      </c>
      <c r="AC650" s="36">
        <v>1282.48</v>
      </c>
      <c r="AD650" s="8"/>
      <c r="AE650" s="6"/>
      <c r="AF650" s="52">
        <f t="shared" si="50"/>
        <v>54025752.480000004</v>
      </c>
      <c r="AG650" s="25">
        <f t="shared" si="51"/>
        <v>60321226</v>
      </c>
      <c r="AH650" s="52">
        <f t="shared" ref="AH650:AH713" si="54">AB650*AC650</f>
        <v>54089876.480000004</v>
      </c>
      <c r="AI650" s="6"/>
      <c r="AJ650" s="6"/>
      <c r="AK650" s="6"/>
      <c r="AL650" s="6"/>
      <c r="AM650" s="6"/>
      <c r="AN650" s="6"/>
      <c r="AO650" s="6"/>
      <c r="AP650" s="6"/>
      <c r="AQ650" s="6"/>
      <c r="AR650" s="6"/>
    </row>
    <row r="651" spans="1:44">
      <c r="A651" s="6"/>
      <c r="B651" s="6"/>
      <c r="C651" s="6"/>
      <c r="D651" s="6"/>
      <c r="E651" s="6"/>
      <c r="F651" s="6"/>
      <c r="G651" s="11"/>
      <c r="H651" s="6"/>
      <c r="I651" s="6"/>
      <c r="J651" s="6"/>
      <c r="K651" s="7"/>
      <c r="L651" s="21" t="str">
        <f>микс!$H$11</f>
        <v>продажа под заказ</v>
      </c>
      <c r="M651" s="22"/>
      <c r="N651" s="22"/>
      <c r="O651" s="22" t="s">
        <v>148</v>
      </c>
      <c r="P651" s="23" t="str">
        <f>микс!$H$49</f>
        <v>Товары для детей</v>
      </c>
      <c r="Q651" s="21" t="s">
        <v>59</v>
      </c>
      <c r="R651" s="25">
        <v>1</v>
      </c>
      <c r="S651" s="28"/>
      <c r="T651" s="31">
        <v>42298</v>
      </c>
      <c r="U651" s="33">
        <v>1162.8900000000001</v>
      </c>
      <c r="V651" s="36">
        <f t="shared" si="52"/>
        <v>1162.8900000000001</v>
      </c>
      <c r="W651" s="28"/>
      <c r="X651" s="31">
        <v>42300</v>
      </c>
      <c r="Y651" s="33">
        <v>1400</v>
      </c>
      <c r="Z651" s="189">
        <f t="shared" si="53"/>
        <v>1400</v>
      </c>
      <c r="AA651" s="190"/>
      <c r="AB651" s="31">
        <v>42358</v>
      </c>
      <c r="AC651" s="36">
        <v>1162.8900000000001</v>
      </c>
      <c r="AD651" s="8"/>
      <c r="AE651" s="6"/>
      <c r="AF651" s="52">
        <f t="shared" si="50"/>
        <v>49187921.220000006</v>
      </c>
      <c r="AG651" s="25">
        <f t="shared" si="51"/>
        <v>59220000</v>
      </c>
      <c r="AH651" s="52">
        <f t="shared" si="54"/>
        <v>49257694.620000005</v>
      </c>
      <c r="AI651" s="6"/>
      <c r="AJ651" s="6"/>
      <c r="AK651" s="6"/>
      <c r="AL651" s="6"/>
      <c r="AM651" s="6"/>
      <c r="AN651" s="6"/>
      <c r="AO651" s="6"/>
      <c r="AP651" s="6"/>
      <c r="AQ651" s="6"/>
      <c r="AR651" s="6"/>
    </row>
    <row r="652" spans="1:44">
      <c r="A652" s="6"/>
      <c r="B652" s="6"/>
      <c r="C652" s="6"/>
      <c r="D652" s="6"/>
      <c r="E652" s="6"/>
      <c r="F652" s="6"/>
      <c r="G652" s="11"/>
      <c r="H652" s="6"/>
      <c r="I652" s="6"/>
      <c r="J652" s="6"/>
      <c r="K652" s="7"/>
      <c r="L652" s="21" t="str">
        <f>микс!$H$10</f>
        <v>продажа со склада</v>
      </c>
      <c r="M652" s="22"/>
      <c r="N652" s="22"/>
      <c r="O652" s="22" t="s">
        <v>148</v>
      </c>
      <c r="P652" s="23" t="str">
        <f>микс!$H$49</f>
        <v>Товары для детей</v>
      </c>
      <c r="Q652" s="21" t="s">
        <v>59</v>
      </c>
      <c r="R652" s="25">
        <v>1</v>
      </c>
      <c r="S652" s="28"/>
      <c r="T652" s="31">
        <v>42284</v>
      </c>
      <c r="U652" s="33">
        <v>1282.48</v>
      </c>
      <c r="V652" s="36">
        <f t="shared" si="52"/>
        <v>1282.48</v>
      </c>
      <c r="W652" s="28"/>
      <c r="X652" s="31">
        <v>42334</v>
      </c>
      <c r="Y652" s="33">
        <v>1370</v>
      </c>
      <c r="Z652" s="189">
        <f t="shared" si="53"/>
        <v>1370</v>
      </c>
      <c r="AA652" s="190"/>
      <c r="AB652" s="31">
        <v>42314</v>
      </c>
      <c r="AC652" s="36">
        <v>1282.48</v>
      </c>
      <c r="AD652" s="8"/>
      <c r="AE652" s="6"/>
      <c r="AF652" s="52">
        <f t="shared" si="50"/>
        <v>54228384.32</v>
      </c>
      <c r="AG652" s="25">
        <f t="shared" si="51"/>
        <v>57997580</v>
      </c>
      <c r="AH652" s="52">
        <f t="shared" si="54"/>
        <v>54266858.719999999</v>
      </c>
      <c r="AI652" s="6"/>
      <c r="AJ652" s="6"/>
      <c r="AK652" s="6"/>
      <c r="AL652" s="6"/>
      <c r="AM652" s="6"/>
      <c r="AN652" s="6"/>
      <c r="AO652" s="6"/>
      <c r="AP652" s="6"/>
      <c r="AQ652" s="6"/>
      <c r="AR652" s="6"/>
    </row>
    <row r="653" spans="1:44">
      <c r="A653" s="6"/>
      <c r="B653" s="6"/>
      <c r="C653" s="6"/>
      <c r="D653" s="6"/>
      <c r="E653" s="6"/>
      <c r="F653" s="6"/>
      <c r="G653" s="11"/>
      <c r="H653" s="6"/>
      <c r="I653" s="6"/>
      <c r="J653" s="6"/>
      <c r="K653" s="7"/>
      <c r="L653" s="21" t="str">
        <f>микс!$H$10</f>
        <v>продажа со склада</v>
      </c>
      <c r="M653" s="22"/>
      <c r="N653" s="22"/>
      <c r="O653" s="22" t="s">
        <v>148</v>
      </c>
      <c r="P653" s="23" t="str">
        <f>микс!$H$49</f>
        <v>Товары для детей</v>
      </c>
      <c r="Q653" s="21" t="s">
        <v>59</v>
      </c>
      <c r="R653" s="25">
        <v>1</v>
      </c>
      <c r="S653" s="28"/>
      <c r="T653" s="31">
        <v>42285</v>
      </c>
      <c r="U653" s="33">
        <v>1282.47</v>
      </c>
      <c r="V653" s="36">
        <f t="shared" si="52"/>
        <v>1282.47</v>
      </c>
      <c r="W653" s="28"/>
      <c r="X653" s="31">
        <v>42337</v>
      </c>
      <c r="Y653" s="33">
        <v>1369</v>
      </c>
      <c r="Z653" s="189">
        <f t="shared" si="53"/>
        <v>1369</v>
      </c>
      <c r="AA653" s="190"/>
      <c r="AB653" s="31"/>
      <c r="AC653" s="36"/>
      <c r="AD653" s="8"/>
      <c r="AE653" s="6"/>
      <c r="AF653" s="52">
        <f t="shared" si="50"/>
        <v>54229243.950000003</v>
      </c>
      <c r="AG653" s="25">
        <f t="shared" si="51"/>
        <v>57959353</v>
      </c>
      <c r="AH653" s="52">
        <f t="shared" si="54"/>
        <v>0</v>
      </c>
      <c r="AI653" s="6"/>
      <c r="AJ653" s="6"/>
      <c r="AK653" s="6"/>
      <c r="AL653" s="6"/>
      <c r="AM653" s="6"/>
      <c r="AN653" s="6"/>
      <c r="AO653" s="6"/>
      <c r="AP653" s="6"/>
      <c r="AQ653" s="6"/>
      <c r="AR653" s="6"/>
    </row>
    <row r="654" spans="1:44">
      <c r="A654" s="6"/>
      <c r="B654" s="6"/>
      <c r="C654" s="6"/>
      <c r="D654" s="6"/>
      <c r="E654" s="6"/>
      <c r="F654" s="6"/>
      <c r="G654" s="11"/>
      <c r="H654" s="6"/>
      <c r="I654" s="6"/>
      <c r="J654" s="6"/>
      <c r="K654" s="7"/>
      <c r="L654" s="21" t="str">
        <f>микс!$H$10</f>
        <v>продажа со склада</v>
      </c>
      <c r="M654" s="22"/>
      <c r="N654" s="22"/>
      <c r="O654" s="22" t="s">
        <v>143</v>
      </c>
      <c r="P654" s="23" t="str">
        <f>микс!$H$47</f>
        <v>Домашнее хозяйство</v>
      </c>
      <c r="Q654" s="21" t="s">
        <v>132</v>
      </c>
      <c r="R654" s="25">
        <v>1</v>
      </c>
      <c r="S654" s="28"/>
      <c r="T654" s="31">
        <v>42270</v>
      </c>
      <c r="U654" s="33">
        <v>473.88</v>
      </c>
      <c r="V654" s="36">
        <f t="shared" si="52"/>
        <v>473.88</v>
      </c>
      <c r="W654" s="28"/>
      <c r="X654" s="31">
        <v>42320</v>
      </c>
      <c r="Y654" s="33">
        <v>474</v>
      </c>
      <c r="Z654" s="189">
        <f t="shared" si="53"/>
        <v>474</v>
      </c>
      <c r="AA654" s="190"/>
      <c r="AB654" s="31">
        <v>42280</v>
      </c>
      <c r="AC654" s="36">
        <v>473.88</v>
      </c>
      <c r="AD654" s="8"/>
      <c r="AE654" s="6"/>
      <c r="AF654" s="52">
        <f t="shared" si="50"/>
        <v>20030907.600000001</v>
      </c>
      <c r="AG654" s="25">
        <f t="shared" si="51"/>
        <v>20059680</v>
      </c>
      <c r="AH654" s="52">
        <f t="shared" si="54"/>
        <v>20035646.399999999</v>
      </c>
      <c r="AI654" s="6"/>
      <c r="AJ654" s="6"/>
      <c r="AK654" s="6"/>
      <c r="AL654" s="6"/>
      <c r="AM654" s="6"/>
      <c r="AN654" s="6"/>
      <c r="AO654" s="6"/>
      <c r="AP654" s="6"/>
      <c r="AQ654" s="6"/>
      <c r="AR654" s="6"/>
    </row>
    <row r="655" spans="1:44">
      <c r="A655" s="6"/>
      <c r="B655" s="6"/>
      <c r="C655" s="6"/>
      <c r="D655" s="6"/>
      <c r="E655" s="6"/>
      <c r="F655" s="6"/>
      <c r="G655" s="11"/>
      <c r="H655" s="6"/>
      <c r="I655" s="6"/>
      <c r="J655" s="6"/>
      <c r="K655" s="7"/>
      <c r="L655" s="21" t="str">
        <f>микс!$H$10</f>
        <v>продажа со склада</v>
      </c>
      <c r="M655" s="22"/>
      <c r="N655" s="22"/>
      <c r="O655" s="22" t="s">
        <v>143</v>
      </c>
      <c r="P655" s="23" t="str">
        <f>микс!$H$47</f>
        <v>Домашнее хозяйство</v>
      </c>
      <c r="Q655" s="21" t="s">
        <v>132</v>
      </c>
      <c r="R655" s="25">
        <v>1</v>
      </c>
      <c r="S655" s="28"/>
      <c r="T655" s="31">
        <v>42292</v>
      </c>
      <c r="U655" s="33">
        <v>473.88</v>
      </c>
      <c r="V655" s="36">
        <f t="shared" si="52"/>
        <v>473.88</v>
      </c>
      <c r="W655" s="28"/>
      <c r="X655" s="31">
        <v>42342</v>
      </c>
      <c r="Y655" s="33">
        <v>575</v>
      </c>
      <c r="Z655" s="189">
        <f t="shared" si="53"/>
        <v>575</v>
      </c>
      <c r="AA655" s="190"/>
      <c r="AB655" s="31">
        <v>42302</v>
      </c>
      <c r="AC655" s="36">
        <v>473.88</v>
      </c>
      <c r="AD655" s="8"/>
      <c r="AE655" s="6"/>
      <c r="AF655" s="52">
        <f t="shared" si="50"/>
        <v>20041332.960000001</v>
      </c>
      <c r="AG655" s="25">
        <f t="shared" si="51"/>
        <v>24346650</v>
      </c>
      <c r="AH655" s="52">
        <f t="shared" si="54"/>
        <v>20046071.760000002</v>
      </c>
      <c r="AI655" s="6"/>
      <c r="AJ655" s="6"/>
      <c r="AK655" s="6"/>
      <c r="AL655" s="6"/>
      <c r="AM655" s="6"/>
      <c r="AN655" s="6"/>
      <c r="AO655" s="6"/>
      <c r="AP655" s="6"/>
      <c r="AQ655" s="6"/>
      <c r="AR655" s="6"/>
    </row>
    <row r="656" spans="1:44">
      <c r="A656" s="6"/>
      <c r="B656" s="6"/>
      <c r="C656" s="6"/>
      <c r="D656" s="6"/>
      <c r="E656" s="6"/>
      <c r="F656" s="6"/>
      <c r="G656" s="11"/>
      <c r="H656" s="6"/>
      <c r="I656" s="6"/>
      <c r="J656" s="6"/>
      <c r="K656" s="7"/>
      <c r="L656" s="21" t="str">
        <f>микс!$H$10</f>
        <v>продажа со склада</v>
      </c>
      <c r="M656" s="22"/>
      <c r="N656" s="22"/>
      <c r="O656" s="22" t="s">
        <v>143</v>
      </c>
      <c r="P656" s="23" t="str">
        <f>микс!$H$47</f>
        <v>Домашнее хозяйство</v>
      </c>
      <c r="Q656" s="21" t="s">
        <v>107</v>
      </c>
      <c r="R656" s="25">
        <v>1</v>
      </c>
      <c r="S656" s="28"/>
      <c r="T656" s="31">
        <v>42286</v>
      </c>
      <c r="U656" s="33">
        <v>2355.33</v>
      </c>
      <c r="V656" s="36">
        <f t="shared" si="52"/>
        <v>2355.33</v>
      </c>
      <c r="W656" s="28"/>
      <c r="X656" s="31">
        <v>42333</v>
      </c>
      <c r="Y656" s="33">
        <v>2556</v>
      </c>
      <c r="Z656" s="189">
        <f t="shared" si="53"/>
        <v>2556</v>
      </c>
      <c r="AA656" s="190"/>
      <c r="AB656" s="31"/>
      <c r="AC656" s="36"/>
      <c r="AD656" s="8"/>
      <c r="AE656" s="6"/>
      <c r="AF656" s="52">
        <f t="shared" si="50"/>
        <v>99597484.379999995</v>
      </c>
      <c r="AG656" s="25">
        <f t="shared" si="51"/>
        <v>108203148</v>
      </c>
      <c r="AH656" s="52">
        <f t="shared" si="54"/>
        <v>0</v>
      </c>
      <c r="AI656" s="6"/>
      <c r="AJ656" s="6"/>
      <c r="AK656" s="6"/>
      <c r="AL656" s="6"/>
      <c r="AM656" s="6"/>
      <c r="AN656" s="6"/>
      <c r="AO656" s="6"/>
      <c r="AP656" s="6"/>
      <c r="AQ656" s="6"/>
      <c r="AR656" s="6"/>
    </row>
    <row r="657" spans="1:44">
      <c r="A657" s="6"/>
      <c r="B657" s="6"/>
      <c r="C657" s="6"/>
      <c r="D657" s="6"/>
      <c r="E657" s="6"/>
      <c r="F657" s="6"/>
      <c r="G657" s="11"/>
      <c r="H657" s="6"/>
      <c r="I657" s="6"/>
      <c r="J657" s="6"/>
      <c r="K657" s="7"/>
      <c r="L657" s="21" t="str">
        <f>микс!$H$10</f>
        <v>продажа со склада</v>
      </c>
      <c r="M657" s="22"/>
      <c r="N657" s="22"/>
      <c r="O657" s="22" t="s">
        <v>148</v>
      </c>
      <c r="P657" s="23" t="str">
        <f>микс!$H$49</f>
        <v>Товары для детей</v>
      </c>
      <c r="Q657" s="21" t="s">
        <v>59</v>
      </c>
      <c r="R657" s="25">
        <v>1</v>
      </c>
      <c r="S657" s="28"/>
      <c r="T657" s="31">
        <v>42253</v>
      </c>
      <c r="U657" s="33">
        <v>7999</v>
      </c>
      <c r="V657" s="36">
        <f t="shared" si="52"/>
        <v>7999</v>
      </c>
      <c r="W657" s="28"/>
      <c r="X657" s="31">
        <v>42299</v>
      </c>
      <c r="Y657" s="33">
        <v>8580</v>
      </c>
      <c r="Z657" s="189">
        <f t="shared" si="53"/>
        <v>8580</v>
      </c>
      <c r="AA657" s="190"/>
      <c r="AB657" s="31">
        <v>42274</v>
      </c>
      <c r="AC657" s="36">
        <v>7999</v>
      </c>
      <c r="AD657" s="8"/>
      <c r="AE657" s="6"/>
      <c r="AF657" s="52">
        <f t="shared" si="50"/>
        <v>337981747</v>
      </c>
      <c r="AG657" s="25">
        <f t="shared" si="51"/>
        <v>362925420</v>
      </c>
      <c r="AH657" s="52">
        <f t="shared" si="54"/>
        <v>338149726</v>
      </c>
      <c r="AI657" s="6"/>
      <c r="AJ657" s="6"/>
      <c r="AK657" s="6"/>
      <c r="AL657" s="6"/>
      <c r="AM657" s="6"/>
      <c r="AN657" s="6"/>
      <c r="AO657" s="6"/>
      <c r="AP657" s="6"/>
      <c r="AQ657" s="6"/>
      <c r="AR657" s="6"/>
    </row>
    <row r="658" spans="1:44">
      <c r="A658" s="6"/>
      <c r="B658" s="6"/>
      <c r="C658" s="6"/>
      <c r="D658" s="6"/>
      <c r="E658" s="6"/>
      <c r="F658" s="6"/>
      <c r="G658" s="11"/>
      <c r="H658" s="6"/>
      <c r="I658" s="6"/>
      <c r="J658" s="6"/>
      <c r="K658" s="7"/>
      <c r="L658" s="21" t="str">
        <f>микс!$H$11</f>
        <v>продажа под заказ</v>
      </c>
      <c r="M658" s="22"/>
      <c r="N658" s="22"/>
      <c r="O658" s="22" t="s">
        <v>143</v>
      </c>
      <c r="P658" s="23" t="str">
        <f>микс!$H$47</f>
        <v>Домашнее хозяйство</v>
      </c>
      <c r="Q658" s="21" t="s">
        <v>104</v>
      </c>
      <c r="R658" s="25">
        <v>1</v>
      </c>
      <c r="S658" s="28"/>
      <c r="T658" s="31">
        <v>42310</v>
      </c>
      <c r="U658" s="33">
        <v>2811.6</v>
      </c>
      <c r="V658" s="36">
        <f t="shared" si="52"/>
        <v>2811.6</v>
      </c>
      <c r="W658" s="28"/>
      <c r="X658" s="31">
        <v>42318</v>
      </c>
      <c r="Y658" s="33">
        <v>3564</v>
      </c>
      <c r="Z658" s="189">
        <f t="shared" si="53"/>
        <v>3564</v>
      </c>
      <c r="AA658" s="190"/>
      <c r="AB658" s="31">
        <v>42355</v>
      </c>
      <c r="AC658" s="36">
        <v>2811.6</v>
      </c>
      <c r="AD658" s="8"/>
      <c r="AE658" s="6"/>
      <c r="AF658" s="52">
        <f t="shared" si="50"/>
        <v>118958796</v>
      </c>
      <c r="AG658" s="25">
        <f t="shared" si="51"/>
        <v>150821352</v>
      </c>
      <c r="AH658" s="52">
        <f t="shared" si="54"/>
        <v>119085318</v>
      </c>
      <c r="AI658" s="6"/>
      <c r="AJ658" s="6"/>
      <c r="AK658" s="6"/>
      <c r="AL658" s="6"/>
      <c r="AM658" s="6"/>
      <c r="AN658" s="6"/>
      <c r="AO658" s="6"/>
      <c r="AP658" s="6"/>
      <c r="AQ658" s="6"/>
      <c r="AR658" s="6"/>
    </row>
    <row r="659" spans="1:44">
      <c r="A659" s="6"/>
      <c r="B659" s="6"/>
      <c r="C659" s="6"/>
      <c r="D659" s="6"/>
      <c r="E659" s="6"/>
      <c r="F659" s="6"/>
      <c r="G659" s="11"/>
      <c r="H659" s="6"/>
      <c r="I659" s="6"/>
      <c r="J659" s="6"/>
      <c r="K659" s="7"/>
      <c r="L659" s="21" t="str">
        <f>микс!$H$11</f>
        <v>продажа под заказ</v>
      </c>
      <c r="M659" s="22"/>
      <c r="N659" s="22"/>
      <c r="O659" s="22" t="s">
        <v>135</v>
      </c>
      <c r="P659" s="23" t="str">
        <f>микс!$H$49</f>
        <v>Товары для детей</v>
      </c>
      <c r="Q659" s="21" t="s">
        <v>91</v>
      </c>
      <c r="R659" s="25">
        <v>1</v>
      </c>
      <c r="S659" s="28"/>
      <c r="T659" s="31">
        <v>42307</v>
      </c>
      <c r="U659" s="33">
        <v>2025.1</v>
      </c>
      <c r="V659" s="36">
        <f t="shared" si="52"/>
        <v>2025.1</v>
      </c>
      <c r="W659" s="28"/>
      <c r="X659" s="31">
        <v>42308</v>
      </c>
      <c r="Y659" s="33">
        <v>2702</v>
      </c>
      <c r="Z659" s="189">
        <f t="shared" si="53"/>
        <v>2702</v>
      </c>
      <c r="AA659" s="190"/>
      <c r="AB659" s="31">
        <v>42337</v>
      </c>
      <c r="AC659" s="36">
        <v>2025.1</v>
      </c>
      <c r="AD659" s="8"/>
      <c r="AE659" s="6"/>
      <c r="AF659" s="52">
        <f t="shared" si="50"/>
        <v>85675905.700000003</v>
      </c>
      <c r="AG659" s="25">
        <f t="shared" si="51"/>
        <v>114316216</v>
      </c>
      <c r="AH659" s="52">
        <f t="shared" si="54"/>
        <v>85736658.700000003</v>
      </c>
      <c r="AI659" s="6"/>
      <c r="AJ659" s="6"/>
      <c r="AK659" s="6"/>
      <c r="AL659" s="6"/>
      <c r="AM659" s="6"/>
      <c r="AN659" s="6"/>
      <c r="AO659" s="6"/>
      <c r="AP659" s="6"/>
      <c r="AQ659" s="6"/>
      <c r="AR659" s="6"/>
    </row>
    <row r="660" spans="1:44">
      <c r="A660" s="6"/>
      <c r="B660" s="6"/>
      <c r="C660" s="6"/>
      <c r="D660" s="6"/>
      <c r="E660" s="6"/>
      <c r="F660" s="6"/>
      <c r="G660" s="11"/>
      <c r="H660" s="6"/>
      <c r="I660" s="6"/>
      <c r="J660" s="6"/>
      <c r="K660" s="7"/>
      <c r="L660" s="21" t="str">
        <f>микс!$H$11</f>
        <v>продажа под заказ</v>
      </c>
      <c r="M660" s="22"/>
      <c r="N660" s="22"/>
      <c r="O660" s="22" t="s">
        <v>135</v>
      </c>
      <c r="P660" s="23" t="str">
        <f>микс!$H$49</f>
        <v>Товары для детей</v>
      </c>
      <c r="Q660" s="21" t="s">
        <v>91</v>
      </c>
      <c r="R660" s="25">
        <v>1</v>
      </c>
      <c r="S660" s="28"/>
      <c r="T660" s="31">
        <v>42332</v>
      </c>
      <c r="U660" s="33">
        <v>2182.9</v>
      </c>
      <c r="V660" s="36">
        <f t="shared" si="52"/>
        <v>2182.9</v>
      </c>
      <c r="W660" s="28"/>
      <c r="X660" s="31">
        <v>42335</v>
      </c>
      <c r="Y660" s="33">
        <v>2400</v>
      </c>
      <c r="Z660" s="189">
        <f t="shared" si="53"/>
        <v>2400</v>
      </c>
      <c r="AA660" s="190"/>
      <c r="AB660" s="31">
        <v>42347</v>
      </c>
      <c r="AC660" s="36">
        <v>2182.9</v>
      </c>
      <c r="AD660" s="8"/>
      <c r="AE660" s="6"/>
      <c r="AF660" s="52">
        <f t="shared" si="50"/>
        <v>92406522.799999997</v>
      </c>
      <c r="AG660" s="25">
        <f t="shared" si="51"/>
        <v>101604000</v>
      </c>
      <c r="AH660" s="52">
        <f t="shared" si="54"/>
        <v>92439266.299999997</v>
      </c>
      <c r="AI660" s="6"/>
      <c r="AJ660" s="6"/>
      <c r="AK660" s="6"/>
      <c r="AL660" s="6"/>
      <c r="AM660" s="6"/>
      <c r="AN660" s="6"/>
      <c r="AO660" s="6"/>
      <c r="AP660" s="6"/>
      <c r="AQ660" s="6"/>
      <c r="AR660" s="6"/>
    </row>
    <row r="661" spans="1:44">
      <c r="A661" s="6"/>
      <c r="B661" s="6"/>
      <c r="C661" s="6"/>
      <c r="D661" s="6"/>
      <c r="E661" s="6"/>
      <c r="F661" s="6"/>
      <c r="G661" s="11"/>
      <c r="H661" s="6"/>
      <c r="I661" s="6"/>
      <c r="J661" s="6"/>
      <c r="K661" s="7"/>
      <c r="L661" s="21" t="str">
        <f>микс!$H$11</f>
        <v>продажа под заказ</v>
      </c>
      <c r="M661" s="22"/>
      <c r="N661" s="22"/>
      <c r="O661" s="22" t="s">
        <v>135</v>
      </c>
      <c r="P661" s="23" t="str">
        <f>микс!$H$49</f>
        <v>Товары для детей</v>
      </c>
      <c r="Q661" s="21" t="s">
        <v>91</v>
      </c>
      <c r="R661" s="25">
        <v>1</v>
      </c>
      <c r="S661" s="28"/>
      <c r="T661" s="31">
        <v>42332</v>
      </c>
      <c r="U661" s="33">
        <v>2182.9</v>
      </c>
      <c r="V661" s="36">
        <f t="shared" si="52"/>
        <v>2182.9</v>
      </c>
      <c r="W661" s="28"/>
      <c r="X661" s="31">
        <v>42335</v>
      </c>
      <c r="Y661" s="33">
        <v>2472</v>
      </c>
      <c r="Z661" s="189">
        <f t="shared" si="53"/>
        <v>2472</v>
      </c>
      <c r="AA661" s="190"/>
      <c r="AB661" s="31">
        <v>42354</v>
      </c>
      <c r="AC661" s="36">
        <v>2182.9</v>
      </c>
      <c r="AD661" s="8"/>
      <c r="AE661" s="6"/>
      <c r="AF661" s="52">
        <f t="shared" si="50"/>
        <v>92406522.799999997</v>
      </c>
      <c r="AG661" s="25">
        <f t="shared" si="51"/>
        <v>104652120</v>
      </c>
      <c r="AH661" s="52">
        <f t="shared" si="54"/>
        <v>92454546.600000009</v>
      </c>
      <c r="AI661" s="6"/>
      <c r="AJ661" s="6"/>
      <c r="AK661" s="6"/>
      <c r="AL661" s="6"/>
      <c r="AM661" s="6"/>
      <c r="AN661" s="6"/>
      <c r="AO661" s="6"/>
      <c r="AP661" s="6"/>
      <c r="AQ661" s="6"/>
      <c r="AR661" s="6"/>
    </row>
    <row r="662" spans="1:44">
      <c r="A662" s="6"/>
      <c r="B662" s="6"/>
      <c r="C662" s="6"/>
      <c r="D662" s="6"/>
      <c r="E662" s="6"/>
      <c r="F662" s="6"/>
      <c r="G662" s="11"/>
      <c r="H662" s="6"/>
      <c r="I662" s="6"/>
      <c r="J662" s="6"/>
      <c r="K662" s="7"/>
      <c r="L662" s="21" t="str">
        <f>микс!$H$11</f>
        <v>продажа под заказ</v>
      </c>
      <c r="M662" s="22"/>
      <c r="N662" s="22"/>
      <c r="O662" s="22" t="s">
        <v>135</v>
      </c>
      <c r="P662" s="23" t="str">
        <f>микс!$H$49</f>
        <v>Товары для детей</v>
      </c>
      <c r="Q662" s="21" t="s">
        <v>91</v>
      </c>
      <c r="R662" s="25">
        <v>1</v>
      </c>
      <c r="S662" s="28"/>
      <c r="T662" s="31">
        <v>42334</v>
      </c>
      <c r="U662" s="33">
        <v>2182.9</v>
      </c>
      <c r="V662" s="36">
        <f t="shared" si="52"/>
        <v>2182.9</v>
      </c>
      <c r="W662" s="28"/>
      <c r="X662" s="31">
        <v>42343</v>
      </c>
      <c r="Y662" s="33">
        <v>2472</v>
      </c>
      <c r="Z662" s="189">
        <f t="shared" si="53"/>
        <v>2472</v>
      </c>
      <c r="AA662" s="190"/>
      <c r="AB662" s="31"/>
      <c r="AC662" s="36"/>
      <c r="AD662" s="8"/>
      <c r="AE662" s="6"/>
      <c r="AF662" s="52">
        <f t="shared" si="50"/>
        <v>92410888.600000009</v>
      </c>
      <c r="AG662" s="25">
        <f t="shared" si="51"/>
        <v>104671896</v>
      </c>
      <c r="AH662" s="52">
        <f t="shared" si="54"/>
        <v>0</v>
      </c>
      <c r="AI662" s="6"/>
      <c r="AJ662" s="6"/>
      <c r="AK662" s="6"/>
      <c r="AL662" s="6"/>
      <c r="AM662" s="6"/>
      <c r="AN662" s="6"/>
      <c r="AO662" s="6"/>
      <c r="AP662" s="6"/>
      <c r="AQ662" s="6"/>
      <c r="AR662" s="6"/>
    </row>
    <row r="663" spans="1:44">
      <c r="A663" s="6"/>
      <c r="B663" s="6"/>
      <c r="C663" s="6"/>
      <c r="D663" s="6"/>
      <c r="E663" s="6"/>
      <c r="F663" s="6"/>
      <c r="G663" s="11"/>
      <c r="H663" s="6"/>
      <c r="I663" s="6"/>
      <c r="J663" s="6"/>
      <c r="K663" s="7"/>
      <c r="L663" s="21" t="str">
        <f>микс!$H$11</f>
        <v>продажа под заказ</v>
      </c>
      <c r="M663" s="22"/>
      <c r="N663" s="22"/>
      <c r="O663" s="22" t="s">
        <v>135</v>
      </c>
      <c r="P663" s="23" t="str">
        <f>микс!$H$49</f>
        <v>Товары для детей</v>
      </c>
      <c r="Q663" s="21" t="s">
        <v>91</v>
      </c>
      <c r="R663" s="25">
        <v>1</v>
      </c>
      <c r="S663" s="28"/>
      <c r="T663" s="31">
        <v>42332</v>
      </c>
      <c r="U663" s="33">
        <v>2281.67</v>
      </c>
      <c r="V663" s="36">
        <f t="shared" si="52"/>
        <v>2281.67</v>
      </c>
      <c r="W663" s="28"/>
      <c r="X663" s="31">
        <v>42335</v>
      </c>
      <c r="Y663" s="33">
        <v>2525</v>
      </c>
      <c r="Z663" s="189">
        <f t="shared" si="53"/>
        <v>2525</v>
      </c>
      <c r="AA663" s="190"/>
      <c r="AB663" s="31">
        <v>42337</v>
      </c>
      <c r="AC663" s="36">
        <v>2281.67</v>
      </c>
      <c r="AD663" s="8"/>
      <c r="AE663" s="6"/>
      <c r="AF663" s="52">
        <f t="shared" si="50"/>
        <v>96587654.439999998</v>
      </c>
      <c r="AG663" s="25">
        <f t="shared" si="51"/>
        <v>106895875</v>
      </c>
      <c r="AH663" s="52">
        <f t="shared" si="54"/>
        <v>96599062.790000007</v>
      </c>
      <c r="AI663" s="6"/>
      <c r="AJ663" s="6"/>
      <c r="AK663" s="6"/>
      <c r="AL663" s="6"/>
      <c r="AM663" s="6"/>
      <c r="AN663" s="6"/>
      <c r="AO663" s="6"/>
      <c r="AP663" s="6"/>
      <c r="AQ663" s="6"/>
      <c r="AR663" s="6"/>
    </row>
    <row r="664" spans="1:44">
      <c r="A664" s="6"/>
      <c r="B664" s="6"/>
      <c r="C664" s="6"/>
      <c r="D664" s="6"/>
      <c r="E664" s="6"/>
      <c r="F664" s="6"/>
      <c r="G664" s="11"/>
      <c r="H664" s="6"/>
      <c r="I664" s="6"/>
      <c r="J664" s="6"/>
      <c r="K664" s="7"/>
      <c r="L664" s="21" t="str">
        <f>микс!$H$11</f>
        <v>продажа под заказ</v>
      </c>
      <c r="M664" s="22"/>
      <c r="N664" s="22"/>
      <c r="O664" s="22" t="s">
        <v>135</v>
      </c>
      <c r="P664" s="23" t="str">
        <f>микс!$H$49</f>
        <v>Товары для детей</v>
      </c>
      <c r="Q664" s="21" t="s">
        <v>91</v>
      </c>
      <c r="R664" s="25">
        <v>1</v>
      </c>
      <c r="S664" s="28"/>
      <c r="T664" s="31">
        <v>42324</v>
      </c>
      <c r="U664" s="33">
        <v>2753.11</v>
      </c>
      <c r="V664" s="36">
        <f t="shared" si="52"/>
        <v>2753.11</v>
      </c>
      <c r="W664" s="28"/>
      <c r="X664" s="31">
        <v>42326</v>
      </c>
      <c r="Y664" s="33">
        <v>3429</v>
      </c>
      <c r="Z664" s="189">
        <f t="shared" si="53"/>
        <v>3429</v>
      </c>
      <c r="AA664" s="190"/>
      <c r="AB664" s="31">
        <v>42364</v>
      </c>
      <c r="AC664" s="36">
        <v>2753.11</v>
      </c>
      <c r="AD664" s="8"/>
      <c r="AE664" s="6"/>
      <c r="AF664" s="52">
        <f t="shared" si="50"/>
        <v>116522627.64</v>
      </c>
      <c r="AG664" s="25">
        <f t="shared" si="51"/>
        <v>145135854</v>
      </c>
      <c r="AH664" s="52">
        <f t="shared" si="54"/>
        <v>116632752.04000001</v>
      </c>
      <c r="AI664" s="6"/>
      <c r="AJ664" s="6"/>
      <c r="AK664" s="6"/>
      <c r="AL664" s="6"/>
      <c r="AM664" s="6"/>
      <c r="AN664" s="6"/>
      <c r="AO664" s="6"/>
      <c r="AP664" s="6"/>
      <c r="AQ664" s="6"/>
      <c r="AR664" s="6"/>
    </row>
    <row r="665" spans="1:44">
      <c r="A665" s="6"/>
      <c r="B665" s="6"/>
      <c r="C665" s="6"/>
      <c r="D665" s="6"/>
      <c r="E665" s="6"/>
      <c r="F665" s="6"/>
      <c r="G665" s="11"/>
      <c r="H665" s="6"/>
      <c r="I665" s="6"/>
      <c r="J665" s="6"/>
      <c r="K665" s="7"/>
      <c r="L665" s="21" t="str">
        <f>микс!$H$11</f>
        <v>продажа под заказ</v>
      </c>
      <c r="M665" s="22"/>
      <c r="N665" s="22"/>
      <c r="O665" s="22" t="s">
        <v>135</v>
      </c>
      <c r="P665" s="23" t="str">
        <f>микс!$H$49</f>
        <v>Товары для детей</v>
      </c>
      <c r="Q665" s="21" t="s">
        <v>108</v>
      </c>
      <c r="R665" s="25">
        <v>1</v>
      </c>
      <c r="S665" s="28"/>
      <c r="T665" s="31">
        <v>42294</v>
      </c>
      <c r="U665" s="33">
        <v>1111.8800000000001</v>
      </c>
      <c r="V665" s="36">
        <f t="shared" si="52"/>
        <v>1111.8800000000001</v>
      </c>
      <c r="W665" s="28"/>
      <c r="X665" s="31">
        <v>42298</v>
      </c>
      <c r="Y665" s="33">
        <v>1434</v>
      </c>
      <c r="Z665" s="189">
        <f t="shared" si="53"/>
        <v>1434</v>
      </c>
      <c r="AA665" s="190"/>
      <c r="AB665" s="31"/>
      <c r="AC665" s="36"/>
      <c r="AD665" s="8"/>
      <c r="AE665" s="6"/>
      <c r="AF665" s="52">
        <f t="shared" si="50"/>
        <v>47025852.720000006</v>
      </c>
      <c r="AG665" s="25">
        <f t="shared" si="51"/>
        <v>60655332</v>
      </c>
      <c r="AH665" s="52">
        <f t="shared" si="54"/>
        <v>0</v>
      </c>
      <c r="AI665" s="6"/>
      <c r="AJ665" s="6"/>
      <c r="AK665" s="6"/>
      <c r="AL665" s="6"/>
      <c r="AM665" s="6"/>
      <c r="AN665" s="6"/>
      <c r="AO665" s="6"/>
      <c r="AP665" s="6"/>
      <c r="AQ665" s="6"/>
      <c r="AR665" s="6"/>
    </row>
    <row r="666" spans="1:44">
      <c r="A666" s="6"/>
      <c r="B666" s="6"/>
      <c r="C666" s="6"/>
      <c r="D666" s="6"/>
      <c r="E666" s="6"/>
      <c r="F666" s="6"/>
      <c r="G666" s="11"/>
      <c r="H666" s="6"/>
      <c r="I666" s="6"/>
      <c r="J666" s="6"/>
      <c r="K666" s="7"/>
      <c r="L666" s="21" t="str">
        <f>микс!$H$10</f>
        <v>продажа со склада</v>
      </c>
      <c r="M666" s="22"/>
      <c r="N666" s="22"/>
      <c r="O666" s="22" t="s">
        <v>143</v>
      </c>
      <c r="P666" s="23" t="str">
        <f>микс!$H$47</f>
        <v>Домашнее хозяйство</v>
      </c>
      <c r="Q666" s="21" t="s">
        <v>101</v>
      </c>
      <c r="R666" s="25">
        <v>1</v>
      </c>
      <c r="S666" s="28"/>
      <c r="T666" s="31">
        <v>42256</v>
      </c>
      <c r="U666" s="33">
        <v>5656</v>
      </c>
      <c r="V666" s="36">
        <f t="shared" si="52"/>
        <v>5656</v>
      </c>
      <c r="W666" s="28"/>
      <c r="X666" s="31">
        <v>42302</v>
      </c>
      <c r="Y666" s="33">
        <v>5950</v>
      </c>
      <c r="Z666" s="189">
        <f t="shared" si="53"/>
        <v>5950</v>
      </c>
      <c r="AA666" s="190"/>
      <c r="AB666" s="31">
        <v>42271</v>
      </c>
      <c r="AC666" s="36">
        <v>5656</v>
      </c>
      <c r="AD666" s="8"/>
      <c r="AE666" s="6"/>
      <c r="AF666" s="52">
        <f t="shared" si="50"/>
        <v>238999936</v>
      </c>
      <c r="AG666" s="25">
        <f t="shared" si="51"/>
        <v>251696900</v>
      </c>
      <c r="AH666" s="52">
        <f t="shared" si="54"/>
        <v>239084776</v>
      </c>
      <c r="AI666" s="6"/>
      <c r="AJ666" s="6"/>
      <c r="AK666" s="6"/>
      <c r="AL666" s="6"/>
      <c r="AM666" s="6"/>
      <c r="AN666" s="6"/>
      <c r="AO666" s="6"/>
      <c r="AP666" s="6"/>
      <c r="AQ666" s="6"/>
      <c r="AR666" s="6"/>
    </row>
    <row r="667" spans="1:44">
      <c r="A667" s="6"/>
      <c r="B667" s="6"/>
      <c r="C667" s="6"/>
      <c r="D667" s="6"/>
      <c r="E667" s="6"/>
      <c r="F667" s="6"/>
      <c r="G667" s="11"/>
      <c r="H667" s="6"/>
      <c r="I667" s="6"/>
      <c r="J667" s="6"/>
      <c r="K667" s="7"/>
      <c r="L667" s="21" t="str">
        <f>микс!$H$10</f>
        <v>продажа со склада</v>
      </c>
      <c r="M667" s="22"/>
      <c r="N667" s="22"/>
      <c r="O667" s="22" t="s">
        <v>143</v>
      </c>
      <c r="P667" s="23" t="str">
        <f>микс!$H$47</f>
        <v>Домашнее хозяйство</v>
      </c>
      <c r="Q667" s="21" t="s">
        <v>101</v>
      </c>
      <c r="R667" s="25">
        <v>1</v>
      </c>
      <c r="S667" s="28"/>
      <c r="T667" s="31">
        <v>42258</v>
      </c>
      <c r="U667" s="33">
        <v>5989.95</v>
      </c>
      <c r="V667" s="36">
        <f t="shared" si="52"/>
        <v>5989.95</v>
      </c>
      <c r="W667" s="28"/>
      <c r="X667" s="31">
        <v>42313</v>
      </c>
      <c r="Y667" s="33">
        <v>6366</v>
      </c>
      <c r="Z667" s="189">
        <f t="shared" si="53"/>
        <v>6366</v>
      </c>
      <c r="AA667" s="190"/>
      <c r="AB667" s="31">
        <v>42308</v>
      </c>
      <c r="AC667" s="36">
        <v>5989.95</v>
      </c>
      <c r="AD667" s="8"/>
      <c r="AE667" s="6"/>
      <c r="AF667" s="52">
        <f t="shared" si="50"/>
        <v>253123307.09999999</v>
      </c>
      <c r="AG667" s="25">
        <f t="shared" si="51"/>
        <v>269364558</v>
      </c>
      <c r="AH667" s="52">
        <f t="shared" si="54"/>
        <v>253422804.59999999</v>
      </c>
      <c r="AI667" s="6"/>
      <c r="AJ667" s="6"/>
      <c r="AK667" s="6"/>
      <c r="AL667" s="6"/>
      <c r="AM667" s="6"/>
      <c r="AN667" s="6"/>
      <c r="AO667" s="6"/>
      <c r="AP667" s="6"/>
      <c r="AQ667" s="6"/>
      <c r="AR667" s="6"/>
    </row>
    <row r="668" spans="1:44">
      <c r="A668" s="6"/>
      <c r="B668" s="6"/>
      <c r="C668" s="6"/>
      <c r="D668" s="6"/>
      <c r="E668" s="6"/>
      <c r="F668" s="6"/>
      <c r="G668" s="11"/>
      <c r="H668" s="6"/>
      <c r="I668" s="6"/>
      <c r="J668" s="6"/>
      <c r="K668" s="7"/>
      <c r="L668" s="21" t="str">
        <f>микс!$H$10</f>
        <v>продажа со склада</v>
      </c>
      <c r="M668" s="22"/>
      <c r="N668" s="22"/>
      <c r="O668" s="22" t="s">
        <v>143</v>
      </c>
      <c r="P668" s="23" t="str">
        <f>микс!$H$47</f>
        <v>Домашнее хозяйство</v>
      </c>
      <c r="Q668" s="21" t="s">
        <v>101</v>
      </c>
      <c r="R668" s="25">
        <v>1</v>
      </c>
      <c r="S668" s="28"/>
      <c r="T668" s="31">
        <v>42268</v>
      </c>
      <c r="U668" s="33">
        <v>5656</v>
      </c>
      <c r="V668" s="36">
        <f t="shared" si="52"/>
        <v>5656</v>
      </c>
      <c r="W668" s="28"/>
      <c r="X668" s="31">
        <v>42320</v>
      </c>
      <c r="Y668" s="33">
        <v>6128</v>
      </c>
      <c r="Z668" s="189">
        <f t="shared" si="53"/>
        <v>6128</v>
      </c>
      <c r="AA668" s="190"/>
      <c r="AB668" s="31">
        <v>42288</v>
      </c>
      <c r="AC668" s="36">
        <v>5656</v>
      </c>
      <c r="AD668" s="8"/>
      <c r="AE668" s="6"/>
      <c r="AF668" s="52">
        <f t="shared" si="50"/>
        <v>239067808</v>
      </c>
      <c r="AG668" s="25">
        <f t="shared" si="51"/>
        <v>259336960</v>
      </c>
      <c r="AH668" s="52">
        <f t="shared" si="54"/>
        <v>239180928</v>
      </c>
      <c r="AI668" s="6"/>
      <c r="AJ668" s="6"/>
      <c r="AK668" s="6"/>
      <c r="AL668" s="6"/>
      <c r="AM668" s="6"/>
      <c r="AN668" s="6"/>
      <c r="AO668" s="6"/>
      <c r="AP668" s="6"/>
      <c r="AQ668" s="6"/>
      <c r="AR668" s="6"/>
    </row>
    <row r="669" spans="1:44">
      <c r="A669" s="6"/>
      <c r="B669" s="6"/>
      <c r="C669" s="6"/>
      <c r="D669" s="6"/>
      <c r="E669" s="6"/>
      <c r="F669" s="6"/>
      <c r="G669" s="11"/>
      <c r="H669" s="6"/>
      <c r="I669" s="6"/>
      <c r="J669" s="6"/>
      <c r="K669" s="7"/>
      <c r="L669" s="21" t="str">
        <f>микс!$H$11</f>
        <v>продажа под заказ</v>
      </c>
      <c r="M669" s="22"/>
      <c r="N669" s="22"/>
      <c r="O669" s="22" t="s">
        <v>140</v>
      </c>
      <c r="P669" s="23" t="str">
        <f>микс!$H$49</f>
        <v>Товары для детей</v>
      </c>
      <c r="Q669" s="21" t="s">
        <v>102</v>
      </c>
      <c r="R669" s="25">
        <v>1</v>
      </c>
      <c r="S669" s="28"/>
      <c r="T669" s="31">
        <v>42327</v>
      </c>
      <c r="U669" s="33">
        <v>13157.13</v>
      </c>
      <c r="V669" s="36">
        <f t="shared" si="52"/>
        <v>13157.13</v>
      </c>
      <c r="W669" s="28"/>
      <c r="X669" s="31">
        <v>42336</v>
      </c>
      <c r="Y669" s="33">
        <v>16000</v>
      </c>
      <c r="Z669" s="189">
        <f t="shared" si="53"/>
        <v>16000</v>
      </c>
      <c r="AA669" s="190"/>
      <c r="AB669" s="31">
        <v>42357</v>
      </c>
      <c r="AC669" s="36">
        <v>13157.13</v>
      </c>
      <c r="AD669" s="8"/>
      <c r="AE669" s="6"/>
      <c r="AF669" s="52">
        <f t="shared" si="50"/>
        <v>556901841.50999999</v>
      </c>
      <c r="AG669" s="25">
        <f t="shared" si="51"/>
        <v>677376000</v>
      </c>
      <c r="AH669" s="52">
        <f t="shared" si="54"/>
        <v>557296555.40999997</v>
      </c>
      <c r="AI669" s="6"/>
      <c r="AJ669" s="6"/>
      <c r="AK669" s="6"/>
      <c r="AL669" s="6"/>
      <c r="AM669" s="6"/>
      <c r="AN669" s="6"/>
      <c r="AO669" s="6"/>
      <c r="AP669" s="6"/>
      <c r="AQ669" s="6"/>
      <c r="AR669" s="6"/>
    </row>
    <row r="670" spans="1:44">
      <c r="A670" s="6"/>
      <c r="B670" s="6"/>
      <c r="C670" s="6"/>
      <c r="D670" s="6"/>
      <c r="E670" s="6"/>
      <c r="F670" s="6"/>
      <c r="G670" s="11"/>
      <c r="H670" s="6"/>
      <c r="I670" s="6"/>
      <c r="J670" s="6"/>
      <c r="K670" s="7"/>
      <c r="L670" s="21" t="str">
        <f>микс!$H$10</f>
        <v>продажа со склада</v>
      </c>
      <c r="M670" s="22"/>
      <c r="N670" s="22"/>
      <c r="O670" s="22" t="s">
        <v>140</v>
      </c>
      <c r="P670" s="23" t="str">
        <f>микс!$H$49</f>
        <v>Товары для детей</v>
      </c>
      <c r="Q670" s="21" t="s">
        <v>102</v>
      </c>
      <c r="R670" s="25">
        <v>1</v>
      </c>
      <c r="S670" s="28"/>
      <c r="T670" s="31">
        <v>42254</v>
      </c>
      <c r="U670" s="33">
        <v>15198</v>
      </c>
      <c r="V670" s="36">
        <f t="shared" si="52"/>
        <v>15198</v>
      </c>
      <c r="W670" s="28"/>
      <c r="X670" s="31">
        <v>42300</v>
      </c>
      <c r="Y670" s="33">
        <v>15790</v>
      </c>
      <c r="Z670" s="189">
        <f t="shared" si="53"/>
        <v>15790</v>
      </c>
      <c r="AA670" s="190"/>
      <c r="AB670" s="31">
        <v>42279</v>
      </c>
      <c r="AC670" s="36">
        <v>15198</v>
      </c>
      <c r="AD670" s="8"/>
      <c r="AE670" s="6"/>
      <c r="AF670" s="52">
        <f t="shared" si="50"/>
        <v>642176292</v>
      </c>
      <c r="AG670" s="25">
        <f t="shared" si="51"/>
        <v>667917000</v>
      </c>
      <c r="AH670" s="52">
        <f t="shared" si="54"/>
        <v>642556242</v>
      </c>
      <c r="AI670" s="6"/>
      <c r="AJ670" s="6"/>
      <c r="AK670" s="6"/>
      <c r="AL670" s="6"/>
      <c r="AM670" s="6"/>
      <c r="AN670" s="6"/>
      <c r="AO670" s="6"/>
      <c r="AP670" s="6"/>
      <c r="AQ670" s="6"/>
      <c r="AR670" s="6"/>
    </row>
    <row r="671" spans="1:44">
      <c r="A671" s="6"/>
      <c r="B671" s="6"/>
      <c r="C671" s="6"/>
      <c r="D671" s="6"/>
      <c r="E671" s="6"/>
      <c r="F671" s="6"/>
      <c r="G671" s="11"/>
      <c r="H671" s="6"/>
      <c r="I671" s="6"/>
      <c r="J671" s="6"/>
      <c r="K671" s="7"/>
      <c r="L671" s="21" t="str">
        <f>микс!$H$10</f>
        <v>продажа со склада</v>
      </c>
      <c r="M671" s="22"/>
      <c r="N671" s="22"/>
      <c r="O671" s="22" t="s">
        <v>140</v>
      </c>
      <c r="P671" s="23" t="str">
        <f>микс!$H$49</f>
        <v>Товары для детей</v>
      </c>
      <c r="Q671" s="21" t="s">
        <v>102</v>
      </c>
      <c r="R671" s="25">
        <v>1</v>
      </c>
      <c r="S671" s="28"/>
      <c r="T671" s="31">
        <v>42254</v>
      </c>
      <c r="U671" s="33">
        <v>15198</v>
      </c>
      <c r="V671" s="36">
        <f t="shared" si="52"/>
        <v>15198</v>
      </c>
      <c r="W671" s="28"/>
      <c r="X671" s="31">
        <v>42300</v>
      </c>
      <c r="Y671" s="33">
        <v>15790</v>
      </c>
      <c r="Z671" s="189">
        <f t="shared" si="53"/>
        <v>15790</v>
      </c>
      <c r="AA671" s="190"/>
      <c r="AB671" s="31"/>
      <c r="AC671" s="36"/>
      <c r="AD671" s="8"/>
      <c r="AE671" s="6"/>
      <c r="AF671" s="52">
        <f t="shared" si="50"/>
        <v>642176292</v>
      </c>
      <c r="AG671" s="25">
        <f t="shared" si="51"/>
        <v>667917000</v>
      </c>
      <c r="AH671" s="52">
        <f t="shared" si="54"/>
        <v>0</v>
      </c>
      <c r="AI671" s="6"/>
      <c r="AJ671" s="6"/>
      <c r="AK671" s="6"/>
      <c r="AL671" s="6"/>
      <c r="AM671" s="6"/>
      <c r="AN671" s="6"/>
      <c r="AO671" s="6"/>
      <c r="AP671" s="6"/>
      <c r="AQ671" s="6"/>
      <c r="AR671" s="6"/>
    </row>
    <row r="672" spans="1:44">
      <c r="A672" s="6"/>
      <c r="B672" s="6"/>
      <c r="C672" s="6"/>
      <c r="D672" s="6"/>
      <c r="E672" s="6"/>
      <c r="F672" s="6"/>
      <c r="G672" s="11"/>
      <c r="H672" s="6"/>
      <c r="I672" s="6"/>
      <c r="J672" s="6"/>
      <c r="K672" s="7"/>
      <c r="L672" s="21" t="str">
        <f>микс!$H$11</f>
        <v>продажа под заказ</v>
      </c>
      <c r="M672" s="22"/>
      <c r="N672" s="22"/>
      <c r="O672" s="22" t="s">
        <v>140</v>
      </c>
      <c r="P672" s="23" t="str">
        <f>микс!$H$49</f>
        <v>Товары для детей</v>
      </c>
      <c r="Q672" s="21" t="s">
        <v>102</v>
      </c>
      <c r="R672" s="25">
        <v>1</v>
      </c>
      <c r="S672" s="28"/>
      <c r="T672" s="31">
        <v>42314</v>
      </c>
      <c r="U672" s="33">
        <v>15198</v>
      </c>
      <c r="V672" s="36">
        <f t="shared" si="52"/>
        <v>15198</v>
      </c>
      <c r="W672" s="28"/>
      <c r="X672" s="31">
        <v>42323</v>
      </c>
      <c r="Y672" s="33">
        <v>16480</v>
      </c>
      <c r="Z672" s="189">
        <f t="shared" si="53"/>
        <v>16480</v>
      </c>
      <c r="AA672" s="190"/>
      <c r="AB672" s="31">
        <v>42321</v>
      </c>
      <c r="AC672" s="36">
        <v>15198</v>
      </c>
      <c r="AD672" s="8"/>
      <c r="AE672" s="6"/>
      <c r="AF672" s="52">
        <f t="shared" si="50"/>
        <v>643088172</v>
      </c>
      <c r="AG672" s="25">
        <f t="shared" si="51"/>
        <v>697483040</v>
      </c>
      <c r="AH672" s="52">
        <f t="shared" si="54"/>
        <v>643194558</v>
      </c>
      <c r="AI672" s="6"/>
      <c r="AJ672" s="6"/>
      <c r="AK672" s="6"/>
      <c r="AL672" s="6"/>
      <c r="AM672" s="6"/>
      <c r="AN672" s="6"/>
      <c r="AO672" s="6"/>
      <c r="AP672" s="6"/>
      <c r="AQ672" s="6"/>
      <c r="AR672" s="6"/>
    </row>
    <row r="673" spans="1:44">
      <c r="A673" s="6"/>
      <c r="B673" s="6"/>
      <c r="C673" s="6"/>
      <c r="D673" s="6"/>
      <c r="E673" s="6"/>
      <c r="F673" s="6"/>
      <c r="G673" s="11"/>
      <c r="H673" s="6"/>
      <c r="I673" s="6"/>
      <c r="J673" s="6"/>
      <c r="K673" s="7"/>
      <c r="L673" s="21" t="str">
        <f>микс!$H$11</f>
        <v>продажа под заказ</v>
      </c>
      <c r="M673" s="22"/>
      <c r="N673" s="22"/>
      <c r="O673" s="22" t="s">
        <v>138</v>
      </c>
      <c r="P673" s="23" t="str">
        <f>микс!$H$49</f>
        <v>Товары для детей</v>
      </c>
      <c r="Q673" s="21" t="s">
        <v>102</v>
      </c>
      <c r="R673" s="25">
        <v>1</v>
      </c>
      <c r="S673" s="28"/>
      <c r="T673" s="31">
        <v>42336</v>
      </c>
      <c r="U673" s="33">
        <v>13807</v>
      </c>
      <c r="V673" s="36">
        <f t="shared" si="52"/>
        <v>13807</v>
      </c>
      <c r="W673" s="28"/>
      <c r="X673" s="31">
        <v>42347</v>
      </c>
      <c r="Y673" s="33">
        <v>15757</v>
      </c>
      <c r="Z673" s="189">
        <f t="shared" si="53"/>
        <v>15757</v>
      </c>
      <c r="AA673" s="190"/>
      <c r="AB673" s="31">
        <v>42358</v>
      </c>
      <c r="AC673" s="36">
        <v>13807</v>
      </c>
      <c r="AD673" s="8"/>
      <c r="AE673" s="6"/>
      <c r="AF673" s="52">
        <f t="shared" si="50"/>
        <v>584533152</v>
      </c>
      <c r="AG673" s="25">
        <f t="shared" si="51"/>
        <v>667261679</v>
      </c>
      <c r="AH673" s="52">
        <f t="shared" si="54"/>
        <v>584836906</v>
      </c>
      <c r="AI673" s="6"/>
      <c r="AJ673" s="6"/>
      <c r="AK673" s="6"/>
      <c r="AL673" s="6"/>
      <c r="AM673" s="6"/>
      <c r="AN673" s="6"/>
      <c r="AO673" s="6"/>
      <c r="AP673" s="6"/>
      <c r="AQ673" s="6"/>
      <c r="AR673" s="6"/>
    </row>
    <row r="674" spans="1:44">
      <c r="A674" s="6"/>
      <c r="B674" s="6"/>
      <c r="C674" s="6"/>
      <c r="D674" s="6"/>
      <c r="E674" s="6"/>
      <c r="F674" s="6"/>
      <c r="G674" s="11"/>
      <c r="H674" s="6"/>
      <c r="I674" s="6"/>
      <c r="J674" s="6"/>
      <c r="K674" s="7"/>
      <c r="L674" s="21" t="str">
        <f>микс!$H$11</f>
        <v>продажа под заказ</v>
      </c>
      <c r="M674" s="22"/>
      <c r="N674" s="22"/>
      <c r="O674" s="22" t="s">
        <v>138</v>
      </c>
      <c r="P674" s="23" t="str">
        <f>микс!$H$49</f>
        <v>Товары для детей</v>
      </c>
      <c r="Q674" s="21" t="s">
        <v>102</v>
      </c>
      <c r="R674" s="25">
        <v>1</v>
      </c>
      <c r="S674" s="28"/>
      <c r="T674" s="31">
        <v>42336</v>
      </c>
      <c r="U674" s="33">
        <v>13807</v>
      </c>
      <c r="V674" s="36">
        <f t="shared" si="52"/>
        <v>13807</v>
      </c>
      <c r="W674" s="28"/>
      <c r="X674" s="31">
        <v>42342</v>
      </c>
      <c r="Y674" s="33">
        <v>15757</v>
      </c>
      <c r="Z674" s="189">
        <f t="shared" si="53"/>
        <v>15757</v>
      </c>
      <c r="AA674" s="190"/>
      <c r="AB674" s="31"/>
      <c r="AC674" s="36"/>
      <c r="AD674" s="8"/>
      <c r="AE674" s="6"/>
      <c r="AF674" s="52">
        <f t="shared" si="50"/>
        <v>584533152</v>
      </c>
      <c r="AG674" s="25">
        <f t="shared" si="51"/>
        <v>667182894</v>
      </c>
      <c r="AH674" s="52">
        <f t="shared" si="54"/>
        <v>0</v>
      </c>
      <c r="AI674" s="6"/>
      <c r="AJ674" s="6"/>
      <c r="AK674" s="6"/>
      <c r="AL674" s="6"/>
      <c r="AM674" s="6"/>
      <c r="AN674" s="6"/>
      <c r="AO674" s="6"/>
      <c r="AP674" s="6"/>
      <c r="AQ674" s="6"/>
      <c r="AR674" s="6"/>
    </row>
    <row r="675" spans="1:44">
      <c r="A675" s="6"/>
      <c r="B675" s="6"/>
      <c r="C675" s="6"/>
      <c r="D675" s="6"/>
      <c r="E675" s="6"/>
      <c r="F675" s="6"/>
      <c r="G675" s="11"/>
      <c r="H675" s="6"/>
      <c r="I675" s="6"/>
      <c r="J675" s="6"/>
      <c r="K675" s="7"/>
      <c r="L675" s="21" t="str">
        <f>микс!$H$10</f>
        <v>продажа со склада</v>
      </c>
      <c r="M675" s="22"/>
      <c r="N675" s="22"/>
      <c r="O675" s="22" t="s">
        <v>138</v>
      </c>
      <c r="P675" s="23" t="str">
        <f>микс!$H$49</f>
        <v>Товары для детей</v>
      </c>
      <c r="Q675" s="21" t="s">
        <v>59</v>
      </c>
      <c r="R675" s="25">
        <v>1</v>
      </c>
      <c r="S675" s="28"/>
      <c r="T675" s="31">
        <v>42290</v>
      </c>
      <c r="U675" s="33">
        <v>3450</v>
      </c>
      <c r="V675" s="36">
        <f t="shared" si="52"/>
        <v>3450</v>
      </c>
      <c r="W675" s="28"/>
      <c r="X675" s="31">
        <v>42338</v>
      </c>
      <c r="Y675" s="33">
        <v>3594</v>
      </c>
      <c r="Z675" s="189">
        <f t="shared" si="53"/>
        <v>3594</v>
      </c>
      <c r="AA675" s="190"/>
      <c r="AB675" s="31">
        <v>42335</v>
      </c>
      <c r="AC675" s="36">
        <v>3450</v>
      </c>
      <c r="AD675" s="8"/>
      <c r="AE675" s="6"/>
      <c r="AF675" s="52">
        <f t="shared" si="50"/>
        <v>145900500</v>
      </c>
      <c r="AG675" s="25">
        <f t="shared" si="51"/>
        <v>152162772</v>
      </c>
      <c r="AH675" s="52">
        <f t="shared" si="54"/>
        <v>146055750</v>
      </c>
      <c r="AI675" s="6"/>
      <c r="AJ675" s="6"/>
      <c r="AK675" s="6"/>
      <c r="AL675" s="6"/>
      <c r="AM675" s="6"/>
      <c r="AN675" s="6"/>
      <c r="AO675" s="6"/>
      <c r="AP675" s="6"/>
      <c r="AQ675" s="6"/>
      <c r="AR675" s="6"/>
    </row>
    <row r="676" spans="1:44">
      <c r="A676" s="6"/>
      <c r="B676" s="6"/>
      <c r="C676" s="6"/>
      <c r="D676" s="6"/>
      <c r="E676" s="6"/>
      <c r="F676" s="6"/>
      <c r="G676" s="11"/>
      <c r="H676" s="6"/>
      <c r="I676" s="6"/>
      <c r="J676" s="6"/>
      <c r="K676" s="7"/>
      <c r="L676" s="21" t="str">
        <f>микс!$H$10</f>
        <v>продажа со склада</v>
      </c>
      <c r="M676" s="22"/>
      <c r="N676" s="22"/>
      <c r="O676" s="22" t="s">
        <v>138</v>
      </c>
      <c r="P676" s="23" t="str">
        <f>микс!$H$49</f>
        <v>Товары для детей</v>
      </c>
      <c r="Q676" s="21" t="s">
        <v>59</v>
      </c>
      <c r="R676" s="25">
        <v>1</v>
      </c>
      <c r="S676" s="28"/>
      <c r="T676" s="31">
        <v>42291</v>
      </c>
      <c r="U676" s="33">
        <v>3450</v>
      </c>
      <c r="V676" s="36">
        <f t="shared" si="52"/>
        <v>3450</v>
      </c>
      <c r="W676" s="28"/>
      <c r="X676" s="31">
        <v>42339</v>
      </c>
      <c r="Y676" s="33">
        <v>3594</v>
      </c>
      <c r="Z676" s="189">
        <f t="shared" si="53"/>
        <v>3594</v>
      </c>
      <c r="AA676" s="190"/>
      <c r="AB676" s="31"/>
      <c r="AC676" s="36"/>
      <c r="AD676" s="8"/>
      <c r="AE676" s="6"/>
      <c r="AF676" s="52">
        <f t="shared" si="50"/>
        <v>145903950</v>
      </c>
      <c r="AG676" s="25">
        <f t="shared" si="51"/>
        <v>152166366</v>
      </c>
      <c r="AH676" s="52">
        <f t="shared" si="54"/>
        <v>0</v>
      </c>
      <c r="AI676" s="6"/>
      <c r="AJ676" s="6"/>
      <c r="AK676" s="6"/>
      <c r="AL676" s="6"/>
      <c r="AM676" s="6"/>
      <c r="AN676" s="6"/>
      <c r="AO676" s="6"/>
      <c r="AP676" s="6"/>
      <c r="AQ676" s="6"/>
      <c r="AR676" s="6"/>
    </row>
    <row r="677" spans="1:44">
      <c r="A677" s="6"/>
      <c r="B677" s="6"/>
      <c r="C677" s="6"/>
      <c r="D677" s="6"/>
      <c r="E677" s="6"/>
      <c r="F677" s="6"/>
      <c r="G677" s="11"/>
      <c r="H677" s="6"/>
      <c r="I677" s="6"/>
      <c r="J677" s="6"/>
      <c r="K677" s="7"/>
      <c r="L677" s="21" t="str">
        <f>микс!$H$10</f>
        <v>продажа со склада</v>
      </c>
      <c r="M677" s="22"/>
      <c r="N677" s="22"/>
      <c r="O677" s="22" t="s">
        <v>138</v>
      </c>
      <c r="P677" s="23" t="str">
        <f>микс!$H$49</f>
        <v>Товары для детей</v>
      </c>
      <c r="Q677" s="21" t="s">
        <v>108</v>
      </c>
      <c r="R677" s="25">
        <v>1</v>
      </c>
      <c r="S677" s="28"/>
      <c r="T677" s="31">
        <v>42250</v>
      </c>
      <c r="U677" s="33">
        <v>3546.06</v>
      </c>
      <c r="V677" s="36">
        <f t="shared" si="52"/>
        <v>3546.06</v>
      </c>
      <c r="W677" s="28"/>
      <c r="X677" s="31">
        <v>42297</v>
      </c>
      <c r="Y677" s="33">
        <v>3780</v>
      </c>
      <c r="Z677" s="189">
        <f t="shared" si="53"/>
        <v>3780</v>
      </c>
      <c r="AA677" s="190"/>
      <c r="AB677" s="31">
        <v>42262</v>
      </c>
      <c r="AC677" s="36">
        <v>3546.06</v>
      </c>
      <c r="AD677" s="8"/>
      <c r="AE677" s="6"/>
      <c r="AF677" s="52">
        <f t="shared" si="50"/>
        <v>149821035</v>
      </c>
      <c r="AG677" s="25">
        <f t="shared" si="51"/>
        <v>159882660</v>
      </c>
      <c r="AH677" s="52">
        <f t="shared" si="54"/>
        <v>149863587.72</v>
      </c>
      <c r="AI677" s="6"/>
      <c r="AJ677" s="6"/>
      <c r="AK677" s="6"/>
      <c r="AL677" s="6"/>
      <c r="AM677" s="6"/>
      <c r="AN677" s="6"/>
      <c r="AO677" s="6"/>
      <c r="AP677" s="6"/>
      <c r="AQ677" s="6"/>
      <c r="AR677" s="6"/>
    </row>
    <row r="678" spans="1:44">
      <c r="A678" s="6"/>
      <c r="B678" s="6"/>
      <c r="C678" s="6"/>
      <c r="D678" s="6"/>
      <c r="E678" s="6"/>
      <c r="F678" s="6"/>
      <c r="G678" s="11"/>
      <c r="H678" s="6"/>
      <c r="I678" s="6"/>
      <c r="J678" s="6"/>
      <c r="K678" s="7"/>
      <c r="L678" s="21" t="str">
        <f>микс!$H$11</f>
        <v>продажа под заказ</v>
      </c>
      <c r="M678" s="22"/>
      <c r="N678" s="22"/>
      <c r="O678" s="22" t="s">
        <v>148</v>
      </c>
      <c r="P678" s="23" t="str">
        <f>микс!$H$49</f>
        <v>Товары для детей</v>
      </c>
      <c r="Q678" s="21" t="s">
        <v>108</v>
      </c>
      <c r="R678" s="25">
        <v>1</v>
      </c>
      <c r="S678" s="28"/>
      <c r="T678" s="31">
        <v>42329</v>
      </c>
      <c r="U678" s="33">
        <v>3600</v>
      </c>
      <c r="V678" s="36">
        <f t="shared" si="52"/>
        <v>3600</v>
      </c>
      <c r="W678" s="28"/>
      <c r="X678" s="31">
        <v>42339</v>
      </c>
      <c r="Y678" s="33">
        <v>4429</v>
      </c>
      <c r="Z678" s="189">
        <f t="shared" si="53"/>
        <v>4429</v>
      </c>
      <c r="AA678" s="190"/>
      <c r="AB678" s="31">
        <v>42339</v>
      </c>
      <c r="AC678" s="36">
        <v>3600</v>
      </c>
      <c r="AD678" s="8"/>
      <c r="AE678" s="6"/>
      <c r="AF678" s="52">
        <f t="shared" si="50"/>
        <v>152384400</v>
      </c>
      <c r="AG678" s="25">
        <f t="shared" si="51"/>
        <v>187519431</v>
      </c>
      <c r="AH678" s="52">
        <f t="shared" si="54"/>
        <v>152420400</v>
      </c>
      <c r="AI678" s="6"/>
      <c r="AJ678" s="6"/>
      <c r="AK678" s="6"/>
      <c r="AL678" s="6"/>
      <c r="AM678" s="6"/>
      <c r="AN678" s="6"/>
      <c r="AO678" s="6"/>
      <c r="AP678" s="6"/>
      <c r="AQ678" s="6"/>
      <c r="AR678" s="6"/>
    </row>
    <row r="679" spans="1:44">
      <c r="A679" s="6"/>
      <c r="B679" s="6"/>
      <c r="C679" s="6"/>
      <c r="D679" s="6"/>
      <c r="E679" s="6"/>
      <c r="F679" s="6"/>
      <c r="G679" s="11"/>
      <c r="H679" s="6"/>
      <c r="I679" s="6"/>
      <c r="J679" s="6"/>
      <c r="K679" s="7"/>
      <c r="L679" s="21" t="str">
        <f>микс!$H$11</f>
        <v>продажа под заказ</v>
      </c>
      <c r="M679" s="22"/>
      <c r="N679" s="22"/>
      <c r="O679" s="22" t="s">
        <v>148</v>
      </c>
      <c r="P679" s="23" t="str">
        <f>микс!$H$49</f>
        <v>Товары для детей</v>
      </c>
      <c r="Q679" s="21" t="s">
        <v>108</v>
      </c>
      <c r="R679" s="25">
        <v>1</v>
      </c>
      <c r="S679" s="28"/>
      <c r="T679" s="31">
        <v>42333</v>
      </c>
      <c r="U679" s="33">
        <v>3600</v>
      </c>
      <c r="V679" s="36">
        <f t="shared" si="52"/>
        <v>3600</v>
      </c>
      <c r="W679" s="28"/>
      <c r="X679" s="31">
        <v>42339</v>
      </c>
      <c r="Y679" s="33">
        <v>4429</v>
      </c>
      <c r="Z679" s="189">
        <f t="shared" si="53"/>
        <v>4429</v>
      </c>
      <c r="AA679" s="190"/>
      <c r="AB679" s="31">
        <v>42353</v>
      </c>
      <c r="AC679" s="36">
        <v>3600</v>
      </c>
      <c r="AD679" s="8"/>
      <c r="AE679" s="6"/>
      <c r="AF679" s="52">
        <f t="shared" si="50"/>
        <v>152398800</v>
      </c>
      <c r="AG679" s="25">
        <f t="shared" si="51"/>
        <v>187519431</v>
      </c>
      <c r="AH679" s="52">
        <f t="shared" si="54"/>
        <v>152470800</v>
      </c>
      <c r="AI679" s="6"/>
      <c r="AJ679" s="6"/>
      <c r="AK679" s="6"/>
      <c r="AL679" s="6"/>
      <c r="AM679" s="6"/>
      <c r="AN679" s="6"/>
      <c r="AO679" s="6"/>
      <c r="AP679" s="6"/>
      <c r="AQ679" s="6"/>
      <c r="AR679" s="6"/>
    </row>
    <row r="680" spans="1:44">
      <c r="A680" s="6"/>
      <c r="B680" s="6"/>
      <c r="C680" s="6"/>
      <c r="D680" s="6"/>
      <c r="E680" s="6"/>
      <c r="F680" s="6"/>
      <c r="G680" s="11"/>
      <c r="H680" s="6"/>
      <c r="I680" s="6"/>
      <c r="J680" s="6"/>
      <c r="K680" s="7"/>
      <c r="L680" s="21" t="str">
        <f>микс!$H$10</f>
        <v>продажа со склада</v>
      </c>
      <c r="M680" s="22"/>
      <c r="N680" s="22"/>
      <c r="O680" s="22" t="s">
        <v>138</v>
      </c>
      <c r="P680" s="23" t="str">
        <f>микс!$H$49</f>
        <v>Товары для детей</v>
      </c>
      <c r="Q680" s="21" t="s">
        <v>108</v>
      </c>
      <c r="R680" s="25">
        <v>1</v>
      </c>
      <c r="S680" s="28"/>
      <c r="T680" s="31">
        <v>42283</v>
      </c>
      <c r="U680" s="33">
        <v>3546.07</v>
      </c>
      <c r="V680" s="36">
        <f t="shared" si="52"/>
        <v>3546.07</v>
      </c>
      <c r="W680" s="28"/>
      <c r="X680" s="31">
        <v>42339</v>
      </c>
      <c r="Y680" s="33">
        <v>4887</v>
      </c>
      <c r="Z680" s="189">
        <f t="shared" si="53"/>
        <v>4887</v>
      </c>
      <c r="AA680" s="190"/>
      <c r="AB680" s="31">
        <v>42313</v>
      </c>
      <c r="AC680" s="36">
        <v>3546.07</v>
      </c>
      <c r="AD680" s="8"/>
      <c r="AE680" s="6"/>
      <c r="AF680" s="52">
        <f t="shared" si="50"/>
        <v>149938477.81</v>
      </c>
      <c r="AG680" s="25">
        <f t="shared" si="51"/>
        <v>206910693</v>
      </c>
      <c r="AH680" s="52">
        <f t="shared" si="54"/>
        <v>150044859.91</v>
      </c>
      <c r="AI680" s="6"/>
      <c r="AJ680" s="6"/>
      <c r="AK680" s="6"/>
      <c r="AL680" s="6"/>
      <c r="AM680" s="6"/>
      <c r="AN680" s="6"/>
      <c r="AO680" s="6"/>
      <c r="AP680" s="6"/>
      <c r="AQ680" s="6"/>
      <c r="AR680" s="6"/>
    </row>
    <row r="681" spans="1:44">
      <c r="A681" s="6"/>
      <c r="B681" s="6"/>
      <c r="C681" s="6"/>
      <c r="D681" s="6"/>
      <c r="E681" s="6"/>
      <c r="F681" s="6"/>
      <c r="G681" s="11"/>
      <c r="H681" s="6"/>
      <c r="I681" s="6"/>
      <c r="J681" s="6"/>
      <c r="K681" s="7"/>
      <c r="L681" s="21" t="str">
        <f>микс!$H$11</f>
        <v>продажа под заказ</v>
      </c>
      <c r="M681" s="22"/>
      <c r="N681" s="22"/>
      <c r="O681" s="22" t="s">
        <v>148</v>
      </c>
      <c r="P681" s="23" t="str">
        <f>микс!$H$49</f>
        <v>Товары для детей</v>
      </c>
      <c r="Q681" s="21" t="s">
        <v>108</v>
      </c>
      <c r="R681" s="25">
        <v>1</v>
      </c>
      <c r="S681" s="28"/>
      <c r="T681" s="31">
        <v>42329</v>
      </c>
      <c r="U681" s="33">
        <v>3586.52</v>
      </c>
      <c r="V681" s="36">
        <f t="shared" si="52"/>
        <v>3586.52</v>
      </c>
      <c r="W681" s="28"/>
      <c r="X681" s="31">
        <v>42331</v>
      </c>
      <c r="Y681" s="33">
        <v>4300</v>
      </c>
      <c r="Z681" s="189">
        <f t="shared" si="53"/>
        <v>4300</v>
      </c>
      <c r="AA681" s="190"/>
      <c r="AB681" s="31">
        <v>42359</v>
      </c>
      <c r="AC681" s="36">
        <v>3586.52</v>
      </c>
      <c r="AD681" s="8"/>
      <c r="AE681" s="6"/>
      <c r="AF681" s="52">
        <f t="shared" si="50"/>
        <v>151813805.08000001</v>
      </c>
      <c r="AG681" s="25">
        <f t="shared" si="51"/>
        <v>182023300</v>
      </c>
      <c r="AH681" s="52">
        <f t="shared" si="54"/>
        <v>151921400.68000001</v>
      </c>
      <c r="AI681" s="6"/>
      <c r="AJ681" s="6"/>
      <c r="AK681" s="6"/>
      <c r="AL681" s="6"/>
      <c r="AM681" s="6"/>
      <c r="AN681" s="6"/>
      <c r="AO681" s="6"/>
      <c r="AP681" s="6"/>
      <c r="AQ681" s="6"/>
      <c r="AR681" s="6"/>
    </row>
    <row r="682" spans="1:44">
      <c r="A682" s="6"/>
      <c r="B682" s="6"/>
      <c r="C682" s="6"/>
      <c r="D682" s="6"/>
      <c r="E682" s="6"/>
      <c r="F682" s="6"/>
      <c r="G682" s="11"/>
      <c r="H682" s="6"/>
      <c r="I682" s="6"/>
      <c r="J682" s="6"/>
      <c r="K682" s="7"/>
      <c r="L682" s="21" t="str">
        <f>микс!$H$11</f>
        <v>продажа под заказ</v>
      </c>
      <c r="M682" s="22"/>
      <c r="N682" s="22"/>
      <c r="O682" s="22" t="s">
        <v>143</v>
      </c>
      <c r="P682" s="23" t="str">
        <f>микс!$H$47</f>
        <v>Домашнее хозяйство</v>
      </c>
      <c r="Q682" s="21" t="s">
        <v>101</v>
      </c>
      <c r="R682" s="25">
        <v>3</v>
      </c>
      <c r="S682" s="28"/>
      <c r="T682" s="31">
        <v>42305</v>
      </c>
      <c r="U682" s="33">
        <v>6079.2</v>
      </c>
      <c r="V682" s="36">
        <f t="shared" si="52"/>
        <v>18237.599999999999</v>
      </c>
      <c r="W682" s="28"/>
      <c r="X682" s="31">
        <v>42308</v>
      </c>
      <c r="Y682" s="33">
        <v>7980</v>
      </c>
      <c r="Z682" s="189">
        <f t="shared" si="53"/>
        <v>23940</v>
      </c>
      <c r="AA682" s="190"/>
      <c r="AB682" s="31"/>
      <c r="AC682" s="36"/>
      <c r="AD682" s="8"/>
      <c r="AE682" s="6"/>
      <c r="AF682" s="52">
        <f t="shared" si="50"/>
        <v>771541667.99999988</v>
      </c>
      <c r="AG682" s="25">
        <f t="shared" si="51"/>
        <v>1012853520</v>
      </c>
      <c r="AH682" s="52">
        <f t="shared" si="54"/>
        <v>0</v>
      </c>
      <c r="AI682" s="6"/>
      <c r="AJ682" s="6"/>
      <c r="AK682" s="6"/>
      <c r="AL682" s="6"/>
      <c r="AM682" s="6"/>
      <c r="AN682" s="6"/>
      <c r="AO682" s="6"/>
      <c r="AP682" s="6"/>
      <c r="AQ682" s="6"/>
      <c r="AR682" s="6"/>
    </row>
    <row r="683" spans="1:44">
      <c r="A683" s="6"/>
      <c r="B683" s="6"/>
      <c r="C683" s="6"/>
      <c r="D683" s="6"/>
      <c r="E683" s="6"/>
      <c r="F683" s="6"/>
      <c r="G683" s="11"/>
      <c r="H683" s="6"/>
      <c r="I683" s="6"/>
      <c r="J683" s="6"/>
      <c r="K683" s="7"/>
      <c r="L683" s="21" t="str">
        <f>микс!$H$11</f>
        <v>продажа под заказ</v>
      </c>
      <c r="M683" s="22"/>
      <c r="N683" s="22"/>
      <c r="O683" s="22" t="s">
        <v>143</v>
      </c>
      <c r="P683" s="23" t="str">
        <f>микс!$H$47</f>
        <v>Домашнее хозяйство</v>
      </c>
      <c r="Q683" s="21" t="s">
        <v>101</v>
      </c>
      <c r="R683" s="25">
        <v>3</v>
      </c>
      <c r="S683" s="28"/>
      <c r="T683" s="31">
        <v>42306</v>
      </c>
      <c r="U683" s="33">
        <v>6079.2</v>
      </c>
      <c r="V683" s="36">
        <f t="shared" si="52"/>
        <v>18237.599999999999</v>
      </c>
      <c r="W683" s="28"/>
      <c r="X683" s="31">
        <v>42309</v>
      </c>
      <c r="Y683" s="33">
        <v>7980</v>
      </c>
      <c r="Z683" s="189">
        <f t="shared" si="53"/>
        <v>23940</v>
      </c>
      <c r="AA683" s="190"/>
      <c r="AB683" s="31">
        <v>42366</v>
      </c>
      <c r="AC683" s="36">
        <v>18237.599999999999</v>
      </c>
      <c r="AD683" s="8"/>
      <c r="AE683" s="6"/>
      <c r="AF683" s="52">
        <f t="shared" si="50"/>
        <v>771559905.5999999</v>
      </c>
      <c r="AG683" s="25">
        <f t="shared" si="51"/>
        <v>1012877460</v>
      </c>
      <c r="AH683" s="52">
        <f t="shared" si="54"/>
        <v>772654161.5999999</v>
      </c>
      <c r="AI683" s="6"/>
      <c r="AJ683" s="6"/>
      <c r="AK683" s="6"/>
      <c r="AL683" s="6"/>
      <c r="AM683" s="6"/>
      <c r="AN683" s="6"/>
      <c r="AO683" s="6"/>
      <c r="AP683" s="6"/>
      <c r="AQ683" s="6"/>
      <c r="AR683" s="6"/>
    </row>
    <row r="684" spans="1:44">
      <c r="A684" s="6"/>
      <c r="B684" s="6"/>
      <c r="C684" s="6"/>
      <c r="D684" s="6"/>
      <c r="E684" s="6"/>
      <c r="F684" s="6"/>
      <c r="G684" s="11"/>
      <c r="H684" s="6"/>
      <c r="I684" s="6"/>
      <c r="J684" s="6"/>
      <c r="K684" s="7"/>
      <c r="L684" s="21" t="str">
        <f>микс!$H$10</f>
        <v>продажа со склада</v>
      </c>
      <c r="M684" s="22"/>
      <c r="N684" s="22"/>
      <c r="O684" s="22" t="s">
        <v>148</v>
      </c>
      <c r="P684" s="23" t="str">
        <f>микс!$H$49</f>
        <v>Товары для детей</v>
      </c>
      <c r="Q684" s="21" t="s">
        <v>92</v>
      </c>
      <c r="R684" s="25">
        <v>1</v>
      </c>
      <c r="S684" s="28"/>
      <c r="T684" s="31">
        <v>42273</v>
      </c>
      <c r="U684" s="33">
        <v>533.24</v>
      </c>
      <c r="V684" s="36">
        <f t="shared" si="52"/>
        <v>533.24</v>
      </c>
      <c r="W684" s="28"/>
      <c r="X684" s="31">
        <v>42321</v>
      </c>
      <c r="Y684" s="33">
        <v>906</v>
      </c>
      <c r="Z684" s="189">
        <f t="shared" si="53"/>
        <v>906</v>
      </c>
      <c r="AA684" s="190"/>
      <c r="AB684" s="31">
        <v>42323</v>
      </c>
      <c r="AC684" s="36">
        <v>533.24</v>
      </c>
      <c r="AD684" s="8"/>
      <c r="AE684" s="6"/>
      <c r="AF684" s="52">
        <f t="shared" si="50"/>
        <v>22541654.52</v>
      </c>
      <c r="AG684" s="25">
        <f t="shared" si="51"/>
        <v>38342826</v>
      </c>
      <c r="AH684" s="52">
        <f t="shared" si="54"/>
        <v>22568316.52</v>
      </c>
      <c r="AI684" s="6"/>
      <c r="AJ684" s="6"/>
      <c r="AK684" s="6"/>
      <c r="AL684" s="6"/>
      <c r="AM684" s="6"/>
      <c r="AN684" s="6"/>
      <c r="AO684" s="6"/>
      <c r="AP684" s="6"/>
      <c r="AQ684" s="6"/>
      <c r="AR684" s="6"/>
    </row>
    <row r="685" spans="1:44">
      <c r="A685" s="6"/>
      <c r="B685" s="6"/>
      <c r="C685" s="6"/>
      <c r="D685" s="6"/>
      <c r="E685" s="6"/>
      <c r="F685" s="6"/>
      <c r="G685" s="11"/>
      <c r="H685" s="6"/>
      <c r="I685" s="6"/>
      <c r="J685" s="6"/>
      <c r="K685" s="7"/>
      <c r="L685" s="21" t="str">
        <f>микс!$H$10</f>
        <v>продажа со склада</v>
      </c>
      <c r="M685" s="22"/>
      <c r="N685" s="22"/>
      <c r="O685" s="22" t="s">
        <v>142</v>
      </c>
      <c r="P685" s="23" t="str">
        <f>микс!$H$47</f>
        <v>Домашнее хозяйство</v>
      </c>
      <c r="Q685" s="21" t="s">
        <v>66</v>
      </c>
      <c r="R685" s="25">
        <v>1</v>
      </c>
      <c r="S685" s="28"/>
      <c r="T685" s="31">
        <v>42280</v>
      </c>
      <c r="U685" s="33">
        <v>1666.46</v>
      </c>
      <c r="V685" s="36">
        <f t="shared" si="52"/>
        <v>1666.46</v>
      </c>
      <c r="W685" s="28"/>
      <c r="X685" s="31">
        <v>42332</v>
      </c>
      <c r="Y685" s="33">
        <v>2173</v>
      </c>
      <c r="Z685" s="189">
        <f t="shared" si="53"/>
        <v>2173</v>
      </c>
      <c r="AA685" s="190"/>
      <c r="AB685" s="31">
        <v>42340</v>
      </c>
      <c r="AC685" s="36">
        <v>1666.46</v>
      </c>
      <c r="AD685" s="8"/>
      <c r="AE685" s="6"/>
      <c r="AF685" s="52">
        <f t="shared" si="50"/>
        <v>70457928.799999997</v>
      </c>
      <c r="AG685" s="25">
        <f t="shared" si="51"/>
        <v>91987436</v>
      </c>
      <c r="AH685" s="52">
        <f t="shared" si="54"/>
        <v>70557916.400000006</v>
      </c>
      <c r="AI685" s="6"/>
      <c r="AJ685" s="6"/>
      <c r="AK685" s="6"/>
      <c r="AL685" s="6"/>
      <c r="AM685" s="6"/>
      <c r="AN685" s="6"/>
      <c r="AO685" s="6"/>
      <c r="AP685" s="6"/>
      <c r="AQ685" s="6"/>
      <c r="AR685" s="6"/>
    </row>
    <row r="686" spans="1:44">
      <c r="A686" s="6"/>
      <c r="B686" s="6"/>
      <c r="C686" s="6"/>
      <c r="D686" s="6"/>
      <c r="E686" s="6"/>
      <c r="F686" s="6"/>
      <c r="G686" s="11"/>
      <c r="H686" s="6"/>
      <c r="I686" s="6"/>
      <c r="J686" s="6"/>
      <c r="K686" s="7"/>
      <c r="L686" s="21" t="str">
        <f>микс!$H$11</f>
        <v>продажа под заказ</v>
      </c>
      <c r="M686" s="22"/>
      <c r="N686" s="22"/>
      <c r="O686" s="22" t="s">
        <v>146</v>
      </c>
      <c r="P686" s="23" t="str">
        <f>микс!$H$49</f>
        <v>Товары для детей</v>
      </c>
      <c r="Q686" s="21" t="s">
        <v>92</v>
      </c>
      <c r="R686" s="25">
        <v>1</v>
      </c>
      <c r="S686" s="28"/>
      <c r="T686" s="31">
        <v>42335</v>
      </c>
      <c r="U686" s="33">
        <v>2404</v>
      </c>
      <c r="V686" s="36">
        <f t="shared" si="52"/>
        <v>2404</v>
      </c>
      <c r="W686" s="28"/>
      <c r="X686" s="31">
        <v>42346</v>
      </c>
      <c r="Y686" s="33">
        <v>3368</v>
      </c>
      <c r="Z686" s="189">
        <f t="shared" si="53"/>
        <v>3368</v>
      </c>
      <c r="AA686" s="190"/>
      <c r="AB686" s="31">
        <v>42365</v>
      </c>
      <c r="AC686" s="36">
        <v>2404</v>
      </c>
      <c r="AD686" s="8"/>
      <c r="AE686" s="6"/>
      <c r="AF686" s="52">
        <f t="shared" si="50"/>
        <v>101773340</v>
      </c>
      <c r="AG686" s="25">
        <f t="shared" si="51"/>
        <v>142621328</v>
      </c>
      <c r="AH686" s="52">
        <f t="shared" si="54"/>
        <v>101845460</v>
      </c>
      <c r="AI686" s="6"/>
      <c r="AJ686" s="6"/>
      <c r="AK686" s="6"/>
      <c r="AL686" s="6"/>
      <c r="AM686" s="6"/>
      <c r="AN686" s="6"/>
      <c r="AO686" s="6"/>
      <c r="AP686" s="6"/>
      <c r="AQ686" s="6"/>
      <c r="AR686" s="6"/>
    </row>
    <row r="687" spans="1:44">
      <c r="A687" s="6"/>
      <c r="B687" s="6"/>
      <c r="C687" s="6"/>
      <c r="D687" s="6"/>
      <c r="E687" s="6"/>
      <c r="F687" s="6"/>
      <c r="G687" s="11"/>
      <c r="H687" s="6"/>
      <c r="I687" s="6"/>
      <c r="J687" s="6"/>
      <c r="K687" s="7"/>
      <c r="L687" s="21" t="str">
        <f>микс!$H$11</f>
        <v>продажа под заказ</v>
      </c>
      <c r="M687" s="22"/>
      <c r="N687" s="22"/>
      <c r="O687" s="22" t="s">
        <v>141</v>
      </c>
      <c r="P687" s="23" t="str">
        <f>микс!$H$49</f>
        <v>Товары для детей</v>
      </c>
      <c r="Q687" s="21" t="s">
        <v>109</v>
      </c>
      <c r="R687" s="25">
        <v>1</v>
      </c>
      <c r="S687" s="28"/>
      <c r="T687" s="31">
        <v>42335</v>
      </c>
      <c r="U687" s="33">
        <v>7870</v>
      </c>
      <c r="V687" s="36">
        <f t="shared" si="52"/>
        <v>7870</v>
      </c>
      <c r="W687" s="28"/>
      <c r="X687" s="31">
        <v>42348</v>
      </c>
      <c r="Y687" s="33">
        <v>8632</v>
      </c>
      <c r="Z687" s="189">
        <f t="shared" si="53"/>
        <v>8632</v>
      </c>
      <c r="AA687" s="190"/>
      <c r="AB687" s="31">
        <v>42355</v>
      </c>
      <c r="AC687" s="36">
        <v>7870</v>
      </c>
      <c r="AD687" s="8"/>
      <c r="AE687" s="6"/>
      <c r="AF687" s="52">
        <f t="shared" si="50"/>
        <v>333176450</v>
      </c>
      <c r="AG687" s="25">
        <f t="shared" si="51"/>
        <v>365547936</v>
      </c>
      <c r="AH687" s="52">
        <f t="shared" si="54"/>
        <v>333333850</v>
      </c>
      <c r="AI687" s="6"/>
      <c r="AJ687" s="6"/>
      <c r="AK687" s="6"/>
      <c r="AL687" s="6"/>
      <c r="AM687" s="6"/>
      <c r="AN687" s="6"/>
      <c r="AO687" s="6"/>
      <c r="AP687" s="6"/>
      <c r="AQ687" s="6"/>
      <c r="AR687" s="6"/>
    </row>
    <row r="688" spans="1:44">
      <c r="A688" s="6"/>
      <c r="B688" s="6"/>
      <c r="C688" s="6"/>
      <c r="D688" s="6"/>
      <c r="E688" s="6"/>
      <c r="F688" s="6"/>
      <c r="G688" s="11"/>
      <c r="H688" s="6"/>
      <c r="I688" s="6"/>
      <c r="J688" s="6"/>
      <c r="K688" s="7"/>
      <c r="L688" s="21" t="str">
        <f>микс!$H$11</f>
        <v>продажа под заказ</v>
      </c>
      <c r="M688" s="22"/>
      <c r="N688" s="22"/>
      <c r="O688" s="22" t="s">
        <v>143</v>
      </c>
      <c r="P688" s="23" t="str">
        <f>микс!$H$47</f>
        <v>Домашнее хозяйство</v>
      </c>
      <c r="Q688" s="21" t="s">
        <v>110</v>
      </c>
      <c r="R688" s="25">
        <v>2</v>
      </c>
      <c r="S688" s="28"/>
      <c r="T688" s="31">
        <v>42312</v>
      </c>
      <c r="U688" s="33">
        <v>3590.4</v>
      </c>
      <c r="V688" s="36">
        <f t="shared" si="52"/>
        <v>7180.8</v>
      </c>
      <c r="W688" s="28"/>
      <c r="X688" s="31">
        <v>42319</v>
      </c>
      <c r="Y688" s="33">
        <v>2060</v>
      </c>
      <c r="Z688" s="189">
        <f t="shared" si="53"/>
        <v>4120</v>
      </c>
      <c r="AA688" s="190"/>
      <c r="AB688" s="31"/>
      <c r="AC688" s="36"/>
      <c r="AD688" s="8"/>
      <c r="AE688" s="6"/>
      <c r="AF688" s="52">
        <f t="shared" si="50"/>
        <v>303834009.60000002</v>
      </c>
      <c r="AG688" s="25">
        <f t="shared" si="51"/>
        <v>174354280</v>
      </c>
      <c r="AH688" s="52">
        <f t="shared" si="54"/>
        <v>0</v>
      </c>
      <c r="AI688" s="6"/>
      <c r="AJ688" s="6"/>
      <c r="AK688" s="6"/>
      <c r="AL688" s="6"/>
      <c r="AM688" s="6"/>
      <c r="AN688" s="6"/>
      <c r="AO688" s="6"/>
      <c r="AP688" s="6"/>
      <c r="AQ688" s="6"/>
      <c r="AR688" s="6"/>
    </row>
    <row r="689" spans="1:44">
      <c r="A689" s="6"/>
      <c r="B689" s="6"/>
      <c r="C689" s="6"/>
      <c r="D689" s="6"/>
      <c r="E689" s="6"/>
      <c r="F689" s="6"/>
      <c r="G689" s="11"/>
      <c r="H689" s="6"/>
      <c r="I689" s="6"/>
      <c r="J689" s="6"/>
      <c r="K689" s="7"/>
      <c r="L689" s="21" t="str">
        <f>микс!$H$11</f>
        <v>продажа под заказ</v>
      </c>
      <c r="M689" s="22"/>
      <c r="N689" s="22"/>
      <c r="O689" s="22" t="s">
        <v>143</v>
      </c>
      <c r="P689" s="23" t="str">
        <f>микс!$H$47</f>
        <v>Домашнее хозяйство</v>
      </c>
      <c r="Q689" s="21" t="s">
        <v>110</v>
      </c>
      <c r="R689" s="25">
        <v>1</v>
      </c>
      <c r="S689" s="28"/>
      <c r="T689" s="31">
        <v>42328</v>
      </c>
      <c r="U689" s="33">
        <v>2366.4</v>
      </c>
      <c r="V689" s="36">
        <f t="shared" si="52"/>
        <v>2366.4</v>
      </c>
      <c r="W689" s="28"/>
      <c r="X689" s="31">
        <v>42334</v>
      </c>
      <c r="Y689" s="33">
        <v>3584</v>
      </c>
      <c r="Z689" s="189">
        <f t="shared" si="53"/>
        <v>3584</v>
      </c>
      <c r="AA689" s="190"/>
      <c r="AB689" s="31">
        <v>42338</v>
      </c>
      <c r="AC689" s="36">
        <v>2366.4</v>
      </c>
      <c r="AD689" s="8"/>
      <c r="AE689" s="6"/>
      <c r="AF689" s="52">
        <f t="shared" si="50"/>
        <v>100164979.2</v>
      </c>
      <c r="AG689" s="25">
        <f t="shared" si="51"/>
        <v>151725056</v>
      </c>
      <c r="AH689" s="52">
        <f t="shared" si="54"/>
        <v>100188643.2</v>
      </c>
      <c r="AI689" s="6"/>
      <c r="AJ689" s="6"/>
      <c r="AK689" s="6"/>
      <c r="AL689" s="6"/>
      <c r="AM689" s="6"/>
      <c r="AN689" s="6"/>
      <c r="AO689" s="6"/>
      <c r="AP689" s="6"/>
      <c r="AQ689" s="6"/>
      <c r="AR689" s="6"/>
    </row>
    <row r="690" spans="1:44">
      <c r="A690" s="6"/>
      <c r="B690" s="6"/>
      <c r="C690" s="6"/>
      <c r="D690" s="6"/>
      <c r="E690" s="6"/>
      <c r="F690" s="6"/>
      <c r="G690" s="11"/>
      <c r="H690" s="6"/>
      <c r="I690" s="6"/>
      <c r="J690" s="6"/>
      <c r="K690" s="7"/>
      <c r="L690" s="21" t="str">
        <f>микс!$H$11</f>
        <v>продажа под заказ</v>
      </c>
      <c r="M690" s="22"/>
      <c r="N690" s="22"/>
      <c r="O690" s="22" t="s">
        <v>135</v>
      </c>
      <c r="P690" s="23" t="str">
        <f>микс!$H$49</f>
        <v>Товары для детей</v>
      </c>
      <c r="Q690" s="21" t="s">
        <v>91</v>
      </c>
      <c r="R690" s="25">
        <v>1</v>
      </c>
      <c r="S690" s="28"/>
      <c r="T690" s="31">
        <v>42332</v>
      </c>
      <c r="U690" s="33">
        <v>2310.7199999999998</v>
      </c>
      <c r="V690" s="36">
        <f t="shared" si="52"/>
        <v>2310.7199999999998</v>
      </c>
      <c r="W690" s="28"/>
      <c r="X690" s="31">
        <v>42335</v>
      </c>
      <c r="Y690" s="33">
        <v>2657</v>
      </c>
      <c r="Z690" s="189">
        <f t="shared" si="53"/>
        <v>2657</v>
      </c>
      <c r="AA690" s="190"/>
      <c r="AB690" s="31">
        <v>42362</v>
      </c>
      <c r="AC690" s="36">
        <v>2310.7199999999998</v>
      </c>
      <c r="AD690" s="8"/>
      <c r="AE690" s="6"/>
      <c r="AF690" s="52">
        <f t="shared" si="50"/>
        <v>97817399.039999992</v>
      </c>
      <c r="AG690" s="25">
        <f t="shared" si="51"/>
        <v>112484095</v>
      </c>
      <c r="AH690" s="52">
        <f t="shared" si="54"/>
        <v>97886720.639999986</v>
      </c>
      <c r="AI690" s="6"/>
      <c r="AJ690" s="6"/>
      <c r="AK690" s="6"/>
      <c r="AL690" s="6"/>
      <c r="AM690" s="6"/>
      <c r="AN690" s="6"/>
      <c r="AO690" s="6"/>
      <c r="AP690" s="6"/>
      <c r="AQ690" s="6"/>
      <c r="AR690" s="6"/>
    </row>
    <row r="691" spans="1:44">
      <c r="A691" s="6"/>
      <c r="B691" s="6"/>
      <c r="C691" s="6"/>
      <c r="D691" s="6"/>
      <c r="E691" s="6"/>
      <c r="F691" s="6"/>
      <c r="G691" s="11"/>
      <c r="H691" s="6"/>
      <c r="I691" s="6"/>
      <c r="J691" s="6"/>
      <c r="K691" s="7"/>
      <c r="L691" s="21" t="str">
        <f>микс!$H$11</f>
        <v>продажа под заказ</v>
      </c>
      <c r="M691" s="22"/>
      <c r="N691" s="22"/>
      <c r="O691" s="22" t="s">
        <v>135</v>
      </c>
      <c r="P691" s="23" t="str">
        <f>микс!$H$49</f>
        <v>Товары для детей</v>
      </c>
      <c r="Q691" s="21" t="s">
        <v>91</v>
      </c>
      <c r="R691" s="25">
        <v>1</v>
      </c>
      <c r="S691" s="28"/>
      <c r="T691" s="31">
        <v>42331</v>
      </c>
      <c r="U691" s="33">
        <v>2310.7199999999998</v>
      </c>
      <c r="V691" s="36">
        <f t="shared" si="52"/>
        <v>2310.7199999999998</v>
      </c>
      <c r="W691" s="28"/>
      <c r="X691" s="31">
        <v>42334</v>
      </c>
      <c r="Y691" s="33">
        <v>2657</v>
      </c>
      <c r="Z691" s="189">
        <f t="shared" si="53"/>
        <v>2657</v>
      </c>
      <c r="AA691" s="190"/>
      <c r="AB691" s="31">
        <v>42352</v>
      </c>
      <c r="AC691" s="36">
        <v>2310.7199999999998</v>
      </c>
      <c r="AD691" s="8"/>
      <c r="AE691" s="6"/>
      <c r="AF691" s="52">
        <f t="shared" si="50"/>
        <v>97815088.319999993</v>
      </c>
      <c r="AG691" s="25">
        <f t="shared" si="51"/>
        <v>112481438</v>
      </c>
      <c r="AH691" s="52">
        <f t="shared" si="54"/>
        <v>97863613.439999998</v>
      </c>
      <c r="AI691" s="6"/>
      <c r="AJ691" s="6"/>
      <c r="AK691" s="6"/>
      <c r="AL691" s="6"/>
      <c r="AM691" s="6"/>
      <c r="AN691" s="6"/>
      <c r="AO691" s="6"/>
      <c r="AP691" s="6"/>
      <c r="AQ691" s="6"/>
      <c r="AR691" s="6"/>
    </row>
    <row r="692" spans="1:44">
      <c r="A692" s="6"/>
      <c r="B692" s="6"/>
      <c r="C692" s="6"/>
      <c r="D692" s="6"/>
      <c r="E692" s="6"/>
      <c r="F692" s="6"/>
      <c r="G692" s="11"/>
      <c r="H692" s="6"/>
      <c r="I692" s="6"/>
      <c r="J692" s="6"/>
      <c r="K692" s="7"/>
      <c r="L692" s="21" t="str">
        <f>микс!$H$11</f>
        <v>продажа под заказ</v>
      </c>
      <c r="M692" s="22"/>
      <c r="N692" s="22"/>
      <c r="O692" s="22" t="s">
        <v>139</v>
      </c>
      <c r="P692" s="23" t="str">
        <f>микс!$H$49</f>
        <v>Товары для детей</v>
      </c>
      <c r="Q692" s="21" t="s">
        <v>108</v>
      </c>
      <c r="R692" s="25">
        <v>1</v>
      </c>
      <c r="S692" s="28"/>
      <c r="T692" s="31">
        <v>42336</v>
      </c>
      <c r="U692" s="33">
        <v>8253</v>
      </c>
      <c r="V692" s="36">
        <f t="shared" si="52"/>
        <v>8253</v>
      </c>
      <c r="W692" s="28"/>
      <c r="X692" s="31">
        <v>42342</v>
      </c>
      <c r="Y692" s="33">
        <v>9332</v>
      </c>
      <c r="Z692" s="189">
        <f t="shared" si="53"/>
        <v>9332</v>
      </c>
      <c r="AA692" s="190"/>
      <c r="AB692" s="31"/>
      <c r="AC692" s="36"/>
      <c r="AD692" s="8"/>
      <c r="AE692" s="6"/>
      <c r="AF692" s="52">
        <f t="shared" si="50"/>
        <v>349399008</v>
      </c>
      <c r="AG692" s="25">
        <f t="shared" si="51"/>
        <v>395135544</v>
      </c>
      <c r="AH692" s="52">
        <f t="shared" si="54"/>
        <v>0</v>
      </c>
      <c r="AI692" s="6"/>
      <c r="AJ692" s="6"/>
      <c r="AK692" s="6"/>
      <c r="AL692" s="6"/>
      <c r="AM692" s="6"/>
      <c r="AN692" s="6"/>
      <c r="AO692" s="6"/>
      <c r="AP692" s="6"/>
      <c r="AQ692" s="6"/>
      <c r="AR692" s="6"/>
    </row>
    <row r="693" spans="1:44">
      <c r="A693" s="6"/>
      <c r="B693" s="6"/>
      <c r="C693" s="6"/>
      <c r="D693" s="6"/>
      <c r="E693" s="6"/>
      <c r="F693" s="6"/>
      <c r="G693" s="11"/>
      <c r="H693" s="6"/>
      <c r="I693" s="6"/>
      <c r="J693" s="6"/>
      <c r="K693" s="7"/>
      <c r="L693" s="21" t="str">
        <f>микс!$H$11</f>
        <v>продажа под заказ</v>
      </c>
      <c r="M693" s="22"/>
      <c r="N693" s="22"/>
      <c r="O693" s="22" t="s">
        <v>139</v>
      </c>
      <c r="P693" s="23" t="str">
        <f>микс!$H$49</f>
        <v>Товары для детей</v>
      </c>
      <c r="Q693" s="21" t="s">
        <v>98</v>
      </c>
      <c r="R693" s="25">
        <v>1</v>
      </c>
      <c r="S693" s="28"/>
      <c r="T693" s="31">
        <v>42338</v>
      </c>
      <c r="U693" s="33">
        <v>18479.3</v>
      </c>
      <c r="V693" s="36">
        <f t="shared" si="52"/>
        <v>18479.3</v>
      </c>
      <c r="W693" s="28"/>
      <c r="X693" s="31">
        <v>42342</v>
      </c>
      <c r="Y693" s="33">
        <v>19699</v>
      </c>
      <c r="Z693" s="189">
        <f t="shared" si="53"/>
        <v>19699</v>
      </c>
      <c r="AA693" s="190"/>
      <c r="AB693" s="31">
        <v>42368</v>
      </c>
      <c r="AC693" s="36">
        <v>18479.3</v>
      </c>
      <c r="AD693" s="8"/>
      <c r="AE693" s="6"/>
      <c r="AF693" s="52">
        <f t="shared" si="50"/>
        <v>782376603.39999998</v>
      </c>
      <c r="AG693" s="25">
        <f t="shared" si="51"/>
        <v>834095058</v>
      </c>
      <c r="AH693" s="52">
        <f t="shared" si="54"/>
        <v>782930982.39999998</v>
      </c>
      <c r="AI693" s="6"/>
      <c r="AJ693" s="6"/>
      <c r="AK693" s="6"/>
      <c r="AL693" s="6"/>
      <c r="AM693" s="6"/>
      <c r="AN693" s="6"/>
      <c r="AO693" s="6"/>
      <c r="AP693" s="6"/>
      <c r="AQ693" s="6"/>
      <c r="AR693" s="6"/>
    </row>
    <row r="694" spans="1:44">
      <c r="A694" s="6"/>
      <c r="B694" s="6"/>
      <c r="C694" s="6"/>
      <c r="D694" s="6"/>
      <c r="E694" s="6"/>
      <c r="F694" s="6"/>
      <c r="G694" s="11"/>
      <c r="H694" s="6"/>
      <c r="I694" s="6"/>
      <c r="J694" s="6"/>
      <c r="K694" s="7"/>
      <c r="L694" s="21" t="str">
        <f>микс!$H$10</f>
        <v>продажа со склада</v>
      </c>
      <c r="M694" s="22"/>
      <c r="N694" s="22"/>
      <c r="O694" s="22" t="s">
        <v>138</v>
      </c>
      <c r="P694" s="23" t="str">
        <f>микс!$H$49</f>
        <v>Товары для детей</v>
      </c>
      <c r="Q694" s="21" t="s">
        <v>102</v>
      </c>
      <c r="R694" s="25">
        <v>1</v>
      </c>
      <c r="S694" s="28"/>
      <c r="T694" s="31">
        <v>42278</v>
      </c>
      <c r="U694" s="33">
        <v>1961</v>
      </c>
      <c r="V694" s="36">
        <f t="shared" si="52"/>
        <v>1961</v>
      </c>
      <c r="W694" s="28"/>
      <c r="X694" s="31">
        <v>42332</v>
      </c>
      <c r="Y694" s="33">
        <v>2412</v>
      </c>
      <c r="Z694" s="189">
        <f t="shared" si="53"/>
        <v>2412</v>
      </c>
      <c r="AA694" s="190"/>
      <c r="AB694" s="31">
        <v>42293</v>
      </c>
      <c r="AC694" s="36">
        <v>1961</v>
      </c>
      <c r="AD694" s="8"/>
      <c r="AE694" s="6"/>
      <c r="AF694" s="52">
        <f t="shared" si="50"/>
        <v>82907158</v>
      </c>
      <c r="AG694" s="25">
        <f t="shared" si="51"/>
        <v>102104784</v>
      </c>
      <c r="AH694" s="52">
        <f t="shared" si="54"/>
        <v>82936573</v>
      </c>
      <c r="AI694" s="6"/>
      <c r="AJ694" s="6"/>
      <c r="AK694" s="6"/>
      <c r="AL694" s="6"/>
      <c r="AM694" s="6"/>
      <c r="AN694" s="6"/>
      <c r="AO694" s="6"/>
      <c r="AP694" s="6"/>
      <c r="AQ694" s="6"/>
      <c r="AR694" s="6"/>
    </row>
    <row r="695" spans="1:44">
      <c r="A695" s="6"/>
      <c r="B695" s="6"/>
      <c r="C695" s="6"/>
      <c r="D695" s="6"/>
      <c r="E695" s="6"/>
      <c r="F695" s="6"/>
      <c r="G695" s="11"/>
      <c r="H695" s="6"/>
      <c r="I695" s="6"/>
      <c r="J695" s="6"/>
      <c r="K695" s="7"/>
      <c r="L695" s="21" t="str">
        <f>микс!$H$11</f>
        <v>продажа под заказ</v>
      </c>
      <c r="M695" s="22"/>
      <c r="N695" s="22"/>
      <c r="O695" s="22" t="s">
        <v>138</v>
      </c>
      <c r="P695" s="23" t="str">
        <f>микс!$H$49</f>
        <v>Товары для детей</v>
      </c>
      <c r="Q695" s="21" t="s">
        <v>102</v>
      </c>
      <c r="R695" s="25">
        <v>1</v>
      </c>
      <c r="S695" s="28"/>
      <c r="T695" s="31">
        <v>42312</v>
      </c>
      <c r="U695" s="33">
        <v>1961</v>
      </c>
      <c r="V695" s="36">
        <f t="shared" si="52"/>
        <v>1961</v>
      </c>
      <c r="W695" s="28"/>
      <c r="X695" s="31">
        <v>42314</v>
      </c>
      <c r="Y695" s="33">
        <v>2186</v>
      </c>
      <c r="Z695" s="189">
        <f t="shared" si="53"/>
        <v>2186</v>
      </c>
      <c r="AA695" s="190"/>
      <c r="AB695" s="31">
        <v>42334</v>
      </c>
      <c r="AC695" s="36">
        <v>1961</v>
      </c>
      <c r="AD695" s="8"/>
      <c r="AE695" s="6"/>
      <c r="AF695" s="52">
        <f t="shared" si="50"/>
        <v>82973832</v>
      </c>
      <c r="AG695" s="25">
        <f t="shared" si="51"/>
        <v>92498404</v>
      </c>
      <c r="AH695" s="52">
        <f t="shared" si="54"/>
        <v>83016974</v>
      </c>
      <c r="AI695" s="6"/>
      <c r="AJ695" s="6"/>
      <c r="AK695" s="6"/>
      <c r="AL695" s="6"/>
      <c r="AM695" s="6"/>
      <c r="AN695" s="6"/>
      <c r="AO695" s="6"/>
      <c r="AP695" s="6"/>
      <c r="AQ695" s="6"/>
      <c r="AR695" s="6"/>
    </row>
    <row r="696" spans="1:44">
      <c r="A696" s="6"/>
      <c r="B696" s="6"/>
      <c r="C696" s="6"/>
      <c r="D696" s="6"/>
      <c r="E696" s="6"/>
      <c r="F696" s="6"/>
      <c r="G696" s="11"/>
      <c r="H696" s="6"/>
      <c r="I696" s="6"/>
      <c r="J696" s="6"/>
      <c r="K696" s="7"/>
      <c r="L696" s="21" t="str">
        <f>микс!$H$11</f>
        <v>продажа под заказ</v>
      </c>
      <c r="M696" s="22"/>
      <c r="N696" s="22"/>
      <c r="O696" s="22" t="s">
        <v>138</v>
      </c>
      <c r="P696" s="23" t="str">
        <f>микс!$H$49</f>
        <v>Товары для детей</v>
      </c>
      <c r="Q696" s="21" t="s">
        <v>102</v>
      </c>
      <c r="R696" s="25">
        <v>1</v>
      </c>
      <c r="S696" s="28"/>
      <c r="T696" s="31">
        <v>42304</v>
      </c>
      <c r="U696" s="33">
        <v>1961</v>
      </c>
      <c r="V696" s="36">
        <f t="shared" si="52"/>
        <v>1961</v>
      </c>
      <c r="W696" s="28"/>
      <c r="X696" s="31">
        <v>42306</v>
      </c>
      <c r="Y696" s="33">
        <v>2255</v>
      </c>
      <c r="Z696" s="189">
        <f t="shared" si="53"/>
        <v>2255</v>
      </c>
      <c r="AA696" s="190"/>
      <c r="AB696" s="31">
        <v>42364</v>
      </c>
      <c r="AC696" s="36">
        <v>1961</v>
      </c>
      <c r="AD696" s="8"/>
      <c r="AE696" s="6"/>
      <c r="AF696" s="52">
        <f t="shared" si="50"/>
        <v>82958144</v>
      </c>
      <c r="AG696" s="25">
        <f t="shared" si="51"/>
        <v>95400030</v>
      </c>
      <c r="AH696" s="52">
        <f t="shared" si="54"/>
        <v>83075804</v>
      </c>
      <c r="AI696" s="6"/>
      <c r="AJ696" s="6"/>
      <c r="AK696" s="6"/>
      <c r="AL696" s="6"/>
      <c r="AM696" s="6"/>
      <c r="AN696" s="6"/>
      <c r="AO696" s="6"/>
      <c r="AP696" s="6"/>
      <c r="AQ696" s="6"/>
      <c r="AR696" s="6"/>
    </row>
    <row r="697" spans="1:44">
      <c r="A697" s="6"/>
      <c r="B697" s="6"/>
      <c r="C697" s="6"/>
      <c r="D697" s="6"/>
      <c r="E697" s="6"/>
      <c r="F697" s="6"/>
      <c r="G697" s="11"/>
      <c r="H697" s="6"/>
      <c r="I697" s="6"/>
      <c r="J697" s="6"/>
      <c r="K697" s="7"/>
      <c r="L697" s="21" t="str">
        <f>микс!$H$11</f>
        <v>продажа под заказ</v>
      </c>
      <c r="M697" s="22"/>
      <c r="N697" s="22"/>
      <c r="O697" s="22" t="s">
        <v>138</v>
      </c>
      <c r="P697" s="23" t="str">
        <f>микс!$H$49</f>
        <v>Товары для детей</v>
      </c>
      <c r="Q697" s="21" t="s">
        <v>102</v>
      </c>
      <c r="R697" s="25">
        <v>1</v>
      </c>
      <c r="S697" s="28"/>
      <c r="T697" s="31">
        <v>42300</v>
      </c>
      <c r="U697" s="33">
        <v>2013</v>
      </c>
      <c r="V697" s="36">
        <f t="shared" si="52"/>
        <v>2013</v>
      </c>
      <c r="W697" s="28"/>
      <c r="X697" s="31">
        <v>42308</v>
      </c>
      <c r="Y697" s="33">
        <v>2412</v>
      </c>
      <c r="Z697" s="189">
        <f t="shared" si="53"/>
        <v>2412</v>
      </c>
      <c r="AA697" s="190"/>
      <c r="AB697" s="31">
        <v>42305</v>
      </c>
      <c r="AC697" s="36">
        <v>2013</v>
      </c>
      <c r="AD697" s="8"/>
      <c r="AE697" s="6"/>
      <c r="AF697" s="52">
        <f t="shared" si="50"/>
        <v>85149900</v>
      </c>
      <c r="AG697" s="25">
        <f t="shared" si="51"/>
        <v>102046896</v>
      </c>
      <c r="AH697" s="52">
        <f t="shared" si="54"/>
        <v>85159965</v>
      </c>
      <c r="AI697" s="6"/>
      <c r="AJ697" s="6"/>
      <c r="AK697" s="6"/>
      <c r="AL697" s="6"/>
      <c r="AM697" s="6"/>
      <c r="AN697" s="6"/>
      <c r="AO697" s="6"/>
      <c r="AP697" s="6"/>
      <c r="AQ697" s="6"/>
      <c r="AR697" s="6"/>
    </row>
    <row r="698" spans="1:44">
      <c r="A698" s="6"/>
      <c r="B698" s="6"/>
      <c r="C698" s="6"/>
      <c r="D698" s="6"/>
      <c r="E698" s="6"/>
      <c r="F698" s="6"/>
      <c r="G698" s="11"/>
      <c r="H698" s="6"/>
      <c r="I698" s="6"/>
      <c r="J698" s="6"/>
      <c r="K698" s="7"/>
      <c r="L698" s="21" t="str">
        <f>микс!$H$10</f>
        <v>продажа со склада</v>
      </c>
      <c r="M698" s="22"/>
      <c r="N698" s="22"/>
      <c r="O698" s="22" t="s">
        <v>143</v>
      </c>
      <c r="P698" s="23" t="str">
        <f>микс!$H$47</f>
        <v>Домашнее хозяйство</v>
      </c>
      <c r="Q698" s="21" t="s">
        <v>101</v>
      </c>
      <c r="R698" s="25">
        <v>1</v>
      </c>
      <c r="S698" s="28"/>
      <c r="T698" s="31">
        <v>42267</v>
      </c>
      <c r="U698" s="33">
        <v>5656</v>
      </c>
      <c r="V698" s="36">
        <f t="shared" si="52"/>
        <v>5656</v>
      </c>
      <c r="W698" s="28"/>
      <c r="X698" s="31">
        <v>42316</v>
      </c>
      <c r="Y698" s="33">
        <v>5950</v>
      </c>
      <c r="Z698" s="189">
        <f t="shared" si="53"/>
        <v>5950</v>
      </c>
      <c r="AA698" s="190"/>
      <c r="AB698" s="31"/>
      <c r="AC698" s="36"/>
      <c r="AD698" s="8"/>
      <c r="AE698" s="6"/>
      <c r="AF698" s="52">
        <f t="shared" si="50"/>
        <v>239062152</v>
      </c>
      <c r="AG698" s="25">
        <f t="shared" si="51"/>
        <v>251780200</v>
      </c>
      <c r="AH698" s="52">
        <f t="shared" si="54"/>
        <v>0</v>
      </c>
      <c r="AI698" s="6"/>
      <c r="AJ698" s="6"/>
      <c r="AK698" s="6"/>
      <c r="AL698" s="6"/>
      <c r="AM698" s="6"/>
      <c r="AN698" s="6"/>
      <c r="AO698" s="6"/>
      <c r="AP698" s="6"/>
      <c r="AQ698" s="6"/>
      <c r="AR698" s="6"/>
    </row>
    <row r="699" spans="1:44">
      <c r="A699" s="6"/>
      <c r="B699" s="6"/>
      <c r="C699" s="6"/>
      <c r="D699" s="6"/>
      <c r="E699" s="6"/>
      <c r="F699" s="6"/>
      <c r="G699" s="11"/>
      <c r="H699" s="6"/>
      <c r="I699" s="6"/>
      <c r="J699" s="6"/>
      <c r="K699" s="7"/>
      <c r="L699" s="21" t="str">
        <f>микс!$H$10</f>
        <v>продажа со склада</v>
      </c>
      <c r="M699" s="22"/>
      <c r="N699" s="22"/>
      <c r="O699" s="22" t="s">
        <v>143</v>
      </c>
      <c r="P699" s="23" t="str">
        <f>микс!$H$47</f>
        <v>Домашнее хозяйство</v>
      </c>
      <c r="Q699" s="21" t="s">
        <v>101</v>
      </c>
      <c r="R699" s="25">
        <v>1</v>
      </c>
      <c r="S699" s="28"/>
      <c r="T699" s="31">
        <v>42277</v>
      </c>
      <c r="U699" s="33">
        <v>5656</v>
      </c>
      <c r="V699" s="36">
        <f t="shared" si="52"/>
        <v>5656</v>
      </c>
      <c r="W699" s="28"/>
      <c r="X699" s="31">
        <v>42329</v>
      </c>
      <c r="Y699" s="33">
        <v>6128</v>
      </c>
      <c r="Z699" s="189">
        <f t="shared" si="53"/>
        <v>6128</v>
      </c>
      <c r="AA699" s="190"/>
      <c r="AB699" s="31"/>
      <c r="AC699" s="36"/>
      <c r="AD699" s="8"/>
      <c r="AE699" s="6"/>
      <c r="AF699" s="52">
        <f t="shared" si="50"/>
        <v>239118712</v>
      </c>
      <c r="AG699" s="25">
        <f t="shared" si="51"/>
        <v>259392112</v>
      </c>
      <c r="AH699" s="52">
        <f t="shared" si="54"/>
        <v>0</v>
      </c>
      <c r="AI699" s="6"/>
      <c r="AJ699" s="6"/>
      <c r="AK699" s="6"/>
      <c r="AL699" s="6"/>
      <c r="AM699" s="6"/>
      <c r="AN699" s="6"/>
      <c r="AO699" s="6"/>
      <c r="AP699" s="6"/>
      <c r="AQ699" s="6"/>
      <c r="AR699" s="6"/>
    </row>
    <row r="700" spans="1:44">
      <c r="A700" s="6"/>
      <c r="B700" s="6"/>
      <c r="C700" s="6"/>
      <c r="D700" s="6"/>
      <c r="E700" s="6"/>
      <c r="F700" s="6"/>
      <c r="G700" s="11"/>
      <c r="H700" s="6"/>
      <c r="I700" s="6"/>
      <c r="J700" s="6"/>
      <c r="K700" s="7"/>
      <c r="L700" s="21" t="str">
        <f>микс!$H$10</f>
        <v>продажа со склада</v>
      </c>
      <c r="M700" s="22"/>
      <c r="N700" s="22"/>
      <c r="O700" s="22" t="s">
        <v>143</v>
      </c>
      <c r="P700" s="23" t="str">
        <f>микс!$H$47</f>
        <v>Домашнее хозяйство</v>
      </c>
      <c r="Q700" s="21" t="s">
        <v>101</v>
      </c>
      <c r="R700" s="25">
        <v>1</v>
      </c>
      <c r="S700" s="28"/>
      <c r="T700" s="31">
        <v>42270</v>
      </c>
      <c r="U700" s="33">
        <v>5656</v>
      </c>
      <c r="V700" s="36">
        <f t="shared" si="52"/>
        <v>5656</v>
      </c>
      <c r="W700" s="28"/>
      <c r="X700" s="31">
        <v>42317</v>
      </c>
      <c r="Y700" s="33">
        <v>5950</v>
      </c>
      <c r="Z700" s="189">
        <f t="shared" si="53"/>
        <v>5950</v>
      </c>
      <c r="AA700" s="190"/>
      <c r="AB700" s="31">
        <v>42285</v>
      </c>
      <c r="AC700" s="36">
        <v>5656</v>
      </c>
      <c r="AD700" s="8"/>
      <c r="AE700" s="6"/>
      <c r="AF700" s="52">
        <f t="shared" si="50"/>
        <v>239079120</v>
      </c>
      <c r="AG700" s="25">
        <f t="shared" si="51"/>
        <v>251786150</v>
      </c>
      <c r="AH700" s="52">
        <f t="shared" si="54"/>
        <v>239163960</v>
      </c>
      <c r="AI700" s="6"/>
      <c r="AJ700" s="6"/>
      <c r="AK700" s="6"/>
      <c r="AL700" s="6"/>
      <c r="AM700" s="6"/>
      <c r="AN700" s="6"/>
      <c r="AO700" s="6"/>
      <c r="AP700" s="6"/>
      <c r="AQ700" s="6"/>
      <c r="AR700" s="6"/>
    </row>
    <row r="701" spans="1:44">
      <c r="A701" s="6"/>
      <c r="B701" s="6"/>
      <c r="C701" s="6"/>
      <c r="D701" s="6"/>
      <c r="E701" s="6"/>
      <c r="F701" s="6"/>
      <c r="G701" s="11"/>
      <c r="H701" s="6"/>
      <c r="I701" s="6"/>
      <c r="J701" s="6"/>
      <c r="K701" s="7"/>
      <c r="L701" s="21" t="str">
        <f>микс!$H$10</f>
        <v>продажа со склада</v>
      </c>
      <c r="M701" s="22"/>
      <c r="N701" s="22"/>
      <c r="O701" s="22" t="s">
        <v>144</v>
      </c>
      <c r="P701" s="23" t="str">
        <f>микс!$H$48</f>
        <v>Спортивный инвентарь</v>
      </c>
      <c r="Q701" s="21" t="s">
        <v>83</v>
      </c>
      <c r="R701" s="25">
        <v>1</v>
      </c>
      <c r="S701" s="28"/>
      <c r="T701" s="31">
        <v>42267</v>
      </c>
      <c r="U701" s="33">
        <v>1524.97</v>
      </c>
      <c r="V701" s="36">
        <f t="shared" si="52"/>
        <v>1524.97</v>
      </c>
      <c r="W701" s="28"/>
      <c r="X701" s="31">
        <v>42313</v>
      </c>
      <c r="Y701" s="33">
        <v>1690</v>
      </c>
      <c r="Z701" s="189">
        <f t="shared" si="53"/>
        <v>1690</v>
      </c>
      <c r="AA701" s="190"/>
      <c r="AB701" s="31">
        <v>42317</v>
      </c>
      <c r="AC701" s="36">
        <v>1524.97</v>
      </c>
      <c r="AD701" s="8"/>
      <c r="AE701" s="6"/>
      <c r="AF701" s="52">
        <f t="shared" si="50"/>
        <v>64455906.990000002</v>
      </c>
      <c r="AG701" s="25">
        <f t="shared" si="51"/>
        <v>71508970</v>
      </c>
      <c r="AH701" s="52">
        <f t="shared" si="54"/>
        <v>64532155.490000002</v>
      </c>
      <c r="AI701" s="6"/>
      <c r="AJ701" s="6"/>
      <c r="AK701" s="6"/>
      <c r="AL701" s="6"/>
      <c r="AM701" s="6"/>
      <c r="AN701" s="6"/>
      <c r="AO701" s="6"/>
      <c r="AP701" s="6"/>
      <c r="AQ701" s="6"/>
      <c r="AR701" s="6"/>
    </row>
    <row r="702" spans="1:44">
      <c r="A702" s="6"/>
      <c r="B702" s="6"/>
      <c r="C702" s="6"/>
      <c r="D702" s="6"/>
      <c r="E702" s="6"/>
      <c r="F702" s="6"/>
      <c r="G702" s="11"/>
      <c r="H702" s="6"/>
      <c r="I702" s="6"/>
      <c r="J702" s="6"/>
      <c r="K702" s="7"/>
      <c r="L702" s="21" t="str">
        <f>микс!$H$11</f>
        <v>продажа под заказ</v>
      </c>
      <c r="M702" s="22"/>
      <c r="N702" s="22"/>
      <c r="O702" s="22" t="s">
        <v>144</v>
      </c>
      <c r="P702" s="23" t="str">
        <f>микс!$H$48</f>
        <v>Спортивный инвентарь</v>
      </c>
      <c r="Q702" s="21" t="s">
        <v>83</v>
      </c>
      <c r="R702" s="25">
        <v>1</v>
      </c>
      <c r="S702" s="28"/>
      <c r="T702" s="31">
        <v>42318</v>
      </c>
      <c r="U702" s="33">
        <v>1518.48</v>
      </c>
      <c r="V702" s="36">
        <f t="shared" si="52"/>
        <v>1518.48</v>
      </c>
      <c r="W702" s="28"/>
      <c r="X702" s="31">
        <v>42326</v>
      </c>
      <c r="Y702" s="33">
        <v>2214</v>
      </c>
      <c r="Z702" s="189">
        <f t="shared" si="53"/>
        <v>2214</v>
      </c>
      <c r="AA702" s="190"/>
      <c r="AB702" s="31">
        <v>42338</v>
      </c>
      <c r="AC702" s="36">
        <v>1518.48</v>
      </c>
      <c r="AD702" s="8"/>
      <c r="AE702" s="6"/>
      <c r="AF702" s="52">
        <f t="shared" si="50"/>
        <v>64259036.640000001</v>
      </c>
      <c r="AG702" s="25">
        <f t="shared" si="51"/>
        <v>93709764</v>
      </c>
      <c r="AH702" s="52">
        <f t="shared" si="54"/>
        <v>64289406.240000002</v>
      </c>
      <c r="AI702" s="6"/>
      <c r="AJ702" s="6"/>
      <c r="AK702" s="6"/>
      <c r="AL702" s="6"/>
      <c r="AM702" s="6"/>
      <c r="AN702" s="6"/>
      <c r="AO702" s="6"/>
      <c r="AP702" s="6"/>
      <c r="AQ702" s="6"/>
      <c r="AR702" s="6"/>
    </row>
    <row r="703" spans="1:44">
      <c r="A703" s="6"/>
      <c r="B703" s="6"/>
      <c r="C703" s="6"/>
      <c r="D703" s="6"/>
      <c r="E703" s="6"/>
      <c r="F703" s="6"/>
      <c r="G703" s="11"/>
      <c r="H703" s="6"/>
      <c r="I703" s="6"/>
      <c r="J703" s="6"/>
      <c r="K703" s="7"/>
      <c r="L703" s="21" t="str">
        <f>микс!$H$10</f>
        <v>продажа со склада</v>
      </c>
      <c r="M703" s="22"/>
      <c r="N703" s="22"/>
      <c r="O703" s="22" t="s">
        <v>144</v>
      </c>
      <c r="P703" s="23" t="str">
        <f>микс!$H$48</f>
        <v>Спортивный инвентарь</v>
      </c>
      <c r="Q703" s="21" t="s">
        <v>83</v>
      </c>
      <c r="R703" s="25">
        <v>1</v>
      </c>
      <c r="S703" s="28"/>
      <c r="T703" s="31">
        <v>42266</v>
      </c>
      <c r="U703" s="33">
        <v>1524.97</v>
      </c>
      <c r="V703" s="36">
        <f t="shared" si="52"/>
        <v>1524.97</v>
      </c>
      <c r="W703" s="28"/>
      <c r="X703" s="31">
        <v>42314</v>
      </c>
      <c r="Y703" s="33">
        <v>1690</v>
      </c>
      <c r="Z703" s="189">
        <f t="shared" si="53"/>
        <v>1690</v>
      </c>
      <c r="AA703" s="190"/>
      <c r="AB703" s="31">
        <v>42296</v>
      </c>
      <c r="AC703" s="36">
        <v>1524.97</v>
      </c>
      <c r="AD703" s="8"/>
      <c r="AE703" s="6"/>
      <c r="AF703" s="52">
        <f t="shared" si="50"/>
        <v>64454382.020000003</v>
      </c>
      <c r="AG703" s="25">
        <f t="shared" si="51"/>
        <v>71510660</v>
      </c>
      <c r="AH703" s="52">
        <f t="shared" si="54"/>
        <v>64500131.120000005</v>
      </c>
      <c r="AI703" s="6"/>
      <c r="AJ703" s="6"/>
      <c r="AK703" s="6"/>
      <c r="AL703" s="6"/>
      <c r="AM703" s="6"/>
      <c r="AN703" s="6"/>
      <c r="AO703" s="6"/>
      <c r="AP703" s="6"/>
      <c r="AQ703" s="6"/>
      <c r="AR703" s="6"/>
    </row>
    <row r="704" spans="1:44">
      <c r="A704" s="6"/>
      <c r="B704" s="6"/>
      <c r="C704" s="6"/>
      <c r="D704" s="6"/>
      <c r="E704" s="6"/>
      <c r="F704" s="6"/>
      <c r="G704" s="11"/>
      <c r="H704" s="6"/>
      <c r="I704" s="6"/>
      <c r="J704" s="6"/>
      <c r="K704" s="7"/>
      <c r="L704" s="21" t="str">
        <f>микс!$H$10</f>
        <v>продажа со склада</v>
      </c>
      <c r="M704" s="22"/>
      <c r="N704" s="22"/>
      <c r="O704" s="22" t="s">
        <v>144</v>
      </c>
      <c r="P704" s="23" t="str">
        <f>микс!$H$48</f>
        <v>Спортивный инвентарь</v>
      </c>
      <c r="Q704" s="21" t="s">
        <v>83</v>
      </c>
      <c r="R704" s="25">
        <v>1</v>
      </c>
      <c r="S704" s="28"/>
      <c r="T704" s="31">
        <v>42264</v>
      </c>
      <c r="U704" s="33">
        <v>1524.97</v>
      </c>
      <c r="V704" s="36">
        <f t="shared" si="52"/>
        <v>1524.97</v>
      </c>
      <c r="W704" s="28"/>
      <c r="X704" s="31">
        <v>42315</v>
      </c>
      <c r="Y704" s="33">
        <v>1690</v>
      </c>
      <c r="Z704" s="189">
        <f t="shared" si="53"/>
        <v>1690</v>
      </c>
      <c r="AA704" s="190"/>
      <c r="AB704" s="31">
        <v>42289</v>
      </c>
      <c r="AC704" s="36">
        <v>1524.97</v>
      </c>
      <c r="AD704" s="8"/>
      <c r="AE704" s="6"/>
      <c r="AF704" s="52">
        <f t="shared" si="50"/>
        <v>64451332.079999998</v>
      </c>
      <c r="AG704" s="25">
        <f t="shared" si="51"/>
        <v>71512350</v>
      </c>
      <c r="AH704" s="52">
        <f t="shared" si="54"/>
        <v>64489456.329999998</v>
      </c>
      <c r="AI704" s="6"/>
      <c r="AJ704" s="6"/>
      <c r="AK704" s="6"/>
      <c r="AL704" s="6"/>
      <c r="AM704" s="6"/>
      <c r="AN704" s="6"/>
      <c r="AO704" s="6"/>
      <c r="AP704" s="6"/>
      <c r="AQ704" s="6"/>
      <c r="AR704" s="6"/>
    </row>
    <row r="705" spans="1:44">
      <c r="A705" s="6"/>
      <c r="B705" s="6"/>
      <c r="C705" s="6"/>
      <c r="D705" s="6"/>
      <c r="E705" s="6"/>
      <c r="F705" s="6"/>
      <c r="G705" s="11"/>
      <c r="H705" s="6"/>
      <c r="I705" s="6"/>
      <c r="J705" s="6"/>
      <c r="K705" s="7"/>
      <c r="L705" s="21" t="str">
        <f>микс!$H$10</f>
        <v>продажа со склада</v>
      </c>
      <c r="M705" s="22"/>
      <c r="N705" s="22"/>
      <c r="O705" s="22" t="s">
        <v>144</v>
      </c>
      <c r="P705" s="23" t="str">
        <f>микс!$H$48</f>
        <v>Спортивный инвентарь</v>
      </c>
      <c r="Q705" s="21" t="s">
        <v>83</v>
      </c>
      <c r="R705" s="25">
        <v>1</v>
      </c>
      <c r="S705" s="28"/>
      <c r="T705" s="31">
        <v>42263</v>
      </c>
      <c r="U705" s="33">
        <v>1524.97</v>
      </c>
      <c r="V705" s="36">
        <f t="shared" si="52"/>
        <v>1524.97</v>
      </c>
      <c r="W705" s="28"/>
      <c r="X705" s="31">
        <v>42309</v>
      </c>
      <c r="Y705" s="33">
        <v>1690</v>
      </c>
      <c r="Z705" s="189">
        <f t="shared" si="53"/>
        <v>1690</v>
      </c>
      <c r="AA705" s="190"/>
      <c r="AB705" s="31"/>
      <c r="AC705" s="36"/>
      <c r="AD705" s="8"/>
      <c r="AE705" s="6"/>
      <c r="AF705" s="52">
        <f t="shared" si="50"/>
        <v>64449807.109999999</v>
      </c>
      <c r="AG705" s="25">
        <f t="shared" si="51"/>
        <v>71502210</v>
      </c>
      <c r="AH705" s="52">
        <f t="shared" si="54"/>
        <v>0</v>
      </c>
      <c r="AI705" s="6"/>
      <c r="AJ705" s="6"/>
      <c r="AK705" s="6"/>
      <c r="AL705" s="6"/>
      <c r="AM705" s="6"/>
      <c r="AN705" s="6"/>
      <c r="AO705" s="6"/>
      <c r="AP705" s="6"/>
      <c r="AQ705" s="6"/>
      <c r="AR705" s="6"/>
    </row>
    <row r="706" spans="1:44">
      <c r="A706" s="6"/>
      <c r="B706" s="6"/>
      <c r="C706" s="6"/>
      <c r="D706" s="6"/>
      <c r="E706" s="6"/>
      <c r="F706" s="6"/>
      <c r="G706" s="11"/>
      <c r="H706" s="6"/>
      <c r="I706" s="6"/>
      <c r="J706" s="6"/>
      <c r="K706" s="7"/>
      <c r="L706" s="21" t="str">
        <f>микс!$H$11</f>
        <v>продажа под заказ</v>
      </c>
      <c r="M706" s="22"/>
      <c r="N706" s="22"/>
      <c r="O706" s="22" t="s">
        <v>144</v>
      </c>
      <c r="P706" s="23" t="str">
        <f>микс!$H$48</f>
        <v>Спортивный инвентарь</v>
      </c>
      <c r="Q706" s="21" t="s">
        <v>83</v>
      </c>
      <c r="R706" s="25">
        <v>1</v>
      </c>
      <c r="S706" s="28"/>
      <c r="T706" s="31">
        <v>42293</v>
      </c>
      <c r="U706" s="33">
        <v>1506.89</v>
      </c>
      <c r="V706" s="36">
        <f t="shared" si="52"/>
        <v>1506.89</v>
      </c>
      <c r="W706" s="28"/>
      <c r="X706" s="31">
        <v>42299</v>
      </c>
      <c r="Y706" s="33">
        <v>1686</v>
      </c>
      <c r="Z706" s="189">
        <f t="shared" si="53"/>
        <v>1686</v>
      </c>
      <c r="AA706" s="190"/>
      <c r="AB706" s="31">
        <v>42300</v>
      </c>
      <c r="AC706" s="36">
        <v>1506.89</v>
      </c>
      <c r="AD706" s="8"/>
      <c r="AE706" s="6"/>
      <c r="AF706" s="52">
        <f t="shared" si="50"/>
        <v>63730898.770000003</v>
      </c>
      <c r="AG706" s="25">
        <f t="shared" si="51"/>
        <v>71316114</v>
      </c>
      <c r="AH706" s="52">
        <f t="shared" si="54"/>
        <v>63741447.000000007</v>
      </c>
      <c r="AI706" s="6"/>
      <c r="AJ706" s="6"/>
      <c r="AK706" s="6"/>
      <c r="AL706" s="6"/>
      <c r="AM706" s="6"/>
      <c r="AN706" s="6"/>
      <c r="AO706" s="6"/>
      <c r="AP706" s="6"/>
      <c r="AQ706" s="6"/>
      <c r="AR706" s="6"/>
    </row>
    <row r="707" spans="1:44">
      <c r="A707" s="6"/>
      <c r="B707" s="6"/>
      <c r="C707" s="6"/>
      <c r="D707" s="6"/>
      <c r="E707" s="6"/>
      <c r="F707" s="6"/>
      <c r="G707" s="11"/>
      <c r="H707" s="6"/>
      <c r="I707" s="6"/>
      <c r="J707" s="6"/>
      <c r="K707" s="7"/>
      <c r="L707" s="21" t="str">
        <f>микс!$H$10</f>
        <v>продажа со склада</v>
      </c>
      <c r="M707" s="22"/>
      <c r="N707" s="22"/>
      <c r="O707" s="22" t="s">
        <v>144</v>
      </c>
      <c r="P707" s="23" t="str">
        <f>микс!$H$48</f>
        <v>Спортивный инвентарь</v>
      </c>
      <c r="Q707" s="21" t="s">
        <v>83</v>
      </c>
      <c r="R707" s="25">
        <v>1</v>
      </c>
      <c r="S707" s="28"/>
      <c r="T707" s="31">
        <v>42259</v>
      </c>
      <c r="U707" s="33">
        <v>1506.89</v>
      </c>
      <c r="V707" s="36">
        <f t="shared" si="52"/>
        <v>1506.89</v>
      </c>
      <c r="W707" s="28"/>
      <c r="X707" s="31">
        <v>42305</v>
      </c>
      <c r="Y707" s="33">
        <v>1686</v>
      </c>
      <c r="Z707" s="189">
        <f t="shared" si="53"/>
        <v>1686</v>
      </c>
      <c r="AA707" s="190"/>
      <c r="AB707" s="31">
        <v>42281</v>
      </c>
      <c r="AC707" s="36">
        <v>1506.89</v>
      </c>
      <c r="AD707" s="8"/>
      <c r="AE707" s="6"/>
      <c r="AF707" s="52">
        <f t="shared" si="50"/>
        <v>63679664.510000005</v>
      </c>
      <c r="AG707" s="25">
        <f t="shared" si="51"/>
        <v>71326230</v>
      </c>
      <c r="AH707" s="52">
        <f t="shared" si="54"/>
        <v>63712816.090000004</v>
      </c>
      <c r="AI707" s="6"/>
      <c r="AJ707" s="6"/>
      <c r="AK707" s="6"/>
      <c r="AL707" s="6"/>
      <c r="AM707" s="6"/>
      <c r="AN707" s="6"/>
      <c r="AO707" s="6"/>
      <c r="AP707" s="6"/>
      <c r="AQ707" s="6"/>
      <c r="AR707" s="6"/>
    </row>
    <row r="708" spans="1:44">
      <c r="A708" s="6"/>
      <c r="B708" s="6"/>
      <c r="C708" s="6"/>
      <c r="D708" s="6"/>
      <c r="E708" s="6"/>
      <c r="F708" s="6"/>
      <c r="G708" s="11"/>
      <c r="H708" s="6"/>
      <c r="I708" s="6"/>
      <c r="J708" s="6"/>
      <c r="K708" s="7"/>
      <c r="L708" s="21" t="str">
        <f>микс!$H$11</f>
        <v>продажа под заказ</v>
      </c>
      <c r="M708" s="22"/>
      <c r="N708" s="22"/>
      <c r="O708" s="22" t="s">
        <v>144</v>
      </c>
      <c r="P708" s="23" t="str">
        <f>микс!$H$48</f>
        <v>Спортивный инвентарь</v>
      </c>
      <c r="Q708" s="21" t="s">
        <v>83</v>
      </c>
      <c r="R708" s="25">
        <v>1</v>
      </c>
      <c r="S708" s="28"/>
      <c r="T708" s="31">
        <v>42335</v>
      </c>
      <c r="U708" s="33">
        <v>1597.32</v>
      </c>
      <c r="V708" s="36">
        <f t="shared" si="52"/>
        <v>1597.32</v>
      </c>
      <c r="W708" s="28"/>
      <c r="X708" s="31">
        <v>42341</v>
      </c>
      <c r="Y708" s="33">
        <v>1899</v>
      </c>
      <c r="Z708" s="189">
        <f t="shared" si="53"/>
        <v>1899</v>
      </c>
      <c r="AA708" s="190"/>
      <c r="AB708" s="31">
        <v>42367</v>
      </c>
      <c r="AC708" s="36">
        <v>1597.32</v>
      </c>
      <c r="AD708" s="8"/>
      <c r="AE708" s="6"/>
      <c r="AF708" s="52">
        <f t="shared" si="50"/>
        <v>67622542.200000003</v>
      </c>
      <c r="AG708" s="25">
        <f t="shared" si="51"/>
        <v>80405559</v>
      </c>
      <c r="AH708" s="52">
        <f t="shared" si="54"/>
        <v>67673656.439999998</v>
      </c>
      <c r="AI708" s="6"/>
      <c r="AJ708" s="6"/>
      <c r="AK708" s="6"/>
      <c r="AL708" s="6"/>
      <c r="AM708" s="6"/>
      <c r="AN708" s="6"/>
      <c r="AO708" s="6"/>
      <c r="AP708" s="6"/>
      <c r="AQ708" s="6"/>
      <c r="AR708" s="6"/>
    </row>
    <row r="709" spans="1:44">
      <c r="A709" s="6"/>
      <c r="B709" s="6"/>
      <c r="C709" s="6"/>
      <c r="D709" s="6"/>
      <c r="E709" s="6"/>
      <c r="F709" s="6"/>
      <c r="G709" s="11"/>
      <c r="H709" s="6"/>
      <c r="I709" s="6"/>
      <c r="J709" s="6"/>
      <c r="K709" s="7"/>
      <c r="L709" s="21" t="str">
        <f>микс!$H$10</f>
        <v>продажа со склада</v>
      </c>
      <c r="M709" s="22"/>
      <c r="N709" s="22"/>
      <c r="O709" s="22" t="s">
        <v>138</v>
      </c>
      <c r="P709" s="23" t="str">
        <f>микс!$H$49</f>
        <v>Товары для детей</v>
      </c>
      <c r="Q709" s="21" t="s">
        <v>111</v>
      </c>
      <c r="R709" s="25">
        <v>1</v>
      </c>
      <c r="S709" s="28"/>
      <c r="T709" s="31">
        <v>42275</v>
      </c>
      <c r="U709" s="33">
        <v>9848.2999999999993</v>
      </c>
      <c r="V709" s="36">
        <f t="shared" si="52"/>
        <v>9848.2999999999993</v>
      </c>
      <c r="W709" s="28"/>
      <c r="X709" s="31">
        <v>42325</v>
      </c>
      <c r="Y709" s="33">
        <v>13173</v>
      </c>
      <c r="Z709" s="189">
        <f t="shared" si="53"/>
        <v>13173</v>
      </c>
      <c r="AA709" s="190"/>
      <c r="AB709" s="31"/>
      <c r="AC709" s="36"/>
      <c r="AD709" s="8"/>
      <c r="AE709" s="6"/>
      <c r="AF709" s="52">
        <f t="shared" si="50"/>
        <v>416336882.49999994</v>
      </c>
      <c r="AG709" s="25">
        <f t="shared" si="51"/>
        <v>557547225</v>
      </c>
      <c r="AH709" s="52">
        <f t="shared" si="54"/>
        <v>0</v>
      </c>
      <c r="AI709" s="6"/>
      <c r="AJ709" s="6"/>
      <c r="AK709" s="6"/>
      <c r="AL709" s="6"/>
      <c r="AM709" s="6"/>
      <c r="AN709" s="6"/>
      <c r="AO709" s="6"/>
      <c r="AP709" s="6"/>
      <c r="AQ709" s="6"/>
      <c r="AR709" s="6"/>
    </row>
    <row r="710" spans="1:44">
      <c r="A710" s="6"/>
      <c r="B710" s="6"/>
      <c r="C710" s="6"/>
      <c r="D710" s="6"/>
      <c r="E710" s="6"/>
      <c r="F710" s="6"/>
      <c r="G710" s="11"/>
      <c r="H710" s="6"/>
      <c r="I710" s="6"/>
      <c r="J710" s="6"/>
      <c r="K710" s="7"/>
      <c r="L710" s="21" t="str">
        <f>микс!$H$11</f>
        <v>продажа под заказ</v>
      </c>
      <c r="M710" s="22"/>
      <c r="N710" s="22"/>
      <c r="O710" s="22" t="s">
        <v>135</v>
      </c>
      <c r="P710" s="23" t="str">
        <f>микс!$H$49</f>
        <v>Товары для детей</v>
      </c>
      <c r="Q710" s="21" t="s">
        <v>133</v>
      </c>
      <c r="R710" s="25">
        <v>1</v>
      </c>
      <c r="S710" s="28"/>
      <c r="T710" s="31">
        <v>42328</v>
      </c>
      <c r="U710" s="33">
        <v>529.96</v>
      </c>
      <c r="V710" s="36">
        <f t="shared" si="52"/>
        <v>529.96</v>
      </c>
      <c r="W710" s="28"/>
      <c r="X710" s="31">
        <v>42340</v>
      </c>
      <c r="Y710" s="33">
        <v>708</v>
      </c>
      <c r="Z710" s="189">
        <f t="shared" si="53"/>
        <v>708</v>
      </c>
      <c r="AA710" s="190"/>
      <c r="AB710" s="31">
        <v>42366</v>
      </c>
      <c r="AC710" s="36">
        <v>529.96</v>
      </c>
      <c r="AD710" s="8"/>
      <c r="AE710" s="6"/>
      <c r="AF710" s="52">
        <f t="shared" si="50"/>
        <v>22432146.880000003</v>
      </c>
      <c r="AG710" s="25">
        <f t="shared" si="51"/>
        <v>29976720</v>
      </c>
      <c r="AH710" s="52">
        <f t="shared" si="54"/>
        <v>22452285.360000003</v>
      </c>
      <c r="AI710" s="6"/>
      <c r="AJ710" s="6"/>
      <c r="AK710" s="6"/>
      <c r="AL710" s="6"/>
      <c r="AM710" s="6"/>
      <c r="AN710" s="6"/>
      <c r="AO710" s="6"/>
      <c r="AP710" s="6"/>
      <c r="AQ710" s="6"/>
      <c r="AR710" s="6"/>
    </row>
    <row r="711" spans="1:44">
      <c r="A711" s="6"/>
      <c r="B711" s="6"/>
      <c r="C711" s="6"/>
      <c r="D711" s="6"/>
      <c r="E711" s="6"/>
      <c r="F711" s="6"/>
      <c r="G711" s="11"/>
      <c r="H711" s="6"/>
      <c r="I711" s="6"/>
      <c r="J711" s="6"/>
      <c r="K711" s="7"/>
      <c r="L711" s="21" t="str">
        <f>микс!$H$11</f>
        <v>продажа под заказ</v>
      </c>
      <c r="M711" s="22"/>
      <c r="N711" s="22"/>
      <c r="O711" s="22" t="s">
        <v>135</v>
      </c>
      <c r="P711" s="23" t="str">
        <f>микс!$H$49</f>
        <v>Товары для детей</v>
      </c>
      <c r="Q711" s="21" t="s">
        <v>133</v>
      </c>
      <c r="R711" s="25">
        <v>1</v>
      </c>
      <c r="S711" s="28"/>
      <c r="T711" s="31">
        <v>42324</v>
      </c>
      <c r="U711" s="33">
        <v>638.5</v>
      </c>
      <c r="V711" s="36">
        <f t="shared" si="52"/>
        <v>638.5</v>
      </c>
      <c r="W711" s="28"/>
      <c r="X711" s="31">
        <v>42328</v>
      </c>
      <c r="Y711" s="33">
        <v>713</v>
      </c>
      <c r="Z711" s="189">
        <f t="shared" si="53"/>
        <v>713</v>
      </c>
      <c r="AA711" s="190"/>
      <c r="AB711" s="31">
        <v>42336</v>
      </c>
      <c r="AC711" s="36">
        <v>638.5</v>
      </c>
      <c r="AD711" s="8"/>
      <c r="AE711" s="6"/>
      <c r="AF711" s="52">
        <f t="shared" si="50"/>
        <v>27023874</v>
      </c>
      <c r="AG711" s="25">
        <f t="shared" si="51"/>
        <v>30179864</v>
      </c>
      <c r="AH711" s="52">
        <f t="shared" si="54"/>
        <v>27031536</v>
      </c>
      <c r="AI711" s="6"/>
      <c r="AJ711" s="6"/>
      <c r="AK711" s="6"/>
      <c r="AL711" s="6"/>
      <c r="AM711" s="6"/>
      <c r="AN711" s="6"/>
      <c r="AO711" s="6"/>
      <c r="AP711" s="6"/>
      <c r="AQ711" s="6"/>
      <c r="AR711" s="6"/>
    </row>
    <row r="712" spans="1:44">
      <c r="A712" s="6"/>
      <c r="B712" s="6"/>
      <c r="C712" s="6"/>
      <c r="D712" s="6"/>
      <c r="E712" s="6"/>
      <c r="F712" s="6"/>
      <c r="G712" s="11"/>
      <c r="H712" s="6"/>
      <c r="I712" s="6"/>
      <c r="J712" s="6"/>
      <c r="K712" s="7"/>
      <c r="L712" s="21" t="str">
        <f>микс!$H$11</f>
        <v>продажа под заказ</v>
      </c>
      <c r="M712" s="22"/>
      <c r="N712" s="22"/>
      <c r="O712" s="22" t="s">
        <v>138</v>
      </c>
      <c r="P712" s="23" t="str">
        <f>микс!$H$49</f>
        <v>Товары для детей</v>
      </c>
      <c r="Q712" s="21" t="s">
        <v>59</v>
      </c>
      <c r="R712" s="25">
        <v>1</v>
      </c>
      <c r="S712" s="28"/>
      <c r="T712" s="31">
        <v>42335</v>
      </c>
      <c r="U712" s="33">
        <v>7205</v>
      </c>
      <c r="V712" s="36">
        <f t="shared" si="52"/>
        <v>7205</v>
      </c>
      <c r="W712" s="28"/>
      <c r="X712" s="31">
        <v>42342</v>
      </c>
      <c r="Y712" s="33">
        <v>7332</v>
      </c>
      <c r="Z712" s="189">
        <f t="shared" si="53"/>
        <v>7332</v>
      </c>
      <c r="AA712" s="190"/>
      <c r="AB712" s="31">
        <v>42345</v>
      </c>
      <c r="AC712" s="36">
        <v>7205</v>
      </c>
      <c r="AD712" s="8"/>
      <c r="AE712" s="6"/>
      <c r="AF712" s="52">
        <f t="shared" si="50"/>
        <v>305023675</v>
      </c>
      <c r="AG712" s="25">
        <f t="shared" si="51"/>
        <v>310451544</v>
      </c>
      <c r="AH712" s="52">
        <f t="shared" si="54"/>
        <v>305095725</v>
      </c>
      <c r="AI712" s="6"/>
      <c r="AJ712" s="6"/>
      <c r="AK712" s="6"/>
      <c r="AL712" s="6"/>
      <c r="AM712" s="6"/>
      <c r="AN712" s="6"/>
      <c r="AO712" s="6"/>
      <c r="AP712" s="6"/>
      <c r="AQ712" s="6"/>
      <c r="AR712" s="6"/>
    </row>
    <row r="713" spans="1:44">
      <c r="A713" s="6"/>
      <c r="B713" s="6"/>
      <c r="C713" s="6"/>
      <c r="D713" s="6"/>
      <c r="E713" s="6"/>
      <c r="F713" s="6"/>
      <c r="G713" s="11"/>
      <c r="H713" s="6"/>
      <c r="I713" s="6"/>
      <c r="J713" s="6"/>
      <c r="K713" s="7"/>
      <c r="L713" s="21" t="str">
        <f>микс!$H$11</f>
        <v>продажа под заказ</v>
      </c>
      <c r="M713" s="22"/>
      <c r="N713" s="22"/>
      <c r="O713" s="22" t="s">
        <v>138</v>
      </c>
      <c r="P713" s="23" t="str">
        <f>микс!$H$49</f>
        <v>Товары для детей</v>
      </c>
      <c r="Q713" s="21" t="s">
        <v>59</v>
      </c>
      <c r="R713" s="25">
        <v>1</v>
      </c>
      <c r="S713" s="28"/>
      <c r="T713" s="31">
        <v>42338</v>
      </c>
      <c r="U713" s="33">
        <v>7205</v>
      </c>
      <c r="V713" s="36">
        <f t="shared" si="52"/>
        <v>7205</v>
      </c>
      <c r="W713" s="28"/>
      <c r="X713" s="31">
        <v>42341</v>
      </c>
      <c r="Y713" s="33">
        <v>7332</v>
      </c>
      <c r="Z713" s="189">
        <f t="shared" si="53"/>
        <v>7332</v>
      </c>
      <c r="AA713" s="190"/>
      <c r="AB713" s="31">
        <v>42358</v>
      </c>
      <c r="AC713" s="36">
        <v>7205</v>
      </c>
      <c r="AD713" s="8"/>
      <c r="AE713" s="6"/>
      <c r="AF713" s="52">
        <f t="shared" ref="AF713:AF776" si="55">T713*V713</f>
        <v>305045290</v>
      </c>
      <c r="AG713" s="25">
        <f t="shared" ref="AG713:AG776" si="56">X713*Z713</f>
        <v>310444212</v>
      </c>
      <c r="AH713" s="52">
        <f t="shared" si="54"/>
        <v>305189390</v>
      </c>
      <c r="AI713" s="6"/>
      <c r="AJ713" s="6"/>
      <c r="AK713" s="6"/>
      <c r="AL713" s="6"/>
      <c r="AM713" s="6"/>
      <c r="AN713" s="6"/>
      <c r="AO713" s="6"/>
      <c r="AP713" s="6"/>
      <c r="AQ713" s="6"/>
      <c r="AR713" s="6"/>
    </row>
    <row r="714" spans="1:44">
      <c r="A714" s="6"/>
      <c r="B714" s="6"/>
      <c r="C714" s="6"/>
      <c r="D714" s="6"/>
      <c r="E714" s="6"/>
      <c r="F714" s="6"/>
      <c r="G714" s="11"/>
      <c r="H714" s="6"/>
      <c r="I714" s="6"/>
      <c r="J714" s="6"/>
      <c r="K714" s="7"/>
      <c r="L714" s="21" t="str">
        <f>микс!$H$11</f>
        <v>продажа под заказ</v>
      </c>
      <c r="M714" s="22"/>
      <c r="N714" s="22"/>
      <c r="O714" s="22" t="s">
        <v>143</v>
      </c>
      <c r="P714" s="23" t="str">
        <f>микс!$H$47</f>
        <v>Домашнее хозяйство</v>
      </c>
      <c r="Q714" s="21" t="s">
        <v>97</v>
      </c>
      <c r="R714" s="25">
        <v>1</v>
      </c>
      <c r="S714" s="28"/>
      <c r="T714" s="31">
        <v>42338</v>
      </c>
      <c r="U714" s="33">
        <v>3720.4</v>
      </c>
      <c r="V714" s="36">
        <f t="shared" ref="V714:V777" si="57">$R714*U714</f>
        <v>3720.4</v>
      </c>
      <c r="W714" s="28"/>
      <c r="X714" s="31">
        <v>42342</v>
      </c>
      <c r="Y714" s="33">
        <v>5240</v>
      </c>
      <c r="Z714" s="189">
        <f t="shared" ref="Z714:Z777" si="58">$R714*Y714</f>
        <v>5240</v>
      </c>
      <c r="AA714" s="190"/>
      <c r="AB714" s="31">
        <v>42368</v>
      </c>
      <c r="AC714" s="36">
        <v>3720.4</v>
      </c>
      <c r="AD714" s="8"/>
      <c r="AE714" s="6"/>
      <c r="AF714" s="52">
        <f t="shared" si="55"/>
        <v>157514295.20000002</v>
      </c>
      <c r="AG714" s="25">
        <f t="shared" si="56"/>
        <v>221872080</v>
      </c>
      <c r="AH714" s="52">
        <f t="shared" ref="AH714:AH777" si="59">AB714*AC714</f>
        <v>157625907.20000002</v>
      </c>
      <c r="AI714" s="6"/>
      <c r="AJ714" s="6"/>
      <c r="AK714" s="6"/>
      <c r="AL714" s="6"/>
      <c r="AM714" s="6"/>
      <c r="AN714" s="6"/>
      <c r="AO714" s="6"/>
      <c r="AP714" s="6"/>
      <c r="AQ714" s="6"/>
      <c r="AR714" s="6"/>
    </row>
    <row r="715" spans="1:44">
      <c r="A715" s="6"/>
      <c r="B715" s="6"/>
      <c r="C715" s="6"/>
      <c r="D715" s="6"/>
      <c r="E715" s="6"/>
      <c r="F715" s="6"/>
      <c r="G715" s="11"/>
      <c r="H715" s="6"/>
      <c r="I715" s="6"/>
      <c r="J715" s="6"/>
      <c r="K715" s="7"/>
      <c r="L715" s="21" t="str">
        <f>микс!$H$10</f>
        <v>продажа со склада</v>
      </c>
      <c r="M715" s="22"/>
      <c r="N715" s="22"/>
      <c r="O715" s="22" t="s">
        <v>143</v>
      </c>
      <c r="P715" s="23" t="str">
        <f>микс!$H$47</f>
        <v>Домашнее хозяйство</v>
      </c>
      <c r="Q715" s="21" t="s">
        <v>112</v>
      </c>
      <c r="R715" s="25">
        <v>1</v>
      </c>
      <c r="S715" s="28"/>
      <c r="T715" s="31">
        <v>42252</v>
      </c>
      <c r="U715" s="33">
        <v>1424</v>
      </c>
      <c r="V715" s="36">
        <f t="shared" si="57"/>
        <v>1424</v>
      </c>
      <c r="W715" s="28"/>
      <c r="X715" s="31">
        <v>42298</v>
      </c>
      <c r="Y715" s="33">
        <v>1630</v>
      </c>
      <c r="Z715" s="189">
        <f t="shared" si="58"/>
        <v>1630</v>
      </c>
      <c r="AA715" s="190"/>
      <c r="AB715" s="31">
        <v>42282</v>
      </c>
      <c r="AC715" s="36">
        <v>1424</v>
      </c>
      <c r="AD715" s="8"/>
      <c r="AE715" s="6"/>
      <c r="AF715" s="52">
        <f t="shared" si="55"/>
        <v>60166848</v>
      </c>
      <c r="AG715" s="25">
        <f t="shared" si="56"/>
        <v>68945740</v>
      </c>
      <c r="AH715" s="52">
        <f t="shared" si="59"/>
        <v>60209568</v>
      </c>
      <c r="AI715" s="6"/>
      <c r="AJ715" s="6"/>
      <c r="AK715" s="6"/>
      <c r="AL715" s="6"/>
      <c r="AM715" s="6"/>
      <c r="AN715" s="6"/>
      <c r="AO715" s="6"/>
      <c r="AP715" s="6"/>
      <c r="AQ715" s="6"/>
      <c r="AR715" s="6"/>
    </row>
    <row r="716" spans="1:44">
      <c r="A716" s="6"/>
      <c r="B716" s="6"/>
      <c r="C716" s="6"/>
      <c r="D716" s="6"/>
      <c r="E716" s="6"/>
      <c r="F716" s="6"/>
      <c r="G716" s="11"/>
      <c r="H716" s="6"/>
      <c r="I716" s="6"/>
      <c r="J716" s="6"/>
      <c r="K716" s="7"/>
      <c r="L716" s="21" t="str">
        <f>микс!$H$10</f>
        <v>продажа со склада</v>
      </c>
      <c r="M716" s="22"/>
      <c r="N716" s="22"/>
      <c r="O716" s="22" t="s">
        <v>143</v>
      </c>
      <c r="P716" s="23" t="str">
        <f>микс!$H$47</f>
        <v>Домашнее хозяйство</v>
      </c>
      <c r="Q716" s="21" t="s">
        <v>112</v>
      </c>
      <c r="R716" s="25">
        <v>1</v>
      </c>
      <c r="S716" s="28"/>
      <c r="T716" s="31">
        <v>42257</v>
      </c>
      <c r="U716" s="33">
        <v>1424</v>
      </c>
      <c r="V716" s="36">
        <f t="shared" si="57"/>
        <v>1424</v>
      </c>
      <c r="W716" s="28"/>
      <c r="X716" s="31">
        <v>42303</v>
      </c>
      <c r="Y716" s="33">
        <v>1610</v>
      </c>
      <c r="Z716" s="189">
        <f t="shared" si="58"/>
        <v>1610</v>
      </c>
      <c r="AA716" s="190"/>
      <c r="AB716" s="31">
        <v>42302</v>
      </c>
      <c r="AC716" s="36">
        <v>1424</v>
      </c>
      <c r="AD716" s="8"/>
      <c r="AE716" s="6"/>
      <c r="AF716" s="52">
        <f t="shared" si="55"/>
        <v>60173968</v>
      </c>
      <c r="AG716" s="25">
        <f t="shared" si="56"/>
        <v>68107830</v>
      </c>
      <c r="AH716" s="52">
        <f t="shared" si="59"/>
        <v>60238048</v>
      </c>
      <c r="AI716" s="6"/>
      <c r="AJ716" s="6"/>
      <c r="AK716" s="6"/>
      <c r="AL716" s="6"/>
      <c r="AM716" s="6"/>
      <c r="AN716" s="6"/>
      <c r="AO716" s="6"/>
      <c r="AP716" s="6"/>
      <c r="AQ716" s="6"/>
      <c r="AR716" s="6"/>
    </row>
    <row r="717" spans="1:44">
      <c r="A717" s="6"/>
      <c r="B717" s="6"/>
      <c r="C717" s="6"/>
      <c r="D717" s="6"/>
      <c r="E717" s="6"/>
      <c r="F717" s="6"/>
      <c r="G717" s="11"/>
      <c r="H717" s="6"/>
      <c r="I717" s="6"/>
      <c r="J717" s="6"/>
      <c r="K717" s="7"/>
      <c r="L717" s="21" t="str">
        <f>микс!$H$11</f>
        <v>продажа под заказ</v>
      </c>
      <c r="M717" s="22"/>
      <c r="N717" s="22"/>
      <c r="O717" s="22" t="s">
        <v>139</v>
      </c>
      <c r="P717" s="23" t="str">
        <f>микс!$H$49</f>
        <v>Товары для детей</v>
      </c>
      <c r="Q717" s="21" t="s">
        <v>113</v>
      </c>
      <c r="R717" s="25">
        <v>1</v>
      </c>
      <c r="S717" s="28"/>
      <c r="T717" s="31">
        <v>42337</v>
      </c>
      <c r="U717" s="33">
        <v>3629.25</v>
      </c>
      <c r="V717" s="36">
        <f t="shared" si="57"/>
        <v>3629.25</v>
      </c>
      <c r="W717" s="28"/>
      <c r="X717" s="31">
        <v>42342</v>
      </c>
      <c r="Y717" s="33">
        <v>4186</v>
      </c>
      <c r="Z717" s="189">
        <f t="shared" si="58"/>
        <v>4186</v>
      </c>
      <c r="AA717" s="190"/>
      <c r="AB717" s="31"/>
      <c r="AC717" s="36"/>
      <c r="AD717" s="8"/>
      <c r="AE717" s="6"/>
      <c r="AF717" s="52">
        <f t="shared" si="55"/>
        <v>153651557.25</v>
      </c>
      <c r="AG717" s="25">
        <f t="shared" si="56"/>
        <v>177243612</v>
      </c>
      <c r="AH717" s="52">
        <f t="shared" si="59"/>
        <v>0</v>
      </c>
      <c r="AI717" s="6"/>
      <c r="AJ717" s="6"/>
      <c r="AK717" s="6"/>
      <c r="AL717" s="6"/>
      <c r="AM717" s="6"/>
      <c r="AN717" s="6"/>
      <c r="AO717" s="6"/>
      <c r="AP717" s="6"/>
      <c r="AQ717" s="6"/>
      <c r="AR717" s="6"/>
    </row>
    <row r="718" spans="1:44">
      <c r="A718" s="6"/>
      <c r="B718" s="6"/>
      <c r="C718" s="6"/>
      <c r="D718" s="6"/>
      <c r="E718" s="6"/>
      <c r="F718" s="6"/>
      <c r="G718" s="11"/>
      <c r="H718" s="6"/>
      <c r="I718" s="6"/>
      <c r="J718" s="6"/>
      <c r="K718" s="7"/>
      <c r="L718" s="21" t="str">
        <f>микс!$H$11</f>
        <v>продажа под заказ</v>
      </c>
      <c r="M718" s="22"/>
      <c r="N718" s="22"/>
      <c r="O718" s="22" t="s">
        <v>146</v>
      </c>
      <c r="P718" s="23" t="str">
        <f>микс!$H$49</f>
        <v>Товары для детей</v>
      </c>
      <c r="Q718" s="21" t="s">
        <v>113</v>
      </c>
      <c r="R718" s="25">
        <v>1</v>
      </c>
      <c r="S718" s="28"/>
      <c r="T718" s="31">
        <v>42315</v>
      </c>
      <c r="U718" s="33">
        <v>1400.33</v>
      </c>
      <c r="V718" s="36">
        <f t="shared" si="57"/>
        <v>1400.33</v>
      </c>
      <c r="W718" s="28"/>
      <c r="X718" s="31">
        <v>42327</v>
      </c>
      <c r="Y718" s="33">
        <v>2140</v>
      </c>
      <c r="Z718" s="189">
        <f t="shared" si="58"/>
        <v>2140</v>
      </c>
      <c r="AA718" s="190"/>
      <c r="AB718" s="31">
        <v>42365</v>
      </c>
      <c r="AC718" s="36">
        <v>1400.33</v>
      </c>
      <c r="AD718" s="8"/>
      <c r="AE718" s="6"/>
      <c r="AF718" s="52">
        <f t="shared" si="55"/>
        <v>59254963.949999996</v>
      </c>
      <c r="AG718" s="25">
        <f t="shared" si="56"/>
        <v>90579780</v>
      </c>
      <c r="AH718" s="52">
        <f t="shared" si="59"/>
        <v>59324980.449999996</v>
      </c>
      <c r="AI718" s="6"/>
      <c r="AJ718" s="6"/>
      <c r="AK718" s="6"/>
      <c r="AL718" s="6"/>
      <c r="AM718" s="6"/>
      <c r="AN718" s="6"/>
      <c r="AO718" s="6"/>
      <c r="AP718" s="6"/>
      <c r="AQ718" s="6"/>
      <c r="AR718" s="6"/>
    </row>
    <row r="719" spans="1:44">
      <c r="A719" s="6"/>
      <c r="B719" s="6"/>
      <c r="C719" s="6"/>
      <c r="D719" s="6"/>
      <c r="E719" s="6"/>
      <c r="F719" s="6"/>
      <c r="G719" s="11"/>
      <c r="H719" s="6"/>
      <c r="I719" s="6"/>
      <c r="J719" s="6"/>
      <c r="K719" s="7"/>
      <c r="L719" s="21" t="str">
        <f>микс!$H$11</f>
        <v>продажа под заказ</v>
      </c>
      <c r="M719" s="22"/>
      <c r="N719" s="22"/>
      <c r="O719" s="22" t="s">
        <v>146</v>
      </c>
      <c r="P719" s="23" t="str">
        <f>микс!$H$49</f>
        <v>Товары для детей</v>
      </c>
      <c r="Q719" s="21" t="s">
        <v>113</v>
      </c>
      <c r="R719" s="25">
        <v>1</v>
      </c>
      <c r="S719" s="28"/>
      <c r="T719" s="31">
        <v>42318</v>
      </c>
      <c r="U719" s="33">
        <v>1366.05</v>
      </c>
      <c r="V719" s="36">
        <f t="shared" si="57"/>
        <v>1366.05</v>
      </c>
      <c r="W719" s="28"/>
      <c r="X719" s="31">
        <v>42321</v>
      </c>
      <c r="Y719" s="33">
        <v>1780</v>
      </c>
      <c r="Z719" s="189">
        <f t="shared" si="58"/>
        <v>1780</v>
      </c>
      <c r="AA719" s="190"/>
      <c r="AB719" s="31"/>
      <c r="AC719" s="36"/>
      <c r="AD719" s="8"/>
      <c r="AE719" s="6"/>
      <c r="AF719" s="52">
        <f t="shared" si="55"/>
        <v>57808503.899999999</v>
      </c>
      <c r="AG719" s="25">
        <f t="shared" si="56"/>
        <v>75331380</v>
      </c>
      <c r="AH719" s="52">
        <f t="shared" si="59"/>
        <v>0</v>
      </c>
      <c r="AI719" s="6"/>
      <c r="AJ719" s="6"/>
      <c r="AK719" s="6"/>
      <c r="AL719" s="6"/>
      <c r="AM719" s="6"/>
      <c r="AN719" s="6"/>
      <c r="AO719" s="6"/>
      <c r="AP719" s="6"/>
      <c r="AQ719" s="6"/>
      <c r="AR719" s="6"/>
    </row>
    <row r="720" spans="1:44">
      <c r="A720" s="6"/>
      <c r="B720" s="6"/>
      <c r="C720" s="6"/>
      <c r="D720" s="6"/>
      <c r="E720" s="6"/>
      <c r="F720" s="6"/>
      <c r="G720" s="11"/>
      <c r="H720" s="6"/>
      <c r="I720" s="6"/>
      <c r="J720" s="6"/>
      <c r="K720" s="7"/>
      <c r="L720" s="21" t="str">
        <f>микс!$H$11</f>
        <v>продажа под заказ</v>
      </c>
      <c r="M720" s="22"/>
      <c r="N720" s="22"/>
      <c r="O720" s="22" t="s">
        <v>138</v>
      </c>
      <c r="P720" s="23" t="str">
        <f>микс!$H$49</f>
        <v>Товары для детей</v>
      </c>
      <c r="Q720" s="21" t="s">
        <v>114</v>
      </c>
      <c r="R720" s="25">
        <v>1</v>
      </c>
      <c r="S720" s="28"/>
      <c r="T720" s="31">
        <v>42318</v>
      </c>
      <c r="U720" s="33">
        <v>9338</v>
      </c>
      <c r="V720" s="36">
        <f t="shared" si="57"/>
        <v>9338</v>
      </c>
      <c r="W720" s="28"/>
      <c r="X720" s="31">
        <v>42323</v>
      </c>
      <c r="Y720" s="33">
        <v>9850</v>
      </c>
      <c r="Z720" s="189">
        <f t="shared" si="58"/>
        <v>9850</v>
      </c>
      <c r="AA720" s="190"/>
      <c r="AB720" s="31">
        <v>42348</v>
      </c>
      <c r="AC720" s="36">
        <v>9338</v>
      </c>
      <c r="AD720" s="8"/>
      <c r="AE720" s="6"/>
      <c r="AF720" s="52">
        <f t="shared" si="55"/>
        <v>395165484</v>
      </c>
      <c r="AG720" s="25">
        <f t="shared" si="56"/>
        <v>416881550</v>
      </c>
      <c r="AH720" s="52">
        <f t="shared" si="59"/>
        <v>395445624</v>
      </c>
      <c r="AI720" s="6"/>
      <c r="AJ720" s="6"/>
      <c r="AK720" s="6"/>
      <c r="AL720" s="6"/>
      <c r="AM720" s="6"/>
      <c r="AN720" s="6"/>
      <c r="AO720" s="6"/>
      <c r="AP720" s="6"/>
      <c r="AQ720" s="6"/>
      <c r="AR720" s="6"/>
    </row>
    <row r="721" spans="1:44">
      <c r="A721" s="6"/>
      <c r="B721" s="6"/>
      <c r="C721" s="6"/>
      <c r="D721" s="6"/>
      <c r="E721" s="6"/>
      <c r="F721" s="6"/>
      <c r="G721" s="11"/>
      <c r="H721" s="6"/>
      <c r="I721" s="6"/>
      <c r="J721" s="6"/>
      <c r="K721" s="7"/>
      <c r="L721" s="21" t="str">
        <f>микс!$H$11</f>
        <v>продажа под заказ</v>
      </c>
      <c r="M721" s="22"/>
      <c r="N721" s="22"/>
      <c r="O721" s="22" t="s">
        <v>138</v>
      </c>
      <c r="P721" s="23" t="str">
        <f>микс!$H$49</f>
        <v>Товары для детей</v>
      </c>
      <c r="Q721" s="21" t="s">
        <v>106</v>
      </c>
      <c r="R721" s="25">
        <v>1</v>
      </c>
      <c r="S721" s="28"/>
      <c r="T721" s="31">
        <v>42304</v>
      </c>
      <c r="U721" s="33">
        <v>1930</v>
      </c>
      <c r="V721" s="36">
        <f t="shared" si="57"/>
        <v>1930</v>
      </c>
      <c r="W721" s="28"/>
      <c r="X721" s="31">
        <v>42313</v>
      </c>
      <c r="Y721" s="33">
        <v>2316</v>
      </c>
      <c r="Z721" s="189">
        <f t="shared" si="58"/>
        <v>2316</v>
      </c>
      <c r="AA721" s="190"/>
      <c r="AB721" s="31">
        <v>42324</v>
      </c>
      <c r="AC721" s="36">
        <v>1930</v>
      </c>
      <c r="AD721" s="8"/>
      <c r="AE721" s="6"/>
      <c r="AF721" s="52">
        <f t="shared" si="55"/>
        <v>81646720</v>
      </c>
      <c r="AG721" s="25">
        <f t="shared" si="56"/>
        <v>97996908</v>
      </c>
      <c r="AH721" s="52">
        <f t="shared" si="59"/>
        <v>81685320</v>
      </c>
      <c r="AI721" s="6"/>
      <c r="AJ721" s="6"/>
      <c r="AK721" s="6"/>
      <c r="AL721" s="6"/>
      <c r="AM721" s="6"/>
      <c r="AN721" s="6"/>
      <c r="AO721" s="6"/>
      <c r="AP721" s="6"/>
      <c r="AQ721" s="6"/>
      <c r="AR721" s="6"/>
    </row>
    <row r="722" spans="1:44">
      <c r="A722" s="6"/>
      <c r="B722" s="6"/>
      <c r="C722" s="6"/>
      <c r="D722" s="6"/>
      <c r="E722" s="6"/>
      <c r="F722" s="6"/>
      <c r="G722" s="11"/>
      <c r="H722" s="6"/>
      <c r="I722" s="6"/>
      <c r="J722" s="6"/>
      <c r="K722" s="7"/>
      <c r="L722" s="21" t="str">
        <f>микс!$H$10</f>
        <v>продажа со склада</v>
      </c>
      <c r="M722" s="22"/>
      <c r="N722" s="22"/>
      <c r="O722" s="22" t="s">
        <v>138</v>
      </c>
      <c r="P722" s="23" t="str">
        <f>микс!$H$49</f>
        <v>Товары для детей</v>
      </c>
      <c r="Q722" s="21" t="s">
        <v>106</v>
      </c>
      <c r="R722" s="25">
        <v>1</v>
      </c>
      <c r="S722" s="28"/>
      <c r="T722" s="31">
        <v>42286</v>
      </c>
      <c r="U722" s="33">
        <v>1930</v>
      </c>
      <c r="V722" s="36">
        <f t="shared" si="57"/>
        <v>1930</v>
      </c>
      <c r="W722" s="28"/>
      <c r="X722" s="31">
        <v>42333</v>
      </c>
      <c r="Y722" s="33">
        <v>2150</v>
      </c>
      <c r="Z722" s="189">
        <f t="shared" si="58"/>
        <v>2150</v>
      </c>
      <c r="AA722" s="190"/>
      <c r="AB722" s="31">
        <v>42296</v>
      </c>
      <c r="AC722" s="36">
        <v>1930</v>
      </c>
      <c r="AD722" s="8"/>
      <c r="AE722" s="6"/>
      <c r="AF722" s="52">
        <f t="shared" si="55"/>
        <v>81611980</v>
      </c>
      <c r="AG722" s="25">
        <f t="shared" si="56"/>
        <v>91015950</v>
      </c>
      <c r="AH722" s="52">
        <f t="shared" si="59"/>
        <v>81631280</v>
      </c>
      <c r="AI722" s="6"/>
      <c r="AJ722" s="6"/>
      <c r="AK722" s="6"/>
      <c r="AL722" s="6"/>
      <c r="AM722" s="6"/>
      <c r="AN722" s="6"/>
      <c r="AO722" s="6"/>
      <c r="AP722" s="6"/>
      <c r="AQ722" s="6"/>
      <c r="AR722" s="6"/>
    </row>
    <row r="723" spans="1:44">
      <c r="A723" s="6"/>
      <c r="B723" s="6"/>
      <c r="C723" s="6"/>
      <c r="D723" s="6"/>
      <c r="E723" s="6"/>
      <c r="F723" s="6"/>
      <c r="G723" s="11"/>
      <c r="H723" s="6"/>
      <c r="I723" s="6"/>
      <c r="J723" s="6"/>
      <c r="K723" s="7"/>
      <c r="L723" s="21" t="str">
        <f>микс!$H$11</f>
        <v>продажа под заказ</v>
      </c>
      <c r="M723" s="22"/>
      <c r="N723" s="22"/>
      <c r="O723" s="22" t="s">
        <v>138</v>
      </c>
      <c r="P723" s="23" t="str">
        <f>микс!$H$49</f>
        <v>Товары для детей</v>
      </c>
      <c r="Q723" s="21" t="s">
        <v>133</v>
      </c>
      <c r="R723" s="25">
        <v>5</v>
      </c>
      <c r="S723" s="28"/>
      <c r="T723" s="31">
        <v>42303</v>
      </c>
      <c r="U723" s="33">
        <v>407.1</v>
      </c>
      <c r="V723" s="36">
        <f t="shared" si="57"/>
        <v>2035.5</v>
      </c>
      <c r="W723" s="28"/>
      <c r="X723" s="31">
        <v>42305</v>
      </c>
      <c r="Y723" s="33">
        <v>600</v>
      </c>
      <c r="Z723" s="189">
        <f t="shared" si="58"/>
        <v>3000</v>
      </c>
      <c r="AA723" s="190"/>
      <c r="AB723" s="31">
        <v>42313</v>
      </c>
      <c r="AC723" s="36">
        <v>2035.5</v>
      </c>
      <c r="AD723" s="8"/>
      <c r="AE723" s="6"/>
      <c r="AF723" s="52">
        <f t="shared" si="55"/>
        <v>86107756.5</v>
      </c>
      <c r="AG723" s="25">
        <f t="shared" si="56"/>
        <v>126915000</v>
      </c>
      <c r="AH723" s="52">
        <f t="shared" si="59"/>
        <v>86128111.5</v>
      </c>
      <c r="AI723" s="6"/>
      <c r="AJ723" s="6"/>
      <c r="AK723" s="6"/>
      <c r="AL723" s="6"/>
      <c r="AM723" s="6"/>
      <c r="AN723" s="6"/>
      <c r="AO723" s="6"/>
      <c r="AP723" s="6"/>
      <c r="AQ723" s="6"/>
      <c r="AR723" s="6"/>
    </row>
    <row r="724" spans="1:44">
      <c r="A724" s="6"/>
      <c r="B724" s="6"/>
      <c r="C724" s="6"/>
      <c r="D724" s="6"/>
      <c r="E724" s="6"/>
      <c r="F724" s="6"/>
      <c r="G724" s="11"/>
      <c r="H724" s="6"/>
      <c r="I724" s="6"/>
      <c r="J724" s="6"/>
      <c r="K724" s="7"/>
      <c r="L724" s="21" t="str">
        <f>микс!$H$11</f>
        <v>продажа под заказ</v>
      </c>
      <c r="M724" s="22"/>
      <c r="N724" s="22"/>
      <c r="O724" s="22" t="s">
        <v>138</v>
      </c>
      <c r="P724" s="23" t="str">
        <f>микс!$H$49</f>
        <v>Товары для детей</v>
      </c>
      <c r="Q724" s="21" t="s">
        <v>133</v>
      </c>
      <c r="R724" s="25">
        <v>2</v>
      </c>
      <c r="S724" s="28"/>
      <c r="T724" s="31">
        <v>42306</v>
      </c>
      <c r="U724" s="33">
        <v>407.1</v>
      </c>
      <c r="V724" s="36">
        <f t="shared" si="57"/>
        <v>814.2</v>
      </c>
      <c r="W724" s="28"/>
      <c r="X724" s="31">
        <v>42308</v>
      </c>
      <c r="Y724" s="33">
        <v>600</v>
      </c>
      <c r="Z724" s="189">
        <f t="shared" si="58"/>
        <v>1200</v>
      </c>
      <c r="AA724" s="190"/>
      <c r="AB724" s="31">
        <v>42336</v>
      </c>
      <c r="AC724" s="36">
        <v>814.2</v>
      </c>
      <c r="AD724" s="8"/>
      <c r="AE724" s="6"/>
      <c r="AF724" s="52">
        <f t="shared" si="55"/>
        <v>34445545.200000003</v>
      </c>
      <c r="AG724" s="25">
        <f t="shared" si="56"/>
        <v>50769600</v>
      </c>
      <c r="AH724" s="52">
        <f t="shared" si="59"/>
        <v>34469971.200000003</v>
      </c>
      <c r="AI724" s="6"/>
      <c r="AJ724" s="6"/>
      <c r="AK724" s="6"/>
      <c r="AL724" s="6"/>
      <c r="AM724" s="6"/>
      <c r="AN724" s="6"/>
      <c r="AO724" s="6"/>
      <c r="AP724" s="6"/>
      <c r="AQ724" s="6"/>
      <c r="AR724" s="6"/>
    </row>
    <row r="725" spans="1:44">
      <c r="A725" s="6"/>
      <c r="B725" s="6"/>
      <c r="C725" s="6"/>
      <c r="D725" s="6"/>
      <c r="E725" s="6"/>
      <c r="F725" s="6"/>
      <c r="G725" s="11"/>
      <c r="H725" s="6"/>
      <c r="I725" s="6"/>
      <c r="J725" s="6"/>
      <c r="K725" s="7"/>
      <c r="L725" s="21" t="str">
        <f>микс!$H$11</f>
        <v>продажа под заказ</v>
      </c>
      <c r="M725" s="22"/>
      <c r="N725" s="22"/>
      <c r="O725" s="22" t="s">
        <v>138</v>
      </c>
      <c r="P725" s="23" t="str">
        <f>микс!$H$49</f>
        <v>Товары для детей</v>
      </c>
      <c r="Q725" s="21" t="s">
        <v>133</v>
      </c>
      <c r="R725" s="25">
        <v>2</v>
      </c>
      <c r="S725" s="28"/>
      <c r="T725" s="31">
        <v>42306</v>
      </c>
      <c r="U725" s="33">
        <v>407.1</v>
      </c>
      <c r="V725" s="36">
        <f t="shared" si="57"/>
        <v>814.2</v>
      </c>
      <c r="W725" s="28"/>
      <c r="X725" s="31">
        <v>42308</v>
      </c>
      <c r="Y725" s="33">
        <v>600</v>
      </c>
      <c r="Z725" s="189">
        <f t="shared" si="58"/>
        <v>1200</v>
      </c>
      <c r="AA725" s="190"/>
      <c r="AB725" s="31">
        <v>42327</v>
      </c>
      <c r="AC725" s="36">
        <v>814.2</v>
      </c>
      <c r="AD725" s="8"/>
      <c r="AE725" s="6"/>
      <c r="AF725" s="52">
        <f t="shared" si="55"/>
        <v>34445545.200000003</v>
      </c>
      <c r="AG725" s="25">
        <f t="shared" si="56"/>
        <v>50769600</v>
      </c>
      <c r="AH725" s="52">
        <f t="shared" si="59"/>
        <v>34462643.399999999</v>
      </c>
      <c r="AI725" s="6"/>
      <c r="AJ725" s="6"/>
      <c r="AK725" s="6"/>
      <c r="AL725" s="6"/>
      <c r="AM725" s="6"/>
      <c r="AN725" s="6"/>
      <c r="AO725" s="6"/>
      <c r="AP725" s="6"/>
      <c r="AQ725" s="6"/>
      <c r="AR725" s="6"/>
    </row>
    <row r="726" spans="1:44">
      <c r="A726" s="6"/>
      <c r="B726" s="6"/>
      <c r="C726" s="6"/>
      <c r="D726" s="6"/>
      <c r="E726" s="6"/>
      <c r="F726" s="6"/>
      <c r="G726" s="11"/>
      <c r="H726" s="6"/>
      <c r="I726" s="6"/>
      <c r="J726" s="6"/>
      <c r="K726" s="7"/>
      <c r="L726" s="21" t="str">
        <f>микс!$H$11</f>
        <v>продажа под заказ</v>
      </c>
      <c r="M726" s="22"/>
      <c r="N726" s="22"/>
      <c r="O726" s="22" t="s">
        <v>138</v>
      </c>
      <c r="P726" s="23" t="str">
        <f>микс!$H$49</f>
        <v>Товары для детей</v>
      </c>
      <c r="Q726" s="21" t="s">
        <v>133</v>
      </c>
      <c r="R726" s="25">
        <v>1</v>
      </c>
      <c r="S726" s="28"/>
      <c r="T726" s="31">
        <v>42308</v>
      </c>
      <c r="U726" s="33">
        <v>407.1</v>
      </c>
      <c r="V726" s="36">
        <f t="shared" si="57"/>
        <v>407.1</v>
      </c>
      <c r="W726" s="28"/>
      <c r="X726" s="31">
        <v>42317</v>
      </c>
      <c r="Y726" s="33">
        <v>530</v>
      </c>
      <c r="Z726" s="189">
        <f t="shared" si="58"/>
        <v>530</v>
      </c>
      <c r="AA726" s="190"/>
      <c r="AB726" s="31">
        <v>42353</v>
      </c>
      <c r="AC726" s="36">
        <v>407.1</v>
      </c>
      <c r="AD726" s="8"/>
      <c r="AE726" s="6"/>
      <c r="AF726" s="52">
        <f t="shared" si="55"/>
        <v>17223586.800000001</v>
      </c>
      <c r="AG726" s="25">
        <f t="shared" si="56"/>
        <v>22428010</v>
      </c>
      <c r="AH726" s="52">
        <f t="shared" si="59"/>
        <v>17241906.300000001</v>
      </c>
      <c r="AI726" s="6"/>
      <c r="AJ726" s="6"/>
      <c r="AK726" s="6"/>
      <c r="AL726" s="6"/>
      <c r="AM726" s="6"/>
      <c r="AN726" s="6"/>
      <c r="AO726" s="6"/>
      <c r="AP726" s="6"/>
      <c r="AQ726" s="6"/>
      <c r="AR726" s="6"/>
    </row>
    <row r="727" spans="1:44">
      <c r="A727" s="6"/>
      <c r="B727" s="6"/>
      <c r="C727" s="6"/>
      <c r="D727" s="6"/>
      <c r="E727" s="6"/>
      <c r="F727" s="6"/>
      <c r="G727" s="11"/>
      <c r="H727" s="6"/>
      <c r="I727" s="6"/>
      <c r="J727" s="6"/>
      <c r="K727" s="7"/>
      <c r="L727" s="21" t="str">
        <f>микс!$H$10</f>
        <v>продажа со склада</v>
      </c>
      <c r="M727" s="22"/>
      <c r="N727" s="22"/>
      <c r="O727" s="22" t="s">
        <v>138</v>
      </c>
      <c r="P727" s="23" t="str">
        <f>микс!$H$49</f>
        <v>Товары для детей</v>
      </c>
      <c r="Q727" s="21" t="s">
        <v>133</v>
      </c>
      <c r="R727" s="25">
        <v>1</v>
      </c>
      <c r="S727" s="28"/>
      <c r="T727" s="31">
        <v>42271</v>
      </c>
      <c r="U727" s="33">
        <v>1159</v>
      </c>
      <c r="V727" s="36">
        <f t="shared" si="57"/>
        <v>1159</v>
      </c>
      <c r="W727" s="28"/>
      <c r="X727" s="31">
        <v>42319</v>
      </c>
      <c r="Y727" s="33">
        <v>1411</v>
      </c>
      <c r="Z727" s="189">
        <f t="shared" si="58"/>
        <v>1411</v>
      </c>
      <c r="AA727" s="190"/>
      <c r="AB727" s="31">
        <v>42301</v>
      </c>
      <c r="AC727" s="36">
        <v>1159</v>
      </c>
      <c r="AD727" s="8"/>
      <c r="AE727" s="6"/>
      <c r="AF727" s="52">
        <f t="shared" si="55"/>
        <v>48992089</v>
      </c>
      <c r="AG727" s="25">
        <f t="shared" si="56"/>
        <v>59712109</v>
      </c>
      <c r="AH727" s="52">
        <f t="shared" si="59"/>
        <v>49026859</v>
      </c>
      <c r="AI727" s="6"/>
      <c r="AJ727" s="6"/>
      <c r="AK727" s="6"/>
      <c r="AL727" s="6"/>
      <c r="AM727" s="6"/>
      <c r="AN727" s="6"/>
      <c r="AO727" s="6"/>
      <c r="AP727" s="6"/>
      <c r="AQ727" s="6"/>
      <c r="AR727" s="6"/>
    </row>
    <row r="728" spans="1:44">
      <c r="A728" s="6"/>
      <c r="B728" s="6"/>
      <c r="C728" s="6"/>
      <c r="D728" s="6"/>
      <c r="E728" s="6"/>
      <c r="F728" s="6"/>
      <c r="G728" s="11"/>
      <c r="H728" s="6"/>
      <c r="I728" s="6"/>
      <c r="J728" s="6"/>
      <c r="K728" s="7"/>
      <c r="L728" s="21" t="str">
        <f>микс!$H$11</f>
        <v>продажа под заказ</v>
      </c>
      <c r="M728" s="22"/>
      <c r="N728" s="22"/>
      <c r="O728" s="22" t="s">
        <v>148</v>
      </c>
      <c r="P728" s="23" t="str">
        <f>микс!$H$49</f>
        <v>Товары для детей</v>
      </c>
      <c r="Q728" s="21" t="s">
        <v>133</v>
      </c>
      <c r="R728" s="25">
        <v>10</v>
      </c>
      <c r="S728" s="28"/>
      <c r="T728" s="31">
        <v>42320</v>
      </c>
      <c r="U728" s="33">
        <v>1159</v>
      </c>
      <c r="V728" s="36">
        <f t="shared" si="57"/>
        <v>11590</v>
      </c>
      <c r="W728" s="28"/>
      <c r="X728" s="31">
        <v>42322</v>
      </c>
      <c r="Y728" s="33">
        <v>1483</v>
      </c>
      <c r="Z728" s="189">
        <f t="shared" si="58"/>
        <v>14830</v>
      </c>
      <c r="AA728" s="190"/>
      <c r="AB728" s="31">
        <v>42335</v>
      </c>
      <c r="AC728" s="36">
        <v>11590</v>
      </c>
      <c r="AD728" s="8"/>
      <c r="AE728" s="6"/>
      <c r="AF728" s="52">
        <f t="shared" si="55"/>
        <v>490488800</v>
      </c>
      <c r="AG728" s="25">
        <f t="shared" si="56"/>
        <v>627635260</v>
      </c>
      <c r="AH728" s="52">
        <f t="shared" si="59"/>
        <v>490662650</v>
      </c>
      <c r="AI728" s="6"/>
      <c r="AJ728" s="6"/>
      <c r="AK728" s="6"/>
      <c r="AL728" s="6"/>
      <c r="AM728" s="6"/>
      <c r="AN728" s="6"/>
      <c r="AO728" s="6"/>
      <c r="AP728" s="6"/>
      <c r="AQ728" s="6"/>
      <c r="AR728" s="6"/>
    </row>
    <row r="729" spans="1:44">
      <c r="A729" s="6"/>
      <c r="B729" s="6"/>
      <c r="C729" s="6"/>
      <c r="D729" s="6"/>
      <c r="E729" s="6"/>
      <c r="F729" s="6"/>
      <c r="G729" s="11"/>
      <c r="H729" s="6"/>
      <c r="I729" s="6"/>
      <c r="J729" s="6"/>
      <c r="K729" s="7"/>
      <c r="L729" s="21" t="str">
        <f>микс!$H$10</f>
        <v>продажа со склада</v>
      </c>
      <c r="M729" s="22"/>
      <c r="N729" s="22"/>
      <c r="O729" s="22" t="s">
        <v>148</v>
      </c>
      <c r="P729" s="23" t="str">
        <f>микс!$H$49</f>
        <v>Товары для детей</v>
      </c>
      <c r="Q729" s="21" t="s">
        <v>133</v>
      </c>
      <c r="R729" s="25">
        <v>1</v>
      </c>
      <c r="S729" s="28"/>
      <c r="T729" s="31">
        <v>42275</v>
      </c>
      <c r="U729" s="33">
        <v>1159</v>
      </c>
      <c r="V729" s="36">
        <f t="shared" si="57"/>
        <v>1159</v>
      </c>
      <c r="W729" s="28"/>
      <c r="X729" s="31">
        <v>42325</v>
      </c>
      <c r="Y729" s="33">
        <v>1483</v>
      </c>
      <c r="Z729" s="189">
        <f t="shared" si="58"/>
        <v>1483</v>
      </c>
      <c r="AA729" s="190"/>
      <c r="AB729" s="31"/>
      <c r="AC729" s="36"/>
      <c r="AD729" s="8"/>
      <c r="AE729" s="6"/>
      <c r="AF729" s="52">
        <f t="shared" si="55"/>
        <v>48996725</v>
      </c>
      <c r="AG729" s="25">
        <f t="shared" si="56"/>
        <v>62767975</v>
      </c>
      <c r="AH729" s="52">
        <f t="shared" si="59"/>
        <v>0</v>
      </c>
      <c r="AI729" s="6"/>
      <c r="AJ729" s="6"/>
      <c r="AK729" s="6"/>
      <c r="AL729" s="6"/>
      <c r="AM729" s="6"/>
      <c r="AN729" s="6"/>
      <c r="AO729" s="6"/>
      <c r="AP729" s="6"/>
      <c r="AQ729" s="6"/>
      <c r="AR729" s="6"/>
    </row>
    <row r="730" spans="1:44">
      <c r="A730" s="6"/>
      <c r="B730" s="6"/>
      <c r="C730" s="6"/>
      <c r="D730" s="6"/>
      <c r="E730" s="6"/>
      <c r="F730" s="6"/>
      <c r="G730" s="11"/>
      <c r="H730" s="6"/>
      <c r="I730" s="6"/>
      <c r="J730" s="6"/>
      <c r="K730" s="7"/>
      <c r="L730" s="21" t="str">
        <f>микс!$H$10</f>
        <v>продажа со склада</v>
      </c>
      <c r="M730" s="22"/>
      <c r="N730" s="22"/>
      <c r="O730" s="22" t="s">
        <v>148</v>
      </c>
      <c r="P730" s="23" t="str">
        <f>микс!$H$49</f>
        <v>Товары для детей</v>
      </c>
      <c r="Q730" s="21" t="s">
        <v>133</v>
      </c>
      <c r="R730" s="25">
        <v>1</v>
      </c>
      <c r="S730" s="28"/>
      <c r="T730" s="31">
        <v>42291</v>
      </c>
      <c r="U730" s="33">
        <v>1282.47</v>
      </c>
      <c r="V730" s="36">
        <f t="shared" si="57"/>
        <v>1282.47</v>
      </c>
      <c r="W730" s="28"/>
      <c r="X730" s="31">
        <v>42344</v>
      </c>
      <c r="Y730" s="33">
        <v>1370</v>
      </c>
      <c r="Z730" s="189">
        <f t="shared" si="58"/>
        <v>1370</v>
      </c>
      <c r="AA730" s="190"/>
      <c r="AB730" s="31">
        <v>42351</v>
      </c>
      <c r="AC730" s="36">
        <v>1282.47</v>
      </c>
      <c r="AD730" s="8"/>
      <c r="AE730" s="6"/>
      <c r="AF730" s="52">
        <f t="shared" si="55"/>
        <v>54236938.770000003</v>
      </c>
      <c r="AG730" s="25">
        <f t="shared" si="56"/>
        <v>58011280</v>
      </c>
      <c r="AH730" s="52">
        <f t="shared" si="59"/>
        <v>54313886.969999999</v>
      </c>
      <c r="AI730" s="6"/>
      <c r="AJ730" s="6"/>
      <c r="AK730" s="6"/>
      <c r="AL730" s="6"/>
      <c r="AM730" s="6"/>
      <c r="AN730" s="6"/>
      <c r="AO730" s="6"/>
      <c r="AP730" s="6"/>
      <c r="AQ730" s="6"/>
      <c r="AR730" s="6"/>
    </row>
    <row r="731" spans="1:44">
      <c r="A731" s="6"/>
      <c r="B731" s="6"/>
      <c r="C731" s="6"/>
      <c r="D731" s="6"/>
      <c r="E731" s="6"/>
      <c r="F731" s="6"/>
      <c r="G731" s="11"/>
      <c r="H731" s="6"/>
      <c r="I731" s="6"/>
      <c r="J731" s="6"/>
      <c r="K731" s="7"/>
      <c r="L731" s="21" t="str">
        <f>микс!$H$10</f>
        <v>продажа со склада</v>
      </c>
      <c r="M731" s="22"/>
      <c r="N731" s="22"/>
      <c r="O731" s="22" t="s">
        <v>148</v>
      </c>
      <c r="P731" s="23" t="str">
        <f>микс!$H$49</f>
        <v>Товары для детей</v>
      </c>
      <c r="Q731" s="21" t="s">
        <v>133</v>
      </c>
      <c r="R731" s="25">
        <v>1</v>
      </c>
      <c r="S731" s="28"/>
      <c r="T731" s="31">
        <v>42291</v>
      </c>
      <c r="U731" s="33">
        <v>1282.48</v>
      </c>
      <c r="V731" s="36">
        <f t="shared" si="57"/>
        <v>1282.48</v>
      </c>
      <c r="W731" s="28"/>
      <c r="X731" s="31">
        <v>42338</v>
      </c>
      <c r="Y731" s="33">
        <v>1370</v>
      </c>
      <c r="Z731" s="189">
        <f t="shared" si="58"/>
        <v>1370</v>
      </c>
      <c r="AA731" s="190"/>
      <c r="AB731" s="31">
        <v>42296</v>
      </c>
      <c r="AC731" s="36">
        <v>1282.48</v>
      </c>
      <c r="AD731" s="8"/>
      <c r="AE731" s="6"/>
      <c r="AF731" s="52">
        <f t="shared" si="55"/>
        <v>54237361.68</v>
      </c>
      <c r="AG731" s="25">
        <f t="shared" si="56"/>
        <v>58003060</v>
      </c>
      <c r="AH731" s="52">
        <f t="shared" si="59"/>
        <v>54243774.079999998</v>
      </c>
      <c r="AI731" s="6"/>
      <c r="AJ731" s="6"/>
      <c r="AK731" s="6"/>
      <c r="AL731" s="6"/>
      <c r="AM731" s="6"/>
      <c r="AN731" s="6"/>
      <c r="AO731" s="6"/>
      <c r="AP731" s="6"/>
      <c r="AQ731" s="6"/>
      <c r="AR731" s="6"/>
    </row>
    <row r="732" spans="1:44">
      <c r="A732" s="6"/>
      <c r="B732" s="6"/>
      <c r="C732" s="6"/>
      <c r="D732" s="6"/>
      <c r="E732" s="6"/>
      <c r="F732" s="6"/>
      <c r="G732" s="11"/>
      <c r="H732" s="6"/>
      <c r="I732" s="6"/>
      <c r="J732" s="6"/>
      <c r="K732" s="7"/>
      <c r="L732" s="21" t="str">
        <f>микс!$H$10</f>
        <v>продажа со склада</v>
      </c>
      <c r="M732" s="22"/>
      <c r="N732" s="22"/>
      <c r="O732" s="22" t="s">
        <v>148</v>
      </c>
      <c r="P732" s="23" t="str">
        <f>микс!$H$49</f>
        <v>Товары для детей</v>
      </c>
      <c r="Q732" s="21" t="s">
        <v>133</v>
      </c>
      <c r="R732" s="25">
        <v>1</v>
      </c>
      <c r="S732" s="28"/>
      <c r="T732" s="31">
        <v>42288</v>
      </c>
      <c r="U732" s="33">
        <v>1282.47</v>
      </c>
      <c r="V732" s="36">
        <f t="shared" si="57"/>
        <v>1282.47</v>
      </c>
      <c r="W732" s="28"/>
      <c r="X732" s="31">
        <v>42341</v>
      </c>
      <c r="Y732" s="33">
        <v>1370</v>
      </c>
      <c r="Z732" s="189">
        <f t="shared" si="58"/>
        <v>1370</v>
      </c>
      <c r="AA732" s="190"/>
      <c r="AB732" s="31">
        <v>42328</v>
      </c>
      <c r="AC732" s="36">
        <v>1282.47</v>
      </c>
      <c r="AD732" s="8"/>
      <c r="AE732" s="6"/>
      <c r="AF732" s="52">
        <f t="shared" si="55"/>
        <v>54233091.359999999</v>
      </c>
      <c r="AG732" s="25">
        <f t="shared" si="56"/>
        <v>58007170</v>
      </c>
      <c r="AH732" s="52">
        <f t="shared" si="59"/>
        <v>54284390.160000004</v>
      </c>
      <c r="AI732" s="6"/>
      <c r="AJ732" s="6"/>
      <c r="AK732" s="6"/>
      <c r="AL732" s="6"/>
      <c r="AM732" s="6"/>
      <c r="AN732" s="6"/>
      <c r="AO732" s="6"/>
      <c r="AP732" s="6"/>
      <c r="AQ732" s="6"/>
      <c r="AR732" s="6"/>
    </row>
    <row r="733" spans="1:44">
      <c r="A733" s="6"/>
      <c r="B733" s="6"/>
      <c r="C733" s="6"/>
      <c r="D733" s="6"/>
      <c r="E733" s="6"/>
      <c r="F733" s="6"/>
      <c r="G733" s="11"/>
      <c r="H733" s="6"/>
      <c r="I733" s="6"/>
      <c r="J733" s="6"/>
      <c r="K733" s="7"/>
      <c r="L733" s="21" t="str">
        <f>микс!$H$10</f>
        <v>продажа со склада</v>
      </c>
      <c r="M733" s="22"/>
      <c r="N733" s="22"/>
      <c r="O733" s="22" t="s">
        <v>148</v>
      </c>
      <c r="P733" s="23" t="str">
        <f>микс!$H$49</f>
        <v>Товары для детей</v>
      </c>
      <c r="Q733" s="21" t="s">
        <v>133</v>
      </c>
      <c r="R733" s="25">
        <v>1</v>
      </c>
      <c r="S733" s="28"/>
      <c r="T733" s="31">
        <v>42283</v>
      </c>
      <c r="U733" s="33">
        <v>1282.47</v>
      </c>
      <c r="V733" s="36">
        <f t="shared" si="57"/>
        <v>1282.47</v>
      </c>
      <c r="W733" s="28"/>
      <c r="X733" s="31">
        <v>42339</v>
      </c>
      <c r="Y733" s="33">
        <v>1411</v>
      </c>
      <c r="Z733" s="189">
        <f t="shared" si="58"/>
        <v>1411</v>
      </c>
      <c r="AA733" s="190"/>
      <c r="AB733" s="31">
        <v>42318</v>
      </c>
      <c r="AC733" s="36">
        <v>1282.47</v>
      </c>
      <c r="AD733" s="8"/>
      <c r="AE733" s="6"/>
      <c r="AF733" s="52">
        <f t="shared" si="55"/>
        <v>54226679.009999998</v>
      </c>
      <c r="AG733" s="25">
        <f t="shared" si="56"/>
        <v>59740329</v>
      </c>
      <c r="AH733" s="52">
        <f t="shared" si="59"/>
        <v>54271565.460000001</v>
      </c>
      <c r="AI733" s="6"/>
      <c r="AJ733" s="6"/>
      <c r="AK733" s="6"/>
      <c r="AL733" s="6"/>
      <c r="AM733" s="6"/>
      <c r="AN733" s="6"/>
      <c r="AO733" s="6"/>
      <c r="AP733" s="6"/>
      <c r="AQ733" s="6"/>
      <c r="AR733" s="6"/>
    </row>
    <row r="734" spans="1:44">
      <c r="A734" s="6"/>
      <c r="B734" s="6"/>
      <c r="C734" s="6"/>
      <c r="D734" s="6"/>
      <c r="E734" s="6"/>
      <c r="F734" s="6"/>
      <c r="G734" s="11"/>
      <c r="H734" s="6"/>
      <c r="I734" s="6"/>
      <c r="J734" s="6"/>
      <c r="K734" s="7"/>
      <c r="L734" s="21" t="str">
        <f>микс!$H$10</f>
        <v>продажа со склада</v>
      </c>
      <c r="M734" s="22"/>
      <c r="N734" s="22"/>
      <c r="O734" s="22" t="s">
        <v>148</v>
      </c>
      <c r="P734" s="23" t="str">
        <f>микс!$H$49</f>
        <v>Товары для детей</v>
      </c>
      <c r="Q734" s="21" t="s">
        <v>133</v>
      </c>
      <c r="R734" s="25">
        <v>1</v>
      </c>
      <c r="S734" s="28"/>
      <c r="T734" s="31">
        <v>42283</v>
      </c>
      <c r="U734" s="33">
        <v>1282.48</v>
      </c>
      <c r="V734" s="36">
        <f t="shared" si="57"/>
        <v>1282.48</v>
      </c>
      <c r="W734" s="28"/>
      <c r="X734" s="31">
        <v>42337</v>
      </c>
      <c r="Y734" s="33">
        <v>1370</v>
      </c>
      <c r="Z734" s="189">
        <f t="shared" si="58"/>
        <v>1370</v>
      </c>
      <c r="AA734" s="190"/>
      <c r="AB734" s="31">
        <v>42298</v>
      </c>
      <c r="AC734" s="36">
        <v>1282.48</v>
      </c>
      <c r="AD734" s="8"/>
      <c r="AE734" s="6"/>
      <c r="AF734" s="52">
        <f t="shared" si="55"/>
        <v>54227101.840000004</v>
      </c>
      <c r="AG734" s="25">
        <f t="shared" si="56"/>
        <v>58001690</v>
      </c>
      <c r="AH734" s="52">
        <f t="shared" si="59"/>
        <v>54246339.039999999</v>
      </c>
      <c r="AI734" s="6"/>
      <c r="AJ734" s="6"/>
      <c r="AK734" s="6"/>
      <c r="AL734" s="6"/>
      <c r="AM734" s="6"/>
      <c r="AN734" s="6"/>
      <c r="AO734" s="6"/>
      <c r="AP734" s="6"/>
      <c r="AQ734" s="6"/>
      <c r="AR734" s="6"/>
    </row>
    <row r="735" spans="1:44">
      <c r="A735" s="6"/>
      <c r="B735" s="6"/>
      <c r="C735" s="6"/>
      <c r="D735" s="6"/>
      <c r="E735" s="6"/>
      <c r="F735" s="6"/>
      <c r="G735" s="11"/>
      <c r="H735" s="6"/>
      <c r="I735" s="6"/>
      <c r="J735" s="6"/>
      <c r="K735" s="7"/>
      <c r="L735" s="21" t="str">
        <f>микс!$H$10</f>
        <v>продажа со склада</v>
      </c>
      <c r="M735" s="22"/>
      <c r="N735" s="22"/>
      <c r="O735" s="22" t="s">
        <v>148</v>
      </c>
      <c r="P735" s="23" t="str">
        <f>микс!$H$49</f>
        <v>Товары для детей</v>
      </c>
      <c r="Q735" s="21" t="s">
        <v>133</v>
      </c>
      <c r="R735" s="25">
        <v>1</v>
      </c>
      <c r="S735" s="28"/>
      <c r="T735" s="31">
        <v>42281</v>
      </c>
      <c r="U735" s="33">
        <v>1282.47</v>
      </c>
      <c r="V735" s="36">
        <f t="shared" si="57"/>
        <v>1282.47</v>
      </c>
      <c r="W735" s="28"/>
      <c r="X735" s="31">
        <v>42343</v>
      </c>
      <c r="Y735" s="33">
        <v>1369</v>
      </c>
      <c r="Z735" s="189">
        <f t="shared" si="58"/>
        <v>1369</v>
      </c>
      <c r="AA735" s="190"/>
      <c r="AB735" s="31">
        <v>42331</v>
      </c>
      <c r="AC735" s="36">
        <v>1282.47</v>
      </c>
      <c r="AD735" s="8"/>
      <c r="AE735" s="6"/>
      <c r="AF735" s="52">
        <f t="shared" si="55"/>
        <v>54224114.07</v>
      </c>
      <c r="AG735" s="25">
        <f t="shared" si="56"/>
        <v>57967567</v>
      </c>
      <c r="AH735" s="52">
        <f t="shared" si="59"/>
        <v>54288237.57</v>
      </c>
      <c r="AI735" s="6"/>
      <c r="AJ735" s="6"/>
      <c r="AK735" s="6"/>
      <c r="AL735" s="6"/>
      <c r="AM735" s="6"/>
      <c r="AN735" s="6"/>
      <c r="AO735" s="6"/>
      <c r="AP735" s="6"/>
      <c r="AQ735" s="6"/>
      <c r="AR735" s="6"/>
    </row>
    <row r="736" spans="1:44">
      <c r="A736" s="6"/>
      <c r="B736" s="6"/>
      <c r="C736" s="6"/>
      <c r="D736" s="6"/>
      <c r="E736" s="6"/>
      <c r="F736" s="6"/>
      <c r="G736" s="11"/>
      <c r="H736" s="6"/>
      <c r="I736" s="6"/>
      <c r="J736" s="6"/>
      <c r="K736" s="7"/>
      <c r="L736" s="21" t="str">
        <f>микс!$H$10</f>
        <v>продажа со склада</v>
      </c>
      <c r="M736" s="22"/>
      <c r="N736" s="22"/>
      <c r="O736" s="22" t="s">
        <v>148</v>
      </c>
      <c r="P736" s="23" t="str">
        <f>микс!$H$49</f>
        <v>Товары для детей</v>
      </c>
      <c r="Q736" s="21" t="s">
        <v>133</v>
      </c>
      <c r="R736" s="25">
        <v>1</v>
      </c>
      <c r="S736" s="28"/>
      <c r="T736" s="31">
        <v>42284</v>
      </c>
      <c r="U736" s="33">
        <v>1282.47</v>
      </c>
      <c r="V736" s="36">
        <f t="shared" si="57"/>
        <v>1282.47</v>
      </c>
      <c r="W736" s="28"/>
      <c r="X736" s="31">
        <v>42340</v>
      </c>
      <c r="Y736" s="33">
        <v>1370</v>
      </c>
      <c r="Z736" s="189">
        <f t="shared" si="58"/>
        <v>1370</v>
      </c>
      <c r="AA736" s="190"/>
      <c r="AB736" s="31"/>
      <c r="AC736" s="36"/>
      <c r="AD736" s="8"/>
      <c r="AE736" s="6"/>
      <c r="AF736" s="52">
        <f t="shared" si="55"/>
        <v>54227961.480000004</v>
      </c>
      <c r="AG736" s="25">
        <f t="shared" si="56"/>
        <v>58005800</v>
      </c>
      <c r="AH736" s="52">
        <f t="shared" si="59"/>
        <v>0</v>
      </c>
      <c r="AI736" s="6"/>
      <c r="AJ736" s="6"/>
      <c r="AK736" s="6"/>
      <c r="AL736" s="6"/>
      <c r="AM736" s="6"/>
      <c r="AN736" s="6"/>
      <c r="AO736" s="6"/>
      <c r="AP736" s="6"/>
      <c r="AQ736" s="6"/>
      <c r="AR736" s="6"/>
    </row>
    <row r="737" spans="1:44">
      <c r="A737" s="6"/>
      <c r="B737" s="6"/>
      <c r="C737" s="6"/>
      <c r="D737" s="6"/>
      <c r="E737" s="6"/>
      <c r="F737" s="6"/>
      <c r="G737" s="11"/>
      <c r="H737" s="6"/>
      <c r="I737" s="6"/>
      <c r="J737" s="6"/>
      <c r="K737" s="7"/>
      <c r="L737" s="21" t="str">
        <f>микс!$H$10</f>
        <v>продажа со склада</v>
      </c>
      <c r="M737" s="22"/>
      <c r="N737" s="22"/>
      <c r="O737" s="22" t="s">
        <v>148</v>
      </c>
      <c r="P737" s="23" t="str">
        <f>микс!$H$49</f>
        <v>Товары для детей</v>
      </c>
      <c r="Q737" s="21" t="s">
        <v>133</v>
      </c>
      <c r="R737" s="25">
        <v>1</v>
      </c>
      <c r="S737" s="28"/>
      <c r="T737" s="31">
        <v>42286</v>
      </c>
      <c r="U737" s="33">
        <v>1282.47</v>
      </c>
      <c r="V737" s="36">
        <f t="shared" si="57"/>
        <v>1282.47</v>
      </c>
      <c r="W737" s="28"/>
      <c r="X737" s="31">
        <v>42347</v>
      </c>
      <c r="Y737" s="33">
        <v>1411</v>
      </c>
      <c r="Z737" s="189">
        <f t="shared" si="58"/>
        <v>1411</v>
      </c>
      <c r="AA737" s="190"/>
      <c r="AB737" s="31">
        <v>42316</v>
      </c>
      <c r="AC737" s="36">
        <v>1282.47</v>
      </c>
      <c r="AD737" s="8"/>
      <c r="AE737" s="6"/>
      <c r="AF737" s="52">
        <f t="shared" si="55"/>
        <v>54230526.420000002</v>
      </c>
      <c r="AG737" s="25">
        <f t="shared" si="56"/>
        <v>59751617</v>
      </c>
      <c r="AH737" s="52">
        <f t="shared" si="59"/>
        <v>54269000.520000003</v>
      </c>
      <c r="AI737" s="6"/>
      <c r="AJ737" s="6"/>
      <c r="AK737" s="6"/>
      <c r="AL737" s="6"/>
      <c r="AM737" s="6"/>
      <c r="AN737" s="6"/>
      <c r="AO737" s="6"/>
      <c r="AP737" s="6"/>
      <c r="AQ737" s="6"/>
      <c r="AR737" s="6"/>
    </row>
    <row r="738" spans="1:44">
      <c r="A738" s="6"/>
      <c r="B738" s="6"/>
      <c r="C738" s="6"/>
      <c r="D738" s="6"/>
      <c r="E738" s="6"/>
      <c r="F738" s="6"/>
      <c r="G738" s="11"/>
      <c r="H738" s="6"/>
      <c r="I738" s="6"/>
      <c r="J738" s="6"/>
      <c r="K738" s="7"/>
      <c r="L738" s="21" t="str">
        <f>микс!$H$10</f>
        <v>продажа со склада</v>
      </c>
      <c r="M738" s="22"/>
      <c r="N738" s="22"/>
      <c r="O738" s="22" t="s">
        <v>148</v>
      </c>
      <c r="P738" s="23" t="str">
        <f>микс!$H$49</f>
        <v>Товары для детей</v>
      </c>
      <c r="Q738" s="21" t="s">
        <v>133</v>
      </c>
      <c r="R738" s="25">
        <v>1</v>
      </c>
      <c r="S738" s="28"/>
      <c r="T738" s="31">
        <v>42287</v>
      </c>
      <c r="U738" s="33">
        <v>1282.47</v>
      </c>
      <c r="V738" s="36">
        <f t="shared" si="57"/>
        <v>1282.47</v>
      </c>
      <c r="W738" s="28"/>
      <c r="X738" s="31">
        <v>42341</v>
      </c>
      <c r="Y738" s="33">
        <v>1370</v>
      </c>
      <c r="Z738" s="189">
        <f t="shared" si="58"/>
        <v>1370</v>
      </c>
      <c r="AA738" s="190"/>
      <c r="AB738" s="31"/>
      <c r="AC738" s="36"/>
      <c r="AD738" s="8"/>
      <c r="AE738" s="6"/>
      <c r="AF738" s="52">
        <f t="shared" si="55"/>
        <v>54231808.890000001</v>
      </c>
      <c r="AG738" s="25">
        <f t="shared" si="56"/>
        <v>58007170</v>
      </c>
      <c r="AH738" s="52">
        <f t="shared" si="59"/>
        <v>0</v>
      </c>
      <c r="AI738" s="6"/>
      <c r="AJ738" s="6"/>
      <c r="AK738" s="6"/>
      <c r="AL738" s="6"/>
      <c r="AM738" s="6"/>
      <c r="AN738" s="6"/>
      <c r="AO738" s="6"/>
      <c r="AP738" s="6"/>
      <c r="AQ738" s="6"/>
      <c r="AR738" s="6"/>
    </row>
    <row r="739" spans="1:44">
      <c r="A739" s="6"/>
      <c r="B739" s="6"/>
      <c r="C739" s="6"/>
      <c r="D739" s="6"/>
      <c r="E739" s="6"/>
      <c r="F739" s="6"/>
      <c r="G739" s="11"/>
      <c r="H739" s="6"/>
      <c r="I739" s="6"/>
      <c r="J739" s="6"/>
      <c r="K739" s="7"/>
      <c r="L739" s="21" t="str">
        <f>микс!$H$10</f>
        <v>продажа со склада</v>
      </c>
      <c r="M739" s="22"/>
      <c r="N739" s="22"/>
      <c r="O739" s="22" t="s">
        <v>148</v>
      </c>
      <c r="P739" s="23" t="str">
        <f>микс!$H$49</f>
        <v>Товары для детей</v>
      </c>
      <c r="Q739" s="21" t="s">
        <v>133</v>
      </c>
      <c r="R739" s="25">
        <v>1</v>
      </c>
      <c r="S739" s="28"/>
      <c r="T739" s="31">
        <v>42287</v>
      </c>
      <c r="U739" s="33">
        <v>1282.47</v>
      </c>
      <c r="V739" s="36">
        <f t="shared" si="57"/>
        <v>1282.47</v>
      </c>
      <c r="W739" s="28"/>
      <c r="X739" s="31">
        <v>42345</v>
      </c>
      <c r="Y739" s="33">
        <v>1370</v>
      </c>
      <c r="Z739" s="189">
        <f t="shared" si="58"/>
        <v>1370</v>
      </c>
      <c r="AA739" s="190"/>
      <c r="AB739" s="31">
        <v>42297</v>
      </c>
      <c r="AC739" s="36">
        <v>1282.47</v>
      </c>
      <c r="AD739" s="8"/>
      <c r="AE739" s="6"/>
      <c r="AF739" s="52">
        <f t="shared" si="55"/>
        <v>54231808.890000001</v>
      </c>
      <c r="AG739" s="25">
        <f t="shared" si="56"/>
        <v>58012650</v>
      </c>
      <c r="AH739" s="52">
        <f t="shared" si="59"/>
        <v>54244633.590000004</v>
      </c>
      <c r="AI739" s="6"/>
      <c r="AJ739" s="6"/>
      <c r="AK739" s="6"/>
      <c r="AL739" s="6"/>
      <c r="AM739" s="6"/>
      <c r="AN739" s="6"/>
      <c r="AO739" s="6"/>
      <c r="AP739" s="6"/>
      <c r="AQ739" s="6"/>
      <c r="AR739" s="6"/>
    </row>
    <row r="740" spans="1:44">
      <c r="A740" s="6"/>
      <c r="B740" s="6"/>
      <c r="C740" s="6"/>
      <c r="D740" s="6"/>
      <c r="E740" s="6"/>
      <c r="F740" s="6"/>
      <c r="G740" s="11"/>
      <c r="H740" s="6"/>
      <c r="I740" s="6"/>
      <c r="J740" s="6"/>
      <c r="K740" s="7"/>
      <c r="L740" s="21" t="str">
        <f>микс!$H$10</f>
        <v>продажа со склада</v>
      </c>
      <c r="M740" s="22"/>
      <c r="N740" s="22"/>
      <c r="O740" s="22" t="s">
        <v>148</v>
      </c>
      <c r="P740" s="23" t="str">
        <f>микс!$H$49</f>
        <v>Товары для детей</v>
      </c>
      <c r="Q740" s="21" t="s">
        <v>59</v>
      </c>
      <c r="R740" s="25">
        <v>1</v>
      </c>
      <c r="S740" s="28"/>
      <c r="T740" s="31">
        <v>42248</v>
      </c>
      <c r="U740" s="33">
        <v>2880</v>
      </c>
      <c r="V740" s="36">
        <f t="shared" si="57"/>
        <v>2880</v>
      </c>
      <c r="W740" s="28"/>
      <c r="X740" s="31">
        <v>42299</v>
      </c>
      <c r="Y740" s="33">
        <v>3254</v>
      </c>
      <c r="Z740" s="189">
        <f t="shared" si="58"/>
        <v>3254</v>
      </c>
      <c r="AA740" s="190"/>
      <c r="AB740" s="31">
        <v>42255</v>
      </c>
      <c r="AC740" s="36">
        <v>2880</v>
      </c>
      <c r="AD740" s="8"/>
      <c r="AE740" s="6"/>
      <c r="AF740" s="52">
        <f t="shared" si="55"/>
        <v>121674240</v>
      </c>
      <c r="AG740" s="25">
        <f t="shared" si="56"/>
        <v>137640946</v>
      </c>
      <c r="AH740" s="52">
        <f t="shared" si="59"/>
        <v>121694400</v>
      </c>
      <c r="AI740" s="6"/>
      <c r="AJ740" s="6"/>
      <c r="AK740" s="6"/>
      <c r="AL740" s="6"/>
      <c r="AM740" s="6"/>
      <c r="AN740" s="6"/>
      <c r="AO740" s="6"/>
      <c r="AP740" s="6"/>
      <c r="AQ740" s="6"/>
      <c r="AR740" s="6"/>
    </row>
    <row r="741" spans="1:44">
      <c r="A741" s="6"/>
      <c r="B741" s="6"/>
      <c r="C741" s="6"/>
      <c r="D741" s="6"/>
      <c r="E741" s="6"/>
      <c r="F741" s="6"/>
      <c r="G741" s="11"/>
      <c r="H741" s="6"/>
      <c r="I741" s="6"/>
      <c r="J741" s="6"/>
      <c r="K741" s="7"/>
      <c r="L741" s="21" t="str">
        <f>микс!$H$10</f>
        <v>продажа со склада</v>
      </c>
      <c r="M741" s="22"/>
      <c r="N741" s="22"/>
      <c r="O741" s="22" t="s">
        <v>148</v>
      </c>
      <c r="P741" s="23" t="str">
        <f>микс!$H$49</f>
        <v>Товары для детей</v>
      </c>
      <c r="Q741" s="21" t="s">
        <v>59</v>
      </c>
      <c r="R741" s="25">
        <v>1</v>
      </c>
      <c r="S741" s="28"/>
      <c r="T741" s="31">
        <v>42029</v>
      </c>
      <c r="U741" s="33">
        <v>2880</v>
      </c>
      <c r="V741" s="36">
        <f t="shared" si="57"/>
        <v>2880</v>
      </c>
      <c r="W741" s="28"/>
      <c r="X741" s="31">
        <v>42294</v>
      </c>
      <c r="Y741" s="33">
        <v>3254</v>
      </c>
      <c r="Z741" s="189">
        <f t="shared" si="58"/>
        <v>3254</v>
      </c>
      <c r="AA741" s="190"/>
      <c r="AB741" s="31">
        <v>42051</v>
      </c>
      <c r="AC741" s="36">
        <v>2880</v>
      </c>
      <c r="AD741" s="8"/>
      <c r="AE741" s="6"/>
      <c r="AF741" s="52">
        <f t="shared" si="55"/>
        <v>121043520</v>
      </c>
      <c r="AG741" s="25">
        <f t="shared" si="56"/>
        <v>137624676</v>
      </c>
      <c r="AH741" s="52">
        <f t="shared" si="59"/>
        <v>121106880</v>
      </c>
      <c r="AI741" s="6"/>
      <c r="AJ741" s="6"/>
      <c r="AK741" s="6"/>
      <c r="AL741" s="6"/>
      <c r="AM741" s="6"/>
      <c r="AN741" s="6"/>
      <c r="AO741" s="6"/>
      <c r="AP741" s="6"/>
      <c r="AQ741" s="6"/>
      <c r="AR741" s="6"/>
    </row>
    <row r="742" spans="1:44">
      <c r="A742" s="6"/>
      <c r="B742" s="6"/>
      <c r="C742" s="6"/>
      <c r="D742" s="6"/>
      <c r="E742" s="6"/>
      <c r="F742" s="6"/>
      <c r="G742" s="11"/>
      <c r="H742" s="6"/>
      <c r="I742" s="6"/>
      <c r="J742" s="6"/>
      <c r="K742" s="7"/>
      <c r="L742" s="21" t="str">
        <f>микс!$H$11</f>
        <v>продажа под заказ</v>
      </c>
      <c r="M742" s="22"/>
      <c r="N742" s="22"/>
      <c r="O742" s="22" t="s">
        <v>138</v>
      </c>
      <c r="P742" s="23" t="str">
        <f>микс!$H$49</f>
        <v>Товары для детей</v>
      </c>
      <c r="Q742" s="21" t="s">
        <v>59</v>
      </c>
      <c r="R742" s="25">
        <v>1</v>
      </c>
      <c r="S742" s="28"/>
      <c r="T742" s="31">
        <v>42337</v>
      </c>
      <c r="U742" s="33">
        <v>3450</v>
      </c>
      <c r="V742" s="36">
        <f t="shared" si="57"/>
        <v>3450</v>
      </c>
      <c r="W742" s="28"/>
      <c r="X742" s="31">
        <v>42351</v>
      </c>
      <c r="Y742" s="33">
        <v>3835</v>
      </c>
      <c r="Z742" s="189">
        <f t="shared" si="58"/>
        <v>3835</v>
      </c>
      <c r="AA742" s="190"/>
      <c r="AB742" s="31">
        <v>42369</v>
      </c>
      <c r="AC742" s="36">
        <v>3450</v>
      </c>
      <c r="AD742" s="8"/>
      <c r="AE742" s="6"/>
      <c r="AF742" s="52">
        <f t="shared" si="55"/>
        <v>146062650</v>
      </c>
      <c r="AG742" s="25">
        <f t="shared" si="56"/>
        <v>162416085</v>
      </c>
      <c r="AH742" s="52">
        <f t="shared" si="59"/>
        <v>146173050</v>
      </c>
      <c r="AI742" s="6"/>
      <c r="AJ742" s="6"/>
      <c r="AK742" s="6"/>
      <c r="AL742" s="6"/>
      <c r="AM742" s="6"/>
      <c r="AN742" s="6"/>
      <c r="AO742" s="6"/>
      <c r="AP742" s="6"/>
      <c r="AQ742" s="6"/>
      <c r="AR742" s="6"/>
    </row>
    <row r="743" spans="1:44">
      <c r="A743" s="6"/>
      <c r="B743" s="6"/>
      <c r="C743" s="6"/>
      <c r="D743" s="6"/>
      <c r="E743" s="6"/>
      <c r="F743" s="6"/>
      <c r="G743" s="11"/>
      <c r="H743" s="6"/>
      <c r="I743" s="6"/>
      <c r="J743" s="6"/>
      <c r="K743" s="7"/>
      <c r="L743" s="21" t="str">
        <f>микс!$H$11</f>
        <v>продажа под заказ</v>
      </c>
      <c r="M743" s="22"/>
      <c r="N743" s="22"/>
      <c r="O743" s="22" t="s">
        <v>135</v>
      </c>
      <c r="P743" s="23" t="str">
        <f>микс!$H$49</f>
        <v>Товары для детей</v>
      </c>
      <c r="Q743" s="21" t="s">
        <v>115</v>
      </c>
      <c r="R743" s="25">
        <v>1</v>
      </c>
      <c r="S743" s="28"/>
      <c r="T743" s="31">
        <v>42309</v>
      </c>
      <c r="U743" s="33">
        <v>3018.71</v>
      </c>
      <c r="V743" s="36">
        <f t="shared" si="57"/>
        <v>3018.71</v>
      </c>
      <c r="W743" s="28"/>
      <c r="X743" s="31">
        <v>42315</v>
      </c>
      <c r="Y743" s="33">
        <v>3120</v>
      </c>
      <c r="Z743" s="189">
        <f t="shared" si="58"/>
        <v>3120</v>
      </c>
      <c r="AA743" s="190"/>
      <c r="AB743" s="31">
        <v>42354</v>
      </c>
      <c r="AC743" s="36">
        <v>3018.71</v>
      </c>
      <c r="AD743" s="8"/>
      <c r="AE743" s="6"/>
      <c r="AF743" s="52">
        <f t="shared" si="55"/>
        <v>127718601.39</v>
      </c>
      <c r="AG743" s="25">
        <f t="shared" si="56"/>
        <v>132022800</v>
      </c>
      <c r="AH743" s="52">
        <f t="shared" si="59"/>
        <v>127854443.34</v>
      </c>
      <c r="AI743" s="6"/>
      <c r="AJ743" s="6"/>
      <c r="AK743" s="6"/>
      <c r="AL743" s="6"/>
      <c r="AM743" s="6"/>
      <c r="AN743" s="6"/>
      <c r="AO743" s="6"/>
      <c r="AP743" s="6"/>
      <c r="AQ743" s="6"/>
      <c r="AR743" s="6"/>
    </row>
    <row r="744" spans="1:44">
      <c r="A744" s="6"/>
      <c r="B744" s="6"/>
      <c r="C744" s="6"/>
      <c r="D744" s="6"/>
      <c r="E744" s="6"/>
      <c r="F744" s="6"/>
      <c r="G744" s="11"/>
      <c r="H744" s="6"/>
      <c r="I744" s="6"/>
      <c r="J744" s="6"/>
      <c r="K744" s="7"/>
      <c r="L744" s="21" t="str">
        <f>микс!$H$11</f>
        <v>продажа под заказ</v>
      </c>
      <c r="M744" s="22"/>
      <c r="N744" s="22"/>
      <c r="O744" s="22" t="s">
        <v>135</v>
      </c>
      <c r="P744" s="23" t="str">
        <f>микс!$H$49</f>
        <v>Товары для детей</v>
      </c>
      <c r="Q744" s="21" t="s">
        <v>115</v>
      </c>
      <c r="R744" s="25">
        <v>2</v>
      </c>
      <c r="S744" s="28"/>
      <c r="T744" s="31">
        <v>42304</v>
      </c>
      <c r="U744" s="33">
        <v>2800.49</v>
      </c>
      <c r="V744" s="36">
        <f t="shared" si="57"/>
        <v>5600.98</v>
      </c>
      <c r="W744" s="28"/>
      <c r="X744" s="31">
        <v>42306</v>
      </c>
      <c r="Y744" s="33">
        <v>3500</v>
      </c>
      <c r="Z744" s="189">
        <f t="shared" si="58"/>
        <v>7000</v>
      </c>
      <c r="AA744" s="190"/>
      <c r="AB744" s="31">
        <v>42342</v>
      </c>
      <c r="AC744" s="36">
        <v>5600.98</v>
      </c>
      <c r="AD744" s="8"/>
      <c r="AE744" s="6"/>
      <c r="AF744" s="52">
        <f t="shared" si="55"/>
        <v>236943857.91999999</v>
      </c>
      <c r="AG744" s="25">
        <f t="shared" si="56"/>
        <v>296142000</v>
      </c>
      <c r="AH744" s="52">
        <f t="shared" si="59"/>
        <v>237156695.15999997</v>
      </c>
      <c r="AI744" s="6"/>
      <c r="AJ744" s="6"/>
      <c r="AK744" s="6"/>
      <c r="AL744" s="6"/>
      <c r="AM744" s="6"/>
      <c r="AN744" s="6"/>
      <c r="AO744" s="6"/>
      <c r="AP744" s="6"/>
      <c r="AQ744" s="6"/>
      <c r="AR744" s="6"/>
    </row>
    <row r="745" spans="1:44">
      <c r="A745" s="6"/>
      <c r="B745" s="6"/>
      <c r="C745" s="6"/>
      <c r="D745" s="6"/>
      <c r="E745" s="6"/>
      <c r="F745" s="6"/>
      <c r="G745" s="11"/>
      <c r="H745" s="6"/>
      <c r="I745" s="6"/>
      <c r="J745" s="6"/>
      <c r="K745" s="7"/>
      <c r="L745" s="21" t="str">
        <f>микс!$H$11</f>
        <v>продажа под заказ</v>
      </c>
      <c r="M745" s="22"/>
      <c r="N745" s="22"/>
      <c r="O745" s="22" t="s">
        <v>135</v>
      </c>
      <c r="P745" s="23" t="str">
        <f>микс!$H$49</f>
        <v>Товары для детей</v>
      </c>
      <c r="Q745" s="21" t="s">
        <v>115</v>
      </c>
      <c r="R745" s="25">
        <v>1</v>
      </c>
      <c r="S745" s="28"/>
      <c r="T745" s="31">
        <v>42338</v>
      </c>
      <c r="U745" s="33">
        <v>3018.71</v>
      </c>
      <c r="V745" s="36">
        <f t="shared" si="57"/>
        <v>3018.71</v>
      </c>
      <c r="W745" s="28"/>
      <c r="X745" s="31">
        <v>42341</v>
      </c>
      <c r="Y745" s="33">
        <v>3480</v>
      </c>
      <c r="Z745" s="189">
        <f t="shared" si="58"/>
        <v>3480</v>
      </c>
      <c r="AA745" s="190"/>
      <c r="AB745" s="31">
        <v>42350</v>
      </c>
      <c r="AC745" s="36">
        <v>3018.71</v>
      </c>
      <c r="AD745" s="8"/>
      <c r="AE745" s="6"/>
      <c r="AF745" s="52">
        <f t="shared" si="55"/>
        <v>127806143.98</v>
      </c>
      <c r="AG745" s="25">
        <f t="shared" si="56"/>
        <v>147346680</v>
      </c>
      <c r="AH745" s="52">
        <f t="shared" si="59"/>
        <v>127842368.5</v>
      </c>
      <c r="AI745" s="6"/>
      <c r="AJ745" s="6"/>
      <c r="AK745" s="6"/>
      <c r="AL745" s="6"/>
      <c r="AM745" s="6"/>
      <c r="AN745" s="6"/>
      <c r="AO745" s="6"/>
      <c r="AP745" s="6"/>
      <c r="AQ745" s="6"/>
      <c r="AR745" s="6"/>
    </row>
    <row r="746" spans="1:44">
      <c r="A746" s="6"/>
      <c r="B746" s="6"/>
      <c r="C746" s="6"/>
      <c r="D746" s="6"/>
      <c r="E746" s="6"/>
      <c r="F746" s="6"/>
      <c r="G746" s="11"/>
      <c r="H746" s="6"/>
      <c r="I746" s="6"/>
      <c r="J746" s="6"/>
      <c r="K746" s="7"/>
      <c r="L746" s="21" t="str">
        <f>микс!$H$10</f>
        <v>продажа со склада</v>
      </c>
      <c r="M746" s="22"/>
      <c r="N746" s="22"/>
      <c r="O746" s="22" t="s">
        <v>144</v>
      </c>
      <c r="P746" s="23" t="str">
        <f>микс!$H$48</f>
        <v>Спортивный инвентарь</v>
      </c>
      <c r="Q746" s="21" t="s">
        <v>80</v>
      </c>
      <c r="R746" s="25">
        <v>1</v>
      </c>
      <c r="S746" s="28"/>
      <c r="T746" s="31">
        <v>42258</v>
      </c>
      <c r="U746" s="33">
        <v>1967.76</v>
      </c>
      <c r="V746" s="36">
        <f t="shared" si="57"/>
        <v>1967.76</v>
      </c>
      <c r="W746" s="28"/>
      <c r="X746" s="31">
        <v>42318</v>
      </c>
      <c r="Y746" s="33">
        <v>2220</v>
      </c>
      <c r="Z746" s="189">
        <f t="shared" si="58"/>
        <v>2220</v>
      </c>
      <c r="AA746" s="190"/>
      <c r="AB746" s="31"/>
      <c r="AC746" s="36"/>
      <c r="AD746" s="8"/>
      <c r="AE746" s="6"/>
      <c r="AF746" s="52">
        <f t="shared" si="55"/>
        <v>83153602.079999998</v>
      </c>
      <c r="AG746" s="25">
        <f t="shared" si="56"/>
        <v>93945960</v>
      </c>
      <c r="AH746" s="52">
        <f t="shared" si="59"/>
        <v>0</v>
      </c>
      <c r="AI746" s="6"/>
      <c r="AJ746" s="6"/>
      <c r="AK746" s="6"/>
      <c r="AL746" s="6"/>
      <c r="AM746" s="6"/>
      <c r="AN746" s="6"/>
      <c r="AO746" s="6"/>
      <c r="AP746" s="6"/>
      <c r="AQ746" s="6"/>
      <c r="AR746" s="6"/>
    </row>
    <row r="747" spans="1:44">
      <c r="A747" s="6"/>
      <c r="B747" s="6"/>
      <c r="C747" s="6"/>
      <c r="D747" s="6"/>
      <c r="E747" s="6"/>
      <c r="F747" s="6"/>
      <c r="G747" s="11"/>
      <c r="H747" s="6"/>
      <c r="I747" s="6"/>
      <c r="J747" s="6"/>
      <c r="K747" s="7"/>
      <c r="L747" s="21" t="str">
        <f>микс!$H$10</f>
        <v>продажа со склада</v>
      </c>
      <c r="M747" s="22"/>
      <c r="N747" s="22"/>
      <c r="O747" s="22" t="s">
        <v>144</v>
      </c>
      <c r="P747" s="23" t="str">
        <f>микс!$H$48</f>
        <v>Спортивный инвентарь</v>
      </c>
      <c r="Q747" s="21" t="s">
        <v>80</v>
      </c>
      <c r="R747" s="25">
        <v>1</v>
      </c>
      <c r="S747" s="28"/>
      <c r="T747" s="31">
        <v>42259</v>
      </c>
      <c r="U747" s="33">
        <v>1967.76</v>
      </c>
      <c r="V747" s="36">
        <f t="shared" si="57"/>
        <v>1967.76</v>
      </c>
      <c r="W747" s="28"/>
      <c r="X747" s="31">
        <v>42315</v>
      </c>
      <c r="Y747" s="33">
        <v>2220</v>
      </c>
      <c r="Z747" s="189">
        <f t="shared" si="58"/>
        <v>2220</v>
      </c>
      <c r="AA747" s="190"/>
      <c r="AB747" s="31">
        <v>42279</v>
      </c>
      <c r="AC747" s="36">
        <v>1967.76</v>
      </c>
      <c r="AD747" s="8"/>
      <c r="AE747" s="6"/>
      <c r="AF747" s="52">
        <f t="shared" si="55"/>
        <v>83155569.840000004</v>
      </c>
      <c r="AG747" s="25">
        <f t="shared" si="56"/>
        <v>93939300</v>
      </c>
      <c r="AH747" s="52">
        <f t="shared" si="59"/>
        <v>83194925.040000007</v>
      </c>
      <c r="AI747" s="6"/>
      <c r="AJ747" s="6"/>
      <c r="AK747" s="6"/>
      <c r="AL747" s="6"/>
      <c r="AM747" s="6"/>
      <c r="AN747" s="6"/>
      <c r="AO747" s="6"/>
      <c r="AP747" s="6"/>
      <c r="AQ747" s="6"/>
      <c r="AR747" s="6"/>
    </row>
    <row r="748" spans="1:44">
      <c r="A748" s="6"/>
      <c r="B748" s="6"/>
      <c r="C748" s="6"/>
      <c r="D748" s="6"/>
      <c r="E748" s="6"/>
      <c r="F748" s="6"/>
      <c r="G748" s="11"/>
      <c r="H748" s="6"/>
      <c r="I748" s="6"/>
      <c r="J748" s="6"/>
      <c r="K748" s="7"/>
      <c r="L748" s="21" t="str">
        <f>микс!$H$10</f>
        <v>продажа со склада</v>
      </c>
      <c r="M748" s="22"/>
      <c r="N748" s="22"/>
      <c r="O748" s="22" t="s">
        <v>144</v>
      </c>
      <c r="P748" s="23" t="str">
        <f>микс!$H$48</f>
        <v>Спортивный инвентарь</v>
      </c>
      <c r="Q748" s="21" t="s">
        <v>80</v>
      </c>
      <c r="R748" s="25">
        <v>1</v>
      </c>
      <c r="S748" s="28"/>
      <c r="T748" s="31">
        <v>42282</v>
      </c>
      <c r="U748" s="33">
        <v>1967.76</v>
      </c>
      <c r="V748" s="36">
        <f t="shared" si="57"/>
        <v>1967.76</v>
      </c>
      <c r="W748" s="28"/>
      <c r="X748" s="31">
        <v>42334</v>
      </c>
      <c r="Y748" s="33">
        <v>2300</v>
      </c>
      <c r="Z748" s="189">
        <f t="shared" si="58"/>
        <v>2300</v>
      </c>
      <c r="AA748" s="190"/>
      <c r="AB748" s="31"/>
      <c r="AC748" s="36"/>
      <c r="AD748" s="8"/>
      <c r="AE748" s="6"/>
      <c r="AF748" s="52">
        <f t="shared" si="55"/>
        <v>83200828.319999993</v>
      </c>
      <c r="AG748" s="25">
        <f t="shared" si="56"/>
        <v>97368200</v>
      </c>
      <c r="AH748" s="52">
        <f t="shared" si="59"/>
        <v>0</v>
      </c>
      <c r="AI748" s="6"/>
      <c r="AJ748" s="6"/>
      <c r="AK748" s="6"/>
      <c r="AL748" s="6"/>
      <c r="AM748" s="6"/>
      <c r="AN748" s="6"/>
      <c r="AO748" s="6"/>
      <c r="AP748" s="6"/>
      <c r="AQ748" s="6"/>
      <c r="AR748" s="6"/>
    </row>
    <row r="749" spans="1:44">
      <c r="A749" s="6"/>
      <c r="B749" s="6"/>
      <c r="C749" s="6"/>
      <c r="D749" s="6"/>
      <c r="E749" s="6"/>
      <c r="F749" s="6"/>
      <c r="G749" s="11"/>
      <c r="H749" s="6"/>
      <c r="I749" s="6"/>
      <c r="J749" s="6"/>
      <c r="K749" s="7"/>
      <c r="L749" s="21" t="str">
        <f>микс!$H$10</f>
        <v>продажа со склада</v>
      </c>
      <c r="M749" s="22"/>
      <c r="N749" s="22"/>
      <c r="O749" s="22" t="s">
        <v>144</v>
      </c>
      <c r="P749" s="23" t="str">
        <f>микс!$H$48</f>
        <v>Спортивный инвентарь</v>
      </c>
      <c r="Q749" s="21" t="s">
        <v>80</v>
      </c>
      <c r="R749" s="25">
        <v>1</v>
      </c>
      <c r="S749" s="28"/>
      <c r="T749" s="31">
        <v>42276</v>
      </c>
      <c r="U749" s="33">
        <v>1967.76</v>
      </c>
      <c r="V749" s="36">
        <f t="shared" si="57"/>
        <v>1967.76</v>
      </c>
      <c r="W749" s="28"/>
      <c r="X749" s="31">
        <v>42328</v>
      </c>
      <c r="Y749" s="33">
        <v>2396</v>
      </c>
      <c r="Z749" s="189">
        <f t="shared" si="58"/>
        <v>2396</v>
      </c>
      <c r="AA749" s="190"/>
      <c r="AB749" s="31">
        <v>42306</v>
      </c>
      <c r="AC749" s="36">
        <v>1967.76</v>
      </c>
      <c r="AD749" s="8"/>
      <c r="AE749" s="6"/>
      <c r="AF749" s="52">
        <f t="shared" si="55"/>
        <v>83189021.760000005</v>
      </c>
      <c r="AG749" s="25">
        <f t="shared" si="56"/>
        <v>101417888</v>
      </c>
      <c r="AH749" s="52">
        <f t="shared" si="59"/>
        <v>83248054.560000002</v>
      </c>
      <c r="AI749" s="6"/>
      <c r="AJ749" s="6"/>
      <c r="AK749" s="6"/>
      <c r="AL749" s="6"/>
      <c r="AM749" s="6"/>
      <c r="AN749" s="6"/>
      <c r="AO749" s="6"/>
      <c r="AP749" s="6"/>
      <c r="AQ749" s="6"/>
      <c r="AR749" s="6"/>
    </row>
    <row r="750" spans="1:44">
      <c r="A750" s="6"/>
      <c r="B750" s="6"/>
      <c r="C750" s="6"/>
      <c r="D750" s="6"/>
      <c r="E750" s="6"/>
      <c r="F750" s="6"/>
      <c r="G750" s="11"/>
      <c r="H750" s="6"/>
      <c r="I750" s="6"/>
      <c r="J750" s="6"/>
      <c r="K750" s="7"/>
      <c r="L750" s="21" t="str">
        <f>микс!$H$10</f>
        <v>продажа со склада</v>
      </c>
      <c r="M750" s="22"/>
      <c r="N750" s="22"/>
      <c r="O750" s="22" t="s">
        <v>135</v>
      </c>
      <c r="P750" s="23" t="str">
        <f>микс!$H$49</f>
        <v>Товары для детей</v>
      </c>
      <c r="Q750" s="21" t="s">
        <v>105</v>
      </c>
      <c r="R750" s="25">
        <v>1</v>
      </c>
      <c r="S750" s="28"/>
      <c r="T750" s="31">
        <v>42250</v>
      </c>
      <c r="U750" s="33">
        <v>602.59</v>
      </c>
      <c r="V750" s="36">
        <f t="shared" si="57"/>
        <v>602.59</v>
      </c>
      <c r="W750" s="28"/>
      <c r="X750" s="31">
        <v>42305</v>
      </c>
      <c r="Y750" s="33">
        <v>1066</v>
      </c>
      <c r="Z750" s="189">
        <f t="shared" si="58"/>
        <v>1066</v>
      </c>
      <c r="AA750" s="190"/>
      <c r="AB750" s="31">
        <v>42295</v>
      </c>
      <c r="AC750" s="36">
        <v>602.59</v>
      </c>
      <c r="AD750" s="8"/>
      <c r="AE750" s="6"/>
      <c r="AF750" s="52">
        <f t="shared" si="55"/>
        <v>25459427.5</v>
      </c>
      <c r="AG750" s="25">
        <f t="shared" si="56"/>
        <v>45097130</v>
      </c>
      <c r="AH750" s="52">
        <f t="shared" si="59"/>
        <v>25486544.050000001</v>
      </c>
      <c r="AI750" s="6"/>
      <c r="AJ750" s="6"/>
      <c r="AK750" s="6"/>
      <c r="AL750" s="6"/>
      <c r="AM750" s="6"/>
      <c r="AN750" s="6"/>
      <c r="AO750" s="6"/>
      <c r="AP750" s="6"/>
      <c r="AQ750" s="6"/>
      <c r="AR750" s="6"/>
    </row>
    <row r="751" spans="1:44">
      <c r="A751" s="6"/>
      <c r="B751" s="6"/>
      <c r="C751" s="6"/>
      <c r="D751" s="6"/>
      <c r="E751" s="6"/>
      <c r="F751" s="6"/>
      <c r="G751" s="11"/>
      <c r="H751" s="6"/>
      <c r="I751" s="6"/>
      <c r="J751" s="6"/>
      <c r="K751" s="7"/>
      <c r="L751" s="21" t="str">
        <f>микс!$H$11</f>
        <v>продажа под заказ</v>
      </c>
      <c r="M751" s="22"/>
      <c r="N751" s="22"/>
      <c r="O751" s="22" t="s">
        <v>139</v>
      </c>
      <c r="P751" s="23" t="str">
        <f>микс!$H$49</f>
        <v>Товары для детей</v>
      </c>
      <c r="Q751" s="21" t="s">
        <v>59</v>
      </c>
      <c r="R751" s="25">
        <v>1</v>
      </c>
      <c r="S751" s="28"/>
      <c r="T751" s="31">
        <v>42331</v>
      </c>
      <c r="U751" s="33">
        <v>8631</v>
      </c>
      <c r="V751" s="36">
        <f t="shared" si="57"/>
        <v>8631</v>
      </c>
      <c r="W751" s="28"/>
      <c r="X751" s="31">
        <v>42336</v>
      </c>
      <c r="Y751" s="33">
        <v>8990</v>
      </c>
      <c r="Z751" s="189">
        <f t="shared" si="58"/>
        <v>8990</v>
      </c>
      <c r="AA751" s="190"/>
      <c r="AB751" s="31"/>
      <c r="AC751" s="36"/>
      <c r="AD751" s="8"/>
      <c r="AE751" s="6"/>
      <c r="AF751" s="52">
        <f t="shared" si="55"/>
        <v>365358861</v>
      </c>
      <c r="AG751" s="25">
        <f t="shared" si="56"/>
        <v>380600640</v>
      </c>
      <c r="AH751" s="52">
        <f t="shared" si="59"/>
        <v>0</v>
      </c>
      <c r="AI751" s="6"/>
      <c r="AJ751" s="6"/>
      <c r="AK751" s="6"/>
      <c r="AL751" s="6"/>
      <c r="AM751" s="6"/>
      <c r="AN751" s="6"/>
      <c r="AO751" s="6"/>
      <c r="AP751" s="6"/>
      <c r="AQ751" s="6"/>
      <c r="AR751" s="6"/>
    </row>
    <row r="752" spans="1:44">
      <c r="A752" s="6"/>
      <c r="B752" s="6"/>
      <c r="C752" s="6"/>
      <c r="D752" s="6"/>
      <c r="E752" s="6"/>
      <c r="F752" s="6"/>
      <c r="G752" s="11"/>
      <c r="H752" s="6"/>
      <c r="I752" s="6"/>
      <c r="J752" s="6"/>
      <c r="K752" s="7"/>
      <c r="L752" s="21" t="str">
        <f>микс!$H$11</f>
        <v>продажа под заказ</v>
      </c>
      <c r="M752" s="22"/>
      <c r="N752" s="22"/>
      <c r="O752" s="22" t="s">
        <v>139</v>
      </c>
      <c r="P752" s="23" t="str">
        <f>микс!$H$49</f>
        <v>Товары для детей</v>
      </c>
      <c r="Q752" s="21" t="s">
        <v>59</v>
      </c>
      <c r="R752" s="25">
        <v>1</v>
      </c>
      <c r="S752" s="28"/>
      <c r="T752" s="31">
        <v>42335</v>
      </c>
      <c r="U752" s="33">
        <v>5753.6</v>
      </c>
      <c r="V752" s="36">
        <f t="shared" si="57"/>
        <v>5753.6</v>
      </c>
      <c r="W752" s="28"/>
      <c r="X752" s="31">
        <v>42341</v>
      </c>
      <c r="Y752" s="33">
        <v>6478</v>
      </c>
      <c r="Z752" s="189">
        <f t="shared" si="58"/>
        <v>6478</v>
      </c>
      <c r="AA752" s="190"/>
      <c r="AB752" s="31"/>
      <c r="AC752" s="36"/>
      <c r="AD752" s="8"/>
      <c r="AE752" s="6"/>
      <c r="AF752" s="52">
        <f t="shared" si="55"/>
        <v>243578656.00000003</v>
      </c>
      <c r="AG752" s="25">
        <f t="shared" si="56"/>
        <v>274284998</v>
      </c>
      <c r="AH752" s="52">
        <f t="shared" si="59"/>
        <v>0</v>
      </c>
      <c r="AI752" s="6"/>
      <c r="AJ752" s="6"/>
      <c r="AK752" s="6"/>
      <c r="AL752" s="6"/>
      <c r="AM752" s="6"/>
      <c r="AN752" s="6"/>
      <c r="AO752" s="6"/>
      <c r="AP752" s="6"/>
      <c r="AQ752" s="6"/>
      <c r="AR752" s="6"/>
    </row>
    <row r="753" spans="1:44">
      <c r="A753" s="6"/>
      <c r="B753" s="6"/>
      <c r="C753" s="6"/>
      <c r="D753" s="6"/>
      <c r="E753" s="6"/>
      <c r="F753" s="6"/>
      <c r="G753" s="11"/>
      <c r="H753" s="6"/>
      <c r="I753" s="6"/>
      <c r="J753" s="6"/>
      <c r="K753" s="7"/>
      <c r="L753" s="21" t="str">
        <f>микс!$H$10</f>
        <v>продажа со склада</v>
      </c>
      <c r="M753" s="22"/>
      <c r="N753" s="22"/>
      <c r="O753" s="22" t="s">
        <v>144</v>
      </c>
      <c r="P753" s="23" t="str">
        <f>микс!$H$48</f>
        <v>Спортивный инвентарь</v>
      </c>
      <c r="Q753" s="21" t="s">
        <v>116</v>
      </c>
      <c r="R753" s="25">
        <v>1</v>
      </c>
      <c r="S753" s="28"/>
      <c r="T753" s="31">
        <v>42084</v>
      </c>
      <c r="U753" s="33">
        <v>3861.36</v>
      </c>
      <c r="V753" s="36">
        <f t="shared" si="57"/>
        <v>3861.36</v>
      </c>
      <c r="W753" s="28"/>
      <c r="X753" s="31">
        <v>42336</v>
      </c>
      <c r="Y753" s="33">
        <v>4316</v>
      </c>
      <c r="Z753" s="189">
        <f t="shared" si="58"/>
        <v>4316</v>
      </c>
      <c r="AA753" s="190"/>
      <c r="AB753" s="31">
        <v>42144</v>
      </c>
      <c r="AC753" s="36">
        <v>3861.36</v>
      </c>
      <c r="AD753" s="8"/>
      <c r="AE753" s="6"/>
      <c r="AF753" s="52">
        <f t="shared" si="55"/>
        <v>162501474.24000001</v>
      </c>
      <c r="AG753" s="25">
        <f t="shared" si="56"/>
        <v>182722176</v>
      </c>
      <c r="AH753" s="52">
        <f t="shared" si="59"/>
        <v>162733155.84</v>
      </c>
      <c r="AI753" s="6"/>
      <c r="AJ753" s="6"/>
      <c r="AK753" s="6"/>
      <c r="AL753" s="6"/>
      <c r="AM753" s="6"/>
      <c r="AN753" s="6"/>
      <c r="AO753" s="6"/>
      <c r="AP753" s="6"/>
      <c r="AQ753" s="6"/>
      <c r="AR753" s="6"/>
    </row>
    <row r="754" spans="1:44">
      <c r="A754" s="6"/>
      <c r="B754" s="6"/>
      <c r="C754" s="6"/>
      <c r="D754" s="6"/>
      <c r="E754" s="6"/>
      <c r="F754" s="6"/>
      <c r="G754" s="11"/>
      <c r="H754" s="6"/>
      <c r="I754" s="6"/>
      <c r="J754" s="6"/>
      <c r="K754" s="7"/>
      <c r="L754" s="21" t="str">
        <f>микс!$H$10</f>
        <v>продажа со склада</v>
      </c>
      <c r="M754" s="22"/>
      <c r="N754" s="22"/>
      <c r="O754" s="22" t="s">
        <v>144</v>
      </c>
      <c r="P754" s="23" t="str">
        <f>микс!$H$48</f>
        <v>Спортивный инвентарь</v>
      </c>
      <c r="Q754" s="21" t="s">
        <v>83</v>
      </c>
      <c r="R754" s="25">
        <v>1</v>
      </c>
      <c r="S754" s="28"/>
      <c r="T754" s="31">
        <v>42048</v>
      </c>
      <c r="U754" s="33">
        <v>1731.72</v>
      </c>
      <c r="V754" s="36">
        <f t="shared" si="57"/>
        <v>1731.72</v>
      </c>
      <c r="W754" s="28"/>
      <c r="X754" s="31">
        <v>42299</v>
      </c>
      <c r="Y754" s="33">
        <v>1956</v>
      </c>
      <c r="Z754" s="189">
        <f t="shared" si="58"/>
        <v>1956</v>
      </c>
      <c r="AA754" s="190"/>
      <c r="AB754" s="31">
        <v>42078</v>
      </c>
      <c r="AC754" s="36">
        <v>1731.72</v>
      </c>
      <c r="AD754" s="8"/>
      <c r="AE754" s="6"/>
      <c r="AF754" s="52">
        <f t="shared" si="55"/>
        <v>72815362.560000002</v>
      </c>
      <c r="AG754" s="25">
        <f t="shared" si="56"/>
        <v>82736844</v>
      </c>
      <c r="AH754" s="52">
        <f t="shared" si="59"/>
        <v>72867314.159999996</v>
      </c>
      <c r="AI754" s="6"/>
      <c r="AJ754" s="6"/>
      <c r="AK754" s="6"/>
      <c r="AL754" s="6"/>
      <c r="AM754" s="6"/>
      <c r="AN754" s="6"/>
      <c r="AO754" s="6"/>
      <c r="AP754" s="6"/>
      <c r="AQ754" s="6"/>
      <c r="AR754" s="6"/>
    </row>
    <row r="755" spans="1:44">
      <c r="A755" s="6"/>
      <c r="B755" s="6"/>
      <c r="C755" s="6"/>
      <c r="D755" s="6"/>
      <c r="E755" s="6"/>
      <c r="F755" s="6"/>
      <c r="G755" s="11"/>
      <c r="H755" s="6"/>
      <c r="I755" s="6"/>
      <c r="J755" s="6"/>
      <c r="K755" s="7"/>
      <c r="L755" s="21" t="str">
        <f>микс!$H$11</f>
        <v>продажа под заказ</v>
      </c>
      <c r="M755" s="22"/>
      <c r="N755" s="22"/>
      <c r="O755" s="22" t="s">
        <v>144</v>
      </c>
      <c r="P755" s="23" t="str">
        <f>микс!$H$48</f>
        <v>Спортивный инвентарь</v>
      </c>
      <c r="Q755" s="21" t="s">
        <v>83</v>
      </c>
      <c r="R755" s="25">
        <v>1</v>
      </c>
      <c r="S755" s="28"/>
      <c r="T755" s="31">
        <v>42294</v>
      </c>
      <c r="U755" s="33">
        <v>1731.72</v>
      </c>
      <c r="V755" s="36">
        <f t="shared" si="57"/>
        <v>1731.72</v>
      </c>
      <c r="W755" s="28"/>
      <c r="X755" s="31">
        <v>42299</v>
      </c>
      <c r="Y755" s="33">
        <v>1956</v>
      </c>
      <c r="Z755" s="189">
        <f t="shared" si="58"/>
        <v>1956</v>
      </c>
      <c r="AA755" s="190"/>
      <c r="AB755" s="31">
        <v>42314</v>
      </c>
      <c r="AC755" s="36">
        <v>1731.72</v>
      </c>
      <c r="AD755" s="8"/>
      <c r="AE755" s="6"/>
      <c r="AF755" s="52">
        <f t="shared" si="55"/>
        <v>73241365.680000007</v>
      </c>
      <c r="AG755" s="25">
        <f t="shared" si="56"/>
        <v>82736844</v>
      </c>
      <c r="AH755" s="52">
        <f t="shared" si="59"/>
        <v>73276000.079999998</v>
      </c>
      <c r="AI755" s="6"/>
      <c r="AJ755" s="6"/>
      <c r="AK755" s="6"/>
      <c r="AL755" s="6"/>
      <c r="AM755" s="6"/>
      <c r="AN755" s="6"/>
      <c r="AO755" s="6"/>
      <c r="AP755" s="6"/>
      <c r="AQ755" s="6"/>
      <c r="AR755" s="6"/>
    </row>
    <row r="756" spans="1:44">
      <c r="A756" s="6"/>
      <c r="B756" s="6"/>
      <c r="C756" s="6"/>
      <c r="D756" s="6"/>
      <c r="E756" s="6"/>
      <c r="F756" s="6"/>
      <c r="G756" s="11"/>
      <c r="H756" s="6"/>
      <c r="I756" s="6"/>
      <c r="J756" s="6"/>
      <c r="K756" s="7"/>
      <c r="L756" s="21" t="str">
        <f>микс!$H$11</f>
        <v>продажа под заказ</v>
      </c>
      <c r="M756" s="22"/>
      <c r="N756" s="22"/>
      <c r="O756" s="22" t="s">
        <v>138</v>
      </c>
      <c r="P756" s="23" t="str">
        <f>микс!$H$49</f>
        <v>Товары для детей</v>
      </c>
      <c r="Q756" s="21" t="s">
        <v>63</v>
      </c>
      <c r="R756" s="25">
        <v>1</v>
      </c>
      <c r="S756" s="28"/>
      <c r="T756" s="31">
        <v>42300</v>
      </c>
      <c r="U756" s="33">
        <v>5420</v>
      </c>
      <c r="V756" s="36">
        <f t="shared" si="57"/>
        <v>5420</v>
      </c>
      <c r="W756" s="28"/>
      <c r="X756" s="31">
        <v>42302</v>
      </c>
      <c r="Y756" s="33">
        <v>5710</v>
      </c>
      <c r="Z756" s="189">
        <f t="shared" si="58"/>
        <v>5710</v>
      </c>
      <c r="AA756" s="190"/>
      <c r="AB756" s="31"/>
      <c r="AC756" s="36"/>
      <c r="AD756" s="8"/>
      <c r="AE756" s="6"/>
      <c r="AF756" s="52">
        <f t="shared" si="55"/>
        <v>229266000</v>
      </c>
      <c r="AG756" s="25">
        <f t="shared" si="56"/>
        <v>241544420</v>
      </c>
      <c r="AH756" s="52">
        <f t="shared" si="59"/>
        <v>0</v>
      </c>
      <c r="AI756" s="6"/>
      <c r="AJ756" s="6"/>
      <c r="AK756" s="6"/>
      <c r="AL756" s="6"/>
      <c r="AM756" s="6"/>
      <c r="AN756" s="6"/>
      <c r="AO756" s="6"/>
      <c r="AP756" s="6"/>
      <c r="AQ756" s="6"/>
      <c r="AR756" s="6"/>
    </row>
    <row r="757" spans="1:44">
      <c r="A757" s="6"/>
      <c r="B757" s="6"/>
      <c r="C757" s="6"/>
      <c r="D757" s="6"/>
      <c r="E757" s="6"/>
      <c r="F757" s="6"/>
      <c r="G757" s="11"/>
      <c r="H757" s="6"/>
      <c r="I757" s="6"/>
      <c r="J757" s="6"/>
      <c r="K757" s="7"/>
      <c r="L757" s="21" t="str">
        <f>микс!$H$10</f>
        <v>продажа со склада</v>
      </c>
      <c r="M757" s="22"/>
      <c r="N757" s="22"/>
      <c r="O757" s="22" t="s">
        <v>138</v>
      </c>
      <c r="P757" s="23" t="str">
        <f>микс!$H$49</f>
        <v>Товары для детей</v>
      </c>
      <c r="Q757" s="21" t="s">
        <v>63</v>
      </c>
      <c r="R757" s="25">
        <v>1</v>
      </c>
      <c r="S757" s="28"/>
      <c r="T757" s="31">
        <v>42050</v>
      </c>
      <c r="U757" s="33">
        <v>3339.15</v>
      </c>
      <c r="V757" s="36">
        <f t="shared" si="57"/>
        <v>3339.15</v>
      </c>
      <c r="W757" s="28"/>
      <c r="X757" s="31">
        <v>42306</v>
      </c>
      <c r="Y757" s="33">
        <v>3920</v>
      </c>
      <c r="Z757" s="189">
        <f t="shared" si="58"/>
        <v>3920</v>
      </c>
      <c r="AA757" s="190"/>
      <c r="AB757" s="31">
        <v>42060</v>
      </c>
      <c r="AC757" s="36">
        <v>3339.15</v>
      </c>
      <c r="AD757" s="8"/>
      <c r="AE757" s="6"/>
      <c r="AF757" s="52">
        <f t="shared" si="55"/>
        <v>140411257.5</v>
      </c>
      <c r="AG757" s="25">
        <f t="shared" si="56"/>
        <v>165839520</v>
      </c>
      <c r="AH757" s="52">
        <f t="shared" si="59"/>
        <v>140444649</v>
      </c>
      <c r="AI757" s="6"/>
      <c r="AJ757" s="6"/>
      <c r="AK757" s="6"/>
      <c r="AL757" s="6"/>
      <c r="AM757" s="6"/>
      <c r="AN757" s="6"/>
      <c r="AO757" s="6"/>
      <c r="AP757" s="6"/>
      <c r="AQ757" s="6"/>
      <c r="AR757" s="6"/>
    </row>
    <row r="758" spans="1:44">
      <c r="A758" s="6"/>
      <c r="B758" s="6"/>
      <c r="C758" s="6"/>
      <c r="D758" s="6"/>
      <c r="E758" s="6"/>
      <c r="F758" s="6"/>
      <c r="G758" s="11"/>
      <c r="H758" s="6"/>
      <c r="I758" s="6"/>
      <c r="J758" s="6"/>
      <c r="K758" s="7"/>
      <c r="L758" s="21" t="str">
        <f>микс!$H$11</f>
        <v>продажа под заказ</v>
      </c>
      <c r="M758" s="22"/>
      <c r="N758" s="22"/>
      <c r="O758" s="22" t="s">
        <v>138</v>
      </c>
      <c r="P758" s="23" t="str">
        <f>микс!$H$49</f>
        <v>Товары для детей</v>
      </c>
      <c r="Q758" s="21" t="s">
        <v>92</v>
      </c>
      <c r="R758" s="25">
        <v>1</v>
      </c>
      <c r="S758" s="28"/>
      <c r="T758" s="31">
        <v>42324</v>
      </c>
      <c r="U758" s="33">
        <v>954</v>
      </c>
      <c r="V758" s="36">
        <f t="shared" si="57"/>
        <v>954</v>
      </c>
      <c r="W758" s="28"/>
      <c r="X758" s="31">
        <v>42326</v>
      </c>
      <c r="Y758" s="33">
        <v>1240</v>
      </c>
      <c r="Z758" s="189">
        <f t="shared" si="58"/>
        <v>1240</v>
      </c>
      <c r="AA758" s="190"/>
      <c r="AB758" s="31">
        <v>42354</v>
      </c>
      <c r="AC758" s="36">
        <v>954</v>
      </c>
      <c r="AD758" s="8"/>
      <c r="AE758" s="6"/>
      <c r="AF758" s="52">
        <f t="shared" si="55"/>
        <v>40377096</v>
      </c>
      <c r="AG758" s="25">
        <f t="shared" si="56"/>
        <v>52484240</v>
      </c>
      <c r="AH758" s="52">
        <f t="shared" si="59"/>
        <v>40405716</v>
      </c>
      <c r="AI758" s="6"/>
      <c r="AJ758" s="6"/>
      <c r="AK758" s="6"/>
      <c r="AL758" s="6"/>
      <c r="AM758" s="6"/>
      <c r="AN758" s="6"/>
      <c r="AO758" s="6"/>
      <c r="AP758" s="6"/>
      <c r="AQ758" s="6"/>
      <c r="AR758" s="6"/>
    </row>
    <row r="759" spans="1:44">
      <c r="A759" s="6"/>
      <c r="B759" s="6"/>
      <c r="C759" s="6"/>
      <c r="D759" s="6"/>
      <c r="E759" s="6"/>
      <c r="F759" s="6"/>
      <c r="G759" s="11"/>
      <c r="H759" s="6"/>
      <c r="I759" s="6"/>
      <c r="J759" s="6"/>
      <c r="K759" s="7"/>
      <c r="L759" s="21" t="str">
        <f>микс!$H$10</f>
        <v>продажа со склада</v>
      </c>
      <c r="M759" s="22"/>
      <c r="N759" s="22"/>
      <c r="O759" s="22" t="s">
        <v>138</v>
      </c>
      <c r="P759" s="23" t="str">
        <f>микс!$H$49</f>
        <v>Товары для детей</v>
      </c>
      <c r="Q759" s="21" t="s">
        <v>117</v>
      </c>
      <c r="R759" s="25">
        <v>1</v>
      </c>
      <c r="S759" s="28"/>
      <c r="T759" s="31">
        <v>42048</v>
      </c>
      <c r="U759" s="33">
        <v>3720</v>
      </c>
      <c r="V759" s="36">
        <f t="shared" si="57"/>
        <v>3720</v>
      </c>
      <c r="W759" s="28"/>
      <c r="X759" s="31">
        <v>42299</v>
      </c>
      <c r="Y759" s="33">
        <v>3990</v>
      </c>
      <c r="Z759" s="189">
        <f t="shared" si="58"/>
        <v>3990</v>
      </c>
      <c r="AA759" s="190"/>
      <c r="AB759" s="31">
        <v>42069</v>
      </c>
      <c r="AC759" s="36">
        <v>3720</v>
      </c>
      <c r="AD759" s="8"/>
      <c r="AE759" s="6"/>
      <c r="AF759" s="52">
        <f t="shared" si="55"/>
        <v>156418560</v>
      </c>
      <c r="AG759" s="25">
        <f t="shared" si="56"/>
        <v>168773010</v>
      </c>
      <c r="AH759" s="52">
        <f t="shared" si="59"/>
        <v>156496680</v>
      </c>
      <c r="AI759" s="6"/>
      <c r="AJ759" s="6"/>
      <c r="AK759" s="6"/>
      <c r="AL759" s="6"/>
      <c r="AM759" s="6"/>
      <c r="AN759" s="6"/>
      <c r="AO759" s="6"/>
      <c r="AP759" s="6"/>
      <c r="AQ759" s="6"/>
      <c r="AR759" s="6"/>
    </row>
    <row r="760" spans="1:44">
      <c r="A760" s="6"/>
      <c r="B760" s="6"/>
      <c r="C760" s="6"/>
      <c r="D760" s="6"/>
      <c r="E760" s="6"/>
      <c r="F760" s="6"/>
      <c r="G760" s="11"/>
      <c r="H760" s="6"/>
      <c r="I760" s="6"/>
      <c r="J760" s="6"/>
      <c r="K760" s="7"/>
      <c r="L760" s="21" t="str">
        <f>микс!$H$11</f>
        <v>продажа под заказ</v>
      </c>
      <c r="M760" s="22"/>
      <c r="N760" s="22"/>
      <c r="O760" s="22" t="s">
        <v>140</v>
      </c>
      <c r="P760" s="23" t="str">
        <f>микс!$H$49</f>
        <v>Товары для детей</v>
      </c>
      <c r="Q760" s="21" t="s">
        <v>117</v>
      </c>
      <c r="R760" s="25">
        <v>1</v>
      </c>
      <c r="S760" s="28"/>
      <c r="T760" s="31">
        <v>42312</v>
      </c>
      <c r="U760" s="33">
        <v>3720</v>
      </c>
      <c r="V760" s="36">
        <f t="shared" si="57"/>
        <v>3720</v>
      </c>
      <c r="W760" s="28"/>
      <c r="X760" s="31">
        <v>42326</v>
      </c>
      <c r="Y760" s="33">
        <v>3990</v>
      </c>
      <c r="Z760" s="189">
        <f t="shared" si="58"/>
        <v>3990</v>
      </c>
      <c r="AA760" s="190"/>
      <c r="AB760" s="31">
        <v>42357</v>
      </c>
      <c r="AC760" s="36">
        <v>3720</v>
      </c>
      <c r="AD760" s="8"/>
      <c r="AE760" s="6"/>
      <c r="AF760" s="52">
        <f t="shared" si="55"/>
        <v>157400640</v>
      </c>
      <c r="AG760" s="25">
        <f t="shared" si="56"/>
        <v>168880740</v>
      </c>
      <c r="AH760" s="52">
        <f t="shared" si="59"/>
        <v>157568040</v>
      </c>
      <c r="AI760" s="6"/>
      <c r="AJ760" s="6"/>
      <c r="AK760" s="6"/>
      <c r="AL760" s="6"/>
      <c r="AM760" s="6"/>
      <c r="AN760" s="6"/>
      <c r="AO760" s="6"/>
      <c r="AP760" s="6"/>
      <c r="AQ760" s="6"/>
      <c r="AR760" s="6"/>
    </row>
    <row r="761" spans="1:44">
      <c r="A761" s="6"/>
      <c r="B761" s="6"/>
      <c r="C761" s="6"/>
      <c r="D761" s="6"/>
      <c r="E761" s="6"/>
      <c r="F761" s="6"/>
      <c r="G761" s="11"/>
      <c r="H761" s="6"/>
      <c r="I761" s="6"/>
      <c r="J761" s="6"/>
      <c r="K761" s="7"/>
      <c r="L761" s="21" t="str">
        <f>микс!$H$10</f>
        <v>продажа со склада</v>
      </c>
      <c r="M761" s="22"/>
      <c r="N761" s="22"/>
      <c r="O761" s="22" t="s">
        <v>140</v>
      </c>
      <c r="P761" s="23" t="str">
        <f>микс!$H$49</f>
        <v>Товары для детей</v>
      </c>
      <c r="Q761" s="21" t="s">
        <v>117</v>
      </c>
      <c r="R761" s="25">
        <v>1</v>
      </c>
      <c r="S761" s="28"/>
      <c r="T761" s="31">
        <v>42057</v>
      </c>
      <c r="U761" s="33">
        <v>3817.5</v>
      </c>
      <c r="V761" s="36">
        <f t="shared" si="57"/>
        <v>3817.5</v>
      </c>
      <c r="W761" s="28"/>
      <c r="X761" s="31">
        <v>42309</v>
      </c>
      <c r="Y761" s="33">
        <v>3990</v>
      </c>
      <c r="Z761" s="189">
        <f t="shared" si="58"/>
        <v>3990</v>
      </c>
      <c r="AA761" s="190"/>
      <c r="AB761" s="31"/>
      <c r="AC761" s="36"/>
      <c r="AD761" s="8"/>
      <c r="AE761" s="6"/>
      <c r="AF761" s="52">
        <f t="shared" si="55"/>
        <v>160552597.5</v>
      </c>
      <c r="AG761" s="25">
        <f t="shared" si="56"/>
        <v>168812910</v>
      </c>
      <c r="AH761" s="52">
        <f t="shared" si="59"/>
        <v>0</v>
      </c>
      <c r="AI761" s="6"/>
      <c r="AJ761" s="6"/>
      <c r="AK761" s="6"/>
      <c r="AL761" s="6"/>
      <c r="AM761" s="6"/>
      <c r="AN761" s="6"/>
      <c r="AO761" s="6"/>
      <c r="AP761" s="6"/>
      <c r="AQ761" s="6"/>
      <c r="AR761" s="6"/>
    </row>
    <row r="762" spans="1:44">
      <c r="A762" s="6"/>
      <c r="B762" s="6"/>
      <c r="C762" s="6"/>
      <c r="D762" s="6"/>
      <c r="E762" s="6"/>
      <c r="F762" s="6"/>
      <c r="G762" s="11"/>
      <c r="H762" s="6"/>
      <c r="I762" s="6"/>
      <c r="J762" s="6"/>
      <c r="K762" s="7"/>
      <c r="L762" s="21" t="str">
        <f>микс!$H$11</f>
        <v>продажа под заказ</v>
      </c>
      <c r="M762" s="22"/>
      <c r="N762" s="22"/>
      <c r="O762" s="22" t="s">
        <v>140</v>
      </c>
      <c r="P762" s="23" t="str">
        <f>микс!$H$49</f>
        <v>Товары для детей</v>
      </c>
      <c r="Q762" s="21" t="s">
        <v>117</v>
      </c>
      <c r="R762" s="25">
        <v>1</v>
      </c>
      <c r="S762" s="28"/>
      <c r="T762" s="31">
        <v>42315</v>
      </c>
      <c r="U762" s="33">
        <v>3817.5</v>
      </c>
      <c r="V762" s="36">
        <f t="shared" si="57"/>
        <v>3817.5</v>
      </c>
      <c r="W762" s="28"/>
      <c r="X762" s="31">
        <v>42327</v>
      </c>
      <c r="Y762" s="33">
        <v>5020</v>
      </c>
      <c r="Z762" s="189">
        <f t="shared" si="58"/>
        <v>5020</v>
      </c>
      <c r="AA762" s="190"/>
      <c r="AB762" s="31">
        <v>42330</v>
      </c>
      <c r="AC762" s="36">
        <v>3817.5</v>
      </c>
      <c r="AD762" s="8"/>
      <c r="AE762" s="6"/>
      <c r="AF762" s="52">
        <f t="shared" si="55"/>
        <v>161537512.5</v>
      </c>
      <c r="AG762" s="25">
        <f t="shared" si="56"/>
        <v>212481540</v>
      </c>
      <c r="AH762" s="52">
        <f t="shared" si="59"/>
        <v>161594775</v>
      </c>
      <c r="AI762" s="6"/>
      <c r="AJ762" s="6"/>
      <c r="AK762" s="6"/>
      <c r="AL762" s="6"/>
      <c r="AM762" s="6"/>
      <c r="AN762" s="6"/>
      <c r="AO762" s="6"/>
      <c r="AP762" s="6"/>
      <c r="AQ762" s="6"/>
      <c r="AR762" s="6"/>
    </row>
    <row r="763" spans="1:44">
      <c r="A763" s="6"/>
      <c r="B763" s="6"/>
      <c r="C763" s="6"/>
      <c r="D763" s="6"/>
      <c r="E763" s="6"/>
      <c r="F763" s="6"/>
      <c r="G763" s="11"/>
      <c r="H763" s="6"/>
      <c r="I763" s="6"/>
      <c r="J763" s="6"/>
      <c r="K763" s="7"/>
      <c r="L763" s="21" t="str">
        <f>микс!$H$10</f>
        <v>продажа со склада</v>
      </c>
      <c r="M763" s="22"/>
      <c r="N763" s="22"/>
      <c r="O763" s="22" t="s">
        <v>140</v>
      </c>
      <c r="P763" s="23" t="str">
        <f>микс!$H$49</f>
        <v>Товары для детей</v>
      </c>
      <c r="Q763" s="21" t="s">
        <v>117</v>
      </c>
      <c r="R763" s="25">
        <v>1</v>
      </c>
      <c r="S763" s="28"/>
      <c r="T763" s="31">
        <v>42079</v>
      </c>
      <c r="U763" s="33">
        <v>3817.5</v>
      </c>
      <c r="V763" s="36">
        <f t="shared" si="57"/>
        <v>3817.5</v>
      </c>
      <c r="W763" s="28"/>
      <c r="X763" s="31">
        <v>42335</v>
      </c>
      <c r="Y763" s="33">
        <v>4200</v>
      </c>
      <c r="Z763" s="189">
        <f t="shared" si="58"/>
        <v>4200</v>
      </c>
      <c r="AA763" s="190"/>
      <c r="AB763" s="31">
        <v>42101</v>
      </c>
      <c r="AC763" s="36">
        <v>3817.5</v>
      </c>
      <c r="AD763" s="8"/>
      <c r="AE763" s="6"/>
      <c r="AF763" s="52">
        <f t="shared" si="55"/>
        <v>160636582.5</v>
      </c>
      <c r="AG763" s="25">
        <f t="shared" si="56"/>
        <v>177807000</v>
      </c>
      <c r="AH763" s="52">
        <f t="shared" si="59"/>
        <v>160720567.5</v>
      </c>
      <c r="AI763" s="6"/>
      <c r="AJ763" s="6"/>
      <c r="AK763" s="6"/>
      <c r="AL763" s="6"/>
      <c r="AM763" s="6"/>
      <c r="AN763" s="6"/>
      <c r="AO763" s="6"/>
      <c r="AP763" s="6"/>
      <c r="AQ763" s="6"/>
      <c r="AR763" s="6"/>
    </row>
    <row r="764" spans="1:44">
      <c r="A764" s="6"/>
      <c r="B764" s="6"/>
      <c r="C764" s="6"/>
      <c r="D764" s="6"/>
      <c r="E764" s="6"/>
      <c r="F764" s="6"/>
      <c r="G764" s="11"/>
      <c r="H764" s="6"/>
      <c r="I764" s="6"/>
      <c r="J764" s="6"/>
      <c r="K764" s="7"/>
      <c r="L764" s="21" t="str">
        <f>микс!$H$10</f>
        <v>продажа со склада</v>
      </c>
      <c r="M764" s="22"/>
      <c r="N764" s="22"/>
      <c r="O764" s="22" t="s">
        <v>140</v>
      </c>
      <c r="P764" s="23" t="str">
        <f>микс!$H$49</f>
        <v>Товары для детей</v>
      </c>
      <c r="Q764" s="21" t="s">
        <v>109</v>
      </c>
      <c r="R764" s="25">
        <v>1</v>
      </c>
      <c r="S764" s="28"/>
      <c r="T764" s="31">
        <v>42082</v>
      </c>
      <c r="U764" s="33">
        <v>12605.88</v>
      </c>
      <c r="V764" s="36">
        <f t="shared" si="57"/>
        <v>12605.88</v>
      </c>
      <c r="W764" s="28"/>
      <c r="X764" s="31">
        <v>42338</v>
      </c>
      <c r="Y764" s="33">
        <v>18120</v>
      </c>
      <c r="Z764" s="189">
        <f t="shared" si="58"/>
        <v>18120</v>
      </c>
      <c r="AA764" s="190"/>
      <c r="AB764" s="31">
        <v>42142</v>
      </c>
      <c r="AC764" s="36">
        <v>12605.88</v>
      </c>
      <c r="AD764" s="8"/>
      <c r="AE764" s="6"/>
      <c r="AF764" s="52">
        <f t="shared" si="55"/>
        <v>530480642.15999997</v>
      </c>
      <c r="AG764" s="25">
        <f t="shared" si="56"/>
        <v>767164560</v>
      </c>
      <c r="AH764" s="52">
        <f t="shared" si="59"/>
        <v>531236994.95999998</v>
      </c>
      <c r="AI764" s="6"/>
      <c r="AJ764" s="6"/>
      <c r="AK764" s="6"/>
      <c r="AL764" s="6"/>
      <c r="AM764" s="6"/>
      <c r="AN764" s="6"/>
      <c r="AO764" s="6"/>
      <c r="AP764" s="6"/>
      <c r="AQ764" s="6"/>
      <c r="AR764" s="6"/>
    </row>
    <row r="765" spans="1:44">
      <c r="A765" s="6"/>
      <c r="B765" s="6"/>
      <c r="C765" s="6"/>
      <c r="D765" s="6"/>
      <c r="E765" s="6"/>
      <c r="F765" s="6"/>
      <c r="G765" s="11"/>
      <c r="H765" s="6"/>
      <c r="I765" s="6"/>
      <c r="J765" s="6"/>
      <c r="K765" s="7"/>
      <c r="L765" s="21" t="str">
        <f>микс!$H$11</f>
        <v>продажа под заказ</v>
      </c>
      <c r="M765" s="22"/>
      <c r="N765" s="22"/>
      <c r="O765" s="22" t="s">
        <v>146</v>
      </c>
      <c r="P765" s="23" t="str">
        <f>микс!$H$49</f>
        <v>Товары для детей</v>
      </c>
      <c r="Q765" s="21" t="s">
        <v>133</v>
      </c>
      <c r="R765" s="25">
        <v>1</v>
      </c>
      <c r="S765" s="28"/>
      <c r="T765" s="31">
        <v>42310</v>
      </c>
      <c r="U765" s="33">
        <v>908</v>
      </c>
      <c r="V765" s="36">
        <f t="shared" si="57"/>
        <v>908</v>
      </c>
      <c r="W765" s="28"/>
      <c r="X765" s="31">
        <v>42315</v>
      </c>
      <c r="Y765" s="33">
        <v>1555</v>
      </c>
      <c r="Z765" s="189">
        <f t="shared" si="58"/>
        <v>1555</v>
      </c>
      <c r="AA765" s="190"/>
      <c r="AB765" s="31">
        <v>42315</v>
      </c>
      <c r="AC765" s="36">
        <v>908</v>
      </c>
      <c r="AD765" s="8"/>
      <c r="AE765" s="6"/>
      <c r="AF765" s="52">
        <f t="shared" si="55"/>
        <v>38417480</v>
      </c>
      <c r="AG765" s="25">
        <f t="shared" si="56"/>
        <v>65799825</v>
      </c>
      <c r="AH765" s="52">
        <f t="shared" si="59"/>
        <v>38422020</v>
      </c>
      <c r="AI765" s="6"/>
      <c r="AJ765" s="6"/>
      <c r="AK765" s="6"/>
      <c r="AL765" s="6"/>
      <c r="AM765" s="6"/>
      <c r="AN765" s="6"/>
      <c r="AO765" s="6"/>
      <c r="AP765" s="6"/>
      <c r="AQ765" s="6"/>
      <c r="AR765" s="6"/>
    </row>
    <row r="766" spans="1:44">
      <c r="A766" s="6"/>
      <c r="B766" s="6"/>
      <c r="C766" s="6"/>
      <c r="D766" s="6"/>
      <c r="E766" s="6"/>
      <c r="F766" s="6"/>
      <c r="G766" s="11"/>
      <c r="H766" s="6"/>
      <c r="I766" s="6"/>
      <c r="J766" s="6"/>
      <c r="K766" s="7"/>
      <c r="L766" s="21" t="str">
        <f>микс!$H$11</f>
        <v>продажа под заказ</v>
      </c>
      <c r="M766" s="22"/>
      <c r="N766" s="22"/>
      <c r="O766" s="22" t="s">
        <v>146</v>
      </c>
      <c r="P766" s="23" t="str">
        <f>микс!$H$49</f>
        <v>Товары для детей</v>
      </c>
      <c r="Q766" s="21" t="s">
        <v>133</v>
      </c>
      <c r="R766" s="25">
        <v>1</v>
      </c>
      <c r="S766" s="28"/>
      <c r="T766" s="31">
        <v>42304</v>
      </c>
      <c r="U766" s="33">
        <v>1159.3599999999999</v>
      </c>
      <c r="V766" s="36">
        <f t="shared" si="57"/>
        <v>1159.3599999999999</v>
      </c>
      <c r="W766" s="28"/>
      <c r="X766" s="31">
        <v>42307</v>
      </c>
      <c r="Y766" s="33">
        <v>1510</v>
      </c>
      <c r="Z766" s="189">
        <f t="shared" si="58"/>
        <v>1510</v>
      </c>
      <c r="AA766" s="190"/>
      <c r="AB766" s="31">
        <v>42344</v>
      </c>
      <c r="AC766" s="36">
        <v>1159.3599999999999</v>
      </c>
      <c r="AD766" s="8"/>
      <c r="AE766" s="6"/>
      <c r="AF766" s="52">
        <f t="shared" si="55"/>
        <v>49045565.439999998</v>
      </c>
      <c r="AG766" s="25">
        <f t="shared" si="56"/>
        <v>63883570</v>
      </c>
      <c r="AH766" s="52">
        <f t="shared" si="59"/>
        <v>49091939.839999996</v>
      </c>
      <c r="AI766" s="6"/>
      <c r="AJ766" s="6"/>
      <c r="AK766" s="6"/>
      <c r="AL766" s="6"/>
      <c r="AM766" s="6"/>
      <c r="AN766" s="6"/>
      <c r="AO766" s="6"/>
      <c r="AP766" s="6"/>
      <c r="AQ766" s="6"/>
      <c r="AR766" s="6"/>
    </row>
    <row r="767" spans="1:44">
      <c r="A767" s="6"/>
      <c r="B767" s="6"/>
      <c r="C767" s="6"/>
      <c r="D767" s="6"/>
      <c r="E767" s="6"/>
      <c r="F767" s="6"/>
      <c r="G767" s="11"/>
      <c r="H767" s="6"/>
      <c r="I767" s="6"/>
      <c r="J767" s="6"/>
      <c r="K767" s="7"/>
      <c r="L767" s="21" t="str">
        <f>микс!$H$11</f>
        <v>продажа под заказ</v>
      </c>
      <c r="M767" s="22"/>
      <c r="N767" s="22"/>
      <c r="O767" s="22" t="s">
        <v>146</v>
      </c>
      <c r="P767" s="23" t="str">
        <f>микс!$H$49</f>
        <v>Товары для детей</v>
      </c>
      <c r="Q767" s="21" t="s">
        <v>133</v>
      </c>
      <c r="R767" s="25">
        <v>1</v>
      </c>
      <c r="S767" s="28"/>
      <c r="T767" s="31">
        <v>42306</v>
      </c>
      <c r="U767" s="33">
        <v>1159.3599999999999</v>
      </c>
      <c r="V767" s="36">
        <f t="shared" si="57"/>
        <v>1159.3599999999999</v>
      </c>
      <c r="W767" s="28"/>
      <c r="X767" s="31">
        <v>42308</v>
      </c>
      <c r="Y767" s="33">
        <v>1510</v>
      </c>
      <c r="Z767" s="189">
        <f t="shared" si="58"/>
        <v>1510</v>
      </c>
      <c r="AA767" s="190"/>
      <c r="AB767" s="31"/>
      <c r="AC767" s="36"/>
      <c r="AD767" s="8"/>
      <c r="AE767" s="6"/>
      <c r="AF767" s="52">
        <f t="shared" si="55"/>
        <v>49047884.159999996</v>
      </c>
      <c r="AG767" s="25">
        <f t="shared" si="56"/>
        <v>63885080</v>
      </c>
      <c r="AH767" s="52">
        <f t="shared" si="59"/>
        <v>0</v>
      </c>
      <c r="AI767" s="6"/>
      <c r="AJ767" s="6"/>
      <c r="AK767" s="6"/>
      <c r="AL767" s="6"/>
      <c r="AM767" s="6"/>
      <c r="AN767" s="6"/>
      <c r="AO767" s="6"/>
      <c r="AP767" s="6"/>
      <c r="AQ767" s="6"/>
      <c r="AR767" s="6"/>
    </row>
    <row r="768" spans="1:44">
      <c r="A768" s="6"/>
      <c r="B768" s="6"/>
      <c r="C768" s="6"/>
      <c r="D768" s="6"/>
      <c r="E768" s="6"/>
      <c r="F768" s="6"/>
      <c r="G768" s="11"/>
      <c r="H768" s="6"/>
      <c r="I768" s="6"/>
      <c r="J768" s="6"/>
      <c r="K768" s="7"/>
      <c r="L768" s="21" t="str">
        <f>микс!$H$11</f>
        <v>продажа под заказ</v>
      </c>
      <c r="M768" s="22"/>
      <c r="N768" s="22"/>
      <c r="O768" s="22" t="s">
        <v>146</v>
      </c>
      <c r="P768" s="23" t="str">
        <f>микс!$H$49</f>
        <v>Товары для детей</v>
      </c>
      <c r="Q768" s="21" t="s">
        <v>61</v>
      </c>
      <c r="R768" s="25">
        <v>1</v>
      </c>
      <c r="S768" s="28"/>
      <c r="T768" s="31">
        <v>42308</v>
      </c>
      <c r="U768" s="33">
        <v>4545</v>
      </c>
      <c r="V768" s="36">
        <f t="shared" si="57"/>
        <v>4545</v>
      </c>
      <c r="W768" s="28"/>
      <c r="X768" s="31">
        <v>42315</v>
      </c>
      <c r="Y768" s="33">
        <v>6790</v>
      </c>
      <c r="Z768" s="189">
        <f t="shared" si="58"/>
        <v>6790</v>
      </c>
      <c r="AA768" s="190"/>
      <c r="AB768" s="31">
        <v>42323</v>
      </c>
      <c r="AC768" s="36">
        <v>4545</v>
      </c>
      <c r="AD768" s="8"/>
      <c r="AE768" s="6"/>
      <c r="AF768" s="52">
        <f t="shared" si="55"/>
        <v>192289860</v>
      </c>
      <c r="AG768" s="25">
        <f t="shared" si="56"/>
        <v>287318850</v>
      </c>
      <c r="AH768" s="52">
        <f t="shared" si="59"/>
        <v>192358035</v>
      </c>
      <c r="AI768" s="6"/>
      <c r="AJ768" s="6"/>
      <c r="AK768" s="6"/>
      <c r="AL768" s="6"/>
      <c r="AM768" s="6"/>
      <c r="AN768" s="6"/>
      <c r="AO768" s="6"/>
      <c r="AP768" s="6"/>
      <c r="AQ768" s="6"/>
      <c r="AR768" s="6"/>
    </row>
    <row r="769" spans="1:44">
      <c r="A769" s="6"/>
      <c r="B769" s="6"/>
      <c r="C769" s="6"/>
      <c r="D769" s="6"/>
      <c r="E769" s="6"/>
      <c r="F769" s="6"/>
      <c r="G769" s="11"/>
      <c r="H769" s="6"/>
      <c r="I769" s="6"/>
      <c r="J769" s="6"/>
      <c r="K769" s="7"/>
      <c r="L769" s="21" t="str">
        <f>микс!$H$10</f>
        <v>продажа со склада</v>
      </c>
      <c r="M769" s="22"/>
      <c r="N769" s="22"/>
      <c r="O769" s="22" t="s">
        <v>146</v>
      </c>
      <c r="P769" s="23" t="str">
        <f>микс!$H$49</f>
        <v>Товары для детей</v>
      </c>
      <c r="Q769" s="21" t="s">
        <v>61</v>
      </c>
      <c r="R769" s="25">
        <v>1</v>
      </c>
      <c r="S769" s="28"/>
      <c r="T769" s="31">
        <v>42082</v>
      </c>
      <c r="U769" s="33">
        <v>2474.8000000000002</v>
      </c>
      <c r="V769" s="36">
        <f t="shared" si="57"/>
        <v>2474.8000000000002</v>
      </c>
      <c r="W769" s="28"/>
      <c r="X769" s="31">
        <v>42335</v>
      </c>
      <c r="Y769" s="33">
        <v>2590</v>
      </c>
      <c r="Z769" s="189">
        <f t="shared" si="58"/>
        <v>2590</v>
      </c>
      <c r="AA769" s="190"/>
      <c r="AB769" s="31">
        <v>42132</v>
      </c>
      <c r="AC769" s="36">
        <v>2474.8000000000002</v>
      </c>
      <c r="AD769" s="8"/>
      <c r="AE769" s="6"/>
      <c r="AF769" s="52">
        <f t="shared" si="55"/>
        <v>104144533.60000001</v>
      </c>
      <c r="AG769" s="25">
        <f t="shared" si="56"/>
        <v>109647650</v>
      </c>
      <c r="AH769" s="52">
        <f t="shared" si="59"/>
        <v>104268273.60000001</v>
      </c>
      <c r="AI769" s="6"/>
      <c r="AJ769" s="6"/>
      <c r="AK769" s="6"/>
      <c r="AL769" s="6"/>
      <c r="AM769" s="6"/>
      <c r="AN769" s="6"/>
      <c r="AO769" s="6"/>
      <c r="AP769" s="6"/>
      <c r="AQ769" s="6"/>
      <c r="AR769" s="6"/>
    </row>
    <row r="770" spans="1:44">
      <c r="A770" s="6"/>
      <c r="B770" s="6"/>
      <c r="C770" s="6"/>
      <c r="D770" s="6"/>
      <c r="E770" s="6"/>
      <c r="F770" s="6"/>
      <c r="G770" s="11"/>
      <c r="H770" s="6"/>
      <c r="I770" s="6"/>
      <c r="J770" s="6"/>
      <c r="K770" s="7"/>
      <c r="L770" s="21" t="str">
        <f>микс!$H$11</f>
        <v>продажа под заказ</v>
      </c>
      <c r="M770" s="22"/>
      <c r="N770" s="22"/>
      <c r="O770" s="22" t="s">
        <v>140</v>
      </c>
      <c r="P770" s="23" t="str">
        <f>микс!$H$49</f>
        <v>Товары для детей</v>
      </c>
      <c r="Q770" s="21" t="s">
        <v>102</v>
      </c>
      <c r="R770" s="25">
        <v>1</v>
      </c>
      <c r="S770" s="28"/>
      <c r="T770" s="31">
        <v>42323</v>
      </c>
      <c r="U770" s="33">
        <v>41015.589999999997</v>
      </c>
      <c r="V770" s="36">
        <f t="shared" si="57"/>
        <v>41015.589999999997</v>
      </c>
      <c r="W770" s="28"/>
      <c r="X770" s="31">
        <v>42335</v>
      </c>
      <c r="Y770" s="33">
        <v>46609</v>
      </c>
      <c r="Z770" s="189">
        <f t="shared" si="58"/>
        <v>46609</v>
      </c>
      <c r="AA770" s="190"/>
      <c r="AB770" s="31">
        <v>42343</v>
      </c>
      <c r="AC770" s="36">
        <v>41015.589999999997</v>
      </c>
      <c r="AD770" s="8"/>
      <c r="AE770" s="6"/>
      <c r="AF770" s="52">
        <f t="shared" si="55"/>
        <v>1735902815.5699999</v>
      </c>
      <c r="AG770" s="25">
        <f t="shared" si="56"/>
        <v>1973192015</v>
      </c>
      <c r="AH770" s="52">
        <f t="shared" si="59"/>
        <v>1736723127.3699999</v>
      </c>
      <c r="AI770" s="6"/>
      <c r="AJ770" s="6"/>
      <c r="AK770" s="6"/>
      <c r="AL770" s="6"/>
      <c r="AM770" s="6"/>
      <c r="AN770" s="6"/>
      <c r="AO770" s="6"/>
      <c r="AP770" s="6"/>
      <c r="AQ770" s="6"/>
      <c r="AR770" s="6"/>
    </row>
    <row r="771" spans="1:44">
      <c r="A771" s="6"/>
      <c r="B771" s="6"/>
      <c r="C771" s="6"/>
      <c r="D771" s="6"/>
      <c r="E771" s="6"/>
      <c r="F771" s="6"/>
      <c r="G771" s="11"/>
      <c r="H771" s="6"/>
      <c r="I771" s="6"/>
      <c r="J771" s="6"/>
      <c r="K771" s="7"/>
      <c r="L771" s="21" t="str">
        <f>микс!$H$11</f>
        <v>продажа под заказ</v>
      </c>
      <c r="M771" s="22"/>
      <c r="N771" s="22"/>
      <c r="O771" s="22" t="s">
        <v>143</v>
      </c>
      <c r="P771" s="23" t="str">
        <f>микс!$H$47</f>
        <v>Домашнее хозяйство</v>
      </c>
      <c r="Q771" s="21" t="s">
        <v>110</v>
      </c>
      <c r="R771" s="25">
        <v>2</v>
      </c>
      <c r="S771" s="28"/>
      <c r="T771" s="31">
        <v>42331</v>
      </c>
      <c r="U771" s="33">
        <v>3201.97</v>
      </c>
      <c r="V771" s="36">
        <f t="shared" si="57"/>
        <v>6403.94</v>
      </c>
      <c r="W771" s="28"/>
      <c r="X771" s="31">
        <v>42342</v>
      </c>
      <c r="Y771" s="33">
        <v>4580</v>
      </c>
      <c r="Z771" s="189">
        <f t="shared" si="58"/>
        <v>9160</v>
      </c>
      <c r="AA771" s="190"/>
      <c r="AB771" s="31">
        <v>42361</v>
      </c>
      <c r="AC771" s="36">
        <v>6403.94</v>
      </c>
      <c r="AD771" s="8"/>
      <c r="AE771" s="6"/>
      <c r="AF771" s="52">
        <f t="shared" si="55"/>
        <v>271085184.13999999</v>
      </c>
      <c r="AG771" s="25">
        <f t="shared" si="56"/>
        <v>387852720</v>
      </c>
      <c r="AH771" s="52">
        <f t="shared" si="59"/>
        <v>271277302.33999997</v>
      </c>
      <c r="AI771" s="6"/>
      <c r="AJ771" s="6"/>
      <c r="AK771" s="6"/>
      <c r="AL771" s="6"/>
      <c r="AM771" s="6"/>
      <c r="AN771" s="6"/>
      <c r="AO771" s="6"/>
      <c r="AP771" s="6"/>
      <c r="AQ771" s="6"/>
      <c r="AR771" s="6"/>
    </row>
    <row r="772" spans="1:44">
      <c r="A772" s="6"/>
      <c r="B772" s="6"/>
      <c r="C772" s="6"/>
      <c r="D772" s="6"/>
      <c r="E772" s="6"/>
      <c r="F772" s="6"/>
      <c r="G772" s="11"/>
      <c r="H772" s="6"/>
      <c r="I772" s="6"/>
      <c r="J772" s="6"/>
      <c r="K772" s="7"/>
      <c r="L772" s="21" t="str">
        <f>микс!$H$11</f>
        <v>продажа под заказ</v>
      </c>
      <c r="M772" s="22"/>
      <c r="N772" s="22"/>
      <c r="O772" s="22" t="s">
        <v>138</v>
      </c>
      <c r="P772" s="23" t="str">
        <f>микс!$H$49</f>
        <v>Товары для детей</v>
      </c>
      <c r="Q772" s="21" t="s">
        <v>106</v>
      </c>
      <c r="R772" s="25">
        <v>1</v>
      </c>
      <c r="S772" s="28"/>
      <c r="T772" s="31">
        <v>42320</v>
      </c>
      <c r="U772" s="33">
        <v>1930</v>
      </c>
      <c r="V772" s="36">
        <f t="shared" si="57"/>
        <v>1930</v>
      </c>
      <c r="W772" s="28"/>
      <c r="X772" s="31">
        <v>42325</v>
      </c>
      <c r="Y772" s="33">
        <v>2385</v>
      </c>
      <c r="Z772" s="189">
        <f t="shared" si="58"/>
        <v>2385</v>
      </c>
      <c r="AA772" s="190"/>
      <c r="AB772" s="31">
        <v>42345</v>
      </c>
      <c r="AC772" s="36">
        <v>1930</v>
      </c>
      <c r="AD772" s="8"/>
      <c r="AE772" s="6"/>
      <c r="AF772" s="52">
        <f t="shared" si="55"/>
        <v>81677600</v>
      </c>
      <c r="AG772" s="25">
        <f t="shared" si="56"/>
        <v>100945125</v>
      </c>
      <c r="AH772" s="52">
        <f t="shared" si="59"/>
        <v>81725850</v>
      </c>
      <c r="AI772" s="6"/>
      <c r="AJ772" s="6"/>
      <c r="AK772" s="6"/>
      <c r="AL772" s="6"/>
      <c r="AM772" s="6"/>
      <c r="AN772" s="6"/>
      <c r="AO772" s="6"/>
      <c r="AP772" s="6"/>
      <c r="AQ772" s="6"/>
      <c r="AR772" s="6"/>
    </row>
    <row r="773" spans="1:44">
      <c r="A773" s="6"/>
      <c r="B773" s="6"/>
      <c r="C773" s="6"/>
      <c r="D773" s="6"/>
      <c r="E773" s="6"/>
      <c r="F773" s="6"/>
      <c r="G773" s="11"/>
      <c r="H773" s="6"/>
      <c r="I773" s="6"/>
      <c r="J773" s="6"/>
      <c r="K773" s="7"/>
      <c r="L773" s="21" t="str">
        <f>микс!$H$11</f>
        <v>продажа под заказ</v>
      </c>
      <c r="M773" s="22"/>
      <c r="N773" s="22"/>
      <c r="O773" s="22" t="s">
        <v>138</v>
      </c>
      <c r="P773" s="23" t="str">
        <f>микс!$H$49</f>
        <v>Товары для детей</v>
      </c>
      <c r="Q773" s="21" t="s">
        <v>106</v>
      </c>
      <c r="R773" s="25">
        <v>1</v>
      </c>
      <c r="S773" s="28"/>
      <c r="T773" s="31">
        <v>42315</v>
      </c>
      <c r="U773" s="33">
        <v>1930</v>
      </c>
      <c r="V773" s="36">
        <f t="shared" si="57"/>
        <v>1930</v>
      </c>
      <c r="W773" s="28"/>
      <c r="X773" s="31">
        <v>42335</v>
      </c>
      <c r="Y773" s="33">
        <v>2385</v>
      </c>
      <c r="Z773" s="189">
        <f t="shared" si="58"/>
        <v>2385</v>
      </c>
      <c r="AA773" s="190"/>
      <c r="AB773" s="31">
        <v>42325</v>
      </c>
      <c r="AC773" s="36">
        <v>1930</v>
      </c>
      <c r="AD773" s="8"/>
      <c r="AE773" s="6"/>
      <c r="AF773" s="52">
        <f t="shared" si="55"/>
        <v>81667950</v>
      </c>
      <c r="AG773" s="25">
        <f t="shared" si="56"/>
        <v>100968975</v>
      </c>
      <c r="AH773" s="52">
        <f t="shared" si="59"/>
        <v>81687250</v>
      </c>
      <c r="AI773" s="6"/>
      <c r="AJ773" s="6"/>
      <c r="AK773" s="6"/>
      <c r="AL773" s="6"/>
      <c r="AM773" s="6"/>
      <c r="AN773" s="6"/>
      <c r="AO773" s="6"/>
      <c r="AP773" s="6"/>
      <c r="AQ773" s="6"/>
      <c r="AR773" s="6"/>
    </row>
    <row r="774" spans="1:44">
      <c r="A774" s="6"/>
      <c r="B774" s="6"/>
      <c r="C774" s="6"/>
      <c r="D774" s="6"/>
      <c r="E774" s="6"/>
      <c r="F774" s="6"/>
      <c r="G774" s="11"/>
      <c r="H774" s="6"/>
      <c r="I774" s="6"/>
      <c r="J774" s="6"/>
      <c r="K774" s="7"/>
      <c r="L774" s="21" t="str">
        <f>микс!$H$11</f>
        <v>продажа под заказ</v>
      </c>
      <c r="M774" s="22"/>
      <c r="N774" s="22"/>
      <c r="O774" s="22" t="s">
        <v>138</v>
      </c>
      <c r="P774" s="23" t="str">
        <f>микс!$H$49</f>
        <v>Товары для детей</v>
      </c>
      <c r="Q774" s="21" t="s">
        <v>106</v>
      </c>
      <c r="R774" s="25">
        <v>2</v>
      </c>
      <c r="S774" s="28"/>
      <c r="T774" s="31">
        <v>42337</v>
      </c>
      <c r="U774" s="33">
        <v>999</v>
      </c>
      <c r="V774" s="36">
        <f t="shared" si="57"/>
        <v>1998</v>
      </c>
      <c r="W774" s="28"/>
      <c r="X774" s="31">
        <v>42341</v>
      </c>
      <c r="Y774" s="33">
        <v>1234</v>
      </c>
      <c r="Z774" s="189">
        <f t="shared" si="58"/>
        <v>2468</v>
      </c>
      <c r="AA774" s="190"/>
      <c r="AB774" s="31">
        <v>42344</v>
      </c>
      <c r="AC774" s="36">
        <v>1998</v>
      </c>
      <c r="AD774" s="8"/>
      <c r="AE774" s="6"/>
      <c r="AF774" s="52">
        <f t="shared" si="55"/>
        <v>84589326</v>
      </c>
      <c r="AG774" s="25">
        <f t="shared" si="56"/>
        <v>104497588</v>
      </c>
      <c r="AH774" s="52">
        <f t="shared" si="59"/>
        <v>84603312</v>
      </c>
      <c r="AI774" s="6"/>
      <c r="AJ774" s="6"/>
      <c r="AK774" s="6"/>
      <c r="AL774" s="6"/>
      <c r="AM774" s="6"/>
      <c r="AN774" s="6"/>
      <c r="AO774" s="6"/>
      <c r="AP774" s="6"/>
      <c r="AQ774" s="6"/>
      <c r="AR774" s="6"/>
    </row>
    <row r="775" spans="1:44">
      <c r="A775" s="6"/>
      <c r="B775" s="6"/>
      <c r="C775" s="6"/>
      <c r="D775" s="6"/>
      <c r="E775" s="6"/>
      <c r="F775" s="6"/>
      <c r="G775" s="11"/>
      <c r="H775" s="6"/>
      <c r="I775" s="6"/>
      <c r="J775" s="6"/>
      <c r="K775" s="7"/>
      <c r="L775" s="21" t="str">
        <f>микс!$H$11</f>
        <v>продажа под заказ</v>
      </c>
      <c r="M775" s="22"/>
      <c r="N775" s="22"/>
      <c r="O775" s="22" t="s">
        <v>138</v>
      </c>
      <c r="P775" s="23" t="str">
        <f>микс!$H$49</f>
        <v>Товары для детей</v>
      </c>
      <c r="Q775" s="21" t="s">
        <v>106</v>
      </c>
      <c r="R775" s="25">
        <v>1</v>
      </c>
      <c r="S775" s="28"/>
      <c r="T775" s="31">
        <v>42337</v>
      </c>
      <c r="U775" s="33">
        <v>999</v>
      </c>
      <c r="V775" s="36">
        <f t="shared" si="57"/>
        <v>999</v>
      </c>
      <c r="W775" s="28"/>
      <c r="X775" s="31">
        <v>42341</v>
      </c>
      <c r="Y775" s="33">
        <v>1234</v>
      </c>
      <c r="Z775" s="189">
        <f t="shared" si="58"/>
        <v>1234</v>
      </c>
      <c r="AA775" s="190"/>
      <c r="AB775" s="31">
        <v>42359</v>
      </c>
      <c r="AC775" s="36">
        <v>999</v>
      </c>
      <c r="AD775" s="8"/>
      <c r="AE775" s="6"/>
      <c r="AF775" s="52">
        <f t="shared" si="55"/>
        <v>42294663</v>
      </c>
      <c r="AG775" s="25">
        <f t="shared" si="56"/>
        <v>52248794</v>
      </c>
      <c r="AH775" s="52">
        <f t="shared" si="59"/>
        <v>42316641</v>
      </c>
      <c r="AI775" s="6"/>
      <c r="AJ775" s="6"/>
      <c r="AK775" s="6"/>
      <c r="AL775" s="6"/>
      <c r="AM775" s="6"/>
      <c r="AN775" s="6"/>
      <c r="AO775" s="6"/>
      <c r="AP775" s="6"/>
      <c r="AQ775" s="6"/>
      <c r="AR775" s="6"/>
    </row>
    <row r="776" spans="1:44">
      <c r="A776" s="6"/>
      <c r="B776" s="6"/>
      <c r="C776" s="6"/>
      <c r="D776" s="6"/>
      <c r="E776" s="6"/>
      <c r="F776" s="6"/>
      <c r="G776" s="11"/>
      <c r="H776" s="6"/>
      <c r="I776" s="6"/>
      <c r="J776" s="6"/>
      <c r="K776" s="7"/>
      <c r="L776" s="21" t="str">
        <f>микс!$H$11</f>
        <v>продажа под заказ</v>
      </c>
      <c r="M776" s="22"/>
      <c r="N776" s="22"/>
      <c r="O776" s="22" t="s">
        <v>138</v>
      </c>
      <c r="P776" s="23" t="str">
        <f>микс!$H$49</f>
        <v>Товары для детей</v>
      </c>
      <c r="Q776" s="21" t="s">
        <v>95</v>
      </c>
      <c r="R776" s="25">
        <v>1</v>
      </c>
      <c r="S776" s="28"/>
      <c r="T776" s="31">
        <v>42337</v>
      </c>
      <c r="U776" s="33">
        <v>4900</v>
      </c>
      <c r="V776" s="36">
        <f t="shared" si="57"/>
        <v>4900</v>
      </c>
      <c r="W776" s="28"/>
      <c r="X776" s="31">
        <v>42342</v>
      </c>
      <c r="Y776" s="33">
        <v>5150</v>
      </c>
      <c r="Z776" s="189">
        <f t="shared" si="58"/>
        <v>5150</v>
      </c>
      <c r="AA776" s="190"/>
      <c r="AB776" s="31">
        <v>42369</v>
      </c>
      <c r="AC776" s="36">
        <v>4900</v>
      </c>
      <c r="AD776" s="8"/>
      <c r="AE776" s="6"/>
      <c r="AF776" s="52">
        <f t="shared" si="55"/>
        <v>207451300</v>
      </c>
      <c r="AG776" s="25">
        <f t="shared" si="56"/>
        <v>218061300</v>
      </c>
      <c r="AH776" s="52">
        <f t="shared" si="59"/>
        <v>207608100</v>
      </c>
      <c r="AI776" s="6"/>
      <c r="AJ776" s="6"/>
      <c r="AK776" s="6"/>
      <c r="AL776" s="6"/>
      <c r="AM776" s="6"/>
      <c r="AN776" s="6"/>
      <c r="AO776" s="6"/>
      <c r="AP776" s="6"/>
      <c r="AQ776" s="6"/>
      <c r="AR776" s="6"/>
    </row>
    <row r="777" spans="1:44">
      <c r="A777" s="6"/>
      <c r="B777" s="6"/>
      <c r="C777" s="6"/>
      <c r="D777" s="6"/>
      <c r="E777" s="6"/>
      <c r="F777" s="6"/>
      <c r="G777" s="11"/>
      <c r="H777" s="6"/>
      <c r="I777" s="6"/>
      <c r="J777" s="6"/>
      <c r="K777" s="7"/>
      <c r="L777" s="21" t="str">
        <f>микс!$H$11</f>
        <v>продажа под заказ</v>
      </c>
      <c r="M777" s="22"/>
      <c r="N777" s="22"/>
      <c r="O777" s="22" t="s">
        <v>138</v>
      </c>
      <c r="P777" s="23" t="str">
        <f>микс!$H$49</f>
        <v>Товары для детей</v>
      </c>
      <c r="Q777" s="21" t="s">
        <v>59</v>
      </c>
      <c r="R777" s="25">
        <v>1</v>
      </c>
      <c r="S777" s="28"/>
      <c r="T777" s="31">
        <v>42332</v>
      </c>
      <c r="U777" s="33">
        <v>3026.67</v>
      </c>
      <c r="V777" s="36">
        <f t="shared" si="57"/>
        <v>3026.67</v>
      </c>
      <c r="W777" s="28"/>
      <c r="X777" s="31">
        <v>42336</v>
      </c>
      <c r="Y777" s="33">
        <v>3440</v>
      </c>
      <c r="Z777" s="189">
        <f t="shared" si="58"/>
        <v>3440</v>
      </c>
      <c r="AA777" s="190"/>
      <c r="AB777" s="31"/>
      <c r="AC777" s="36"/>
      <c r="AD777" s="8"/>
      <c r="AE777" s="6"/>
      <c r="AF777" s="52">
        <f t="shared" ref="AF777:AF840" si="60">T777*V777</f>
        <v>128124994.44</v>
      </c>
      <c r="AG777" s="25">
        <f t="shared" ref="AG777:AG840" si="61">X777*Z777</f>
        <v>145635840</v>
      </c>
      <c r="AH777" s="52">
        <f t="shared" si="59"/>
        <v>0</v>
      </c>
      <c r="AI777" s="6"/>
      <c r="AJ777" s="6"/>
      <c r="AK777" s="6"/>
      <c r="AL777" s="6"/>
      <c r="AM777" s="6"/>
      <c r="AN777" s="6"/>
      <c r="AO777" s="6"/>
      <c r="AP777" s="6"/>
      <c r="AQ777" s="6"/>
      <c r="AR777" s="6"/>
    </row>
    <row r="778" spans="1:44">
      <c r="A778" s="6"/>
      <c r="B778" s="6"/>
      <c r="C778" s="6"/>
      <c r="D778" s="6"/>
      <c r="E778" s="6"/>
      <c r="F778" s="6"/>
      <c r="G778" s="11"/>
      <c r="H778" s="6"/>
      <c r="I778" s="6"/>
      <c r="J778" s="6"/>
      <c r="K778" s="7"/>
      <c r="L778" s="21" t="str">
        <f>микс!$H$11</f>
        <v>продажа под заказ</v>
      </c>
      <c r="M778" s="22"/>
      <c r="N778" s="22"/>
      <c r="O778" s="22" t="s">
        <v>138</v>
      </c>
      <c r="P778" s="23" t="str">
        <f>микс!$H$49</f>
        <v>Товары для детей</v>
      </c>
      <c r="Q778" s="21" t="s">
        <v>59</v>
      </c>
      <c r="R778" s="25">
        <v>1</v>
      </c>
      <c r="S778" s="28"/>
      <c r="T778" s="31">
        <v>42337</v>
      </c>
      <c r="U778" s="33">
        <v>3100</v>
      </c>
      <c r="V778" s="36">
        <f t="shared" ref="V778:V841" si="62">$R778*U778</f>
        <v>3100</v>
      </c>
      <c r="W778" s="28"/>
      <c r="X778" s="31">
        <v>42341</v>
      </c>
      <c r="Y778" s="33">
        <v>3336</v>
      </c>
      <c r="Z778" s="189">
        <f t="shared" ref="Z778:Z841" si="63">$R778*Y778</f>
        <v>3336</v>
      </c>
      <c r="AA778" s="190"/>
      <c r="AB778" s="31"/>
      <c r="AC778" s="36"/>
      <c r="AD778" s="8"/>
      <c r="AE778" s="6"/>
      <c r="AF778" s="52">
        <f t="shared" si="60"/>
        <v>131244700</v>
      </c>
      <c r="AG778" s="25">
        <f t="shared" si="61"/>
        <v>141249576</v>
      </c>
      <c r="AH778" s="52">
        <f t="shared" ref="AH778:AH841" si="64">AB778*AC778</f>
        <v>0</v>
      </c>
      <c r="AI778" s="6"/>
      <c r="AJ778" s="6"/>
      <c r="AK778" s="6"/>
      <c r="AL778" s="6"/>
      <c r="AM778" s="6"/>
      <c r="AN778" s="6"/>
      <c r="AO778" s="6"/>
      <c r="AP778" s="6"/>
      <c r="AQ778" s="6"/>
      <c r="AR778" s="6"/>
    </row>
    <row r="779" spans="1:44">
      <c r="A779" s="6"/>
      <c r="B779" s="6"/>
      <c r="C779" s="6"/>
      <c r="D779" s="6"/>
      <c r="E779" s="6"/>
      <c r="F779" s="6"/>
      <c r="G779" s="11"/>
      <c r="H779" s="6"/>
      <c r="I779" s="6"/>
      <c r="J779" s="6"/>
      <c r="K779" s="7"/>
      <c r="L779" s="21" t="str">
        <f>микс!$H$11</f>
        <v>продажа под заказ</v>
      </c>
      <c r="M779" s="22"/>
      <c r="N779" s="22"/>
      <c r="O779" s="22" t="s">
        <v>138</v>
      </c>
      <c r="P779" s="23" t="str">
        <f>микс!$H$49</f>
        <v>Товары для детей</v>
      </c>
      <c r="Q779" s="21" t="s">
        <v>59</v>
      </c>
      <c r="R779" s="25">
        <v>1</v>
      </c>
      <c r="S779" s="28"/>
      <c r="T779" s="31">
        <v>42336</v>
      </c>
      <c r="U779" s="33">
        <v>3100</v>
      </c>
      <c r="V779" s="36">
        <f t="shared" si="62"/>
        <v>3100</v>
      </c>
      <c r="W779" s="28"/>
      <c r="X779" s="31">
        <v>42344</v>
      </c>
      <c r="Y779" s="33">
        <v>3336</v>
      </c>
      <c r="Z779" s="189">
        <f t="shared" si="63"/>
        <v>3336</v>
      </c>
      <c r="AA779" s="190"/>
      <c r="AB779" s="31">
        <v>42348</v>
      </c>
      <c r="AC779" s="36">
        <v>3100</v>
      </c>
      <c r="AD779" s="8"/>
      <c r="AE779" s="6"/>
      <c r="AF779" s="52">
        <f t="shared" si="60"/>
        <v>131241600</v>
      </c>
      <c r="AG779" s="25">
        <f t="shared" si="61"/>
        <v>141259584</v>
      </c>
      <c r="AH779" s="52">
        <f t="shared" si="64"/>
        <v>131278800</v>
      </c>
      <c r="AI779" s="6"/>
      <c r="AJ779" s="6"/>
      <c r="AK779" s="6"/>
      <c r="AL779" s="6"/>
      <c r="AM779" s="6"/>
      <c r="AN779" s="6"/>
      <c r="AO779" s="6"/>
      <c r="AP779" s="6"/>
      <c r="AQ779" s="6"/>
      <c r="AR779" s="6"/>
    </row>
    <row r="780" spans="1:44">
      <c r="A780" s="6"/>
      <c r="B780" s="6"/>
      <c r="C780" s="6"/>
      <c r="D780" s="6"/>
      <c r="E780" s="6"/>
      <c r="F780" s="6"/>
      <c r="G780" s="11"/>
      <c r="H780" s="6"/>
      <c r="I780" s="6"/>
      <c r="J780" s="6"/>
      <c r="K780" s="7"/>
      <c r="L780" s="21" t="str">
        <f>микс!$H$11</f>
        <v>продажа под заказ</v>
      </c>
      <c r="M780" s="22"/>
      <c r="N780" s="22"/>
      <c r="O780" s="22" t="s">
        <v>138</v>
      </c>
      <c r="P780" s="23" t="str">
        <f>микс!$H$49</f>
        <v>Товары для детей</v>
      </c>
      <c r="Q780" s="21" t="s">
        <v>59</v>
      </c>
      <c r="R780" s="25">
        <v>1</v>
      </c>
      <c r="S780" s="28"/>
      <c r="T780" s="31">
        <v>42336</v>
      </c>
      <c r="U780" s="33">
        <v>3100</v>
      </c>
      <c r="V780" s="36">
        <f t="shared" si="62"/>
        <v>3100</v>
      </c>
      <c r="W780" s="28"/>
      <c r="X780" s="31">
        <v>42341</v>
      </c>
      <c r="Y780" s="33">
        <v>3336</v>
      </c>
      <c r="Z780" s="189">
        <f t="shared" si="63"/>
        <v>3336</v>
      </c>
      <c r="AA780" s="190"/>
      <c r="AB780" s="31">
        <v>42346</v>
      </c>
      <c r="AC780" s="36">
        <v>3100</v>
      </c>
      <c r="AD780" s="8"/>
      <c r="AE780" s="6"/>
      <c r="AF780" s="52">
        <f t="shared" si="60"/>
        <v>131241600</v>
      </c>
      <c r="AG780" s="25">
        <f t="shared" si="61"/>
        <v>141249576</v>
      </c>
      <c r="AH780" s="52">
        <f t="shared" si="64"/>
        <v>131272600</v>
      </c>
      <c r="AI780" s="6"/>
      <c r="AJ780" s="6"/>
      <c r="AK780" s="6"/>
      <c r="AL780" s="6"/>
      <c r="AM780" s="6"/>
      <c r="AN780" s="6"/>
      <c r="AO780" s="6"/>
      <c r="AP780" s="6"/>
      <c r="AQ780" s="6"/>
      <c r="AR780" s="6"/>
    </row>
    <row r="781" spans="1:44">
      <c r="A781" s="6"/>
      <c r="B781" s="6"/>
      <c r="C781" s="6"/>
      <c r="D781" s="6"/>
      <c r="E781" s="6"/>
      <c r="F781" s="6"/>
      <c r="G781" s="11"/>
      <c r="H781" s="6"/>
      <c r="I781" s="6"/>
      <c r="J781" s="6"/>
      <c r="K781" s="7"/>
      <c r="L781" s="21" t="str">
        <f>микс!$H$11</f>
        <v>продажа под заказ</v>
      </c>
      <c r="M781" s="22"/>
      <c r="N781" s="22"/>
      <c r="O781" s="22" t="s">
        <v>138</v>
      </c>
      <c r="P781" s="23" t="str">
        <f>микс!$H$49</f>
        <v>Товары для детей</v>
      </c>
      <c r="Q781" s="21" t="s">
        <v>59</v>
      </c>
      <c r="R781" s="25">
        <v>1</v>
      </c>
      <c r="S781" s="28"/>
      <c r="T781" s="31">
        <v>42336</v>
      </c>
      <c r="U781" s="33">
        <v>3100</v>
      </c>
      <c r="V781" s="36">
        <f t="shared" si="62"/>
        <v>3100</v>
      </c>
      <c r="W781" s="28"/>
      <c r="X781" s="31">
        <v>42349</v>
      </c>
      <c r="Y781" s="33">
        <v>3336</v>
      </c>
      <c r="Z781" s="189">
        <f t="shared" si="63"/>
        <v>3336</v>
      </c>
      <c r="AA781" s="190"/>
      <c r="AB781" s="31">
        <v>42356</v>
      </c>
      <c r="AC781" s="36">
        <v>3100</v>
      </c>
      <c r="AD781" s="8"/>
      <c r="AE781" s="6"/>
      <c r="AF781" s="52">
        <f t="shared" si="60"/>
        <v>131241600</v>
      </c>
      <c r="AG781" s="25">
        <f t="shared" si="61"/>
        <v>141276264</v>
      </c>
      <c r="AH781" s="52">
        <f t="shared" si="64"/>
        <v>131303600</v>
      </c>
      <c r="AI781" s="6"/>
      <c r="AJ781" s="6"/>
      <c r="AK781" s="6"/>
      <c r="AL781" s="6"/>
      <c r="AM781" s="6"/>
      <c r="AN781" s="6"/>
      <c r="AO781" s="6"/>
      <c r="AP781" s="6"/>
      <c r="AQ781" s="6"/>
      <c r="AR781" s="6"/>
    </row>
    <row r="782" spans="1:44">
      <c r="A782" s="6"/>
      <c r="B782" s="6"/>
      <c r="C782" s="6"/>
      <c r="D782" s="6"/>
      <c r="E782" s="6"/>
      <c r="F782" s="6"/>
      <c r="G782" s="11"/>
      <c r="H782" s="6"/>
      <c r="I782" s="6"/>
      <c r="J782" s="6"/>
      <c r="K782" s="7"/>
      <c r="L782" s="21" t="str">
        <f>микс!$H$10</f>
        <v>продажа со склада</v>
      </c>
      <c r="M782" s="22"/>
      <c r="N782" s="22"/>
      <c r="O782" s="22" t="s">
        <v>138</v>
      </c>
      <c r="P782" s="23" t="str">
        <f>микс!$H$49</f>
        <v>Товары для детей</v>
      </c>
      <c r="Q782" s="21" t="s">
        <v>59</v>
      </c>
      <c r="R782" s="25">
        <v>1</v>
      </c>
      <c r="S782" s="28"/>
      <c r="T782" s="31">
        <v>42067</v>
      </c>
      <c r="U782" s="33">
        <v>3026.67</v>
      </c>
      <c r="V782" s="36">
        <f t="shared" si="62"/>
        <v>3026.67</v>
      </c>
      <c r="W782" s="28"/>
      <c r="X782" s="31">
        <v>42318</v>
      </c>
      <c r="Y782" s="33">
        <v>3370</v>
      </c>
      <c r="Z782" s="189">
        <f t="shared" si="63"/>
        <v>3370</v>
      </c>
      <c r="AA782" s="190"/>
      <c r="AB782" s="31">
        <v>42097</v>
      </c>
      <c r="AC782" s="36">
        <v>3026.67</v>
      </c>
      <c r="AD782" s="8"/>
      <c r="AE782" s="6"/>
      <c r="AF782" s="52">
        <f t="shared" si="60"/>
        <v>127322926.89</v>
      </c>
      <c r="AG782" s="25">
        <f t="shared" si="61"/>
        <v>142611660</v>
      </c>
      <c r="AH782" s="52">
        <f t="shared" si="64"/>
        <v>127413726.99000001</v>
      </c>
      <c r="AI782" s="6"/>
      <c r="AJ782" s="6"/>
      <c r="AK782" s="6"/>
      <c r="AL782" s="6"/>
      <c r="AM782" s="6"/>
      <c r="AN782" s="6"/>
      <c r="AO782" s="6"/>
      <c r="AP782" s="6"/>
      <c r="AQ782" s="6"/>
      <c r="AR782" s="6"/>
    </row>
    <row r="783" spans="1:44">
      <c r="A783" s="6"/>
      <c r="B783" s="6"/>
      <c r="C783" s="6"/>
      <c r="D783" s="6"/>
      <c r="E783" s="6"/>
      <c r="F783" s="6"/>
      <c r="G783" s="11"/>
      <c r="H783" s="6"/>
      <c r="I783" s="6"/>
      <c r="J783" s="6"/>
      <c r="K783" s="7"/>
      <c r="L783" s="21" t="str">
        <f>микс!$H$11</f>
        <v>продажа под заказ</v>
      </c>
      <c r="M783" s="22"/>
      <c r="N783" s="22"/>
      <c r="O783" s="22" t="s">
        <v>138</v>
      </c>
      <c r="P783" s="23" t="str">
        <f>микс!$H$49</f>
        <v>Товары для детей</v>
      </c>
      <c r="Q783" s="21" t="s">
        <v>59</v>
      </c>
      <c r="R783" s="25">
        <v>1</v>
      </c>
      <c r="S783" s="28"/>
      <c r="T783" s="31">
        <v>42318</v>
      </c>
      <c r="U783" s="33">
        <v>3026.67</v>
      </c>
      <c r="V783" s="36">
        <f t="shared" si="62"/>
        <v>3026.67</v>
      </c>
      <c r="W783" s="28"/>
      <c r="X783" s="31">
        <v>42320</v>
      </c>
      <c r="Y783" s="33">
        <v>3370</v>
      </c>
      <c r="Z783" s="189">
        <f t="shared" si="63"/>
        <v>3370</v>
      </c>
      <c r="AA783" s="190"/>
      <c r="AB783" s="31"/>
      <c r="AC783" s="36"/>
      <c r="AD783" s="8"/>
      <c r="AE783" s="6"/>
      <c r="AF783" s="52">
        <f t="shared" si="60"/>
        <v>128082621.06</v>
      </c>
      <c r="AG783" s="25">
        <f t="shared" si="61"/>
        <v>142618400</v>
      </c>
      <c r="AH783" s="52">
        <f t="shared" si="64"/>
        <v>0</v>
      </c>
      <c r="AI783" s="6"/>
      <c r="AJ783" s="6"/>
      <c r="AK783" s="6"/>
      <c r="AL783" s="6"/>
      <c r="AM783" s="6"/>
      <c r="AN783" s="6"/>
      <c r="AO783" s="6"/>
      <c r="AP783" s="6"/>
      <c r="AQ783" s="6"/>
      <c r="AR783" s="6"/>
    </row>
    <row r="784" spans="1:44">
      <c r="A784" s="6"/>
      <c r="B784" s="6"/>
      <c r="C784" s="6"/>
      <c r="D784" s="6"/>
      <c r="E784" s="6"/>
      <c r="F784" s="6"/>
      <c r="G784" s="11"/>
      <c r="H784" s="6"/>
      <c r="I784" s="6"/>
      <c r="J784" s="6"/>
      <c r="K784" s="7"/>
      <c r="L784" s="21" t="str">
        <f>микс!$H$11</f>
        <v>продажа под заказ</v>
      </c>
      <c r="M784" s="22"/>
      <c r="N784" s="22"/>
      <c r="O784" s="22" t="s">
        <v>138</v>
      </c>
      <c r="P784" s="23" t="str">
        <f>микс!$H$49</f>
        <v>Товары для детей</v>
      </c>
      <c r="Q784" s="21" t="s">
        <v>59</v>
      </c>
      <c r="R784" s="25">
        <v>1</v>
      </c>
      <c r="S784" s="28"/>
      <c r="T784" s="31">
        <v>42307</v>
      </c>
      <c r="U784" s="33">
        <v>3100</v>
      </c>
      <c r="V784" s="36">
        <f t="shared" si="62"/>
        <v>3100</v>
      </c>
      <c r="W784" s="28"/>
      <c r="X784" s="31">
        <v>42315</v>
      </c>
      <c r="Y784" s="33">
        <v>3370</v>
      </c>
      <c r="Z784" s="189">
        <f t="shared" si="63"/>
        <v>3370</v>
      </c>
      <c r="AA784" s="190"/>
      <c r="AB784" s="31">
        <v>42352</v>
      </c>
      <c r="AC784" s="36">
        <v>3100</v>
      </c>
      <c r="AD784" s="8"/>
      <c r="AE784" s="6"/>
      <c r="AF784" s="52">
        <f t="shared" si="60"/>
        <v>131151700</v>
      </c>
      <c r="AG784" s="25">
        <f t="shared" si="61"/>
        <v>142601550</v>
      </c>
      <c r="AH784" s="52">
        <f t="shared" si="64"/>
        <v>131291200</v>
      </c>
      <c r="AI784" s="6"/>
      <c r="AJ784" s="6"/>
      <c r="AK784" s="6"/>
      <c r="AL784" s="6"/>
      <c r="AM784" s="6"/>
      <c r="AN784" s="6"/>
      <c r="AO784" s="6"/>
      <c r="AP784" s="6"/>
      <c r="AQ784" s="6"/>
      <c r="AR784" s="6"/>
    </row>
    <row r="785" spans="1:44">
      <c r="A785" s="6"/>
      <c r="B785" s="6"/>
      <c r="C785" s="6"/>
      <c r="D785" s="6"/>
      <c r="E785" s="6"/>
      <c r="F785" s="6"/>
      <c r="G785" s="11"/>
      <c r="H785" s="6"/>
      <c r="I785" s="6"/>
      <c r="J785" s="6"/>
      <c r="K785" s="7"/>
      <c r="L785" s="21" t="str">
        <f>микс!$H$11</f>
        <v>продажа под заказ</v>
      </c>
      <c r="M785" s="22"/>
      <c r="N785" s="22"/>
      <c r="O785" s="22" t="s">
        <v>138</v>
      </c>
      <c r="P785" s="23" t="str">
        <f>микс!$H$49</f>
        <v>Товары для детей</v>
      </c>
      <c r="Q785" s="21" t="s">
        <v>59</v>
      </c>
      <c r="R785" s="25">
        <v>1</v>
      </c>
      <c r="S785" s="28"/>
      <c r="T785" s="31">
        <v>42309</v>
      </c>
      <c r="U785" s="33">
        <v>3026.67</v>
      </c>
      <c r="V785" s="36">
        <f t="shared" si="62"/>
        <v>3026.67</v>
      </c>
      <c r="W785" s="28"/>
      <c r="X785" s="31">
        <v>42315</v>
      </c>
      <c r="Y785" s="33">
        <v>3267</v>
      </c>
      <c r="Z785" s="189">
        <f t="shared" si="63"/>
        <v>3267</v>
      </c>
      <c r="AA785" s="190"/>
      <c r="AB785" s="31">
        <v>42369</v>
      </c>
      <c r="AC785" s="36">
        <v>3026.67</v>
      </c>
      <c r="AD785" s="8"/>
      <c r="AE785" s="6"/>
      <c r="AF785" s="52">
        <f t="shared" si="60"/>
        <v>128055381.03</v>
      </c>
      <c r="AG785" s="25">
        <f t="shared" si="61"/>
        <v>138243105</v>
      </c>
      <c r="AH785" s="52">
        <f t="shared" si="64"/>
        <v>128236981.23</v>
      </c>
      <c r="AI785" s="6"/>
      <c r="AJ785" s="6"/>
      <c r="AK785" s="6"/>
      <c r="AL785" s="6"/>
      <c r="AM785" s="6"/>
      <c r="AN785" s="6"/>
      <c r="AO785" s="6"/>
      <c r="AP785" s="6"/>
      <c r="AQ785" s="6"/>
      <c r="AR785" s="6"/>
    </row>
    <row r="786" spans="1:44">
      <c r="A786" s="6"/>
      <c r="B786" s="6"/>
      <c r="C786" s="6"/>
      <c r="D786" s="6"/>
      <c r="E786" s="6"/>
      <c r="F786" s="6"/>
      <c r="G786" s="11"/>
      <c r="H786" s="6"/>
      <c r="I786" s="6"/>
      <c r="J786" s="6"/>
      <c r="K786" s="7"/>
      <c r="L786" s="21" t="str">
        <f>микс!$H$11</f>
        <v>продажа под заказ</v>
      </c>
      <c r="M786" s="22"/>
      <c r="N786" s="22"/>
      <c r="O786" s="22" t="s">
        <v>138</v>
      </c>
      <c r="P786" s="23" t="str">
        <f>микс!$H$49</f>
        <v>Товары для детей</v>
      </c>
      <c r="Q786" s="21" t="s">
        <v>102</v>
      </c>
      <c r="R786" s="25">
        <v>1</v>
      </c>
      <c r="S786" s="28"/>
      <c r="T786" s="31">
        <v>42302</v>
      </c>
      <c r="U786" s="33">
        <v>1961</v>
      </c>
      <c r="V786" s="36">
        <f t="shared" si="62"/>
        <v>1961</v>
      </c>
      <c r="W786" s="28"/>
      <c r="X786" s="31">
        <v>42308</v>
      </c>
      <c r="Y786" s="33">
        <v>2255</v>
      </c>
      <c r="Z786" s="189">
        <f t="shared" si="63"/>
        <v>2255</v>
      </c>
      <c r="AA786" s="190"/>
      <c r="AB786" s="31">
        <v>42352</v>
      </c>
      <c r="AC786" s="36">
        <v>1961</v>
      </c>
      <c r="AD786" s="8"/>
      <c r="AE786" s="6"/>
      <c r="AF786" s="52">
        <f t="shared" si="60"/>
        <v>82954222</v>
      </c>
      <c r="AG786" s="25">
        <f t="shared" si="61"/>
        <v>95404540</v>
      </c>
      <c r="AH786" s="52">
        <f t="shared" si="64"/>
        <v>83052272</v>
      </c>
      <c r="AI786" s="6"/>
      <c r="AJ786" s="6"/>
      <c r="AK786" s="6"/>
      <c r="AL786" s="6"/>
      <c r="AM786" s="6"/>
      <c r="AN786" s="6"/>
      <c r="AO786" s="6"/>
      <c r="AP786" s="6"/>
      <c r="AQ786" s="6"/>
      <c r="AR786" s="6"/>
    </row>
    <row r="787" spans="1:44">
      <c r="A787" s="6"/>
      <c r="B787" s="6"/>
      <c r="C787" s="6"/>
      <c r="D787" s="6"/>
      <c r="E787" s="6"/>
      <c r="F787" s="6"/>
      <c r="G787" s="11"/>
      <c r="H787" s="6"/>
      <c r="I787" s="6"/>
      <c r="J787" s="6"/>
      <c r="K787" s="7"/>
      <c r="L787" s="21" t="str">
        <f>микс!$H$11</f>
        <v>продажа под заказ</v>
      </c>
      <c r="M787" s="22"/>
      <c r="N787" s="22"/>
      <c r="O787" s="22" t="s">
        <v>138</v>
      </c>
      <c r="P787" s="23" t="str">
        <f>микс!$H$49</f>
        <v>Товары для детей</v>
      </c>
      <c r="Q787" s="21" t="s">
        <v>106</v>
      </c>
      <c r="R787" s="25">
        <v>1</v>
      </c>
      <c r="S787" s="28"/>
      <c r="T787" s="31">
        <v>42304</v>
      </c>
      <c r="U787" s="33">
        <v>1430</v>
      </c>
      <c r="V787" s="36">
        <f t="shared" si="62"/>
        <v>1430</v>
      </c>
      <c r="W787" s="28"/>
      <c r="X787" s="31">
        <v>42306</v>
      </c>
      <c r="Y787" s="33">
        <v>1535</v>
      </c>
      <c r="Z787" s="189">
        <f t="shared" si="63"/>
        <v>1535</v>
      </c>
      <c r="AA787" s="190"/>
      <c r="AB787" s="31">
        <v>42364</v>
      </c>
      <c r="AC787" s="36">
        <v>1430</v>
      </c>
      <c r="AD787" s="8"/>
      <c r="AE787" s="6"/>
      <c r="AF787" s="52">
        <f t="shared" si="60"/>
        <v>60494720</v>
      </c>
      <c r="AG787" s="25">
        <f t="shared" si="61"/>
        <v>64939710</v>
      </c>
      <c r="AH787" s="52">
        <f t="shared" si="64"/>
        <v>60580520</v>
      </c>
      <c r="AI787" s="6"/>
      <c r="AJ787" s="6"/>
      <c r="AK787" s="6"/>
      <c r="AL787" s="6"/>
      <c r="AM787" s="6"/>
      <c r="AN787" s="6"/>
      <c r="AO787" s="6"/>
      <c r="AP787" s="6"/>
      <c r="AQ787" s="6"/>
      <c r="AR787" s="6"/>
    </row>
    <row r="788" spans="1:44">
      <c r="A788" s="6"/>
      <c r="B788" s="6"/>
      <c r="C788" s="6"/>
      <c r="D788" s="6"/>
      <c r="E788" s="6"/>
      <c r="F788" s="6"/>
      <c r="G788" s="11"/>
      <c r="H788" s="6"/>
      <c r="I788" s="6"/>
      <c r="J788" s="6"/>
      <c r="K788" s="7"/>
      <c r="L788" s="21" t="str">
        <f>микс!$H$11</f>
        <v>продажа под заказ</v>
      </c>
      <c r="M788" s="22"/>
      <c r="N788" s="22"/>
      <c r="O788" s="22" t="s">
        <v>138</v>
      </c>
      <c r="P788" s="23" t="str">
        <f>микс!$H$49</f>
        <v>Товары для детей</v>
      </c>
      <c r="Q788" s="21" t="s">
        <v>118</v>
      </c>
      <c r="R788" s="25">
        <v>1</v>
      </c>
      <c r="S788" s="28"/>
      <c r="T788" s="31">
        <v>42296</v>
      </c>
      <c r="U788" s="33">
        <v>3919</v>
      </c>
      <c r="V788" s="36">
        <f t="shared" si="62"/>
        <v>3919</v>
      </c>
      <c r="W788" s="28"/>
      <c r="X788" s="31">
        <v>42299</v>
      </c>
      <c r="Y788" s="33">
        <v>4450</v>
      </c>
      <c r="Z788" s="189">
        <f t="shared" si="63"/>
        <v>4450</v>
      </c>
      <c r="AA788" s="190"/>
      <c r="AB788" s="31">
        <v>42326</v>
      </c>
      <c r="AC788" s="36">
        <v>3919</v>
      </c>
      <c r="AD788" s="8"/>
      <c r="AE788" s="6"/>
      <c r="AF788" s="52">
        <f t="shared" si="60"/>
        <v>165758024</v>
      </c>
      <c r="AG788" s="25">
        <f t="shared" si="61"/>
        <v>188230550</v>
      </c>
      <c r="AH788" s="52">
        <f t="shared" si="64"/>
        <v>165875594</v>
      </c>
      <c r="AI788" s="6"/>
      <c r="AJ788" s="6"/>
      <c r="AK788" s="6"/>
      <c r="AL788" s="6"/>
      <c r="AM788" s="6"/>
      <c r="AN788" s="6"/>
      <c r="AO788" s="6"/>
      <c r="AP788" s="6"/>
      <c r="AQ788" s="6"/>
      <c r="AR788" s="6"/>
    </row>
    <row r="789" spans="1:44">
      <c r="A789" s="6"/>
      <c r="B789" s="6"/>
      <c r="C789" s="6"/>
      <c r="D789" s="6"/>
      <c r="E789" s="6"/>
      <c r="F789" s="6"/>
      <c r="G789" s="11"/>
      <c r="H789" s="6"/>
      <c r="I789" s="6"/>
      <c r="J789" s="6"/>
      <c r="K789" s="7"/>
      <c r="L789" s="21" t="str">
        <f>микс!$H$10</f>
        <v>продажа со склада</v>
      </c>
      <c r="M789" s="22"/>
      <c r="N789" s="22"/>
      <c r="O789" s="22" t="s">
        <v>138</v>
      </c>
      <c r="P789" s="23" t="str">
        <f>микс!$H$49</f>
        <v>Товары для детей</v>
      </c>
      <c r="Q789" s="21" t="s">
        <v>118</v>
      </c>
      <c r="R789" s="25">
        <v>1</v>
      </c>
      <c r="S789" s="28"/>
      <c r="T789" s="31">
        <v>42057</v>
      </c>
      <c r="U789" s="33">
        <v>3919</v>
      </c>
      <c r="V789" s="36">
        <f t="shared" si="62"/>
        <v>3919</v>
      </c>
      <c r="W789" s="28"/>
      <c r="X789" s="31">
        <v>42308</v>
      </c>
      <c r="Y789" s="33">
        <v>4450</v>
      </c>
      <c r="Z789" s="189">
        <f t="shared" si="63"/>
        <v>4450</v>
      </c>
      <c r="AA789" s="190"/>
      <c r="AB789" s="31">
        <v>42077</v>
      </c>
      <c r="AC789" s="36">
        <v>3919</v>
      </c>
      <c r="AD789" s="8"/>
      <c r="AE789" s="6"/>
      <c r="AF789" s="52">
        <f t="shared" si="60"/>
        <v>164821383</v>
      </c>
      <c r="AG789" s="25">
        <f t="shared" si="61"/>
        <v>188270600</v>
      </c>
      <c r="AH789" s="52">
        <f t="shared" si="64"/>
        <v>164899763</v>
      </c>
      <c r="AI789" s="6"/>
      <c r="AJ789" s="6"/>
      <c r="AK789" s="6"/>
      <c r="AL789" s="6"/>
      <c r="AM789" s="6"/>
      <c r="AN789" s="6"/>
      <c r="AO789" s="6"/>
      <c r="AP789" s="6"/>
      <c r="AQ789" s="6"/>
      <c r="AR789" s="6"/>
    </row>
    <row r="790" spans="1:44">
      <c r="A790" s="6"/>
      <c r="B790" s="6"/>
      <c r="C790" s="6"/>
      <c r="D790" s="6"/>
      <c r="E790" s="6"/>
      <c r="F790" s="6"/>
      <c r="G790" s="11"/>
      <c r="H790" s="6"/>
      <c r="I790" s="6"/>
      <c r="J790" s="6"/>
      <c r="K790" s="7"/>
      <c r="L790" s="21" t="str">
        <f>микс!$H$10</f>
        <v>продажа со склада</v>
      </c>
      <c r="M790" s="22"/>
      <c r="N790" s="22"/>
      <c r="O790" s="22" t="s">
        <v>138</v>
      </c>
      <c r="P790" s="23" t="str">
        <f>микс!$H$49</f>
        <v>Товары для детей</v>
      </c>
      <c r="Q790" s="21" t="s">
        <v>118</v>
      </c>
      <c r="R790" s="25">
        <v>1</v>
      </c>
      <c r="S790" s="28"/>
      <c r="T790" s="31">
        <v>42064</v>
      </c>
      <c r="U790" s="33">
        <v>3919</v>
      </c>
      <c r="V790" s="36">
        <f t="shared" si="62"/>
        <v>3919</v>
      </c>
      <c r="W790" s="28"/>
      <c r="X790" s="31">
        <v>42315</v>
      </c>
      <c r="Y790" s="33">
        <v>4220</v>
      </c>
      <c r="Z790" s="189">
        <f t="shared" si="63"/>
        <v>4220</v>
      </c>
      <c r="AA790" s="190"/>
      <c r="AB790" s="31">
        <v>42074</v>
      </c>
      <c r="AC790" s="36">
        <v>3919</v>
      </c>
      <c r="AD790" s="8"/>
      <c r="AE790" s="6"/>
      <c r="AF790" s="52">
        <f t="shared" si="60"/>
        <v>164848816</v>
      </c>
      <c r="AG790" s="25">
        <f t="shared" si="61"/>
        <v>178569300</v>
      </c>
      <c r="AH790" s="52">
        <f t="shared" si="64"/>
        <v>164888006</v>
      </c>
      <c r="AI790" s="6"/>
      <c r="AJ790" s="6"/>
      <c r="AK790" s="6"/>
      <c r="AL790" s="6"/>
      <c r="AM790" s="6"/>
      <c r="AN790" s="6"/>
      <c r="AO790" s="6"/>
      <c r="AP790" s="6"/>
      <c r="AQ790" s="6"/>
      <c r="AR790" s="6"/>
    </row>
    <row r="791" spans="1:44">
      <c r="A791" s="6"/>
      <c r="B791" s="6"/>
      <c r="C791" s="6"/>
      <c r="D791" s="6"/>
      <c r="E791" s="6"/>
      <c r="F791" s="6"/>
      <c r="G791" s="11"/>
      <c r="H791" s="6"/>
      <c r="I791" s="6"/>
      <c r="J791" s="6"/>
      <c r="K791" s="7"/>
      <c r="L791" s="21" t="str">
        <f>микс!$H$11</f>
        <v>продажа под заказ</v>
      </c>
      <c r="M791" s="22"/>
      <c r="N791" s="22"/>
      <c r="O791" s="22" t="s">
        <v>138</v>
      </c>
      <c r="P791" s="23" t="str">
        <f>микс!$H$49</f>
        <v>Товары для детей</v>
      </c>
      <c r="Q791" s="21" t="s">
        <v>59</v>
      </c>
      <c r="R791" s="25">
        <v>1</v>
      </c>
      <c r="S791" s="28"/>
      <c r="T791" s="31">
        <v>42330</v>
      </c>
      <c r="U791" s="33">
        <v>3385</v>
      </c>
      <c r="V791" s="36">
        <f t="shared" si="62"/>
        <v>3385</v>
      </c>
      <c r="W791" s="28"/>
      <c r="X791" s="31">
        <v>42334</v>
      </c>
      <c r="Y791" s="33">
        <v>3590</v>
      </c>
      <c r="Z791" s="189">
        <f t="shared" si="63"/>
        <v>3590</v>
      </c>
      <c r="AA791" s="190"/>
      <c r="AB791" s="31"/>
      <c r="AC791" s="36"/>
      <c r="AD791" s="8"/>
      <c r="AE791" s="6"/>
      <c r="AF791" s="52">
        <f t="shared" si="60"/>
        <v>143287050</v>
      </c>
      <c r="AG791" s="25">
        <f t="shared" si="61"/>
        <v>151979060</v>
      </c>
      <c r="AH791" s="52">
        <f t="shared" si="64"/>
        <v>0</v>
      </c>
      <c r="AI791" s="6"/>
      <c r="AJ791" s="6"/>
      <c r="AK791" s="6"/>
      <c r="AL791" s="6"/>
      <c r="AM791" s="6"/>
      <c r="AN791" s="6"/>
      <c r="AO791" s="6"/>
      <c r="AP791" s="6"/>
      <c r="AQ791" s="6"/>
      <c r="AR791" s="6"/>
    </row>
    <row r="792" spans="1:44">
      <c r="A792" s="6"/>
      <c r="B792" s="6"/>
      <c r="C792" s="6"/>
      <c r="D792" s="6"/>
      <c r="E792" s="6"/>
      <c r="F792" s="6"/>
      <c r="G792" s="11"/>
      <c r="H792" s="6"/>
      <c r="I792" s="6"/>
      <c r="J792" s="6"/>
      <c r="K792" s="7"/>
      <c r="L792" s="21" t="str">
        <f>микс!$H$10</f>
        <v>продажа со склада</v>
      </c>
      <c r="M792" s="22"/>
      <c r="N792" s="22"/>
      <c r="O792" s="22" t="s">
        <v>138</v>
      </c>
      <c r="P792" s="23" t="str">
        <f>микс!$H$49</f>
        <v>Товары для детей</v>
      </c>
      <c r="Q792" s="21" t="s">
        <v>59</v>
      </c>
      <c r="R792" s="25">
        <v>1</v>
      </c>
      <c r="S792" s="28"/>
      <c r="T792" s="31">
        <v>42069</v>
      </c>
      <c r="U792" s="33">
        <v>2920</v>
      </c>
      <c r="V792" s="36">
        <f t="shared" si="62"/>
        <v>2920</v>
      </c>
      <c r="W792" s="28"/>
      <c r="X792" s="31">
        <v>42320</v>
      </c>
      <c r="Y792" s="33">
        <v>3045</v>
      </c>
      <c r="Z792" s="189">
        <f t="shared" si="63"/>
        <v>3045</v>
      </c>
      <c r="AA792" s="190"/>
      <c r="AB792" s="31">
        <v>42099</v>
      </c>
      <c r="AC792" s="36">
        <v>2920</v>
      </c>
      <c r="AD792" s="8"/>
      <c r="AE792" s="6"/>
      <c r="AF792" s="52">
        <f t="shared" si="60"/>
        <v>122841480</v>
      </c>
      <c r="AG792" s="25">
        <f t="shared" si="61"/>
        <v>128864400</v>
      </c>
      <c r="AH792" s="52">
        <f t="shared" si="64"/>
        <v>122929080</v>
      </c>
      <c r="AI792" s="6"/>
      <c r="AJ792" s="6"/>
      <c r="AK792" s="6"/>
      <c r="AL792" s="6"/>
      <c r="AM792" s="6"/>
      <c r="AN792" s="6"/>
      <c r="AO792" s="6"/>
      <c r="AP792" s="6"/>
      <c r="AQ792" s="6"/>
      <c r="AR792" s="6"/>
    </row>
    <row r="793" spans="1:44">
      <c r="A793" s="6"/>
      <c r="B793" s="6"/>
      <c r="C793" s="6"/>
      <c r="D793" s="6"/>
      <c r="E793" s="6"/>
      <c r="F793" s="6"/>
      <c r="G793" s="11"/>
      <c r="H793" s="6"/>
      <c r="I793" s="6"/>
      <c r="J793" s="6"/>
      <c r="K793" s="7"/>
      <c r="L793" s="21" t="str">
        <f>микс!$H$10</f>
        <v>продажа со склада</v>
      </c>
      <c r="M793" s="22"/>
      <c r="N793" s="22"/>
      <c r="O793" s="22" t="s">
        <v>138</v>
      </c>
      <c r="P793" s="23" t="str">
        <f>микс!$H$49</f>
        <v>Товары для детей</v>
      </c>
      <c r="Q793" s="21" t="s">
        <v>59</v>
      </c>
      <c r="R793" s="25">
        <v>1</v>
      </c>
      <c r="S793" s="28"/>
      <c r="T793" s="31">
        <v>42070</v>
      </c>
      <c r="U793" s="33">
        <v>896</v>
      </c>
      <c r="V793" s="36">
        <f t="shared" si="62"/>
        <v>896</v>
      </c>
      <c r="W793" s="28"/>
      <c r="X793" s="31">
        <v>42322</v>
      </c>
      <c r="Y793" s="33">
        <v>1160</v>
      </c>
      <c r="Z793" s="189">
        <f t="shared" si="63"/>
        <v>1160</v>
      </c>
      <c r="AA793" s="190"/>
      <c r="AB793" s="31">
        <v>42091</v>
      </c>
      <c r="AC793" s="36">
        <v>896</v>
      </c>
      <c r="AD793" s="8"/>
      <c r="AE793" s="6"/>
      <c r="AF793" s="52">
        <f t="shared" si="60"/>
        <v>37694720</v>
      </c>
      <c r="AG793" s="25">
        <f t="shared" si="61"/>
        <v>49093520</v>
      </c>
      <c r="AH793" s="52">
        <f t="shared" si="64"/>
        <v>37713536</v>
      </c>
      <c r="AI793" s="6"/>
      <c r="AJ793" s="6"/>
      <c r="AK793" s="6"/>
      <c r="AL793" s="6"/>
      <c r="AM793" s="6"/>
      <c r="AN793" s="6"/>
      <c r="AO793" s="6"/>
      <c r="AP793" s="6"/>
      <c r="AQ793" s="6"/>
      <c r="AR793" s="6"/>
    </row>
    <row r="794" spans="1:44">
      <c r="A794" s="6"/>
      <c r="B794" s="6"/>
      <c r="C794" s="6"/>
      <c r="D794" s="6"/>
      <c r="E794" s="6"/>
      <c r="F794" s="6"/>
      <c r="G794" s="11"/>
      <c r="H794" s="6"/>
      <c r="I794" s="6"/>
      <c r="J794" s="6"/>
      <c r="K794" s="7"/>
      <c r="L794" s="21" t="str">
        <f>микс!$H$11</f>
        <v>продажа под заказ</v>
      </c>
      <c r="M794" s="22"/>
      <c r="N794" s="22"/>
      <c r="O794" s="22" t="s">
        <v>138</v>
      </c>
      <c r="P794" s="23" t="str">
        <f>микс!$H$49</f>
        <v>Товары для детей</v>
      </c>
      <c r="Q794" s="21" t="s">
        <v>59</v>
      </c>
      <c r="R794" s="25">
        <v>1</v>
      </c>
      <c r="S794" s="28"/>
      <c r="T794" s="31">
        <v>42333</v>
      </c>
      <c r="U794" s="33">
        <v>4100</v>
      </c>
      <c r="V794" s="36">
        <f t="shared" si="62"/>
        <v>4100</v>
      </c>
      <c r="W794" s="28"/>
      <c r="X794" s="31">
        <v>42336</v>
      </c>
      <c r="Y794" s="33">
        <v>5990</v>
      </c>
      <c r="Z794" s="189">
        <f t="shared" si="63"/>
        <v>5990</v>
      </c>
      <c r="AA794" s="190"/>
      <c r="AB794" s="31"/>
      <c r="AC794" s="36"/>
      <c r="AD794" s="8"/>
      <c r="AE794" s="6"/>
      <c r="AF794" s="52">
        <f t="shared" si="60"/>
        <v>173565300</v>
      </c>
      <c r="AG794" s="25">
        <f t="shared" si="61"/>
        <v>253592640</v>
      </c>
      <c r="AH794" s="52">
        <f t="shared" si="64"/>
        <v>0</v>
      </c>
      <c r="AI794" s="6"/>
      <c r="AJ794" s="6"/>
      <c r="AK794" s="6"/>
      <c r="AL794" s="6"/>
      <c r="AM794" s="6"/>
      <c r="AN794" s="6"/>
      <c r="AO794" s="6"/>
      <c r="AP794" s="6"/>
      <c r="AQ794" s="6"/>
      <c r="AR794" s="6"/>
    </row>
    <row r="795" spans="1:44">
      <c r="A795" s="6"/>
      <c r="B795" s="6"/>
      <c r="C795" s="6"/>
      <c r="D795" s="6"/>
      <c r="E795" s="6"/>
      <c r="F795" s="6"/>
      <c r="G795" s="11"/>
      <c r="H795" s="6"/>
      <c r="I795" s="6"/>
      <c r="J795" s="6"/>
      <c r="K795" s="7"/>
      <c r="L795" s="21" t="str">
        <f>микс!$H$10</f>
        <v>продажа со склада</v>
      </c>
      <c r="M795" s="22"/>
      <c r="N795" s="22"/>
      <c r="O795" s="22" t="s">
        <v>138</v>
      </c>
      <c r="P795" s="23" t="str">
        <f>микс!$H$49</f>
        <v>Товары для детей</v>
      </c>
      <c r="Q795" s="21" t="s">
        <v>59</v>
      </c>
      <c r="R795" s="25">
        <v>1</v>
      </c>
      <c r="S795" s="28"/>
      <c r="T795" s="31">
        <v>42044</v>
      </c>
      <c r="U795" s="33">
        <v>3900</v>
      </c>
      <c r="V795" s="36">
        <f t="shared" si="62"/>
        <v>3900</v>
      </c>
      <c r="W795" s="28"/>
      <c r="X795" s="31">
        <v>42297</v>
      </c>
      <c r="Y795" s="33">
        <v>4118</v>
      </c>
      <c r="Z795" s="189">
        <f t="shared" si="63"/>
        <v>4118</v>
      </c>
      <c r="AA795" s="190"/>
      <c r="AB795" s="31">
        <v>42074</v>
      </c>
      <c r="AC795" s="36">
        <v>3900</v>
      </c>
      <c r="AD795" s="8"/>
      <c r="AE795" s="6"/>
      <c r="AF795" s="52">
        <f t="shared" si="60"/>
        <v>163971600</v>
      </c>
      <c r="AG795" s="25">
        <f t="shared" si="61"/>
        <v>174179046</v>
      </c>
      <c r="AH795" s="52">
        <f t="shared" si="64"/>
        <v>164088600</v>
      </c>
      <c r="AI795" s="6"/>
      <c r="AJ795" s="6"/>
      <c r="AK795" s="6"/>
      <c r="AL795" s="6"/>
      <c r="AM795" s="6"/>
      <c r="AN795" s="6"/>
      <c r="AO795" s="6"/>
      <c r="AP795" s="6"/>
      <c r="AQ795" s="6"/>
      <c r="AR795" s="6"/>
    </row>
    <row r="796" spans="1:44">
      <c r="A796" s="6"/>
      <c r="B796" s="6"/>
      <c r="C796" s="6"/>
      <c r="D796" s="6"/>
      <c r="E796" s="6"/>
      <c r="F796" s="6"/>
      <c r="G796" s="11"/>
      <c r="H796" s="6"/>
      <c r="I796" s="6"/>
      <c r="J796" s="6"/>
      <c r="K796" s="7"/>
      <c r="L796" s="21" t="str">
        <f>микс!$H$11</f>
        <v>продажа под заказ</v>
      </c>
      <c r="M796" s="22"/>
      <c r="N796" s="22"/>
      <c r="O796" s="22" t="s">
        <v>138</v>
      </c>
      <c r="P796" s="23" t="str">
        <f>микс!$H$49</f>
        <v>Товары для детей</v>
      </c>
      <c r="Q796" s="21" t="s">
        <v>59</v>
      </c>
      <c r="R796" s="25">
        <v>1</v>
      </c>
      <c r="S796" s="28"/>
      <c r="T796" s="31">
        <v>42333</v>
      </c>
      <c r="U796" s="33">
        <v>5150</v>
      </c>
      <c r="V796" s="36">
        <f t="shared" si="62"/>
        <v>5150</v>
      </c>
      <c r="W796" s="28"/>
      <c r="X796" s="31">
        <v>42336</v>
      </c>
      <c r="Y796" s="33">
        <v>5990</v>
      </c>
      <c r="Z796" s="189">
        <f t="shared" si="63"/>
        <v>5990</v>
      </c>
      <c r="AA796" s="190"/>
      <c r="AB796" s="31">
        <v>42348</v>
      </c>
      <c r="AC796" s="36">
        <v>5150</v>
      </c>
      <c r="AD796" s="8"/>
      <c r="AE796" s="6"/>
      <c r="AF796" s="52">
        <f t="shared" si="60"/>
        <v>218014950</v>
      </c>
      <c r="AG796" s="25">
        <f t="shared" si="61"/>
        <v>253592640</v>
      </c>
      <c r="AH796" s="52">
        <f t="shared" si="64"/>
        <v>218092200</v>
      </c>
      <c r="AI796" s="6"/>
      <c r="AJ796" s="6"/>
      <c r="AK796" s="6"/>
      <c r="AL796" s="6"/>
      <c r="AM796" s="6"/>
      <c r="AN796" s="6"/>
      <c r="AO796" s="6"/>
      <c r="AP796" s="6"/>
      <c r="AQ796" s="6"/>
      <c r="AR796" s="6"/>
    </row>
    <row r="797" spans="1:44">
      <c r="A797" s="6"/>
      <c r="B797" s="6"/>
      <c r="C797" s="6"/>
      <c r="D797" s="6"/>
      <c r="E797" s="6"/>
      <c r="F797" s="6"/>
      <c r="G797" s="11"/>
      <c r="H797" s="6"/>
      <c r="I797" s="6"/>
      <c r="J797" s="6"/>
      <c r="K797" s="7"/>
      <c r="L797" s="21" t="str">
        <f>микс!$H$11</f>
        <v>продажа под заказ</v>
      </c>
      <c r="M797" s="22"/>
      <c r="N797" s="22"/>
      <c r="O797" s="22" t="s">
        <v>138</v>
      </c>
      <c r="P797" s="23" t="str">
        <f>микс!$H$49</f>
        <v>Товары для детей</v>
      </c>
      <c r="Q797" s="21" t="s">
        <v>59</v>
      </c>
      <c r="R797" s="25">
        <v>1</v>
      </c>
      <c r="S797" s="28"/>
      <c r="T797" s="31">
        <v>42335</v>
      </c>
      <c r="U797" s="33">
        <v>5150</v>
      </c>
      <c r="V797" s="36">
        <f t="shared" si="62"/>
        <v>5150</v>
      </c>
      <c r="W797" s="28"/>
      <c r="X797" s="31">
        <v>42341</v>
      </c>
      <c r="Y797" s="33">
        <v>5805</v>
      </c>
      <c r="Z797" s="189">
        <f t="shared" si="63"/>
        <v>5805</v>
      </c>
      <c r="AA797" s="190"/>
      <c r="AB797" s="31">
        <v>42357</v>
      </c>
      <c r="AC797" s="36">
        <v>5150</v>
      </c>
      <c r="AD797" s="8"/>
      <c r="AE797" s="6"/>
      <c r="AF797" s="52">
        <f t="shared" si="60"/>
        <v>218025250</v>
      </c>
      <c r="AG797" s="25">
        <f t="shared" si="61"/>
        <v>245789505</v>
      </c>
      <c r="AH797" s="52">
        <f t="shared" si="64"/>
        <v>218138550</v>
      </c>
      <c r="AI797" s="6"/>
      <c r="AJ797" s="6"/>
      <c r="AK797" s="6"/>
      <c r="AL797" s="6"/>
      <c r="AM797" s="6"/>
      <c r="AN797" s="6"/>
      <c r="AO797" s="6"/>
      <c r="AP797" s="6"/>
      <c r="AQ797" s="6"/>
      <c r="AR797" s="6"/>
    </row>
    <row r="798" spans="1:44">
      <c r="A798" s="6"/>
      <c r="B798" s="6"/>
      <c r="C798" s="6"/>
      <c r="D798" s="6"/>
      <c r="E798" s="6"/>
      <c r="F798" s="6"/>
      <c r="G798" s="11"/>
      <c r="H798" s="6"/>
      <c r="I798" s="6"/>
      <c r="J798" s="6"/>
      <c r="K798" s="7"/>
      <c r="L798" s="21" t="str">
        <f>микс!$H$11</f>
        <v>продажа под заказ</v>
      </c>
      <c r="M798" s="22"/>
      <c r="N798" s="22"/>
      <c r="O798" s="22" t="s">
        <v>138</v>
      </c>
      <c r="P798" s="23" t="str">
        <f>микс!$H$49</f>
        <v>Товары для детей</v>
      </c>
      <c r="Q798" s="21" t="s">
        <v>59</v>
      </c>
      <c r="R798" s="25">
        <v>1</v>
      </c>
      <c r="S798" s="28"/>
      <c r="T798" s="31">
        <v>42335</v>
      </c>
      <c r="U798" s="33">
        <v>5760</v>
      </c>
      <c r="V798" s="36">
        <f t="shared" si="62"/>
        <v>5760</v>
      </c>
      <c r="W798" s="28"/>
      <c r="X798" s="31">
        <v>42338</v>
      </c>
      <c r="Y798" s="33">
        <v>5931</v>
      </c>
      <c r="Z798" s="189">
        <f t="shared" si="63"/>
        <v>5931</v>
      </c>
      <c r="AA798" s="190"/>
      <c r="AB798" s="31"/>
      <c r="AC798" s="36"/>
      <c r="AD798" s="8"/>
      <c r="AE798" s="6"/>
      <c r="AF798" s="52">
        <f t="shared" si="60"/>
        <v>243849600</v>
      </c>
      <c r="AG798" s="25">
        <f t="shared" si="61"/>
        <v>251106678</v>
      </c>
      <c r="AH798" s="52">
        <f t="shared" si="64"/>
        <v>0</v>
      </c>
      <c r="AI798" s="6"/>
      <c r="AJ798" s="6"/>
      <c r="AK798" s="6"/>
      <c r="AL798" s="6"/>
      <c r="AM798" s="6"/>
      <c r="AN798" s="6"/>
      <c r="AO798" s="6"/>
      <c r="AP798" s="6"/>
      <c r="AQ798" s="6"/>
      <c r="AR798" s="6"/>
    </row>
    <row r="799" spans="1:44">
      <c r="A799" s="6"/>
      <c r="B799" s="6"/>
      <c r="C799" s="6"/>
      <c r="D799" s="6"/>
      <c r="E799" s="6"/>
      <c r="F799" s="6"/>
      <c r="G799" s="11"/>
      <c r="H799" s="6"/>
      <c r="I799" s="6"/>
      <c r="J799" s="6"/>
      <c r="K799" s="7"/>
      <c r="L799" s="21" t="str">
        <f>микс!$H$11</f>
        <v>продажа под заказ</v>
      </c>
      <c r="M799" s="22"/>
      <c r="N799" s="22"/>
      <c r="O799" s="22" t="s">
        <v>138</v>
      </c>
      <c r="P799" s="23" t="str">
        <f>микс!$H$49</f>
        <v>Товары для детей</v>
      </c>
      <c r="Q799" s="21" t="s">
        <v>59</v>
      </c>
      <c r="R799" s="25">
        <v>1</v>
      </c>
      <c r="S799" s="28"/>
      <c r="T799" s="31">
        <v>42336</v>
      </c>
      <c r="U799" s="33">
        <v>5760</v>
      </c>
      <c r="V799" s="36">
        <f t="shared" si="62"/>
        <v>5760</v>
      </c>
      <c r="W799" s="28"/>
      <c r="X799" s="31">
        <v>42341</v>
      </c>
      <c r="Y799" s="33">
        <v>5931</v>
      </c>
      <c r="Z799" s="189">
        <f t="shared" si="63"/>
        <v>5931</v>
      </c>
      <c r="AA799" s="190"/>
      <c r="AB799" s="31">
        <v>42341</v>
      </c>
      <c r="AC799" s="36">
        <v>5760</v>
      </c>
      <c r="AD799" s="8"/>
      <c r="AE799" s="6"/>
      <c r="AF799" s="52">
        <f t="shared" si="60"/>
        <v>243855360</v>
      </c>
      <c r="AG799" s="25">
        <f t="shared" si="61"/>
        <v>251124471</v>
      </c>
      <c r="AH799" s="52">
        <f t="shared" si="64"/>
        <v>243884160</v>
      </c>
      <c r="AI799" s="6"/>
      <c r="AJ799" s="6"/>
      <c r="AK799" s="6"/>
      <c r="AL799" s="6"/>
      <c r="AM799" s="6"/>
      <c r="AN799" s="6"/>
      <c r="AO799" s="6"/>
      <c r="AP799" s="6"/>
      <c r="AQ799" s="6"/>
      <c r="AR799" s="6"/>
    </row>
    <row r="800" spans="1:44">
      <c r="A800" s="6"/>
      <c r="B800" s="6"/>
      <c r="C800" s="6"/>
      <c r="D800" s="6"/>
      <c r="E800" s="6"/>
      <c r="F800" s="6"/>
      <c r="G800" s="11"/>
      <c r="H800" s="6"/>
      <c r="I800" s="6"/>
      <c r="J800" s="6"/>
      <c r="K800" s="7"/>
      <c r="L800" s="21" t="str">
        <f>микс!$H$11</f>
        <v>продажа под заказ</v>
      </c>
      <c r="M800" s="22"/>
      <c r="N800" s="22"/>
      <c r="O800" s="22" t="s">
        <v>138</v>
      </c>
      <c r="P800" s="23" t="str">
        <f>микс!$H$49</f>
        <v>Товары для детей</v>
      </c>
      <c r="Q800" s="21" t="s">
        <v>59</v>
      </c>
      <c r="R800" s="25">
        <v>1</v>
      </c>
      <c r="S800" s="28"/>
      <c r="T800" s="31">
        <v>42332</v>
      </c>
      <c r="U800" s="33">
        <v>5760</v>
      </c>
      <c r="V800" s="36">
        <f t="shared" si="62"/>
        <v>5760</v>
      </c>
      <c r="W800" s="28"/>
      <c r="X800" s="31">
        <v>42335</v>
      </c>
      <c r="Y800" s="33">
        <v>5990</v>
      </c>
      <c r="Z800" s="189">
        <f t="shared" si="63"/>
        <v>5990</v>
      </c>
      <c r="AA800" s="190"/>
      <c r="AB800" s="31"/>
      <c r="AC800" s="36"/>
      <c r="AD800" s="8"/>
      <c r="AE800" s="6"/>
      <c r="AF800" s="52">
        <f t="shared" si="60"/>
        <v>243832320</v>
      </c>
      <c r="AG800" s="25">
        <f t="shared" si="61"/>
        <v>253586650</v>
      </c>
      <c r="AH800" s="52">
        <f t="shared" si="64"/>
        <v>0</v>
      </c>
      <c r="AI800" s="6"/>
      <c r="AJ800" s="6"/>
      <c r="AK800" s="6"/>
      <c r="AL800" s="6"/>
      <c r="AM800" s="6"/>
      <c r="AN800" s="6"/>
      <c r="AO800" s="6"/>
      <c r="AP800" s="6"/>
      <c r="AQ800" s="6"/>
      <c r="AR800" s="6"/>
    </row>
    <row r="801" spans="1:44">
      <c r="A801" s="6"/>
      <c r="B801" s="6"/>
      <c r="C801" s="6"/>
      <c r="D801" s="6"/>
      <c r="E801" s="6"/>
      <c r="F801" s="6"/>
      <c r="G801" s="11"/>
      <c r="H801" s="6"/>
      <c r="I801" s="6"/>
      <c r="J801" s="6"/>
      <c r="K801" s="7"/>
      <c r="L801" s="21" t="str">
        <f>микс!$H$11</f>
        <v>продажа под заказ</v>
      </c>
      <c r="M801" s="22"/>
      <c r="N801" s="22"/>
      <c r="O801" s="22" t="s">
        <v>138</v>
      </c>
      <c r="P801" s="23" t="str">
        <f>микс!$H$49</f>
        <v>Товары для детей</v>
      </c>
      <c r="Q801" s="21" t="s">
        <v>59</v>
      </c>
      <c r="R801" s="25">
        <v>1</v>
      </c>
      <c r="S801" s="28"/>
      <c r="T801" s="31">
        <v>42336</v>
      </c>
      <c r="U801" s="33">
        <v>5760</v>
      </c>
      <c r="V801" s="36">
        <f t="shared" si="62"/>
        <v>5760</v>
      </c>
      <c r="W801" s="28"/>
      <c r="X801" s="31">
        <v>42342</v>
      </c>
      <c r="Y801" s="33">
        <v>5931</v>
      </c>
      <c r="Z801" s="189">
        <f t="shared" si="63"/>
        <v>5931</v>
      </c>
      <c r="AA801" s="190"/>
      <c r="AB801" s="31"/>
      <c r="AC801" s="36"/>
      <c r="AD801" s="8"/>
      <c r="AE801" s="6"/>
      <c r="AF801" s="52">
        <f t="shared" si="60"/>
        <v>243855360</v>
      </c>
      <c r="AG801" s="25">
        <f t="shared" si="61"/>
        <v>251130402</v>
      </c>
      <c r="AH801" s="52">
        <f t="shared" si="64"/>
        <v>0</v>
      </c>
      <c r="AI801" s="6"/>
      <c r="AJ801" s="6"/>
      <c r="AK801" s="6"/>
      <c r="AL801" s="6"/>
      <c r="AM801" s="6"/>
      <c r="AN801" s="6"/>
      <c r="AO801" s="6"/>
      <c r="AP801" s="6"/>
      <c r="AQ801" s="6"/>
      <c r="AR801" s="6"/>
    </row>
    <row r="802" spans="1:44">
      <c r="A802" s="6"/>
      <c r="B802" s="6"/>
      <c r="C802" s="6"/>
      <c r="D802" s="6"/>
      <c r="E802" s="6"/>
      <c r="F802" s="6"/>
      <c r="G802" s="11"/>
      <c r="H802" s="6"/>
      <c r="I802" s="6"/>
      <c r="J802" s="6"/>
      <c r="K802" s="7"/>
      <c r="L802" s="21" t="str">
        <f>микс!$H$11</f>
        <v>продажа под заказ</v>
      </c>
      <c r="M802" s="22"/>
      <c r="N802" s="22"/>
      <c r="O802" s="22" t="s">
        <v>138</v>
      </c>
      <c r="P802" s="23" t="str">
        <f>микс!$H$49</f>
        <v>Товары для детей</v>
      </c>
      <c r="Q802" s="21" t="s">
        <v>59</v>
      </c>
      <c r="R802" s="25">
        <v>2</v>
      </c>
      <c r="S802" s="28"/>
      <c r="T802" s="31">
        <v>42312</v>
      </c>
      <c r="U802" s="33">
        <v>407.1</v>
      </c>
      <c r="V802" s="36">
        <f t="shared" si="62"/>
        <v>814.2</v>
      </c>
      <c r="W802" s="28"/>
      <c r="X802" s="31">
        <v>42314</v>
      </c>
      <c r="Y802" s="33">
        <v>530</v>
      </c>
      <c r="Z802" s="189">
        <f t="shared" si="63"/>
        <v>1060</v>
      </c>
      <c r="AA802" s="190"/>
      <c r="AB802" s="31">
        <v>42327</v>
      </c>
      <c r="AC802" s="36">
        <v>814.2</v>
      </c>
      <c r="AD802" s="8"/>
      <c r="AE802" s="6"/>
      <c r="AF802" s="52">
        <f t="shared" si="60"/>
        <v>34450430.399999999</v>
      </c>
      <c r="AG802" s="25">
        <f t="shared" si="61"/>
        <v>44852840</v>
      </c>
      <c r="AH802" s="52">
        <f t="shared" si="64"/>
        <v>34462643.399999999</v>
      </c>
      <c r="AI802" s="6"/>
      <c r="AJ802" s="6"/>
      <c r="AK802" s="6"/>
      <c r="AL802" s="6"/>
      <c r="AM802" s="6"/>
      <c r="AN802" s="6"/>
      <c r="AO802" s="6"/>
      <c r="AP802" s="6"/>
      <c r="AQ802" s="6"/>
      <c r="AR802" s="6"/>
    </row>
    <row r="803" spans="1:44">
      <c r="A803" s="6"/>
      <c r="B803" s="6"/>
      <c r="C803" s="6"/>
      <c r="D803" s="6"/>
      <c r="E803" s="6"/>
      <c r="F803" s="6"/>
      <c r="G803" s="11"/>
      <c r="H803" s="6"/>
      <c r="I803" s="6"/>
      <c r="J803" s="6"/>
      <c r="K803" s="7"/>
      <c r="L803" s="21" t="str">
        <f>микс!$H$11</f>
        <v>продажа под заказ</v>
      </c>
      <c r="M803" s="22"/>
      <c r="N803" s="22"/>
      <c r="O803" s="22" t="s">
        <v>138</v>
      </c>
      <c r="P803" s="23" t="str">
        <f>микс!$H$49</f>
        <v>Товары для детей</v>
      </c>
      <c r="Q803" s="21" t="s">
        <v>59</v>
      </c>
      <c r="R803" s="25">
        <v>2</v>
      </c>
      <c r="S803" s="28"/>
      <c r="T803" s="31">
        <v>42311</v>
      </c>
      <c r="U803" s="33">
        <v>407.1</v>
      </c>
      <c r="V803" s="36">
        <f t="shared" si="62"/>
        <v>814.2</v>
      </c>
      <c r="W803" s="28"/>
      <c r="X803" s="31">
        <v>42314</v>
      </c>
      <c r="Y803" s="33">
        <v>530</v>
      </c>
      <c r="Z803" s="189">
        <f t="shared" si="63"/>
        <v>1060</v>
      </c>
      <c r="AA803" s="190"/>
      <c r="AB803" s="31">
        <v>42361</v>
      </c>
      <c r="AC803" s="36">
        <v>814.2</v>
      </c>
      <c r="AD803" s="8"/>
      <c r="AE803" s="6"/>
      <c r="AF803" s="52">
        <f t="shared" si="60"/>
        <v>34449616.200000003</v>
      </c>
      <c r="AG803" s="25">
        <f t="shared" si="61"/>
        <v>44852840</v>
      </c>
      <c r="AH803" s="52">
        <f t="shared" si="64"/>
        <v>34490326.200000003</v>
      </c>
      <c r="AI803" s="6"/>
      <c r="AJ803" s="6"/>
      <c r="AK803" s="6"/>
      <c r="AL803" s="6"/>
      <c r="AM803" s="6"/>
      <c r="AN803" s="6"/>
      <c r="AO803" s="6"/>
      <c r="AP803" s="6"/>
      <c r="AQ803" s="6"/>
      <c r="AR803" s="6"/>
    </row>
    <row r="804" spans="1:44">
      <c r="A804" s="6"/>
      <c r="B804" s="6"/>
      <c r="C804" s="6"/>
      <c r="D804" s="6"/>
      <c r="E804" s="6"/>
      <c r="F804" s="6"/>
      <c r="G804" s="11"/>
      <c r="H804" s="6"/>
      <c r="I804" s="6"/>
      <c r="J804" s="6"/>
      <c r="K804" s="7"/>
      <c r="L804" s="21" t="str">
        <f>микс!$H$11</f>
        <v>продажа под заказ</v>
      </c>
      <c r="M804" s="22"/>
      <c r="N804" s="22"/>
      <c r="O804" s="22" t="s">
        <v>138</v>
      </c>
      <c r="P804" s="23" t="str">
        <f>микс!$H$49</f>
        <v>Товары для детей</v>
      </c>
      <c r="Q804" s="21" t="s">
        <v>59</v>
      </c>
      <c r="R804" s="25">
        <v>2</v>
      </c>
      <c r="S804" s="28"/>
      <c r="T804" s="31">
        <v>42315</v>
      </c>
      <c r="U804" s="33">
        <v>407.1</v>
      </c>
      <c r="V804" s="36">
        <f t="shared" si="62"/>
        <v>814.2</v>
      </c>
      <c r="W804" s="28"/>
      <c r="X804" s="31">
        <v>42319</v>
      </c>
      <c r="Y804" s="33">
        <v>613</v>
      </c>
      <c r="Z804" s="189">
        <f t="shared" si="63"/>
        <v>1226</v>
      </c>
      <c r="AA804" s="190"/>
      <c r="AB804" s="31">
        <v>42335</v>
      </c>
      <c r="AC804" s="36">
        <v>814.2</v>
      </c>
      <c r="AD804" s="8"/>
      <c r="AE804" s="6"/>
      <c r="AF804" s="52">
        <f t="shared" si="60"/>
        <v>34452873</v>
      </c>
      <c r="AG804" s="25">
        <f t="shared" si="61"/>
        <v>51883094</v>
      </c>
      <c r="AH804" s="52">
        <f t="shared" si="64"/>
        <v>34469157</v>
      </c>
      <c r="AI804" s="6"/>
      <c r="AJ804" s="6"/>
      <c r="AK804" s="6"/>
      <c r="AL804" s="6"/>
      <c r="AM804" s="6"/>
      <c r="AN804" s="6"/>
      <c r="AO804" s="6"/>
      <c r="AP804" s="6"/>
      <c r="AQ804" s="6"/>
      <c r="AR804" s="6"/>
    </row>
    <row r="805" spans="1:44">
      <c r="A805" s="6"/>
      <c r="B805" s="6"/>
      <c r="C805" s="6"/>
      <c r="D805" s="6"/>
      <c r="E805" s="6"/>
      <c r="F805" s="6"/>
      <c r="G805" s="11"/>
      <c r="H805" s="6"/>
      <c r="I805" s="6"/>
      <c r="J805" s="6"/>
      <c r="K805" s="7"/>
      <c r="L805" s="21" t="str">
        <f>микс!$H$11</f>
        <v>продажа под заказ</v>
      </c>
      <c r="M805" s="22"/>
      <c r="N805" s="22"/>
      <c r="O805" s="22" t="s">
        <v>138</v>
      </c>
      <c r="P805" s="23" t="str">
        <f>микс!$H$49</f>
        <v>Товары для детей</v>
      </c>
      <c r="Q805" s="21" t="s">
        <v>59</v>
      </c>
      <c r="R805" s="25">
        <v>1</v>
      </c>
      <c r="S805" s="28"/>
      <c r="T805" s="31">
        <v>42325</v>
      </c>
      <c r="U805" s="33">
        <v>1550</v>
      </c>
      <c r="V805" s="36">
        <f t="shared" si="62"/>
        <v>1550</v>
      </c>
      <c r="W805" s="28"/>
      <c r="X805" s="31">
        <v>42327</v>
      </c>
      <c r="Y805" s="33">
        <v>1980</v>
      </c>
      <c r="Z805" s="189">
        <f t="shared" si="63"/>
        <v>1980</v>
      </c>
      <c r="AA805" s="190"/>
      <c r="AB805" s="31">
        <v>42355</v>
      </c>
      <c r="AC805" s="36">
        <v>1550</v>
      </c>
      <c r="AD805" s="8"/>
      <c r="AE805" s="6"/>
      <c r="AF805" s="52">
        <f t="shared" si="60"/>
        <v>65603750</v>
      </c>
      <c r="AG805" s="25">
        <f t="shared" si="61"/>
        <v>83807460</v>
      </c>
      <c r="AH805" s="52">
        <f t="shared" si="64"/>
        <v>65650250</v>
      </c>
      <c r="AI805" s="6"/>
      <c r="AJ805" s="6"/>
      <c r="AK805" s="6"/>
      <c r="AL805" s="6"/>
      <c r="AM805" s="6"/>
      <c r="AN805" s="6"/>
      <c r="AO805" s="6"/>
      <c r="AP805" s="6"/>
      <c r="AQ805" s="6"/>
      <c r="AR805" s="6"/>
    </row>
    <row r="806" spans="1:44">
      <c r="A806" s="6"/>
      <c r="B806" s="6"/>
      <c r="C806" s="6"/>
      <c r="D806" s="6"/>
      <c r="E806" s="6"/>
      <c r="F806" s="6"/>
      <c r="G806" s="11"/>
      <c r="H806" s="6"/>
      <c r="I806" s="6"/>
      <c r="J806" s="6"/>
      <c r="K806" s="7"/>
      <c r="L806" s="21" t="str">
        <f>микс!$H$10</f>
        <v>продажа со склада</v>
      </c>
      <c r="M806" s="22"/>
      <c r="N806" s="22"/>
      <c r="O806" s="22" t="s">
        <v>138</v>
      </c>
      <c r="P806" s="23" t="str">
        <f>микс!$H$49</f>
        <v>Товары для детей</v>
      </c>
      <c r="Q806" s="21" t="s">
        <v>59</v>
      </c>
      <c r="R806" s="25">
        <v>1</v>
      </c>
      <c r="S806" s="28"/>
      <c r="T806" s="31">
        <v>42063</v>
      </c>
      <c r="U806" s="33">
        <v>708</v>
      </c>
      <c r="V806" s="36">
        <f t="shared" si="62"/>
        <v>708</v>
      </c>
      <c r="W806" s="28"/>
      <c r="X806" s="31">
        <v>42314</v>
      </c>
      <c r="Y806" s="33">
        <v>950</v>
      </c>
      <c r="Z806" s="189">
        <f t="shared" si="63"/>
        <v>950</v>
      </c>
      <c r="AA806" s="190"/>
      <c r="AB806" s="31">
        <v>42088</v>
      </c>
      <c r="AC806" s="36">
        <v>708</v>
      </c>
      <c r="AD806" s="8"/>
      <c r="AE806" s="6"/>
      <c r="AF806" s="52">
        <f t="shared" si="60"/>
        <v>29780604</v>
      </c>
      <c r="AG806" s="25">
        <f t="shared" si="61"/>
        <v>40198300</v>
      </c>
      <c r="AH806" s="52">
        <f t="shared" si="64"/>
        <v>29798304</v>
      </c>
      <c r="AI806" s="6"/>
      <c r="AJ806" s="6"/>
      <c r="AK806" s="6"/>
      <c r="AL806" s="6"/>
      <c r="AM806" s="6"/>
      <c r="AN806" s="6"/>
      <c r="AO806" s="6"/>
      <c r="AP806" s="6"/>
      <c r="AQ806" s="6"/>
      <c r="AR806" s="6"/>
    </row>
    <row r="807" spans="1:44">
      <c r="A807" s="6"/>
      <c r="B807" s="6"/>
      <c r="C807" s="6"/>
      <c r="D807" s="6"/>
      <c r="E807" s="6"/>
      <c r="F807" s="6"/>
      <c r="G807" s="11"/>
      <c r="H807" s="6"/>
      <c r="I807" s="6"/>
      <c r="J807" s="6"/>
      <c r="K807" s="7"/>
      <c r="L807" s="21" t="str">
        <f>микс!$H$10</f>
        <v>продажа со склада</v>
      </c>
      <c r="M807" s="22"/>
      <c r="N807" s="22"/>
      <c r="O807" s="22" t="s">
        <v>138</v>
      </c>
      <c r="P807" s="23" t="str">
        <f>микс!$H$49</f>
        <v>Товары для детей</v>
      </c>
      <c r="Q807" s="21" t="s">
        <v>59</v>
      </c>
      <c r="R807" s="25">
        <v>1</v>
      </c>
      <c r="S807" s="28"/>
      <c r="T807" s="31">
        <v>42055</v>
      </c>
      <c r="U807" s="33">
        <v>3900</v>
      </c>
      <c r="V807" s="36">
        <f t="shared" si="62"/>
        <v>3900</v>
      </c>
      <c r="W807" s="28"/>
      <c r="X807" s="31">
        <v>42307</v>
      </c>
      <c r="Y807" s="33">
        <v>3999</v>
      </c>
      <c r="Z807" s="189">
        <f t="shared" si="63"/>
        <v>3999</v>
      </c>
      <c r="AA807" s="190"/>
      <c r="AB807" s="31">
        <v>42065</v>
      </c>
      <c r="AC807" s="36">
        <v>3900</v>
      </c>
      <c r="AD807" s="8"/>
      <c r="AE807" s="6"/>
      <c r="AF807" s="52">
        <f t="shared" si="60"/>
        <v>164014500</v>
      </c>
      <c r="AG807" s="25">
        <f t="shared" si="61"/>
        <v>169185693</v>
      </c>
      <c r="AH807" s="52">
        <f t="shared" si="64"/>
        <v>164053500</v>
      </c>
      <c r="AI807" s="6"/>
      <c r="AJ807" s="6"/>
      <c r="AK807" s="6"/>
      <c r="AL807" s="6"/>
      <c r="AM807" s="6"/>
      <c r="AN807" s="6"/>
      <c r="AO807" s="6"/>
      <c r="AP807" s="6"/>
      <c r="AQ807" s="6"/>
      <c r="AR807" s="6"/>
    </row>
    <row r="808" spans="1:44">
      <c r="A808" s="6"/>
      <c r="B808" s="6"/>
      <c r="C808" s="6"/>
      <c r="D808" s="6"/>
      <c r="E808" s="6"/>
      <c r="F808" s="6"/>
      <c r="G808" s="11"/>
      <c r="H808" s="6"/>
      <c r="I808" s="6"/>
      <c r="J808" s="6"/>
      <c r="K808" s="7"/>
      <c r="L808" s="21" t="str">
        <f>микс!$H$10</f>
        <v>продажа со склада</v>
      </c>
      <c r="M808" s="22"/>
      <c r="N808" s="22"/>
      <c r="O808" s="22" t="s">
        <v>138</v>
      </c>
      <c r="P808" s="23" t="str">
        <f>микс!$H$49</f>
        <v>Товары для детей</v>
      </c>
      <c r="Q808" s="21" t="s">
        <v>59</v>
      </c>
      <c r="R808" s="25">
        <v>1</v>
      </c>
      <c r="S808" s="28"/>
      <c r="T808" s="31">
        <v>42051</v>
      </c>
      <c r="U808" s="33">
        <v>3900</v>
      </c>
      <c r="V808" s="36">
        <f t="shared" si="62"/>
        <v>3900</v>
      </c>
      <c r="W808" s="28"/>
      <c r="X808" s="31">
        <v>42309</v>
      </c>
      <c r="Y808" s="33">
        <v>4118</v>
      </c>
      <c r="Z808" s="189">
        <f t="shared" si="63"/>
        <v>4118</v>
      </c>
      <c r="AA808" s="190"/>
      <c r="AB808" s="31"/>
      <c r="AC808" s="36"/>
      <c r="AD808" s="8"/>
      <c r="AE808" s="6"/>
      <c r="AF808" s="52">
        <f t="shared" si="60"/>
        <v>163998900</v>
      </c>
      <c r="AG808" s="25">
        <f t="shared" si="61"/>
        <v>174228462</v>
      </c>
      <c r="AH808" s="52">
        <f t="shared" si="64"/>
        <v>0</v>
      </c>
      <c r="AI808" s="6"/>
      <c r="AJ808" s="6"/>
      <c r="AK808" s="6"/>
      <c r="AL808" s="6"/>
      <c r="AM808" s="6"/>
      <c r="AN808" s="6"/>
      <c r="AO808" s="6"/>
      <c r="AP808" s="6"/>
      <c r="AQ808" s="6"/>
      <c r="AR808" s="6"/>
    </row>
    <row r="809" spans="1:44">
      <c r="A809" s="6"/>
      <c r="B809" s="6"/>
      <c r="C809" s="6"/>
      <c r="D809" s="6"/>
      <c r="E809" s="6"/>
      <c r="F809" s="6"/>
      <c r="G809" s="11"/>
      <c r="H809" s="6"/>
      <c r="I809" s="6"/>
      <c r="J809" s="6"/>
      <c r="K809" s="7"/>
      <c r="L809" s="21" t="str">
        <f>микс!$H$10</f>
        <v>продажа со склада</v>
      </c>
      <c r="M809" s="22"/>
      <c r="N809" s="22"/>
      <c r="O809" s="22" t="s">
        <v>138</v>
      </c>
      <c r="P809" s="23" t="str">
        <f>микс!$H$49</f>
        <v>Товары для детей</v>
      </c>
      <c r="Q809" s="21" t="s">
        <v>59</v>
      </c>
      <c r="R809" s="25">
        <v>1</v>
      </c>
      <c r="S809" s="28"/>
      <c r="T809" s="31">
        <v>42052</v>
      </c>
      <c r="U809" s="33">
        <v>2880</v>
      </c>
      <c r="V809" s="36">
        <f t="shared" si="62"/>
        <v>2880</v>
      </c>
      <c r="W809" s="28"/>
      <c r="X809" s="31">
        <v>42304</v>
      </c>
      <c r="Y809" s="33">
        <v>3370</v>
      </c>
      <c r="Z809" s="189">
        <f t="shared" si="63"/>
        <v>3370</v>
      </c>
      <c r="AA809" s="190"/>
      <c r="AB809" s="31">
        <v>42074</v>
      </c>
      <c r="AC809" s="36">
        <v>2880</v>
      </c>
      <c r="AD809" s="8"/>
      <c r="AE809" s="6"/>
      <c r="AF809" s="52">
        <f t="shared" si="60"/>
        <v>121109760</v>
      </c>
      <c r="AG809" s="25">
        <f t="shared" si="61"/>
        <v>142564480</v>
      </c>
      <c r="AH809" s="52">
        <f t="shared" si="64"/>
        <v>121173120</v>
      </c>
      <c r="AI809" s="6"/>
      <c r="AJ809" s="6"/>
      <c r="AK809" s="6"/>
      <c r="AL809" s="6"/>
      <c r="AM809" s="6"/>
      <c r="AN809" s="6"/>
      <c r="AO809" s="6"/>
      <c r="AP809" s="6"/>
      <c r="AQ809" s="6"/>
      <c r="AR809" s="6"/>
    </row>
    <row r="810" spans="1:44">
      <c r="A810" s="6"/>
      <c r="B810" s="6"/>
      <c r="C810" s="6"/>
      <c r="D810" s="6"/>
      <c r="E810" s="6"/>
      <c r="F810" s="6"/>
      <c r="G810" s="11"/>
      <c r="H810" s="6"/>
      <c r="I810" s="6"/>
      <c r="J810" s="6"/>
      <c r="K810" s="7"/>
      <c r="L810" s="21" t="str">
        <f>микс!$H$11</f>
        <v>продажа под заказ</v>
      </c>
      <c r="M810" s="22"/>
      <c r="N810" s="22"/>
      <c r="O810" s="22" t="s">
        <v>135</v>
      </c>
      <c r="P810" s="23" t="str">
        <f>микс!$H$49</f>
        <v>Товары для детей</v>
      </c>
      <c r="Q810" s="21" t="s">
        <v>108</v>
      </c>
      <c r="R810" s="25">
        <v>1</v>
      </c>
      <c r="S810" s="28"/>
      <c r="T810" s="31">
        <v>42308</v>
      </c>
      <c r="U810" s="33">
        <v>1592.36</v>
      </c>
      <c r="V810" s="36">
        <f t="shared" si="62"/>
        <v>1592.36</v>
      </c>
      <c r="W810" s="28"/>
      <c r="X810" s="31">
        <v>42315</v>
      </c>
      <c r="Y810" s="33">
        <v>1900</v>
      </c>
      <c r="Z810" s="189">
        <f t="shared" si="63"/>
        <v>1900</v>
      </c>
      <c r="AA810" s="190"/>
      <c r="AB810" s="31">
        <v>42340</v>
      </c>
      <c r="AC810" s="36">
        <v>1592.36</v>
      </c>
      <c r="AD810" s="8"/>
      <c r="AE810" s="6"/>
      <c r="AF810" s="52">
        <f t="shared" si="60"/>
        <v>67369566.879999995</v>
      </c>
      <c r="AG810" s="25">
        <f t="shared" si="61"/>
        <v>80398500</v>
      </c>
      <c r="AH810" s="52">
        <f t="shared" si="64"/>
        <v>67420522.399999991</v>
      </c>
      <c r="AI810" s="6"/>
      <c r="AJ810" s="6"/>
      <c r="AK810" s="6"/>
      <c r="AL810" s="6"/>
      <c r="AM810" s="6"/>
      <c r="AN810" s="6"/>
      <c r="AO810" s="6"/>
      <c r="AP810" s="6"/>
      <c r="AQ810" s="6"/>
      <c r="AR810" s="6"/>
    </row>
    <row r="811" spans="1:44">
      <c r="A811" s="6"/>
      <c r="B811" s="6"/>
      <c r="C811" s="6"/>
      <c r="D811" s="6"/>
      <c r="E811" s="6"/>
      <c r="F811" s="6"/>
      <c r="G811" s="11"/>
      <c r="H811" s="6"/>
      <c r="I811" s="6"/>
      <c r="J811" s="6"/>
      <c r="K811" s="7"/>
      <c r="L811" s="21" t="str">
        <f>микс!$H$11</f>
        <v>продажа под заказ</v>
      </c>
      <c r="M811" s="22"/>
      <c r="N811" s="22"/>
      <c r="O811" s="22" t="s">
        <v>135</v>
      </c>
      <c r="P811" s="23" t="str">
        <f>микс!$H$49</f>
        <v>Товары для детей</v>
      </c>
      <c r="Q811" s="21" t="s">
        <v>108</v>
      </c>
      <c r="R811" s="25">
        <v>1</v>
      </c>
      <c r="S811" s="28"/>
      <c r="T811" s="31">
        <v>42318</v>
      </c>
      <c r="U811" s="33">
        <v>1716.44</v>
      </c>
      <c r="V811" s="36">
        <f t="shared" si="62"/>
        <v>1716.44</v>
      </c>
      <c r="W811" s="28"/>
      <c r="X811" s="31">
        <v>42319</v>
      </c>
      <c r="Y811" s="33">
        <v>2393</v>
      </c>
      <c r="Z811" s="189">
        <f t="shared" si="63"/>
        <v>2393</v>
      </c>
      <c r="AA811" s="190"/>
      <c r="AB811" s="31">
        <v>42363</v>
      </c>
      <c r="AC811" s="36">
        <v>1716.44</v>
      </c>
      <c r="AD811" s="8"/>
      <c r="AE811" s="6"/>
      <c r="AF811" s="52">
        <f t="shared" si="60"/>
        <v>72636307.920000002</v>
      </c>
      <c r="AG811" s="25">
        <f t="shared" si="61"/>
        <v>101269367</v>
      </c>
      <c r="AH811" s="52">
        <f t="shared" si="64"/>
        <v>72713547.719999999</v>
      </c>
      <c r="AI811" s="6"/>
      <c r="AJ811" s="6"/>
      <c r="AK811" s="6"/>
      <c r="AL811" s="6"/>
      <c r="AM811" s="6"/>
      <c r="AN811" s="6"/>
      <c r="AO811" s="6"/>
      <c r="AP811" s="6"/>
      <c r="AQ811" s="6"/>
      <c r="AR811" s="6"/>
    </row>
    <row r="812" spans="1:44">
      <c r="A812" s="6"/>
      <c r="B812" s="6"/>
      <c r="C812" s="6"/>
      <c r="D812" s="6"/>
      <c r="E812" s="6"/>
      <c r="F812" s="6"/>
      <c r="G812" s="11"/>
      <c r="H812" s="6"/>
      <c r="I812" s="6"/>
      <c r="J812" s="6"/>
      <c r="K812" s="7"/>
      <c r="L812" s="21" t="str">
        <f>микс!$H$10</f>
        <v>продажа со склада</v>
      </c>
      <c r="M812" s="22"/>
      <c r="N812" s="22"/>
      <c r="O812" s="22" t="s">
        <v>135</v>
      </c>
      <c r="P812" s="23" t="str">
        <f>микс!$H$49</f>
        <v>Товары для детей</v>
      </c>
      <c r="Q812" s="21" t="s">
        <v>108</v>
      </c>
      <c r="R812" s="25">
        <v>1</v>
      </c>
      <c r="S812" s="28"/>
      <c r="T812" s="31">
        <v>42070</v>
      </c>
      <c r="U812" s="33">
        <v>1716.44</v>
      </c>
      <c r="V812" s="36">
        <f t="shared" si="62"/>
        <v>1716.44</v>
      </c>
      <c r="W812" s="28"/>
      <c r="X812" s="31">
        <v>42321</v>
      </c>
      <c r="Y812" s="33">
        <v>2393</v>
      </c>
      <c r="Z812" s="189">
        <f t="shared" si="63"/>
        <v>2393</v>
      </c>
      <c r="AA812" s="190"/>
      <c r="AB812" s="31"/>
      <c r="AC812" s="36"/>
      <c r="AD812" s="8"/>
      <c r="AE812" s="6"/>
      <c r="AF812" s="52">
        <f t="shared" si="60"/>
        <v>72210630.799999997</v>
      </c>
      <c r="AG812" s="25">
        <f t="shared" si="61"/>
        <v>101274153</v>
      </c>
      <c r="AH812" s="52">
        <f t="shared" si="64"/>
        <v>0</v>
      </c>
      <c r="AI812" s="6"/>
      <c r="AJ812" s="6"/>
      <c r="AK812" s="6"/>
      <c r="AL812" s="6"/>
      <c r="AM812" s="6"/>
      <c r="AN812" s="6"/>
      <c r="AO812" s="6"/>
      <c r="AP812" s="6"/>
      <c r="AQ812" s="6"/>
      <c r="AR812" s="6"/>
    </row>
    <row r="813" spans="1:44">
      <c r="A813" s="6"/>
      <c r="B813" s="6"/>
      <c r="C813" s="6"/>
      <c r="D813" s="6"/>
      <c r="E813" s="6"/>
      <c r="F813" s="6"/>
      <c r="G813" s="11"/>
      <c r="H813" s="6"/>
      <c r="I813" s="6"/>
      <c r="J813" s="6"/>
      <c r="K813" s="7"/>
      <c r="L813" s="21" t="str">
        <f>микс!$H$10</f>
        <v>продажа со склада</v>
      </c>
      <c r="M813" s="22"/>
      <c r="N813" s="22"/>
      <c r="O813" s="22" t="s">
        <v>135</v>
      </c>
      <c r="P813" s="23" t="str">
        <f>микс!$H$49</f>
        <v>Товары для детей</v>
      </c>
      <c r="Q813" s="21" t="s">
        <v>108</v>
      </c>
      <c r="R813" s="25">
        <v>1</v>
      </c>
      <c r="S813" s="28"/>
      <c r="T813" s="31">
        <v>42075</v>
      </c>
      <c r="U813" s="33">
        <v>1716.44</v>
      </c>
      <c r="V813" s="36">
        <f t="shared" si="62"/>
        <v>1716.44</v>
      </c>
      <c r="W813" s="28"/>
      <c r="X813" s="31">
        <v>42326</v>
      </c>
      <c r="Y813" s="33">
        <v>2393</v>
      </c>
      <c r="Z813" s="189">
        <f t="shared" si="63"/>
        <v>2393</v>
      </c>
      <c r="AA813" s="190"/>
      <c r="AB813" s="31">
        <v>42087</v>
      </c>
      <c r="AC813" s="36">
        <v>1716.44</v>
      </c>
      <c r="AD813" s="8"/>
      <c r="AE813" s="6"/>
      <c r="AF813" s="52">
        <f t="shared" si="60"/>
        <v>72219213</v>
      </c>
      <c r="AG813" s="25">
        <f t="shared" si="61"/>
        <v>101286118</v>
      </c>
      <c r="AH813" s="52">
        <f t="shared" si="64"/>
        <v>72239810.280000001</v>
      </c>
      <c r="AI813" s="6"/>
      <c r="AJ813" s="6"/>
      <c r="AK813" s="6"/>
      <c r="AL813" s="6"/>
      <c r="AM813" s="6"/>
      <c r="AN813" s="6"/>
      <c r="AO813" s="6"/>
      <c r="AP813" s="6"/>
      <c r="AQ813" s="6"/>
      <c r="AR813" s="6"/>
    </row>
    <row r="814" spans="1:44">
      <c r="A814" s="6"/>
      <c r="B814" s="6"/>
      <c r="C814" s="6"/>
      <c r="D814" s="6"/>
      <c r="E814" s="6"/>
      <c r="F814" s="6"/>
      <c r="G814" s="11"/>
      <c r="H814" s="6"/>
      <c r="I814" s="6"/>
      <c r="J814" s="6"/>
      <c r="K814" s="7"/>
      <c r="L814" s="21" t="str">
        <f>микс!$H$11</f>
        <v>продажа под заказ</v>
      </c>
      <c r="M814" s="22"/>
      <c r="N814" s="22"/>
      <c r="O814" s="22" t="s">
        <v>148</v>
      </c>
      <c r="P814" s="23" t="str">
        <f>микс!$H$49</f>
        <v>Товары для детей</v>
      </c>
      <c r="Q814" s="21" t="s">
        <v>98</v>
      </c>
      <c r="R814" s="25">
        <v>1</v>
      </c>
      <c r="S814" s="28"/>
      <c r="T814" s="31">
        <v>42325</v>
      </c>
      <c r="U814" s="33">
        <v>1850</v>
      </c>
      <c r="V814" s="36">
        <f t="shared" si="62"/>
        <v>1850</v>
      </c>
      <c r="W814" s="28"/>
      <c r="X814" s="31">
        <v>42328</v>
      </c>
      <c r="Y814" s="33">
        <v>2476</v>
      </c>
      <c r="Z814" s="189">
        <f t="shared" si="63"/>
        <v>2476</v>
      </c>
      <c r="AA814" s="190"/>
      <c r="AB814" s="31">
        <v>42335</v>
      </c>
      <c r="AC814" s="36">
        <v>1850</v>
      </c>
      <c r="AD814" s="8"/>
      <c r="AE814" s="6"/>
      <c r="AF814" s="52">
        <f t="shared" si="60"/>
        <v>78301250</v>
      </c>
      <c r="AG814" s="25">
        <f t="shared" si="61"/>
        <v>104804128</v>
      </c>
      <c r="AH814" s="52">
        <f t="shared" si="64"/>
        <v>78319750</v>
      </c>
      <c r="AI814" s="6"/>
      <c r="AJ814" s="6"/>
      <c r="AK814" s="6"/>
      <c r="AL814" s="6"/>
      <c r="AM814" s="6"/>
      <c r="AN814" s="6"/>
      <c r="AO814" s="6"/>
      <c r="AP814" s="6"/>
      <c r="AQ814" s="6"/>
      <c r="AR814" s="6"/>
    </row>
    <row r="815" spans="1:44">
      <c r="A815" s="6"/>
      <c r="B815" s="6"/>
      <c r="C815" s="6"/>
      <c r="D815" s="6"/>
      <c r="E815" s="6"/>
      <c r="F815" s="6"/>
      <c r="G815" s="11"/>
      <c r="H815" s="6"/>
      <c r="I815" s="6"/>
      <c r="J815" s="6"/>
      <c r="K815" s="7"/>
      <c r="L815" s="21" t="str">
        <f>микс!$H$11</f>
        <v>продажа под заказ</v>
      </c>
      <c r="M815" s="22"/>
      <c r="N815" s="22"/>
      <c r="O815" s="22" t="s">
        <v>148</v>
      </c>
      <c r="P815" s="23" t="str">
        <f>микс!$H$49</f>
        <v>Товары для детей</v>
      </c>
      <c r="Q815" s="21" t="s">
        <v>98</v>
      </c>
      <c r="R815" s="25">
        <v>1</v>
      </c>
      <c r="S815" s="28"/>
      <c r="T815" s="31">
        <v>42312</v>
      </c>
      <c r="U815" s="33">
        <v>1630.28</v>
      </c>
      <c r="V815" s="36">
        <f t="shared" si="62"/>
        <v>1630.28</v>
      </c>
      <c r="W815" s="28"/>
      <c r="X815" s="31">
        <v>42315</v>
      </c>
      <c r="Y815" s="33">
        <v>1800</v>
      </c>
      <c r="Z815" s="189">
        <f t="shared" si="63"/>
        <v>1800</v>
      </c>
      <c r="AA815" s="190"/>
      <c r="AB815" s="31">
        <v>42332</v>
      </c>
      <c r="AC815" s="36">
        <v>1630.28</v>
      </c>
      <c r="AD815" s="8"/>
      <c r="AE815" s="6"/>
      <c r="AF815" s="52">
        <f t="shared" si="60"/>
        <v>68980407.359999999</v>
      </c>
      <c r="AG815" s="25">
        <f t="shared" si="61"/>
        <v>76167000</v>
      </c>
      <c r="AH815" s="52">
        <f t="shared" si="64"/>
        <v>69013012.959999993</v>
      </c>
      <c r="AI815" s="6"/>
      <c r="AJ815" s="6"/>
      <c r="AK815" s="6"/>
      <c r="AL815" s="6"/>
      <c r="AM815" s="6"/>
      <c r="AN815" s="6"/>
      <c r="AO815" s="6"/>
      <c r="AP815" s="6"/>
      <c r="AQ815" s="6"/>
      <c r="AR815" s="6"/>
    </row>
    <row r="816" spans="1:44">
      <c r="A816" s="6"/>
      <c r="B816" s="6"/>
      <c r="C816" s="6"/>
      <c r="D816" s="6"/>
      <c r="E816" s="6"/>
      <c r="F816" s="6"/>
      <c r="G816" s="11"/>
      <c r="H816" s="6"/>
      <c r="I816" s="6"/>
      <c r="J816" s="6"/>
      <c r="K816" s="7"/>
      <c r="L816" s="21" t="str">
        <f>микс!$H$11</f>
        <v>продажа под заказ</v>
      </c>
      <c r="M816" s="22"/>
      <c r="N816" s="22"/>
      <c r="O816" s="22" t="s">
        <v>148</v>
      </c>
      <c r="P816" s="23" t="str">
        <f>микс!$H$49</f>
        <v>Товары для детей</v>
      </c>
      <c r="Q816" s="21" t="s">
        <v>98</v>
      </c>
      <c r="R816" s="25">
        <v>1</v>
      </c>
      <c r="S816" s="28"/>
      <c r="T816" s="31">
        <v>42315</v>
      </c>
      <c r="U816" s="33">
        <v>1568</v>
      </c>
      <c r="V816" s="36">
        <f t="shared" si="62"/>
        <v>1568</v>
      </c>
      <c r="W816" s="28"/>
      <c r="X816" s="31">
        <v>42323</v>
      </c>
      <c r="Y816" s="33">
        <v>2550</v>
      </c>
      <c r="Z816" s="189">
        <f t="shared" si="63"/>
        <v>2550</v>
      </c>
      <c r="AA816" s="190"/>
      <c r="AB816" s="31">
        <v>42345</v>
      </c>
      <c r="AC816" s="36">
        <v>1568</v>
      </c>
      <c r="AD816" s="8"/>
      <c r="AE816" s="6"/>
      <c r="AF816" s="52">
        <f t="shared" si="60"/>
        <v>66349920</v>
      </c>
      <c r="AG816" s="25">
        <f t="shared" si="61"/>
        <v>107923650</v>
      </c>
      <c r="AH816" s="52">
        <f t="shared" si="64"/>
        <v>66396960</v>
      </c>
      <c r="AI816" s="6"/>
      <c r="AJ816" s="6"/>
      <c r="AK816" s="6"/>
      <c r="AL816" s="6"/>
      <c r="AM816" s="6"/>
      <c r="AN816" s="6"/>
      <c r="AO816" s="6"/>
      <c r="AP816" s="6"/>
      <c r="AQ816" s="6"/>
      <c r="AR816" s="6"/>
    </row>
    <row r="817" spans="1:44">
      <c r="A817" s="6"/>
      <c r="B817" s="6"/>
      <c r="C817" s="6"/>
      <c r="D817" s="6"/>
      <c r="E817" s="6"/>
      <c r="F817" s="6"/>
      <c r="G817" s="11"/>
      <c r="H817" s="6"/>
      <c r="I817" s="6"/>
      <c r="J817" s="6"/>
      <c r="K817" s="7"/>
      <c r="L817" s="21" t="str">
        <f>микс!$H$11</f>
        <v>продажа под заказ</v>
      </c>
      <c r="M817" s="22"/>
      <c r="N817" s="22"/>
      <c r="O817" s="22" t="s">
        <v>148</v>
      </c>
      <c r="P817" s="23" t="str">
        <f>микс!$H$49</f>
        <v>Товары для детей</v>
      </c>
      <c r="Q817" s="21" t="s">
        <v>98</v>
      </c>
      <c r="R817" s="25">
        <v>1</v>
      </c>
      <c r="S817" s="28"/>
      <c r="T817" s="31">
        <v>42303</v>
      </c>
      <c r="U817" s="33">
        <v>1563</v>
      </c>
      <c r="V817" s="36">
        <f t="shared" si="62"/>
        <v>1563</v>
      </c>
      <c r="W817" s="28"/>
      <c r="X817" s="31">
        <v>42306</v>
      </c>
      <c r="Y817" s="33">
        <v>2476</v>
      </c>
      <c r="Z817" s="189">
        <f t="shared" si="63"/>
        <v>2476</v>
      </c>
      <c r="AA817" s="190"/>
      <c r="AB817" s="31">
        <v>42333</v>
      </c>
      <c r="AC817" s="36">
        <v>1563</v>
      </c>
      <c r="AD817" s="8"/>
      <c r="AE817" s="6"/>
      <c r="AF817" s="52">
        <f t="shared" si="60"/>
        <v>66119589</v>
      </c>
      <c r="AG817" s="25">
        <f t="shared" si="61"/>
        <v>104749656</v>
      </c>
      <c r="AH817" s="52">
        <f t="shared" si="64"/>
        <v>66166479</v>
      </c>
      <c r="AI817" s="6"/>
      <c r="AJ817" s="6"/>
      <c r="AK817" s="6"/>
      <c r="AL817" s="6"/>
      <c r="AM817" s="6"/>
      <c r="AN817" s="6"/>
      <c r="AO817" s="6"/>
      <c r="AP817" s="6"/>
      <c r="AQ817" s="6"/>
      <c r="AR817" s="6"/>
    </row>
    <row r="818" spans="1:44">
      <c r="A818" s="6"/>
      <c r="B818" s="6"/>
      <c r="C818" s="6"/>
      <c r="D818" s="6"/>
      <c r="E818" s="6"/>
      <c r="F818" s="6"/>
      <c r="G818" s="11"/>
      <c r="H818" s="6"/>
      <c r="I818" s="6"/>
      <c r="J818" s="6"/>
      <c r="K818" s="7"/>
      <c r="L818" s="21" t="str">
        <f>микс!$H$11</f>
        <v>продажа под заказ</v>
      </c>
      <c r="M818" s="22"/>
      <c r="N818" s="22"/>
      <c r="O818" s="22" t="s">
        <v>135</v>
      </c>
      <c r="P818" s="23" t="str">
        <f>микс!$H$49</f>
        <v>Товары для детей</v>
      </c>
      <c r="Q818" s="21" t="s">
        <v>98</v>
      </c>
      <c r="R818" s="25">
        <v>1</v>
      </c>
      <c r="S818" s="28"/>
      <c r="T818" s="31">
        <v>42307</v>
      </c>
      <c r="U818" s="33">
        <v>638.5</v>
      </c>
      <c r="V818" s="36">
        <f t="shared" si="62"/>
        <v>638.5</v>
      </c>
      <c r="W818" s="28"/>
      <c r="X818" s="31">
        <v>42309</v>
      </c>
      <c r="Y818" s="33">
        <v>1000</v>
      </c>
      <c r="Z818" s="189">
        <f t="shared" si="63"/>
        <v>1000</v>
      </c>
      <c r="AA818" s="190"/>
      <c r="AB818" s="31">
        <v>42352</v>
      </c>
      <c r="AC818" s="36">
        <v>638.5</v>
      </c>
      <c r="AD818" s="8"/>
      <c r="AE818" s="6"/>
      <c r="AF818" s="52">
        <f t="shared" si="60"/>
        <v>27013019.5</v>
      </c>
      <c r="AG818" s="25">
        <f t="shared" si="61"/>
        <v>42309000</v>
      </c>
      <c r="AH818" s="52">
        <f t="shared" si="64"/>
        <v>27041752</v>
      </c>
      <c r="AI818" s="6"/>
      <c r="AJ818" s="6"/>
      <c r="AK818" s="6"/>
      <c r="AL818" s="6"/>
      <c r="AM818" s="6"/>
      <c r="AN818" s="6"/>
      <c r="AO818" s="6"/>
      <c r="AP818" s="6"/>
      <c r="AQ818" s="6"/>
      <c r="AR818" s="6"/>
    </row>
    <row r="819" spans="1:44">
      <c r="A819" s="6"/>
      <c r="B819" s="6"/>
      <c r="C819" s="6"/>
      <c r="D819" s="6"/>
      <c r="E819" s="6"/>
      <c r="F819" s="6"/>
      <c r="G819" s="11"/>
      <c r="H819" s="6"/>
      <c r="I819" s="6"/>
      <c r="J819" s="6"/>
      <c r="K819" s="7"/>
      <c r="L819" s="21" t="str">
        <f>микс!$H$11</f>
        <v>продажа под заказ</v>
      </c>
      <c r="M819" s="22"/>
      <c r="N819" s="22"/>
      <c r="O819" s="22" t="s">
        <v>135</v>
      </c>
      <c r="P819" s="23" t="str">
        <f>микс!$H$49</f>
        <v>Товары для детей</v>
      </c>
      <c r="Q819" s="21" t="s">
        <v>98</v>
      </c>
      <c r="R819" s="25">
        <v>1</v>
      </c>
      <c r="S819" s="28"/>
      <c r="T819" s="31">
        <v>42314</v>
      </c>
      <c r="U819" s="33">
        <v>529.96</v>
      </c>
      <c r="V819" s="36">
        <f t="shared" si="62"/>
        <v>529.96</v>
      </c>
      <c r="W819" s="28"/>
      <c r="X819" s="31">
        <v>42320</v>
      </c>
      <c r="Y819" s="33">
        <v>721</v>
      </c>
      <c r="Z819" s="189">
        <f t="shared" si="63"/>
        <v>721</v>
      </c>
      <c r="AA819" s="190"/>
      <c r="AB819" s="31"/>
      <c r="AC819" s="36"/>
      <c r="AD819" s="8"/>
      <c r="AE819" s="6"/>
      <c r="AF819" s="52">
        <f t="shared" si="60"/>
        <v>22424727.440000001</v>
      </c>
      <c r="AG819" s="25">
        <f t="shared" si="61"/>
        <v>30512720</v>
      </c>
      <c r="AH819" s="52">
        <f t="shared" si="64"/>
        <v>0</v>
      </c>
      <c r="AI819" s="6"/>
      <c r="AJ819" s="6"/>
      <c r="AK819" s="6"/>
      <c r="AL819" s="6"/>
      <c r="AM819" s="6"/>
      <c r="AN819" s="6"/>
      <c r="AO819" s="6"/>
      <c r="AP819" s="6"/>
      <c r="AQ819" s="6"/>
      <c r="AR819" s="6"/>
    </row>
    <row r="820" spans="1:44">
      <c r="A820" s="6"/>
      <c r="B820" s="6"/>
      <c r="C820" s="6"/>
      <c r="D820" s="6"/>
      <c r="E820" s="6"/>
      <c r="F820" s="6"/>
      <c r="G820" s="11"/>
      <c r="H820" s="6"/>
      <c r="I820" s="6"/>
      <c r="J820" s="6"/>
      <c r="K820" s="7"/>
      <c r="L820" s="21" t="str">
        <f>микс!$H$11</f>
        <v>продажа под заказ</v>
      </c>
      <c r="M820" s="22"/>
      <c r="N820" s="22"/>
      <c r="O820" s="22" t="s">
        <v>135</v>
      </c>
      <c r="P820" s="23" t="str">
        <f>микс!$H$49</f>
        <v>Товары для детей</v>
      </c>
      <c r="Q820" s="21" t="s">
        <v>98</v>
      </c>
      <c r="R820" s="25">
        <v>1</v>
      </c>
      <c r="S820" s="28"/>
      <c r="T820" s="31">
        <v>42305</v>
      </c>
      <c r="U820" s="33">
        <v>638.5</v>
      </c>
      <c r="V820" s="36">
        <f t="shared" si="62"/>
        <v>638.5</v>
      </c>
      <c r="W820" s="28"/>
      <c r="X820" s="31">
        <v>42306</v>
      </c>
      <c r="Y820" s="33">
        <v>750</v>
      </c>
      <c r="Z820" s="189">
        <f t="shared" si="63"/>
        <v>750</v>
      </c>
      <c r="AA820" s="190"/>
      <c r="AB820" s="31">
        <v>42355</v>
      </c>
      <c r="AC820" s="36">
        <v>638.5</v>
      </c>
      <c r="AD820" s="8"/>
      <c r="AE820" s="6"/>
      <c r="AF820" s="52">
        <f t="shared" si="60"/>
        <v>27011742.5</v>
      </c>
      <c r="AG820" s="25">
        <f t="shared" si="61"/>
        <v>31729500</v>
      </c>
      <c r="AH820" s="52">
        <f t="shared" si="64"/>
        <v>27043667.5</v>
      </c>
      <c r="AI820" s="6"/>
      <c r="AJ820" s="6"/>
      <c r="AK820" s="6"/>
      <c r="AL820" s="6"/>
      <c r="AM820" s="6"/>
      <c r="AN820" s="6"/>
      <c r="AO820" s="6"/>
      <c r="AP820" s="6"/>
      <c r="AQ820" s="6"/>
      <c r="AR820" s="6"/>
    </row>
    <row r="821" spans="1:44">
      <c r="A821" s="6"/>
      <c r="B821" s="6"/>
      <c r="C821" s="6"/>
      <c r="D821" s="6"/>
      <c r="E821" s="6"/>
      <c r="F821" s="6"/>
      <c r="G821" s="11"/>
      <c r="H821" s="6"/>
      <c r="I821" s="6"/>
      <c r="J821" s="6"/>
      <c r="K821" s="7"/>
      <c r="L821" s="21" t="str">
        <f>микс!$H$11</f>
        <v>продажа под заказ</v>
      </c>
      <c r="M821" s="22"/>
      <c r="N821" s="22"/>
      <c r="O821" s="22" t="s">
        <v>135</v>
      </c>
      <c r="P821" s="23" t="str">
        <f>микс!$H$49</f>
        <v>Товары для детей</v>
      </c>
      <c r="Q821" s="21" t="s">
        <v>98</v>
      </c>
      <c r="R821" s="25">
        <v>3</v>
      </c>
      <c r="S821" s="28"/>
      <c r="T821" s="31">
        <v>42336</v>
      </c>
      <c r="U821" s="33">
        <v>529.96</v>
      </c>
      <c r="V821" s="36">
        <f t="shared" si="62"/>
        <v>1589.88</v>
      </c>
      <c r="W821" s="28"/>
      <c r="X821" s="31">
        <v>42342</v>
      </c>
      <c r="Y821" s="33">
        <v>754</v>
      </c>
      <c r="Z821" s="189">
        <f t="shared" si="63"/>
        <v>2262</v>
      </c>
      <c r="AA821" s="190"/>
      <c r="AB821" s="31"/>
      <c r="AC821" s="36"/>
      <c r="AD821" s="8"/>
      <c r="AE821" s="6"/>
      <c r="AF821" s="52">
        <f t="shared" si="60"/>
        <v>67309159.680000007</v>
      </c>
      <c r="AG821" s="25">
        <f t="shared" si="61"/>
        <v>95777604</v>
      </c>
      <c r="AH821" s="52">
        <f t="shared" si="64"/>
        <v>0</v>
      </c>
      <c r="AI821" s="6"/>
      <c r="AJ821" s="6"/>
      <c r="AK821" s="6"/>
      <c r="AL821" s="6"/>
      <c r="AM821" s="6"/>
      <c r="AN821" s="6"/>
      <c r="AO821" s="6"/>
      <c r="AP821" s="6"/>
      <c r="AQ821" s="6"/>
      <c r="AR821" s="6"/>
    </row>
    <row r="822" spans="1:44">
      <c r="A822" s="6"/>
      <c r="B822" s="6"/>
      <c r="C822" s="6"/>
      <c r="D822" s="6"/>
      <c r="E822" s="6"/>
      <c r="F822" s="6"/>
      <c r="G822" s="11"/>
      <c r="H822" s="6"/>
      <c r="I822" s="6"/>
      <c r="J822" s="6"/>
      <c r="K822" s="7"/>
      <c r="L822" s="21" t="str">
        <f>микс!$H$11</f>
        <v>продажа под заказ</v>
      </c>
      <c r="M822" s="22"/>
      <c r="N822" s="22"/>
      <c r="O822" s="22" t="s">
        <v>135</v>
      </c>
      <c r="P822" s="23" t="str">
        <f>микс!$H$49</f>
        <v>Товары для детей</v>
      </c>
      <c r="Q822" s="21" t="s">
        <v>105</v>
      </c>
      <c r="R822" s="25">
        <v>1</v>
      </c>
      <c r="S822" s="28"/>
      <c r="T822" s="31">
        <v>42335</v>
      </c>
      <c r="U822" s="33">
        <v>2863.5</v>
      </c>
      <c r="V822" s="36">
        <f t="shared" si="62"/>
        <v>2863.5</v>
      </c>
      <c r="W822" s="28"/>
      <c r="X822" s="31">
        <v>42344</v>
      </c>
      <c r="Y822" s="33">
        <v>3379</v>
      </c>
      <c r="Z822" s="189">
        <f t="shared" si="63"/>
        <v>3379</v>
      </c>
      <c r="AA822" s="190"/>
      <c r="AB822" s="31">
        <v>42365</v>
      </c>
      <c r="AC822" s="36">
        <v>2863.5</v>
      </c>
      <c r="AD822" s="8"/>
      <c r="AE822" s="6"/>
      <c r="AF822" s="52">
        <f t="shared" si="60"/>
        <v>121226272.5</v>
      </c>
      <c r="AG822" s="25">
        <f t="shared" si="61"/>
        <v>143080376</v>
      </c>
      <c r="AH822" s="52">
        <f t="shared" si="64"/>
        <v>121312177.5</v>
      </c>
      <c r="AI822" s="6"/>
      <c r="AJ822" s="6"/>
      <c r="AK822" s="6"/>
      <c r="AL822" s="6"/>
      <c r="AM822" s="6"/>
      <c r="AN822" s="6"/>
      <c r="AO822" s="6"/>
      <c r="AP822" s="6"/>
      <c r="AQ822" s="6"/>
      <c r="AR822" s="6"/>
    </row>
    <row r="823" spans="1:44">
      <c r="A823" s="6"/>
      <c r="B823" s="6"/>
      <c r="C823" s="6"/>
      <c r="D823" s="6"/>
      <c r="E823" s="6"/>
      <c r="F823" s="6"/>
      <c r="G823" s="11"/>
      <c r="H823" s="6"/>
      <c r="I823" s="6"/>
      <c r="J823" s="6"/>
      <c r="K823" s="7"/>
      <c r="L823" s="21" t="str">
        <f>микс!$H$11</f>
        <v>продажа под заказ</v>
      </c>
      <c r="M823" s="22"/>
      <c r="N823" s="22"/>
      <c r="O823" s="22" t="s">
        <v>135</v>
      </c>
      <c r="P823" s="23" t="str">
        <f>микс!$H$49</f>
        <v>Товары для детей</v>
      </c>
      <c r="Q823" s="21" t="s">
        <v>105</v>
      </c>
      <c r="R823" s="25">
        <v>1</v>
      </c>
      <c r="S823" s="28"/>
      <c r="T823" s="31">
        <v>42301</v>
      </c>
      <c r="U823" s="33">
        <v>400.4</v>
      </c>
      <c r="V823" s="36">
        <f t="shared" si="62"/>
        <v>400.4</v>
      </c>
      <c r="W823" s="28"/>
      <c r="X823" s="31">
        <v>42311</v>
      </c>
      <c r="Y823" s="33">
        <v>508</v>
      </c>
      <c r="Z823" s="189">
        <f t="shared" si="63"/>
        <v>508</v>
      </c>
      <c r="AA823" s="190"/>
      <c r="AB823" s="31">
        <v>42321</v>
      </c>
      <c r="AC823" s="36">
        <v>400.4</v>
      </c>
      <c r="AD823" s="8"/>
      <c r="AE823" s="6"/>
      <c r="AF823" s="52">
        <f t="shared" si="60"/>
        <v>16937320.399999999</v>
      </c>
      <c r="AG823" s="25">
        <f t="shared" si="61"/>
        <v>21493988</v>
      </c>
      <c r="AH823" s="52">
        <f t="shared" si="64"/>
        <v>16945328.399999999</v>
      </c>
      <c r="AI823" s="6"/>
      <c r="AJ823" s="6"/>
      <c r="AK823" s="6"/>
      <c r="AL823" s="6"/>
      <c r="AM823" s="6"/>
      <c r="AN823" s="6"/>
      <c r="AO823" s="6"/>
      <c r="AP823" s="6"/>
      <c r="AQ823" s="6"/>
      <c r="AR823" s="6"/>
    </row>
    <row r="824" spans="1:44">
      <c r="A824" s="6"/>
      <c r="B824" s="6"/>
      <c r="C824" s="6"/>
      <c r="D824" s="6"/>
      <c r="E824" s="6"/>
      <c r="F824" s="6"/>
      <c r="G824" s="11"/>
      <c r="H824" s="6"/>
      <c r="I824" s="6"/>
      <c r="J824" s="6"/>
      <c r="K824" s="7"/>
      <c r="L824" s="21" t="str">
        <f>микс!$H$10</f>
        <v>продажа со склада</v>
      </c>
      <c r="M824" s="22"/>
      <c r="N824" s="22"/>
      <c r="O824" s="22" t="s">
        <v>135</v>
      </c>
      <c r="P824" s="23" t="str">
        <f>микс!$H$49</f>
        <v>Товары для детей</v>
      </c>
      <c r="Q824" s="21" t="s">
        <v>105</v>
      </c>
      <c r="R824" s="25">
        <v>1</v>
      </c>
      <c r="S824" s="28"/>
      <c r="T824" s="31">
        <v>42065</v>
      </c>
      <c r="U824" s="33">
        <v>400.4</v>
      </c>
      <c r="V824" s="36">
        <f t="shared" si="62"/>
        <v>400.4</v>
      </c>
      <c r="W824" s="28"/>
      <c r="X824" s="31">
        <v>42333</v>
      </c>
      <c r="Y824" s="33">
        <v>650</v>
      </c>
      <c r="Z824" s="189">
        <f t="shared" si="63"/>
        <v>650</v>
      </c>
      <c r="AA824" s="190"/>
      <c r="AB824" s="31">
        <v>42075</v>
      </c>
      <c r="AC824" s="36">
        <v>400.4</v>
      </c>
      <c r="AD824" s="8"/>
      <c r="AE824" s="6"/>
      <c r="AF824" s="52">
        <f t="shared" si="60"/>
        <v>16842826</v>
      </c>
      <c r="AG824" s="25">
        <f t="shared" si="61"/>
        <v>27516450</v>
      </c>
      <c r="AH824" s="52">
        <f t="shared" si="64"/>
        <v>16846830</v>
      </c>
      <c r="AI824" s="6"/>
      <c r="AJ824" s="6"/>
      <c r="AK824" s="6"/>
      <c r="AL824" s="6"/>
      <c r="AM824" s="6"/>
      <c r="AN824" s="6"/>
      <c r="AO824" s="6"/>
      <c r="AP824" s="6"/>
      <c r="AQ824" s="6"/>
      <c r="AR824" s="6"/>
    </row>
    <row r="825" spans="1:44">
      <c r="A825" s="6"/>
      <c r="B825" s="6"/>
      <c r="C825" s="6"/>
      <c r="D825" s="6"/>
      <c r="E825" s="6"/>
      <c r="F825" s="6"/>
      <c r="G825" s="11"/>
      <c r="H825" s="6"/>
      <c r="I825" s="6"/>
      <c r="J825" s="6"/>
      <c r="K825" s="7"/>
      <c r="L825" s="21" t="str">
        <f>микс!$H$10</f>
        <v>продажа со склада</v>
      </c>
      <c r="M825" s="22"/>
      <c r="N825" s="22"/>
      <c r="O825" s="22" t="s">
        <v>135</v>
      </c>
      <c r="P825" s="23" t="str">
        <f>микс!$H$49</f>
        <v>Товары для детей</v>
      </c>
      <c r="Q825" s="21" t="s">
        <v>105</v>
      </c>
      <c r="R825" s="25">
        <v>2</v>
      </c>
      <c r="S825" s="28"/>
      <c r="T825" s="31">
        <v>42065</v>
      </c>
      <c r="U825" s="33">
        <v>400.4</v>
      </c>
      <c r="V825" s="36">
        <f t="shared" si="62"/>
        <v>800.8</v>
      </c>
      <c r="W825" s="28"/>
      <c r="X825" s="31">
        <v>42317</v>
      </c>
      <c r="Y825" s="33">
        <v>650</v>
      </c>
      <c r="Z825" s="189">
        <f t="shared" si="63"/>
        <v>1300</v>
      </c>
      <c r="AA825" s="190"/>
      <c r="AB825" s="31">
        <v>42075</v>
      </c>
      <c r="AC825" s="36">
        <v>800.8</v>
      </c>
      <c r="AD825" s="8"/>
      <c r="AE825" s="6"/>
      <c r="AF825" s="52">
        <f t="shared" si="60"/>
        <v>33685652</v>
      </c>
      <c r="AG825" s="25">
        <f t="shared" si="61"/>
        <v>55012100</v>
      </c>
      <c r="AH825" s="52">
        <f t="shared" si="64"/>
        <v>33693660</v>
      </c>
      <c r="AI825" s="6"/>
      <c r="AJ825" s="6"/>
      <c r="AK825" s="6"/>
      <c r="AL825" s="6"/>
      <c r="AM825" s="6"/>
      <c r="AN825" s="6"/>
      <c r="AO825" s="6"/>
      <c r="AP825" s="6"/>
      <c r="AQ825" s="6"/>
      <c r="AR825" s="6"/>
    </row>
    <row r="826" spans="1:44">
      <c r="A826" s="6"/>
      <c r="B826" s="6"/>
      <c r="C826" s="6"/>
      <c r="D826" s="6"/>
      <c r="E826" s="6"/>
      <c r="F826" s="6"/>
      <c r="G826" s="11"/>
      <c r="H826" s="6"/>
      <c r="I826" s="6"/>
      <c r="J826" s="6"/>
      <c r="K826" s="7"/>
      <c r="L826" s="21" t="str">
        <f>микс!$H$11</f>
        <v>продажа под заказ</v>
      </c>
      <c r="M826" s="22"/>
      <c r="N826" s="22"/>
      <c r="O826" s="22" t="s">
        <v>149</v>
      </c>
      <c r="P826" s="23" t="str">
        <f>микс!$H$46</f>
        <v>Электроника и бытовая техника</v>
      </c>
      <c r="Q826" s="21" t="s">
        <v>77</v>
      </c>
      <c r="R826" s="25">
        <v>1</v>
      </c>
      <c r="S826" s="28"/>
      <c r="T826" s="31">
        <v>42333</v>
      </c>
      <c r="U826" s="33">
        <v>5674</v>
      </c>
      <c r="V826" s="36">
        <f t="shared" si="62"/>
        <v>5674</v>
      </c>
      <c r="W826" s="28"/>
      <c r="X826" s="31">
        <v>42336</v>
      </c>
      <c r="Y826" s="33">
        <v>6128</v>
      </c>
      <c r="Z826" s="189">
        <f t="shared" si="63"/>
        <v>6128</v>
      </c>
      <c r="AA826" s="190"/>
      <c r="AB826" s="31">
        <v>42363</v>
      </c>
      <c r="AC826" s="36">
        <v>5674</v>
      </c>
      <c r="AD826" s="8"/>
      <c r="AE826" s="6"/>
      <c r="AF826" s="52">
        <f t="shared" si="60"/>
        <v>240197442</v>
      </c>
      <c r="AG826" s="25">
        <f t="shared" si="61"/>
        <v>259435008</v>
      </c>
      <c r="AH826" s="52">
        <f t="shared" si="64"/>
        <v>240367662</v>
      </c>
      <c r="AI826" s="6"/>
      <c r="AJ826" s="6"/>
      <c r="AK826" s="6"/>
      <c r="AL826" s="6"/>
      <c r="AM826" s="6"/>
      <c r="AN826" s="6"/>
      <c r="AO826" s="6"/>
      <c r="AP826" s="6"/>
      <c r="AQ826" s="6"/>
      <c r="AR826" s="6"/>
    </row>
    <row r="827" spans="1:44">
      <c r="A827" s="6"/>
      <c r="B827" s="6"/>
      <c r="C827" s="6"/>
      <c r="D827" s="6"/>
      <c r="E827" s="6"/>
      <c r="F827" s="6"/>
      <c r="G827" s="11"/>
      <c r="H827" s="6"/>
      <c r="I827" s="6"/>
      <c r="J827" s="6"/>
      <c r="K827" s="7"/>
      <c r="L827" s="21" t="str">
        <f>микс!$H$11</f>
        <v>продажа под заказ</v>
      </c>
      <c r="M827" s="22"/>
      <c r="N827" s="22"/>
      <c r="O827" s="22" t="s">
        <v>149</v>
      </c>
      <c r="P827" s="23" t="str">
        <f>микс!$H$46</f>
        <v>Электроника и бытовая техника</v>
      </c>
      <c r="Q827" s="21" t="s">
        <v>77</v>
      </c>
      <c r="R827" s="25">
        <v>1</v>
      </c>
      <c r="S827" s="28"/>
      <c r="T827" s="31">
        <v>42336</v>
      </c>
      <c r="U827" s="33">
        <v>5674</v>
      </c>
      <c r="V827" s="36">
        <f t="shared" si="62"/>
        <v>5674</v>
      </c>
      <c r="W827" s="28"/>
      <c r="X827" s="31">
        <v>42347</v>
      </c>
      <c r="Y827" s="33">
        <v>5725</v>
      </c>
      <c r="Z827" s="189">
        <f t="shared" si="63"/>
        <v>5725</v>
      </c>
      <c r="AA827" s="190"/>
      <c r="AB827" s="31">
        <v>42357</v>
      </c>
      <c r="AC827" s="36">
        <v>5674</v>
      </c>
      <c r="AD827" s="8"/>
      <c r="AE827" s="6"/>
      <c r="AF827" s="52">
        <f t="shared" si="60"/>
        <v>240214464</v>
      </c>
      <c r="AG827" s="25">
        <f t="shared" si="61"/>
        <v>242436575</v>
      </c>
      <c r="AH827" s="52">
        <f t="shared" si="64"/>
        <v>240333618</v>
      </c>
      <c r="AI827" s="6"/>
      <c r="AJ827" s="6"/>
      <c r="AK827" s="6"/>
      <c r="AL827" s="6"/>
      <c r="AM827" s="6"/>
      <c r="AN827" s="6"/>
      <c r="AO827" s="6"/>
      <c r="AP827" s="6"/>
      <c r="AQ827" s="6"/>
      <c r="AR827" s="6"/>
    </row>
    <row r="828" spans="1:44">
      <c r="A828" s="6"/>
      <c r="B828" s="6"/>
      <c r="C828" s="6"/>
      <c r="D828" s="6"/>
      <c r="E828" s="6"/>
      <c r="F828" s="6"/>
      <c r="G828" s="11"/>
      <c r="H828" s="6"/>
      <c r="I828" s="6"/>
      <c r="J828" s="6"/>
      <c r="K828" s="7"/>
      <c r="L828" s="21" t="str">
        <f>микс!$H$11</f>
        <v>продажа под заказ</v>
      </c>
      <c r="M828" s="22"/>
      <c r="N828" s="22"/>
      <c r="O828" s="22" t="s">
        <v>149</v>
      </c>
      <c r="P828" s="23" t="str">
        <f>микс!$H$46</f>
        <v>Электроника и бытовая техника</v>
      </c>
      <c r="Q828" s="21" t="s">
        <v>77</v>
      </c>
      <c r="R828" s="25">
        <v>1</v>
      </c>
      <c r="S828" s="28"/>
      <c r="T828" s="31">
        <v>42338</v>
      </c>
      <c r="U828" s="33">
        <v>5674</v>
      </c>
      <c r="V828" s="36">
        <f t="shared" si="62"/>
        <v>5674</v>
      </c>
      <c r="W828" s="28"/>
      <c r="X828" s="31">
        <v>42342</v>
      </c>
      <c r="Y828" s="33">
        <v>5725</v>
      </c>
      <c r="Z828" s="189">
        <f t="shared" si="63"/>
        <v>5725</v>
      </c>
      <c r="AA828" s="190"/>
      <c r="AB828" s="31"/>
      <c r="AC828" s="36"/>
      <c r="AD828" s="8"/>
      <c r="AE828" s="6"/>
      <c r="AF828" s="52">
        <f t="shared" si="60"/>
        <v>240225812</v>
      </c>
      <c r="AG828" s="25">
        <f t="shared" si="61"/>
        <v>242407950</v>
      </c>
      <c r="AH828" s="52">
        <f t="shared" si="64"/>
        <v>0</v>
      </c>
      <c r="AI828" s="6"/>
      <c r="AJ828" s="6"/>
      <c r="AK828" s="6"/>
      <c r="AL828" s="6"/>
      <c r="AM828" s="6"/>
      <c r="AN828" s="6"/>
      <c r="AO828" s="6"/>
      <c r="AP828" s="6"/>
      <c r="AQ828" s="6"/>
      <c r="AR828" s="6"/>
    </row>
    <row r="829" spans="1:44">
      <c r="A829" s="6"/>
      <c r="B829" s="6"/>
      <c r="C829" s="6"/>
      <c r="D829" s="6"/>
      <c r="E829" s="6"/>
      <c r="F829" s="6"/>
      <c r="G829" s="11"/>
      <c r="H829" s="6"/>
      <c r="I829" s="6"/>
      <c r="J829" s="6"/>
      <c r="K829" s="7"/>
      <c r="L829" s="21" t="str">
        <f>микс!$H$10</f>
        <v>продажа со склада</v>
      </c>
      <c r="M829" s="22"/>
      <c r="N829" s="22"/>
      <c r="O829" s="22" t="s">
        <v>135</v>
      </c>
      <c r="P829" s="23" t="str">
        <f>микс!$H$49</f>
        <v>Товары для детей</v>
      </c>
      <c r="Q829" s="21" t="s">
        <v>105</v>
      </c>
      <c r="R829" s="25">
        <v>1</v>
      </c>
      <c r="S829" s="28"/>
      <c r="T829" s="31">
        <v>42084</v>
      </c>
      <c r="U829" s="33">
        <v>1455.51</v>
      </c>
      <c r="V829" s="36">
        <f t="shared" si="62"/>
        <v>1455.51</v>
      </c>
      <c r="W829" s="28"/>
      <c r="X829" s="31">
        <v>42340</v>
      </c>
      <c r="Y829" s="33">
        <v>1890</v>
      </c>
      <c r="Z829" s="189">
        <f t="shared" si="63"/>
        <v>1890</v>
      </c>
      <c r="AA829" s="190"/>
      <c r="AB829" s="31"/>
      <c r="AC829" s="36"/>
      <c r="AD829" s="8"/>
      <c r="AE829" s="6"/>
      <c r="AF829" s="52">
        <f t="shared" si="60"/>
        <v>61253682.839999996</v>
      </c>
      <c r="AG829" s="25">
        <f t="shared" si="61"/>
        <v>80022600</v>
      </c>
      <c r="AH829" s="52">
        <f t="shared" si="64"/>
        <v>0</v>
      </c>
      <c r="AI829" s="6"/>
      <c r="AJ829" s="6"/>
      <c r="AK829" s="6"/>
      <c r="AL829" s="6"/>
      <c r="AM829" s="6"/>
      <c r="AN829" s="6"/>
      <c r="AO829" s="6"/>
      <c r="AP829" s="6"/>
      <c r="AQ829" s="6"/>
      <c r="AR829" s="6"/>
    </row>
    <row r="830" spans="1:44">
      <c r="A830" s="6"/>
      <c r="B830" s="6"/>
      <c r="C830" s="6"/>
      <c r="D830" s="6"/>
      <c r="E830" s="6"/>
      <c r="F830" s="6"/>
      <c r="G830" s="11"/>
      <c r="H830" s="6"/>
      <c r="I830" s="6"/>
      <c r="J830" s="6"/>
      <c r="K830" s="7"/>
      <c r="L830" s="21" t="str">
        <f>микс!$H$11</f>
        <v>продажа под заказ</v>
      </c>
      <c r="M830" s="22"/>
      <c r="N830" s="22"/>
      <c r="O830" s="22" t="s">
        <v>146</v>
      </c>
      <c r="P830" s="23" t="str">
        <f>микс!$H$49</f>
        <v>Товары для детей</v>
      </c>
      <c r="Q830" s="21" t="s">
        <v>105</v>
      </c>
      <c r="R830" s="25">
        <v>1</v>
      </c>
      <c r="S830" s="28"/>
      <c r="T830" s="31">
        <v>42311</v>
      </c>
      <c r="U830" s="33">
        <v>1393</v>
      </c>
      <c r="V830" s="36">
        <f t="shared" si="62"/>
        <v>1393</v>
      </c>
      <c r="W830" s="28"/>
      <c r="X830" s="31">
        <v>42315</v>
      </c>
      <c r="Y830" s="33">
        <v>1890</v>
      </c>
      <c r="Z830" s="189">
        <f t="shared" si="63"/>
        <v>1890</v>
      </c>
      <c r="AA830" s="190"/>
      <c r="AB830" s="31">
        <v>42326</v>
      </c>
      <c r="AC830" s="36">
        <v>1393</v>
      </c>
      <c r="AD830" s="8"/>
      <c r="AE830" s="6"/>
      <c r="AF830" s="52">
        <f t="shared" si="60"/>
        <v>58939223</v>
      </c>
      <c r="AG830" s="25">
        <f t="shared" si="61"/>
        <v>79975350</v>
      </c>
      <c r="AH830" s="52">
        <f t="shared" si="64"/>
        <v>58960118</v>
      </c>
      <c r="AI830" s="6"/>
      <c r="AJ830" s="6"/>
      <c r="AK830" s="6"/>
      <c r="AL830" s="6"/>
      <c r="AM830" s="6"/>
      <c r="AN830" s="6"/>
      <c r="AO830" s="6"/>
      <c r="AP830" s="6"/>
      <c r="AQ830" s="6"/>
      <c r="AR830" s="6"/>
    </row>
    <row r="831" spans="1:44">
      <c r="A831" s="6"/>
      <c r="B831" s="6"/>
      <c r="C831" s="6"/>
      <c r="D831" s="6"/>
      <c r="E831" s="6"/>
      <c r="F831" s="6"/>
      <c r="G831" s="11"/>
      <c r="H831" s="6"/>
      <c r="I831" s="6"/>
      <c r="J831" s="6"/>
      <c r="K831" s="7"/>
      <c r="L831" s="21" t="str">
        <f>микс!$H$10</f>
        <v>продажа со склада</v>
      </c>
      <c r="M831" s="22"/>
      <c r="N831" s="22"/>
      <c r="O831" s="22" t="s">
        <v>144</v>
      </c>
      <c r="P831" s="23" t="str">
        <f>микс!$H$48</f>
        <v>Спортивный инвентарь</v>
      </c>
      <c r="Q831" s="21" t="s">
        <v>83</v>
      </c>
      <c r="R831" s="25">
        <v>1</v>
      </c>
      <c r="S831" s="28"/>
      <c r="T831" s="31">
        <v>42151</v>
      </c>
      <c r="U831" s="33">
        <v>4415.37</v>
      </c>
      <c r="V831" s="36">
        <f t="shared" si="62"/>
        <v>4415.37</v>
      </c>
      <c r="W831" s="28"/>
      <c r="X831" s="31">
        <v>42320</v>
      </c>
      <c r="Y831" s="33">
        <v>2513</v>
      </c>
      <c r="Z831" s="189">
        <f t="shared" si="63"/>
        <v>2513</v>
      </c>
      <c r="AA831" s="190"/>
      <c r="AB831" s="31">
        <v>42173</v>
      </c>
      <c r="AC831" s="36">
        <v>4415.37</v>
      </c>
      <c r="AD831" s="8"/>
      <c r="AE831" s="6"/>
      <c r="AF831" s="52">
        <f t="shared" si="60"/>
        <v>186112260.87</v>
      </c>
      <c r="AG831" s="25">
        <f t="shared" si="61"/>
        <v>106350160</v>
      </c>
      <c r="AH831" s="52">
        <f t="shared" si="64"/>
        <v>186209399.00999999</v>
      </c>
      <c r="AI831" s="6"/>
      <c r="AJ831" s="6"/>
      <c r="AK831" s="6"/>
      <c r="AL831" s="6"/>
      <c r="AM831" s="6"/>
      <c r="AN831" s="6"/>
      <c r="AO831" s="6"/>
      <c r="AP831" s="6"/>
      <c r="AQ831" s="6"/>
      <c r="AR831" s="6"/>
    </row>
    <row r="832" spans="1:44">
      <c r="A832" s="6"/>
      <c r="B832" s="6"/>
      <c r="C832" s="6"/>
      <c r="D832" s="6"/>
      <c r="E832" s="6"/>
      <c r="F832" s="6"/>
      <c r="G832" s="11"/>
      <c r="H832" s="6"/>
      <c r="I832" s="6"/>
      <c r="J832" s="6"/>
      <c r="K832" s="7"/>
      <c r="L832" s="21" t="str">
        <f>микс!$H$10</f>
        <v>продажа со склада</v>
      </c>
      <c r="M832" s="22"/>
      <c r="N832" s="22"/>
      <c r="O832" s="22" t="s">
        <v>144</v>
      </c>
      <c r="P832" s="23" t="str">
        <f>микс!$H$48</f>
        <v>Спортивный инвентарь</v>
      </c>
      <c r="Q832" s="21" t="s">
        <v>83</v>
      </c>
      <c r="R832" s="25">
        <v>1</v>
      </c>
      <c r="S832" s="28"/>
      <c r="T832" s="31">
        <v>42152</v>
      </c>
      <c r="U832" s="33">
        <v>2319.5500000000002</v>
      </c>
      <c r="V832" s="36">
        <f t="shared" si="62"/>
        <v>2319.5500000000002</v>
      </c>
      <c r="W832" s="28"/>
      <c r="X832" s="31">
        <v>42304</v>
      </c>
      <c r="Y832" s="33">
        <v>2513</v>
      </c>
      <c r="Z832" s="189">
        <f t="shared" si="63"/>
        <v>2513</v>
      </c>
      <c r="AA832" s="190"/>
      <c r="AB832" s="31">
        <v>42212</v>
      </c>
      <c r="AC832" s="36">
        <v>2319.5500000000002</v>
      </c>
      <c r="AD832" s="8"/>
      <c r="AE832" s="6"/>
      <c r="AF832" s="52">
        <f t="shared" si="60"/>
        <v>97773671.600000009</v>
      </c>
      <c r="AG832" s="25">
        <f t="shared" si="61"/>
        <v>106309952</v>
      </c>
      <c r="AH832" s="52">
        <f t="shared" si="64"/>
        <v>97912844.600000009</v>
      </c>
      <c r="AI832" s="6"/>
      <c r="AJ832" s="6"/>
      <c r="AK832" s="6"/>
      <c r="AL832" s="6"/>
      <c r="AM832" s="6"/>
      <c r="AN832" s="6"/>
      <c r="AO832" s="6"/>
      <c r="AP832" s="6"/>
      <c r="AQ832" s="6"/>
      <c r="AR832" s="6"/>
    </row>
    <row r="833" spans="1:44">
      <c r="A833" s="6"/>
      <c r="B833" s="6"/>
      <c r="C833" s="6"/>
      <c r="D833" s="6"/>
      <c r="E833" s="6"/>
      <c r="F833" s="6"/>
      <c r="G833" s="11"/>
      <c r="H833" s="6"/>
      <c r="I833" s="6"/>
      <c r="J833" s="6"/>
      <c r="K833" s="7"/>
      <c r="L833" s="21" t="str">
        <f>микс!$H$11</f>
        <v>продажа под заказ</v>
      </c>
      <c r="M833" s="22"/>
      <c r="N833" s="22"/>
      <c r="O833" s="22" t="s">
        <v>144</v>
      </c>
      <c r="P833" s="23" t="str">
        <f>микс!$H$48</f>
        <v>Спортивный инвентарь</v>
      </c>
      <c r="Q833" s="21" t="s">
        <v>83</v>
      </c>
      <c r="R833" s="25">
        <v>1</v>
      </c>
      <c r="S833" s="28"/>
      <c r="T833" s="31">
        <v>42307</v>
      </c>
      <c r="U833" s="33">
        <v>2381.4</v>
      </c>
      <c r="V833" s="36">
        <f t="shared" si="62"/>
        <v>2381.4</v>
      </c>
      <c r="W833" s="28"/>
      <c r="X833" s="31">
        <v>42315</v>
      </c>
      <c r="Y833" s="33">
        <v>2760</v>
      </c>
      <c r="Z833" s="189">
        <f t="shared" si="63"/>
        <v>2760</v>
      </c>
      <c r="AA833" s="190"/>
      <c r="AB833" s="31">
        <v>42312</v>
      </c>
      <c r="AC833" s="36">
        <v>2381.4</v>
      </c>
      <c r="AD833" s="8"/>
      <c r="AE833" s="6"/>
      <c r="AF833" s="52">
        <f t="shared" si="60"/>
        <v>100749889.8</v>
      </c>
      <c r="AG833" s="25">
        <f t="shared" si="61"/>
        <v>116789400</v>
      </c>
      <c r="AH833" s="52">
        <f t="shared" si="64"/>
        <v>100761796.8</v>
      </c>
      <c r="AI833" s="6"/>
      <c r="AJ833" s="6"/>
      <c r="AK833" s="6"/>
      <c r="AL833" s="6"/>
      <c r="AM833" s="6"/>
      <c r="AN833" s="6"/>
      <c r="AO833" s="6"/>
      <c r="AP833" s="6"/>
      <c r="AQ833" s="6"/>
      <c r="AR833" s="6"/>
    </row>
    <row r="834" spans="1:44">
      <c r="A834" s="6"/>
      <c r="B834" s="6"/>
      <c r="C834" s="6"/>
      <c r="D834" s="6"/>
      <c r="E834" s="6"/>
      <c r="F834" s="6"/>
      <c r="G834" s="11"/>
      <c r="H834" s="6"/>
      <c r="I834" s="6"/>
      <c r="J834" s="6"/>
      <c r="K834" s="7"/>
      <c r="L834" s="21" t="str">
        <f>микс!$H$11</f>
        <v>продажа под заказ</v>
      </c>
      <c r="M834" s="22"/>
      <c r="N834" s="22"/>
      <c r="O834" s="22" t="s">
        <v>144</v>
      </c>
      <c r="P834" s="23" t="str">
        <f>микс!$H$48</f>
        <v>Спортивный инвентарь</v>
      </c>
      <c r="Q834" s="21" t="s">
        <v>83</v>
      </c>
      <c r="R834" s="25">
        <v>1</v>
      </c>
      <c r="S834" s="28"/>
      <c r="T834" s="31">
        <v>42305</v>
      </c>
      <c r="U834" s="33">
        <v>2319.5500000000002</v>
      </c>
      <c r="V834" s="36">
        <f t="shared" si="62"/>
        <v>2319.5500000000002</v>
      </c>
      <c r="W834" s="28"/>
      <c r="X834" s="31">
        <v>42307</v>
      </c>
      <c r="Y834" s="33">
        <v>2760</v>
      </c>
      <c r="Z834" s="189">
        <f t="shared" si="63"/>
        <v>2760</v>
      </c>
      <c r="AA834" s="190"/>
      <c r="AB834" s="31">
        <v>42345</v>
      </c>
      <c r="AC834" s="36">
        <v>2319.5500000000002</v>
      </c>
      <c r="AD834" s="8"/>
      <c r="AE834" s="6"/>
      <c r="AF834" s="52">
        <f t="shared" si="60"/>
        <v>98128562.750000015</v>
      </c>
      <c r="AG834" s="25">
        <f t="shared" si="61"/>
        <v>116767320</v>
      </c>
      <c r="AH834" s="52">
        <f t="shared" si="64"/>
        <v>98221344.750000015</v>
      </c>
      <c r="AI834" s="6"/>
      <c r="AJ834" s="6"/>
      <c r="AK834" s="6"/>
      <c r="AL834" s="6"/>
      <c r="AM834" s="6"/>
      <c r="AN834" s="6"/>
      <c r="AO834" s="6"/>
      <c r="AP834" s="6"/>
      <c r="AQ834" s="6"/>
      <c r="AR834" s="6"/>
    </row>
    <row r="835" spans="1:44">
      <c r="A835" s="6"/>
      <c r="B835" s="6"/>
      <c r="C835" s="6"/>
      <c r="D835" s="6"/>
      <c r="E835" s="6"/>
      <c r="F835" s="6"/>
      <c r="G835" s="11"/>
      <c r="H835" s="6"/>
      <c r="I835" s="6"/>
      <c r="J835" s="6"/>
      <c r="K835" s="7"/>
      <c r="L835" s="21" t="str">
        <f>микс!$H$10</f>
        <v>продажа со склада</v>
      </c>
      <c r="M835" s="22"/>
      <c r="N835" s="22"/>
      <c r="O835" s="22" t="s">
        <v>144</v>
      </c>
      <c r="P835" s="23" t="str">
        <f>микс!$H$48</f>
        <v>Спортивный инвентарь</v>
      </c>
      <c r="Q835" s="21" t="s">
        <v>83</v>
      </c>
      <c r="R835" s="25">
        <v>1</v>
      </c>
      <c r="S835" s="28"/>
      <c r="T835" s="31">
        <v>42150</v>
      </c>
      <c r="U835" s="33">
        <v>2319.5500000000002</v>
      </c>
      <c r="V835" s="36">
        <f t="shared" si="62"/>
        <v>2319.5500000000002</v>
      </c>
      <c r="W835" s="28"/>
      <c r="X835" s="31">
        <v>42303</v>
      </c>
      <c r="Y835" s="33">
        <v>2440</v>
      </c>
      <c r="Z835" s="189">
        <f t="shared" si="63"/>
        <v>2440</v>
      </c>
      <c r="AA835" s="190"/>
      <c r="AB835" s="31"/>
      <c r="AC835" s="36"/>
      <c r="AD835" s="8"/>
      <c r="AE835" s="6"/>
      <c r="AF835" s="52">
        <f t="shared" si="60"/>
        <v>97769032.500000015</v>
      </c>
      <c r="AG835" s="25">
        <f t="shared" si="61"/>
        <v>103219320</v>
      </c>
      <c r="AH835" s="52">
        <f t="shared" si="64"/>
        <v>0</v>
      </c>
      <c r="AI835" s="6"/>
      <c r="AJ835" s="6"/>
      <c r="AK835" s="6"/>
      <c r="AL835" s="6"/>
      <c r="AM835" s="6"/>
      <c r="AN835" s="6"/>
      <c r="AO835" s="6"/>
      <c r="AP835" s="6"/>
      <c r="AQ835" s="6"/>
      <c r="AR835" s="6"/>
    </row>
    <row r="836" spans="1:44">
      <c r="A836" s="6"/>
      <c r="B836" s="6"/>
      <c r="C836" s="6"/>
      <c r="D836" s="6"/>
      <c r="E836" s="6"/>
      <c r="F836" s="6"/>
      <c r="G836" s="11"/>
      <c r="H836" s="6"/>
      <c r="I836" s="6"/>
      <c r="J836" s="6"/>
      <c r="K836" s="7"/>
      <c r="L836" s="21" t="str">
        <f>микс!$H$11</f>
        <v>продажа под заказ</v>
      </c>
      <c r="M836" s="22"/>
      <c r="N836" s="22"/>
      <c r="O836" s="22" t="s">
        <v>144</v>
      </c>
      <c r="P836" s="23" t="str">
        <f>микс!$H$48</f>
        <v>Спортивный инвентарь</v>
      </c>
      <c r="Q836" s="21" t="s">
        <v>83</v>
      </c>
      <c r="R836" s="25">
        <v>1</v>
      </c>
      <c r="S836" s="28"/>
      <c r="T836" s="31">
        <v>42306</v>
      </c>
      <c r="U836" s="33">
        <v>2319.5500000000002</v>
      </c>
      <c r="V836" s="36">
        <f t="shared" si="62"/>
        <v>2319.5500000000002</v>
      </c>
      <c r="W836" s="28"/>
      <c r="X836" s="31">
        <v>42308</v>
      </c>
      <c r="Y836" s="33">
        <v>2760</v>
      </c>
      <c r="Z836" s="189">
        <f t="shared" si="63"/>
        <v>2760</v>
      </c>
      <c r="AA836" s="190"/>
      <c r="AB836" s="31">
        <v>42321</v>
      </c>
      <c r="AC836" s="36">
        <v>2319.5500000000002</v>
      </c>
      <c r="AD836" s="8"/>
      <c r="AE836" s="6"/>
      <c r="AF836" s="52">
        <f t="shared" si="60"/>
        <v>98130882.300000012</v>
      </c>
      <c r="AG836" s="25">
        <f t="shared" si="61"/>
        <v>116770080</v>
      </c>
      <c r="AH836" s="52">
        <f t="shared" si="64"/>
        <v>98165675.550000012</v>
      </c>
      <c r="AI836" s="6"/>
      <c r="AJ836" s="6"/>
      <c r="AK836" s="6"/>
      <c r="AL836" s="6"/>
      <c r="AM836" s="6"/>
      <c r="AN836" s="6"/>
      <c r="AO836" s="6"/>
      <c r="AP836" s="6"/>
      <c r="AQ836" s="6"/>
      <c r="AR836" s="6"/>
    </row>
    <row r="837" spans="1:44">
      <c r="A837" s="6"/>
      <c r="B837" s="6"/>
      <c r="C837" s="6"/>
      <c r="D837" s="6"/>
      <c r="E837" s="6"/>
      <c r="F837" s="6"/>
      <c r="G837" s="11"/>
      <c r="H837" s="6"/>
      <c r="I837" s="6"/>
      <c r="J837" s="6"/>
      <c r="K837" s="7"/>
      <c r="L837" s="21" t="str">
        <f>микс!$H$10</f>
        <v>продажа со склада</v>
      </c>
      <c r="M837" s="22"/>
      <c r="N837" s="22"/>
      <c r="O837" s="22" t="s">
        <v>144</v>
      </c>
      <c r="P837" s="23" t="str">
        <f>микс!$H$48</f>
        <v>Спортивный инвентарь</v>
      </c>
      <c r="Q837" s="21" t="s">
        <v>83</v>
      </c>
      <c r="R837" s="25">
        <v>1</v>
      </c>
      <c r="S837" s="28"/>
      <c r="T837" s="31">
        <v>42148</v>
      </c>
      <c r="U837" s="33">
        <v>2319.5500000000002</v>
      </c>
      <c r="V837" s="36">
        <f t="shared" si="62"/>
        <v>2319.5500000000002</v>
      </c>
      <c r="W837" s="28"/>
      <c r="X837" s="31">
        <v>42300</v>
      </c>
      <c r="Y837" s="33">
        <v>2680</v>
      </c>
      <c r="Z837" s="189">
        <f t="shared" si="63"/>
        <v>2680</v>
      </c>
      <c r="AA837" s="190"/>
      <c r="AB837" s="31">
        <v>42198</v>
      </c>
      <c r="AC837" s="36">
        <v>2319.5500000000002</v>
      </c>
      <c r="AD837" s="8"/>
      <c r="AE837" s="6"/>
      <c r="AF837" s="52">
        <f t="shared" si="60"/>
        <v>97764393.400000006</v>
      </c>
      <c r="AG837" s="25">
        <f t="shared" si="61"/>
        <v>113364000</v>
      </c>
      <c r="AH837" s="52">
        <f t="shared" si="64"/>
        <v>97880370.900000006</v>
      </c>
      <c r="AI837" s="6"/>
      <c r="AJ837" s="6"/>
      <c r="AK837" s="6"/>
      <c r="AL837" s="6"/>
      <c r="AM837" s="6"/>
      <c r="AN837" s="6"/>
      <c r="AO837" s="6"/>
      <c r="AP837" s="6"/>
      <c r="AQ837" s="6"/>
      <c r="AR837" s="6"/>
    </row>
    <row r="838" spans="1:44">
      <c r="A838" s="6"/>
      <c r="B838" s="6"/>
      <c r="C838" s="6"/>
      <c r="D838" s="6"/>
      <c r="E838" s="6"/>
      <c r="F838" s="6"/>
      <c r="G838" s="11"/>
      <c r="H838" s="6"/>
      <c r="I838" s="6"/>
      <c r="J838" s="6"/>
      <c r="K838" s="7"/>
      <c r="L838" s="21" t="str">
        <f>микс!$H$10</f>
        <v>продажа со склада</v>
      </c>
      <c r="M838" s="22"/>
      <c r="N838" s="22"/>
      <c r="O838" s="22" t="s">
        <v>144</v>
      </c>
      <c r="P838" s="23" t="str">
        <f>микс!$H$48</f>
        <v>Спортивный инвентарь</v>
      </c>
      <c r="Q838" s="21" t="s">
        <v>83</v>
      </c>
      <c r="R838" s="25">
        <v>1</v>
      </c>
      <c r="S838" s="28"/>
      <c r="T838" s="31">
        <v>42151</v>
      </c>
      <c r="U838" s="33">
        <v>2319.5500000000002</v>
      </c>
      <c r="V838" s="36">
        <f t="shared" si="62"/>
        <v>2319.5500000000002</v>
      </c>
      <c r="W838" s="28"/>
      <c r="X838" s="31">
        <v>42302</v>
      </c>
      <c r="Y838" s="33">
        <v>2440</v>
      </c>
      <c r="Z838" s="189">
        <f t="shared" si="63"/>
        <v>2440</v>
      </c>
      <c r="AA838" s="190"/>
      <c r="AB838" s="31">
        <v>42171</v>
      </c>
      <c r="AC838" s="36">
        <v>2319.5500000000002</v>
      </c>
      <c r="AD838" s="8"/>
      <c r="AE838" s="6"/>
      <c r="AF838" s="52">
        <f t="shared" si="60"/>
        <v>97771352.050000012</v>
      </c>
      <c r="AG838" s="25">
        <f t="shared" si="61"/>
        <v>103216880</v>
      </c>
      <c r="AH838" s="52">
        <f t="shared" si="64"/>
        <v>97817743.050000012</v>
      </c>
      <c r="AI838" s="6"/>
      <c r="AJ838" s="6"/>
      <c r="AK838" s="6"/>
      <c r="AL838" s="6"/>
      <c r="AM838" s="6"/>
      <c r="AN838" s="6"/>
      <c r="AO838" s="6"/>
      <c r="AP838" s="6"/>
      <c r="AQ838" s="6"/>
      <c r="AR838" s="6"/>
    </row>
    <row r="839" spans="1:44">
      <c r="A839" s="6"/>
      <c r="B839" s="6"/>
      <c r="C839" s="6"/>
      <c r="D839" s="6"/>
      <c r="E839" s="6"/>
      <c r="F839" s="6"/>
      <c r="G839" s="11"/>
      <c r="H839" s="6"/>
      <c r="I839" s="6"/>
      <c r="J839" s="6"/>
      <c r="K839" s="7"/>
      <c r="L839" s="21" t="str">
        <f>микс!$H$11</f>
        <v>продажа под заказ</v>
      </c>
      <c r="M839" s="22"/>
      <c r="N839" s="22"/>
      <c r="O839" s="22" t="s">
        <v>144</v>
      </c>
      <c r="P839" s="23" t="str">
        <f>микс!$H$48</f>
        <v>Спортивный инвентарь</v>
      </c>
      <c r="Q839" s="21" t="s">
        <v>83</v>
      </c>
      <c r="R839" s="25">
        <v>1</v>
      </c>
      <c r="S839" s="28"/>
      <c r="T839" s="31">
        <v>42320</v>
      </c>
      <c r="U839" s="33">
        <v>2500.56</v>
      </c>
      <c r="V839" s="36">
        <f t="shared" si="62"/>
        <v>2500.56</v>
      </c>
      <c r="W839" s="28"/>
      <c r="X839" s="31">
        <v>42322</v>
      </c>
      <c r="Y839" s="33">
        <v>2870</v>
      </c>
      <c r="Z839" s="189">
        <f t="shared" si="63"/>
        <v>2870</v>
      </c>
      <c r="AA839" s="190"/>
      <c r="AB839" s="31">
        <v>42350</v>
      </c>
      <c r="AC839" s="36">
        <v>2500.56</v>
      </c>
      <c r="AD839" s="8"/>
      <c r="AE839" s="6"/>
      <c r="AF839" s="52">
        <f t="shared" si="60"/>
        <v>105823699.2</v>
      </c>
      <c r="AG839" s="25">
        <f t="shared" si="61"/>
        <v>121464140</v>
      </c>
      <c r="AH839" s="52">
        <f t="shared" si="64"/>
        <v>105898716</v>
      </c>
      <c r="AI839" s="6"/>
      <c r="AJ839" s="6"/>
      <c r="AK839" s="6"/>
      <c r="AL839" s="6"/>
      <c r="AM839" s="6"/>
      <c r="AN839" s="6"/>
      <c r="AO839" s="6"/>
      <c r="AP839" s="6"/>
      <c r="AQ839" s="6"/>
      <c r="AR839" s="6"/>
    </row>
    <row r="840" spans="1:44">
      <c r="A840" s="6"/>
      <c r="B840" s="6"/>
      <c r="C840" s="6"/>
      <c r="D840" s="6"/>
      <c r="E840" s="6"/>
      <c r="F840" s="6"/>
      <c r="G840" s="11"/>
      <c r="H840" s="6"/>
      <c r="I840" s="6"/>
      <c r="J840" s="6"/>
      <c r="K840" s="7"/>
      <c r="L840" s="21" t="str">
        <f>микс!$H$11</f>
        <v>продажа под заказ</v>
      </c>
      <c r="M840" s="22"/>
      <c r="N840" s="22"/>
      <c r="O840" s="22" t="s">
        <v>144</v>
      </c>
      <c r="P840" s="23" t="str">
        <f>микс!$H$48</f>
        <v>Спортивный инвентарь</v>
      </c>
      <c r="Q840" s="21" t="s">
        <v>83</v>
      </c>
      <c r="R840" s="25">
        <v>1</v>
      </c>
      <c r="S840" s="28"/>
      <c r="T840" s="31">
        <v>42333</v>
      </c>
      <c r="U840" s="33">
        <v>2500.56</v>
      </c>
      <c r="V840" s="36">
        <f t="shared" si="62"/>
        <v>2500.56</v>
      </c>
      <c r="W840" s="28"/>
      <c r="X840" s="31">
        <v>42344</v>
      </c>
      <c r="Y840" s="33">
        <v>3070</v>
      </c>
      <c r="Z840" s="189">
        <f t="shared" si="63"/>
        <v>3070</v>
      </c>
      <c r="AA840" s="190"/>
      <c r="AB840" s="31">
        <v>42358</v>
      </c>
      <c r="AC840" s="36">
        <v>2500.56</v>
      </c>
      <c r="AD840" s="8"/>
      <c r="AE840" s="6"/>
      <c r="AF840" s="52">
        <f t="shared" si="60"/>
        <v>105856206.48</v>
      </c>
      <c r="AG840" s="25">
        <f t="shared" si="61"/>
        <v>129996080</v>
      </c>
      <c r="AH840" s="52">
        <f t="shared" si="64"/>
        <v>105918720.48</v>
      </c>
      <c r="AI840" s="6"/>
      <c r="AJ840" s="6"/>
      <c r="AK840" s="6"/>
      <c r="AL840" s="6"/>
      <c r="AM840" s="6"/>
      <c r="AN840" s="6"/>
      <c r="AO840" s="6"/>
      <c r="AP840" s="6"/>
      <c r="AQ840" s="6"/>
      <c r="AR840" s="6"/>
    </row>
    <row r="841" spans="1:44">
      <c r="A841" s="6"/>
      <c r="B841" s="6"/>
      <c r="C841" s="6"/>
      <c r="D841" s="6"/>
      <c r="E841" s="6"/>
      <c r="F841" s="6"/>
      <c r="G841" s="11"/>
      <c r="H841" s="6"/>
      <c r="I841" s="6"/>
      <c r="J841" s="6"/>
      <c r="K841" s="7"/>
      <c r="L841" s="21" t="str">
        <f>микс!$H$10</f>
        <v>продажа со склада</v>
      </c>
      <c r="M841" s="22"/>
      <c r="N841" s="22"/>
      <c r="O841" s="22" t="s">
        <v>144</v>
      </c>
      <c r="P841" s="23" t="str">
        <f>микс!$H$48</f>
        <v>Спортивный инвентарь</v>
      </c>
      <c r="Q841" s="21" t="s">
        <v>83</v>
      </c>
      <c r="R841" s="25">
        <v>1</v>
      </c>
      <c r="S841" s="28"/>
      <c r="T841" s="31">
        <v>42185</v>
      </c>
      <c r="U841" s="33">
        <v>2500.56</v>
      </c>
      <c r="V841" s="36">
        <f t="shared" si="62"/>
        <v>2500.56</v>
      </c>
      <c r="W841" s="28"/>
      <c r="X841" s="31">
        <v>42340</v>
      </c>
      <c r="Y841" s="33">
        <v>2520</v>
      </c>
      <c r="Z841" s="189">
        <f t="shared" si="63"/>
        <v>2520</v>
      </c>
      <c r="AA841" s="190"/>
      <c r="AB841" s="31"/>
      <c r="AC841" s="36"/>
      <c r="AD841" s="8"/>
      <c r="AE841" s="6"/>
      <c r="AF841" s="52">
        <f t="shared" ref="AF841:AF904" si="65">T841*V841</f>
        <v>105486123.59999999</v>
      </c>
      <c r="AG841" s="25">
        <f t="shared" ref="AG841:AG904" si="66">X841*Z841</f>
        <v>106696800</v>
      </c>
      <c r="AH841" s="52">
        <f t="shared" si="64"/>
        <v>0</v>
      </c>
      <c r="AI841" s="6"/>
      <c r="AJ841" s="6"/>
      <c r="AK841" s="6"/>
      <c r="AL841" s="6"/>
      <c r="AM841" s="6"/>
      <c r="AN841" s="6"/>
      <c r="AO841" s="6"/>
      <c r="AP841" s="6"/>
      <c r="AQ841" s="6"/>
      <c r="AR841" s="6"/>
    </row>
    <row r="842" spans="1:44">
      <c r="A842" s="6"/>
      <c r="B842" s="6"/>
      <c r="C842" s="6"/>
      <c r="D842" s="6"/>
      <c r="E842" s="6"/>
      <c r="F842" s="6"/>
      <c r="G842" s="11"/>
      <c r="H842" s="6"/>
      <c r="I842" s="6"/>
      <c r="J842" s="6"/>
      <c r="K842" s="7"/>
      <c r="L842" s="21" t="str">
        <f>микс!$H$11</f>
        <v>продажа под заказ</v>
      </c>
      <c r="M842" s="22"/>
      <c r="N842" s="22"/>
      <c r="O842" s="22" t="s">
        <v>144</v>
      </c>
      <c r="P842" s="23" t="str">
        <f>микс!$H$48</f>
        <v>Спортивный инвентарь</v>
      </c>
      <c r="Q842" s="21" t="s">
        <v>83</v>
      </c>
      <c r="R842" s="25">
        <v>1</v>
      </c>
      <c r="S842" s="28"/>
      <c r="T842" s="31">
        <v>42335</v>
      </c>
      <c r="U842" s="33">
        <v>2500.56</v>
      </c>
      <c r="V842" s="36">
        <f t="shared" ref="V842:V905" si="67">$R842*U842</f>
        <v>2500.56</v>
      </c>
      <c r="W842" s="28"/>
      <c r="X842" s="31">
        <v>42346</v>
      </c>
      <c r="Y842" s="33">
        <v>2520</v>
      </c>
      <c r="Z842" s="189">
        <f t="shared" ref="Z842:Z905" si="68">$R842*Y842</f>
        <v>2520</v>
      </c>
      <c r="AA842" s="190"/>
      <c r="AB842" s="31"/>
      <c r="AC842" s="36"/>
      <c r="AD842" s="8"/>
      <c r="AE842" s="6"/>
      <c r="AF842" s="52">
        <f t="shared" si="65"/>
        <v>105861207.59999999</v>
      </c>
      <c r="AG842" s="25">
        <f t="shared" si="66"/>
        <v>106711920</v>
      </c>
      <c r="AH842" s="52">
        <f t="shared" ref="AH842:AH905" si="69">AB842*AC842</f>
        <v>0</v>
      </c>
      <c r="AI842" s="6"/>
      <c r="AJ842" s="6"/>
      <c r="AK842" s="6"/>
      <c r="AL842" s="6"/>
      <c r="AM842" s="6"/>
      <c r="AN842" s="6"/>
      <c r="AO842" s="6"/>
      <c r="AP842" s="6"/>
      <c r="AQ842" s="6"/>
      <c r="AR842" s="6"/>
    </row>
    <row r="843" spans="1:44">
      <c r="A843" s="6"/>
      <c r="B843" s="6"/>
      <c r="C843" s="6"/>
      <c r="D843" s="6"/>
      <c r="E843" s="6"/>
      <c r="F843" s="6"/>
      <c r="G843" s="11"/>
      <c r="H843" s="6"/>
      <c r="I843" s="6"/>
      <c r="J843" s="6"/>
      <c r="K843" s="7"/>
      <c r="L843" s="21" t="str">
        <f>микс!$H$11</f>
        <v>продажа под заказ</v>
      </c>
      <c r="M843" s="22"/>
      <c r="N843" s="22"/>
      <c r="O843" s="22" t="s">
        <v>144</v>
      </c>
      <c r="P843" s="23" t="str">
        <f>микс!$H$48</f>
        <v>Спортивный инвентарь</v>
      </c>
      <c r="Q843" s="21" t="s">
        <v>83</v>
      </c>
      <c r="R843" s="25">
        <v>2</v>
      </c>
      <c r="S843" s="28"/>
      <c r="T843" s="31">
        <v>42331</v>
      </c>
      <c r="U843" s="33">
        <v>2500.56</v>
      </c>
      <c r="V843" s="36">
        <f t="shared" si="67"/>
        <v>5001.12</v>
      </c>
      <c r="W843" s="28"/>
      <c r="X843" s="31">
        <v>42342</v>
      </c>
      <c r="Y843" s="33">
        <v>2870</v>
      </c>
      <c r="Z843" s="189">
        <f t="shared" si="68"/>
        <v>5740</v>
      </c>
      <c r="AA843" s="190"/>
      <c r="AB843" s="31">
        <v>42353</v>
      </c>
      <c r="AC843" s="36">
        <v>5001.12</v>
      </c>
      <c r="AD843" s="8"/>
      <c r="AE843" s="6"/>
      <c r="AF843" s="52">
        <f t="shared" si="65"/>
        <v>211702410.72</v>
      </c>
      <c r="AG843" s="25">
        <f t="shared" si="66"/>
        <v>243043080</v>
      </c>
      <c r="AH843" s="52">
        <f t="shared" si="69"/>
        <v>211812435.35999998</v>
      </c>
      <c r="AI843" s="6"/>
      <c r="AJ843" s="6"/>
      <c r="AK843" s="6"/>
      <c r="AL843" s="6"/>
      <c r="AM843" s="6"/>
      <c r="AN843" s="6"/>
      <c r="AO843" s="6"/>
      <c r="AP843" s="6"/>
      <c r="AQ843" s="6"/>
      <c r="AR843" s="6"/>
    </row>
    <row r="844" spans="1:44">
      <c r="A844" s="6"/>
      <c r="B844" s="6"/>
      <c r="C844" s="6"/>
      <c r="D844" s="6"/>
      <c r="E844" s="6"/>
      <c r="F844" s="6"/>
      <c r="G844" s="11"/>
      <c r="H844" s="6"/>
      <c r="I844" s="6"/>
      <c r="J844" s="6"/>
      <c r="K844" s="7"/>
      <c r="L844" s="21" t="str">
        <f>микс!$H$11</f>
        <v>продажа под заказ</v>
      </c>
      <c r="M844" s="22"/>
      <c r="N844" s="22"/>
      <c r="O844" s="22" t="s">
        <v>144</v>
      </c>
      <c r="P844" s="23" t="str">
        <f>микс!$H$48</f>
        <v>Спортивный инвентарь</v>
      </c>
      <c r="Q844" s="21" t="s">
        <v>83</v>
      </c>
      <c r="R844" s="25">
        <v>1</v>
      </c>
      <c r="S844" s="28"/>
      <c r="T844" s="31">
        <v>42337</v>
      </c>
      <c r="U844" s="33">
        <v>2500.56</v>
      </c>
      <c r="V844" s="36">
        <f t="shared" si="67"/>
        <v>2500.56</v>
      </c>
      <c r="W844" s="28"/>
      <c r="X844" s="31">
        <v>42342</v>
      </c>
      <c r="Y844" s="33">
        <v>2520</v>
      </c>
      <c r="Z844" s="189">
        <f t="shared" si="68"/>
        <v>2520</v>
      </c>
      <c r="AA844" s="190"/>
      <c r="AB844" s="31">
        <v>42369</v>
      </c>
      <c r="AC844" s="36">
        <v>2500.56</v>
      </c>
      <c r="AD844" s="8"/>
      <c r="AE844" s="6"/>
      <c r="AF844" s="52">
        <f t="shared" si="65"/>
        <v>105866208.72</v>
      </c>
      <c r="AG844" s="25">
        <f t="shared" si="66"/>
        <v>106701840</v>
      </c>
      <c r="AH844" s="52">
        <f t="shared" si="69"/>
        <v>105946226.64</v>
      </c>
      <c r="AI844" s="6"/>
      <c r="AJ844" s="6"/>
      <c r="AK844" s="6"/>
      <c r="AL844" s="6"/>
      <c r="AM844" s="6"/>
      <c r="AN844" s="6"/>
      <c r="AO844" s="6"/>
      <c r="AP844" s="6"/>
      <c r="AQ844" s="6"/>
      <c r="AR844" s="6"/>
    </row>
    <row r="845" spans="1:44">
      <c r="A845" s="6"/>
      <c r="B845" s="6"/>
      <c r="C845" s="6"/>
      <c r="D845" s="6"/>
      <c r="E845" s="6"/>
      <c r="F845" s="6"/>
      <c r="G845" s="11"/>
      <c r="H845" s="6"/>
      <c r="I845" s="6"/>
      <c r="J845" s="6"/>
      <c r="K845" s="7"/>
      <c r="L845" s="21" t="str">
        <f>микс!$H$11</f>
        <v>продажа под заказ</v>
      </c>
      <c r="M845" s="22"/>
      <c r="N845" s="22"/>
      <c r="O845" s="22" t="s">
        <v>144</v>
      </c>
      <c r="P845" s="23" t="str">
        <f>микс!$H$48</f>
        <v>Спортивный инвентарь</v>
      </c>
      <c r="Q845" s="21" t="s">
        <v>83</v>
      </c>
      <c r="R845" s="25">
        <v>1</v>
      </c>
      <c r="S845" s="28"/>
      <c r="T845" s="31">
        <v>42337</v>
      </c>
      <c r="U845" s="33">
        <v>2500.56</v>
      </c>
      <c r="V845" s="36">
        <f t="shared" si="67"/>
        <v>2500.56</v>
      </c>
      <c r="W845" s="28"/>
      <c r="X845" s="31">
        <v>42343</v>
      </c>
      <c r="Y845" s="33">
        <v>2520</v>
      </c>
      <c r="Z845" s="189">
        <f t="shared" si="68"/>
        <v>2520</v>
      </c>
      <c r="AA845" s="190"/>
      <c r="AB845" s="31"/>
      <c r="AC845" s="36"/>
      <c r="AD845" s="8"/>
      <c r="AE845" s="6"/>
      <c r="AF845" s="52">
        <f t="shared" si="65"/>
        <v>105866208.72</v>
      </c>
      <c r="AG845" s="25">
        <f t="shared" si="66"/>
        <v>106704360</v>
      </c>
      <c r="AH845" s="52">
        <f t="shared" si="69"/>
        <v>0</v>
      </c>
      <c r="AI845" s="6"/>
      <c r="AJ845" s="6"/>
      <c r="AK845" s="6"/>
      <c r="AL845" s="6"/>
      <c r="AM845" s="6"/>
      <c r="AN845" s="6"/>
      <c r="AO845" s="6"/>
      <c r="AP845" s="6"/>
      <c r="AQ845" s="6"/>
      <c r="AR845" s="6"/>
    </row>
    <row r="846" spans="1:44">
      <c r="A846" s="6"/>
      <c r="B846" s="6"/>
      <c r="C846" s="6"/>
      <c r="D846" s="6"/>
      <c r="E846" s="6"/>
      <c r="F846" s="6"/>
      <c r="G846" s="11"/>
      <c r="H846" s="6"/>
      <c r="I846" s="6"/>
      <c r="J846" s="6"/>
      <c r="K846" s="7"/>
      <c r="L846" s="21" t="str">
        <f>микс!$H$11</f>
        <v>продажа под заказ</v>
      </c>
      <c r="M846" s="22"/>
      <c r="N846" s="22"/>
      <c r="O846" s="22" t="s">
        <v>144</v>
      </c>
      <c r="P846" s="23" t="str">
        <f>микс!$H$48</f>
        <v>Спортивный инвентарь</v>
      </c>
      <c r="Q846" s="21" t="s">
        <v>83</v>
      </c>
      <c r="R846" s="25">
        <v>1</v>
      </c>
      <c r="S846" s="28"/>
      <c r="T846" s="31">
        <v>42338</v>
      </c>
      <c r="U846" s="33">
        <v>2500.56</v>
      </c>
      <c r="V846" s="36">
        <f t="shared" si="67"/>
        <v>2500.56</v>
      </c>
      <c r="W846" s="28"/>
      <c r="X846" s="31">
        <v>42342</v>
      </c>
      <c r="Y846" s="33">
        <v>2520</v>
      </c>
      <c r="Z846" s="189">
        <f t="shared" si="68"/>
        <v>2520</v>
      </c>
      <c r="AA846" s="190"/>
      <c r="AB846" s="31"/>
      <c r="AC846" s="36"/>
      <c r="AD846" s="8"/>
      <c r="AE846" s="6"/>
      <c r="AF846" s="52">
        <f t="shared" si="65"/>
        <v>105868709.28</v>
      </c>
      <c r="AG846" s="25">
        <f t="shared" si="66"/>
        <v>106701840</v>
      </c>
      <c r="AH846" s="52">
        <f t="shared" si="69"/>
        <v>0</v>
      </c>
      <c r="AI846" s="6"/>
      <c r="AJ846" s="6"/>
      <c r="AK846" s="6"/>
      <c r="AL846" s="6"/>
      <c r="AM846" s="6"/>
      <c r="AN846" s="6"/>
      <c r="AO846" s="6"/>
      <c r="AP846" s="6"/>
      <c r="AQ846" s="6"/>
      <c r="AR846" s="6"/>
    </row>
    <row r="847" spans="1:44">
      <c r="A847" s="6"/>
      <c r="B847" s="6"/>
      <c r="C847" s="6"/>
      <c r="D847" s="6"/>
      <c r="E847" s="6"/>
      <c r="F847" s="6"/>
      <c r="G847" s="11"/>
      <c r="H847" s="6"/>
      <c r="I847" s="6"/>
      <c r="J847" s="6"/>
      <c r="K847" s="7"/>
      <c r="L847" s="21" t="str">
        <f>микс!$H$11</f>
        <v>продажа под заказ</v>
      </c>
      <c r="M847" s="22"/>
      <c r="N847" s="22"/>
      <c r="O847" s="22" t="s">
        <v>143</v>
      </c>
      <c r="P847" s="23" t="str">
        <f>микс!$H$47</f>
        <v>Домашнее хозяйство</v>
      </c>
      <c r="Q847" s="21" t="s">
        <v>101</v>
      </c>
      <c r="R847" s="25">
        <v>1</v>
      </c>
      <c r="S847" s="28"/>
      <c r="T847" s="31">
        <v>42330</v>
      </c>
      <c r="U847" s="33">
        <v>5800.4</v>
      </c>
      <c r="V847" s="36">
        <f t="shared" si="67"/>
        <v>5800.4</v>
      </c>
      <c r="W847" s="28"/>
      <c r="X847" s="31">
        <v>42339</v>
      </c>
      <c r="Y847" s="33">
        <v>8785</v>
      </c>
      <c r="Z847" s="189">
        <f t="shared" si="68"/>
        <v>8785</v>
      </c>
      <c r="AA847" s="190"/>
      <c r="AB847" s="31">
        <v>42342</v>
      </c>
      <c r="AC847" s="36">
        <v>5800.4</v>
      </c>
      <c r="AD847" s="8"/>
      <c r="AE847" s="6"/>
      <c r="AF847" s="52">
        <f t="shared" si="65"/>
        <v>245530931.99999997</v>
      </c>
      <c r="AG847" s="25">
        <f t="shared" si="66"/>
        <v>371948115</v>
      </c>
      <c r="AH847" s="52">
        <f t="shared" si="69"/>
        <v>245600536.79999998</v>
      </c>
      <c r="AI847" s="6"/>
      <c r="AJ847" s="6"/>
      <c r="AK847" s="6"/>
      <c r="AL847" s="6"/>
      <c r="AM847" s="6"/>
      <c r="AN847" s="6"/>
      <c r="AO847" s="6"/>
      <c r="AP847" s="6"/>
      <c r="AQ847" s="6"/>
      <c r="AR847" s="6"/>
    </row>
    <row r="848" spans="1:44">
      <c r="A848" s="6"/>
      <c r="B848" s="6"/>
      <c r="C848" s="6"/>
      <c r="D848" s="6"/>
      <c r="E848" s="6"/>
      <c r="F848" s="6"/>
      <c r="G848" s="11"/>
      <c r="H848" s="6"/>
      <c r="I848" s="6"/>
      <c r="J848" s="6"/>
      <c r="K848" s="7"/>
      <c r="L848" s="21" t="str">
        <f>микс!$H$10</f>
        <v>продажа со склада</v>
      </c>
      <c r="M848" s="22"/>
      <c r="N848" s="22"/>
      <c r="O848" s="22" t="s">
        <v>146</v>
      </c>
      <c r="P848" s="23" t="str">
        <f>микс!$H$49</f>
        <v>Товары для детей</v>
      </c>
      <c r="Q848" s="21" t="s">
        <v>115</v>
      </c>
      <c r="R848" s="25">
        <v>1</v>
      </c>
      <c r="S848" s="28"/>
      <c r="T848" s="31">
        <v>42184</v>
      </c>
      <c r="U848" s="33">
        <v>1806.42</v>
      </c>
      <c r="V848" s="36">
        <f t="shared" si="67"/>
        <v>1806.42</v>
      </c>
      <c r="W848" s="28"/>
      <c r="X848" s="31">
        <v>42336</v>
      </c>
      <c r="Y848" s="33">
        <v>2564</v>
      </c>
      <c r="Z848" s="189">
        <f t="shared" si="68"/>
        <v>2564</v>
      </c>
      <c r="AA848" s="190"/>
      <c r="AB848" s="31">
        <v>42194</v>
      </c>
      <c r="AC848" s="36">
        <v>1806.42</v>
      </c>
      <c r="AD848" s="8"/>
      <c r="AE848" s="6"/>
      <c r="AF848" s="52">
        <f t="shared" si="65"/>
        <v>76202021.280000001</v>
      </c>
      <c r="AG848" s="25">
        <f t="shared" si="66"/>
        <v>108549504</v>
      </c>
      <c r="AH848" s="52">
        <f t="shared" si="69"/>
        <v>76220085.480000004</v>
      </c>
      <c r="AI848" s="6"/>
      <c r="AJ848" s="6"/>
      <c r="AK848" s="6"/>
      <c r="AL848" s="6"/>
      <c r="AM848" s="6"/>
      <c r="AN848" s="6"/>
      <c r="AO848" s="6"/>
      <c r="AP848" s="6"/>
      <c r="AQ848" s="6"/>
      <c r="AR848" s="6"/>
    </row>
    <row r="849" spans="1:44">
      <c r="A849" s="6"/>
      <c r="B849" s="6"/>
      <c r="C849" s="6"/>
      <c r="D849" s="6"/>
      <c r="E849" s="6"/>
      <c r="F849" s="6"/>
      <c r="G849" s="11"/>
      <c r="H849" s="6"/>
      <c r="I849" s="6"/>
      <c r="J849" s="6"/>
      <c r="K849" s="7"/>
      <c r="L849" s="21" t="str">
        <f>микс!$H$10</f>
        <v>продажа со склада</v>
      </c>
      <c r="M849" s="22"/>
      <c r="N849" s="22"/>
      <c r="O849" s="22" t="s">
        <v>146</v>
      </c>
      <c r="P849" s="23" t="str">
        <f>микс!$H$49</f>
        <v>Товары для детей</v>
      </c>
      <c r="Q849" s="21" t="s">
        <v>115</v>
      </c>
      <c r="R849" s="25">
        <v>1</v>
      </c>
      <c r="S849" s="28"/>
      <c r="T849" s="31">
        <v>42158</v>
      </c>
      <c r="U849" s="33">
        <v>1806.42</v>
      </c>
      <c r="V849" s="36">
        <f t="shared" si="67"/>
        <v>1806.42</v>
      </c>
      <c r="W849" s="28"/>
      <c r="X849" s="31">
        <v>42320</v>
      </c>
      <c r="Y849" s="33">
        <v>2762</v>
      </c>
      <c r="Z849" s="189">
        <f t="shared" si="68"/>
        <v>2762</v>
      </c>
      <c r="AA849" s="190"/>
      <c r="AB849" s="31">
        <v>42178</v>
      </c>
      <c r="AC849" s="36">
        <v>1806.42</v>
      </c>
      <c r="AD849" s="8"/>
      <c r="AE849" s="6"/>
      <c r="AF849" s="52">
        <f t="shared" si="65"/>
        <v>76155054.359999999</v>
      </c>
      <c r="AG849" s="25">
        <f t="shared" si="66"/>
        <v>116887840</v>
      </c>
      <c r="AH849" s="52">
        <f t="shared" si="69"/>
        <v>76191182.760000005</v>
      </c>
      <c r="AI849" s="6"/>
      <c r="AJ849" s="6"/>
      <c r="AK849" s="6"/>
      <c r="AL849" s="6"/>
      <c r="AM849" s="6"/>
      <c r="AN849" s="6"/>
      <c r="AO849" s="6"/>
      <c r="AP849" s="6"/>
      <c r="AQ849" s="6"/>
      <c r="AR849" s="6"/>
    </row>
    <row r="850" spans="1:44">
      <c r="A850" s="6"/>
      <c r="B850" s="6"/>
      <c r="C850" s="6"/>
      <c r="D850" s="6"/>
      <c r="E850" s="6"/>
      <c r="F850" s="6"/>
      <c r="G850" s="11"/>
      <c r="H850" s="6"/>
      <c r="I850" s="6"/>
      <c r="J850" s="6"/>
      <c r="K850" s="7"/>
      <c r="L850" s="21" t="str">
        <f>микс!$H$10</f>
        <v>продажа со склада</v>
      </c>
      <c r="M850" s="22"/>
      <c r="N850" s="22"/>
      <c r="O850" s="22" t="s">
        <v>146</v>
      </c>
      <c r="P850" s="23" t="str">
        <f>микс!$H$49</f>
        <v>Товары для детей</v>
      </c>
      <c r="Q850" s="21" t="s">
        <v>115</v>
      </c>
      <c r="R850" s="25">
        <v>1</v>
      </c>
      <c r="S850" s="28"/>
      <c r="T850" s="31">
        <v>42151</v>
      </c>
      <c r="U850" s="33">
        <v>1806.42</v>
      </c>
      <c r="V850" s="36">
        <f t="shared" si="67"/>
        <v>1806.42</v>
      </c>
      <c r="W850" s="28"/>
      <c r="X850" s="31">
        <v>42304</v>
      </c>
      <c r="Y850" s="33">
        <v>2228</v>
      </c>
      <c r="Z850" s="189">
        <f t="shared" si="68"/>
        <v>2228</v>
      </c>
      <c r="AA850" s="190"/>
      <c r="AB850" s="31">
        <v>42181</v>
      </c>
      <c r="AC850" s="36">
        <v>1806.42</v>
      </c>
      <c r="AD850" s="8"/>
      <c r="AE850" s="6"/>
      <c r="AF850" s="52">
        <f t="shared" si="65"/>
        <v>76142409.420000002</v>
      </c>
      <c r="AG850" s="25">
        <f t="shared" si="66"/>
        <v>94253312</v>
      </c>
      <c r="AH850" s="52">
        <f t="shared" si="69"/>
        <v>76196602.019999996</v>
      </c>
      <c r="AI850" s="6"/>
      <c r="AJ850" s="6"/>
      <c r="AK850" s="6"/>
      <c r="AL850" s="6"/>
      <c r="AM850" s="6"/>
      <c r="AN850" s="6"/>
      <c r="AO850" s="6"/>
      <c r="AP850" s="6"/>
      <c r="AQ850" s="6"/>
      <c r="AR850" s="6"/>
    </row>
    <row r="851" spans="1:44">
      <c r="A851" s="6"/>
      <c r="B851" s="6"/>
      <c r="C851" s="6"/>
      <c r="D851" s="6"/>
      <c r="E851" s="6"/>
      <c r="F851" s="6"/>
      <c r="G851" s="11"/>
      <c r="H851" s="6"/>
      <c r="I851" s="6"/>
      <c r="J851" s="6"/>
      <c r="K851" s="7"/>
      <c r="L851" s="21" t="str">
        <f>микс!$H$11</f>
        <v>продажа под заказ</v>
      </c>
      <c r="M851" s="22"/>
      <c r="N851" s="22"/>
      <c r="O851" s="22" t="s">
        <v>147</v>
      </c>
      <c r="P851" s="23" t="str">
        <f>микс!$H$48</f>
        <v>Спортивный инвентарь</v>
      </c>
      <c r="Q851" s="21" t="s">
        <v>83</v>
      </c>
      <c r="R851" s="25">
        <v>1</v>
      </c>
      <c r="S851" s="28"/>
      <c r="T851" s="31">
        <v>42294</v>
      </c>
      <c r="U851" s="33">
        <v>2268.5</v>
      </c>
      <c r="V851" s="36">
        <f t="shared" si="67"/>
        <v>2268.5</v>
      </c>
      <c r="W851" s="28"/>
      <c r="X851" s="31">
        <v>42299</v>
      </c>
      <c r="Y851" s="33">
        <v>3115</v>
      </c>
      <c r="Z851" s="189">
        <f t="shared" si="68"/>
        <v>3115</v>
      </c>
      <c r="AA851" s="190"/>
      <c r="AB851" s="31">
        <v>42324</v>
      </c>
      <c r="AC851" s="36">
        <v>2268.5</v>
      </c>
      <c r="AD851" s="8"/>
      <c r="AE851" s="6"/>
      <c r="AF851" s="52">
        <f t="shared" si="65"/>
        <v>95943939</v>
      </c>
      <c r="AG851" s="25">
        <f t="shared" si="66"/>
        <v>131761385</v>
      </c>
      <c r="AH851" s="52">
        <f t="shared" si="69"/>
        <v>96011994</v>
      </c>
      <c r="AI851" s="6"/>
      <c r="AJ851" s="6"/>
      <c r="AK851" s="6"/>
      <c r="AL851" s="6"/>
      <c r="AM851" s="6"/>
      <c r="AN851" s="6"/>
      <c r="AO851" s="6"/>
      <c r="AP851" s="6"/>
      <c r="AQ851" s="6"/>
      <c r="AR851" s="6"/>
    </row>
    <row r="852" spans="1:44">
      <c r="A852" s="6"/>
      <c r="B852" s="6"/>
      <c r="C852" s="6"/>
      <c r="D852" s="6"/>
      <c r="E852" s="6"/>
      <c r="F852" s="6"/>
      <c r="G852" s="11"/>
      <c r="H852" s="6"/>
      <c r="I852" s="6"/>
      <c r="J852" s="6"/>
      <c r="K852" s="7"/>
      <c r="L852" s="21" t="str">
        <f>микс!$H$11</f>
        <v>продажа под заказ</v>
      </c>
      <c r="M852" s="22"/>
      <c r="N852" s="22"/>
      <c r="O852" s="22" t="s">
        <v>147</v>
      </c>
      <c r="P852" s="23" t="str">
        <f>микс!$H$48</f>
        <v>Спортивный инвентарь</v>
      </c>
      <c r="Q852" s="21" t="s">
        <v>83</v>
      </c>
      <c r="R852" s="25">
        <v>1</v>
      </c>
      <c r="S852" s="28"/>
      <c r="T852" s="31">
        <v>42298</v>
      </c>
      <c r="U852" s="33">
        <v>2268.5</v>
      </c>
      <c r="V852" s="36">
        <f t="shared" si="67"/>
        <v>2268.5</v>
      </c>
      <c r="W852" s="28"/>
      <c r="X852" s="31">
        <v>42303</v>
      </c>
      <c r="Y852" s="33">
        <v>3115</v>
      </c>
      <c r="Z852" s="189">
        <f t="shared" si="68"/>
        <v>3115</v>
      </c>
      <c r="AA852" s="190"/>
      <c r="AB852" s="31"/>
      <c r="AC852" s="36"/>
      <c r="AD852" s="8"/>
      <c r="AE852" s="6"/>
      <c r="AF852" s="52">
        <f t="shared" si="65"/>
        <v>95953013</v>
      </c>
      <c r="AG852" s="25">
        <f t="shared" si="66"/>
        <v>131773845</v>
      </c>
      <c r="AH852" s="52">
        <f t="shared" si="69"/>
        <v>0</v>
      </c>
      <c r="AI852" s="6"/>
      <c r="AJ852" s="6"/>
      <c r="AK852" s="6"/>
      <c r="AL852" s="6"/>
      <c r="AM852" s="6"/>
      <c r="AN852" s="6"/>
      <c r="AO852" s="6"/>
      <c r="AP852" s="6"/>
      <c r="AQ852" s="6"/>
      <c r="AR852" s="6"/>
    </row>
    <row r="853" spans="1:44">
      <c r="A853" s="6"/>
      <c r="B853" s="6"/>
      <c r="C853" s="6"/>
      <c r="D853" s="6"/>
      <c r="E853" s="6"/>
      <c r="F853" s="6"/>
      <c r="G853" s="11"/>
      <c r="H853" s="6"/>
      <c r="I853" s="6"/>
      <c r="J853" s="6"/>
      <c r="K853" s="7"/>
      <c r="L853" s="21" t="str">
        <f>микс!$H$10</f>
        <v>продажа со склада</v>
      </c>
      <c r="M853" s="22"/>
      <c r="N853" s="22"/>
      <c r="O853" s="22" t="s">
        <v>147</v>
      </c>
      <c r="P853" s="23" t="str">
        <f>микс!$H$48</f>
        <v>Спортивный инвентарь</v>
      </c>
      <c r="Q853" s="21" t="s">
        <v>83</v>
      </c>
      <c r="R853" s="25">
        <v>1</v>
      </c>
      <c r="S853" s="28"/>
      <c r="T853" s="31">
        <v>42155</v>
      </c>
      <c r="U853" s="33">
        <v>2268.5</v>
      </c>
      <c r="V853" s="36">
        <f t="shared" si="67"/>
        <v>2268.5</v>
      </c>
      <c r="W853" s="28"/>
      <c r="X853" s="31">
        <v>42306</v>
      </c>
      <c r="Y853" s="33">
        <v>3115</v>
      </c>
      <c r="Z853" s="189">
        <f t="shared" si="68"/>
        <v>3115</v>
      </c>
      <c r="AA853" s="190"/>
      <c r="AB853" s="31">
        <v>42215</v>
      </c>
      <c r="AC853" s="36">
        <v>2268.5</v>
      </c>
      <c r="AD853" s="8"/>
      <c r="AE853" s="6"/>
      <c r="AF853" s="52">
        <f t="shared" si="65"/>
        <v>95628617.5</v>
      </c>
      <c r="AG853" s="25">
        <f t="shared" si="66"/>
        <v>131783190</v>
      </c>
      <c r="AH853" s="52">
        <f t="shared" si="69"/>
        <v>95764727.5</v>
      </c>
      <c r="AI853" s="6"/>
      <c r="AJ853" s="6"/>
      <c r="AK853" s="6"/>
      <c r="AL853" s="6"/>
      <c r="AM853" s="6"/>
      <c r="AN853" s="6"/>
      <c r="AO853" s="6"/>
      <c r="AP853" s="6"/>
      <c r="AQ853" s="6"/>
      <c r="AR853" s="6"/>
    </row>
    <row r="854" spans="1:44">
      <c r="A854" s="6"/>
      <c r="B854" s="6"/>
      <c r="C854" s="6"/>
      <c r="D854" s="6"/>
      <c r="E854" s="6"/>
      <c r="F854" s="6"/>
      <c r="G854" s="11"/>
      <c r="H854" s="6"/>
      <c r="I854" s="6"/>
      <c r="J854" s="6"/>
      <c r="K854" s="7"/>
      <c r="L854" s="21" t="str">
        <f>микс!$H$11</f>
        <v>продажа под заказ</v>
      </c>
      <c r="M854" s="22"/>
      <c r="N854" s="22"/>
      <c r="O854" s="22" t="s">
        <v>147</v>
      </c>
      <c r="P854" s="23" t="str">
        <f>микс!$H$48</f>
        <v>Спортивный инвентарь</v>
      </c>
      <c r="Q854" s="21" t="s">
        <v>83</v>
      </c>
      <c r="R854" s="25">
        <v>1</v>
      </c>
      <c r="S854" s="28"/>
      <c r="T854" s="31">
        <v>42313</v>
      </c>
      <c r="U854" s="33">
        <v>2268.5</v>
      </c>
      <c r="V854" s="36">
        <f t="shared" si="67"/>
        <v>2268.5</v>
      </c>
      <c r="W854" s="28"/>
      <c r="X854" s="31">
        <v>42316</v>
      </c>
      <c r="Y854" s="33">
        <v>3490</v>
      </c>
      <c r="Z854" s="189">
        <f t="shared" si="68"/>
        <v>3490</v>
      </c>
      <c r="AA854" s="190"/>
      <c r="AB854" s="31">
        <v>42363</v>
      </c>
      <c r="AC854" s="36">
        <v>2268.5</v>
      </c>
      <c r="AD854" s="8"/>
      <c r="AE854" s="6"/>
      <c r="AF854" s="52">
        <f t="shared" si="65"/>
        <v>95987040.5</v>
      </c>
      <c r="AG854" s="25">
        <f t="shared" si="66"/>
        <v>147682840</v>
      </c>
      <c r="AH854" s="52">
        <f t="shared" si="69"/>
        <v>96100465.5</v>
      </c>
      <c r="AI854" s="6"/>
      <c r="AJ854" s="6"/>
      <c r="AK854" s="6"/>
      <c r="AL854" s="6"/>
      <c r="AM854" s="6"/>
      <c r="AN854" s="6"/>
      <c r="AO854" s="6"/>
      <c r="AP854" s="6"/>
      <c r="AQ854" s="6"/>
      <c r="AR854" s="6"/>
    </row>
    <row r="855" spans="1:44">
      <c r="A855" s="6"/>
      <c r="B855" s="6"/>
      <c r="C855" s="6"/>
      <c r="D855" s="6"/>
      <c r="E855" s="6"/>
      <c r="F855" s="6"/>
      <c r="G855" s="11"/>
      <c r="H855" s="6"/>
      <c r="I855" s="6"/>
      <c r="J855" s="6"/>
      <c r="K855" s="7"/>
      <c r="L855" s="21" t="str">
        <f>микс!$H$11</f>
        <v>продажа под заказ</v>
      </c>
      <c r="M855" s="22"/>
      <c r="N855" s="22"/>
      <c r="O855" s="22" t="s">
        <v>147</v>
      </c>
      <c r="P855" s="23" t="str">
        <f>микс!$H$48</f>
        <v>Спортивный инвентарь</v>
      </c>
      <c r="Q855" s="21" t="s">
        <v>83</v>
      </c>
      <c r="R855" s="25">
        <v>1</v>
      </c>
      <c r="S855" s="28"/>
      <c r="T855" s="31">
        <v>42315</v>
      </c>
      <c r="U855" s="33">
        <v>2268.5</v>
      </c>
      <c r="V855" s="36">
        <f t="shared" si="67"/>
        <v>2268.5</v>
      </c>
      <c r="W855" s="28"/>
      <c r="X855" s="31">
        <v>42325</v>
      </c>
      <c r="Y855" s="33">
        <v>3594</v>
      </c>
      <c r="Z855" s="189">
        <f t="shared" si="68"/>
        <v>3594</v>
      </c>
      <c r="AA855" s="190"/>
      <c r="AB855" s="31"/>
      <c r="AC855" s="36"/>
      <c r="AD855" s="8"/>
      <c r="AE855" s="6"/>
      <c r="AF855" s="52">
        <f t="shared" si="65"/>
        <v>95991577.5</v>
      </c>
      <c r="AG855" s="25">
        <f t="shared" si="66"/>
        <v>152116050</v>
      </c>
      <c r="AH855" s="52">
        <f t="shared" si="69"/>
        <v>0</v>
      </c>
      <c r="AI855" s="6"/>
      <c r="AJ855" s="6"/>
      <c r="AK855" s="6"/>
      <c r="AL855" s="6"/>
      <c r="AM855" s="6"/>
      <c r="AN855" s="6"/>
      <c r="AO855" s="6"/>
      <c r="AP855" s="6"/>
      <c r="AQ855" s="6"/>
      <c r="AR855" s="6"/>
    </row>
    <row r="856" spans="1:44">
      <c r="A856" s="6"/>
      <c r="B856" s="6"/>
      <c r="C856" s="6"/>
      <c r="D856" s="6"/>
      <c r="E856" s="6"/>
      <c r="F856" s="6"/>
      <c r="G856" s="11"/>
      <c r="H856" s="6"/>
      <c r="I856" s="6"/>
      <c r="J856" s="6"/>
      <c r="K856" s="7"/>
      <c r="L856" s="21" t="str">
        <f>микс!$H$11</f>
        <v>продажа под заказ</v>
      </c>
      <c r="M856" s="22"/>
      <c r="N856" s="22"/>
      <c r="O856" s="22" t="s">
        <v>147</v>
      </c>
      <c r="P856" s="23" t="str">
        <f>микс!$H$48</f>
        <v>Спортивный инвентарь</v>
      </c>
      <c r="Q856" s="21" t="s">
        <v>83</v>
      </c>
      <c r="R856" s="25">
        <v>1</v>
      </c>
      <c r="S856" s="28"/>
      <c r="T856" s="31">
        <v>42309</v>
      </c>
      <c r="U856" s="33">
        <v>2268.5</v>
      </c>
      <c r="V856" s="36">
        <f t="shared" si="67"/>
        <v>2268.5</v>
      </c>
      <c r="W856" s="28"/>
      <c r="X856" s="31">
        <v>42315</v>
      </c>
      <c r="Y856" s="33">
        <v>2560</v>
      </c>
      <c r="Z856" s="189">
        <f t="shared" si="68"/>
        <v>2560</v>
      </c>
      <c r="AA856" s="190"/>
      <c r="AB856" s="31">
        <v>42339</v>
      </c>
      <c r="AC856" s="36">
        <v>2268.5</v>
      </c>
      <c r="AD856" s="8"/>
      <c r="AE856" s="6"/>
      <c r="AF856" s="52">
        <f t="shared" si="65"/>
        <v>95977966.5</v>
      </c>
      <c r="AG856" s="25">
        <f t="shared" si="66"/>
        <v>108326400</v>
      </c>
      <c r="AH856" s="52">
        <f t="shared" si="69"/>
        <v>96046021.5</v>
      </c>
      <c r="AI856" s="6"/>
      <c r="AJ856" s="6"/>
      <c r="AK856" s="6"/>
      <c r="AL856" s="6"/>
      <c r="AM856" s="6"/>
      <c r="AN856" s="6"/>
      <c r="AO856" s="6"/>
      <c r="AP856" s="6"/>
      <c r="AQ856" s="6"/>
      <c r="AR856" s="6"/>
    </row>
    <row r="857" spans="1:44">
      <c r="A857" s="6"/>
      <c r="B857" s="6"/>
      <c r="C857" s="6"/>
      <c r="D857" s="6"/>
      <c r="E857" s="6"/>
      <c r="F857" s="6"/>
      <c r="G857" s="11"/>
      <c r="H857" s="6"/>
      <c r="I857" s="6"/>
      <c r="J857" s="6"/>
      <c r="K857" s="7"/>
      <c r="L857" s="21" t="str">
        <f>микс!$H$11</f>
        <v>продажа под заказ</v>
      </c>
      <c r="M857" s="22"/>
      <c r="N857" s="22"/>
      <c r="O857" s="22" t="s">
        <v>147</v>
      </c>
      <c r="P857" s="23" t="str">
        <f>микс!$H$48</f>
        <v>Спортивный инвентарь</v>
      </c>
      <c r="Q857" s="21" t="s">
        <v>83</v>
      </c>
      <c r="R857" s="25">
        <v>1</v>
      </c>
      <c r="S857" s="28"/>
      <c r="T857" s="31">
        <v>42311</v>
      </c>
      <c r="U857" s="33">
        <v>2268.5</v>
      </c>
      <c r="V857" s="36">
        <f t="shared" si="67"/>
        <v>2268.5</v>
      </c>
      <c r="W857" s="28"/>
      <c r="X857" s="31">
        <v>42315</v>
      </c>
      <c r="Y857" s="33">
        <v>2560</v>
      </c>
      <c r="Z857" s="189">
        <f t="shared" si="68"/>
        <v>2560</v>
      </c>
      <c r="AA857" s="190"/>
      <c r="AB857" s="31">
        <v>42331</v>
      </c>
      <c r="AC857" s="36">
        <v>2268.5</v>
      </c>
      <c r="AD857" s="8"/>
      <c r="AE857" s="6"/>
      <c r="AF857" s="52">
        <f t="shared" si="65"/>
        <v>95982503.5</v>
      </c>
      <c r="AG857" s="25">
        <f t="shared" si="66"/>
        <v>108326400</v>
      </c>
      <c r="AH857" s="52">
        <f t="shared" si="69"/>
        <v>96027873.5</v>
      </c>
      <c r="AI857" s="6"/>
      <c r="AJ857" s="6"/>
      <c r="AK857" s="6"/>
      <c r="AL857" s="6"/>
      <c r="AM857" s="6"/>
      <c r="AN857" s="6"/>
      <c r="AO857" s="6"/>
      <c r="AP857" s="6"/>
      <c r="AQ857" s="6"/>
      <c r="AR857" s="6"/>
    </row>
    <row r="858" spans="1:44">
      <c r="A858" s="6"/>
      <c r="B858" s="6"/>
      <c r="C858" s="6"/>
      <c r="D858" s="6"/>
      <c r="E858" s="6"/>
      <c r="F858" s="6"/>
      <c r="G858" s="11"/>
      <c r="H858" s="6"/>
      <c r="I858" s="6"/>
      <c r="J858" s="6"/>
      <c r="K858" s="7"/>
      <c r="L858" s="21" t="str">
        <f>микс!$H$11</f>
        <v>продажа под заказ</v>
      </c>
      <c r="M858" s="22"/>
      <c r="N858" s="22"/>
      <c r="O858" s="22" t="s">
        <v>147</v>
      </c>
      <c r="P858" s="23" t="str">
        <f>микс!$H$48</f>
        <v>Спортивный инвентарь</v>
      </c>
      <c r="Q858" s="21" t="s">
        <v>83</v>
      </c>
      <c r="R858" s="25">
        <v>1</v>
      </c>
      <c r="S858" s="28"/>
      <c r="T858" s="31">
        <v>42313</v>
      </c>
      <c r="U858" s="33">
        <v>2268.5</v>
      </c>
      <c r="V858" s="36">
        <f t="shared" si="67"/>
        <v>2268.5</v>
      </c>
      <c r="W858" s="28"/>
      <c r="X858" s="31">
        <v>42316</v>
      </c>
      <c r="Y858" s="33">
        <v>3490</v>
      </c>
      <c r="Z858" s="189">
        <f t="shared" si="68"/>
        <v>3490</v>
      </c>
      <c r="AA858" s="190"/>
      <c r="AB858" s="31"/>
      <c r="AC858" s="36"/>
      <c r="AD858" s="8"/>
      <c r="AE858" s="6"/>
      <c r="AF858" s="52">
        <f t="shared" si="65"/>
        <v>95987040.5</v>
      </c>
      <c r="AG858" s="25">
        <f t="shared" si="66"/>
        <v>147682840</v>
      </c>
      <c r="AH858" s="52">
        <f t="shared" si="69"/>
        <v>0</v>
      </c>
      <c r="AI858" s="6"/>
      <c r="AJ858" s="6"/>
      <c r="AK858" s="6"/>
      <c r="AL858" s="6"/>
      <c r="AM858" s="6"/>
      <c r="AN858" s="6"/>
      <c r="AO858" s="6"/>
      <c r="AP858" s="6"/>
      <c r="AQ858" s="6"/>
      <c r="AR858" s="6"/>
    </row>
    <row r="859" spans="1:44">
      <c r="A859" s="6"/>
      <c r="B859" s="6"/>
      <c r="C859" s="6"/>
      <c r="D859" s="6"/>
      <c r="E859" s="6"/>
      <c r="F859" s="6"/>
      <c r="G859" s="11"/>
      <c r="H859" s="6"/>
      <c r="I859" s="6"/>
      <c r="J859" s="6"/>
      <c r="K859" s="7"/>
      <c r="L859" s="21" t="str">
        <f>микс!$H$11</f>
        <v>продажа под заказ</v>
      </c>
      <c r="M859" s="22"/>
      <c r="N859" s="22"/>
      <c r="O859" s="22" t="s">
        <v>147</v>
      </c>
      <c r="P859" s="23" t="str">
        <f>микс!$H$48</f>
        <v>Спортивный инвентарь</v>
      </c>
      <c r="Q859" s="21" t="s">
        <v>83</v>
      </c>
      <c r="R859" s="25">
        <v>1</v>
      </c>
      <c r="S859" s="28"/>
      <c r="T859" s="31">
        <v>42320</v>
      </c>
      <c r="U859" s="33">
        <v>2268.5</v>
      </c>
      <c r="V859" s="36">
        <f t="shared" si="67"/>
        <v>2268.5</v>
      </c>
      <c r="W859" s="28"/>
      <c r="X859" s="31">
        <v>42327</v>
      </c>
      <c r="Y859" s="33">
        <v>3041</v>
      </c>
      <c r="Z859" s="189">
        <f t="shared" si="68"/>
        <v>3041</v>
      </c>
      <c r="AA859" s="190"/>
      <c r="AB859" s="31">
        <v>42330</v>
      </c>
      <c r="AC859" s="36">
        <v>2268.5</v>
      </c>
      <c r="AD859" s="8"/>
      <c r="AE859" s="6"/>
      <c r="AF859" s="52">
        <f t="shared" si="65"/>
        <v>96002920</v>
      </c>
      <c r="AG859" s="25">
        <f t="shared" si="66"/>
        <v>128716407</v>
      </c>
      <c r="AH859" s="52">
        <f t="shared" si="69"/>
        <v>96025605</v>
      </c>
      <c r="AI859" s="6"/>
      <c r="AJ859" s="6"/>
      <c r="AK859" s="6"/>
      <c r="AL859" s="6"/>
      <c r="AM859" s="6"/>
      <c r="AN859" s="6"/>
      <c r="AO859" s="6"/>
      <c r="AP859" s="6"/>
      <c r="AQ859" s="6"/>
      <c r="AR859" s="6"/>
    </row>
    <row r="860" spans="1:44">
      <c r="A860" s="6"/>
      <c r="B860" s="6"/>
      <c r="C860" s="6"/>
      <c r="D860" s="6"/>
      <c r="E860" s="6"/>
      <c r="F860" s="6"/>
      <c r="G860" s="11"/>
      <c r="H860" s="6"/>
      <c r="I860" s="6"/>
      <c r="J860" s="6"/>
      <c r="K860" s="7"/>
      <c r="L860" s="21" t="str">
        <f>микс!$H$10</f>
        <v>продажа со склада</v>
      </c>
      <c r="M860" s="22"/>
      <c r="N860" s="22"/>
      <c r="O860" s="22" t="s">
        <v>147</v>
      </c>
      <c r="P860" s="23" t="str">
        <f>микс!$H$48</f>
        <v>Спортивный инвентарь</v>
      </c>
      <c r="Q860" s="21" t="s">
        <v>83</v>
      </c>
      <c r="R860" s="25">
        <v>1</v>
      </c>
      <c r="S860" s="28"/>
      <c r="T860" s="31">
        <v>42183</v>
      </c>
      <c r="U860" s="33">
        <v>2268.5</v>
      </c>
      <c r="V860" s="36">
        <f t="shared" si="67"/>
        <v>2268.5</v>
      </c>
      <c r="W860" s="28"/>
      <c r="X860" s="31">
        <v>42335</v>
      </c>
      <c r="Y860" s="33">
        <v>3490</v>
      </c>
      <c r="Z860" s="189">
        <f t="shared" si="68"/>
        <v>3490</v>
      </c>
      <c r="AA860" s="190"/>
      <c r="AB860" s="31">
        <v>42213</v>
      </c>
      <c r="AC860" s="36">
        <v>2268.5</v>
      </c>
      <c r="AD860" s="8"/>
      <c r="AE860" s="6"/>
      <c r="AF860" s="52">
        <f t="shared" si="65"/>
        <v>95692135.5</v>
      </c>
      <c r="AG860" s="25">
        <f t="shared" si="66"/>
        <v>147749150</v>
      </c>
      <c r="AH860" s="52">
        <f t="shared" si="69"/>
        <v>95760190.5</v>
      </c>
      <c r="AI860" s="6"/>
      <c r="AJ860" s="6"/>
      <c r="AK860" s="6"/>
      <c r="AL860" s="6"/>
      <c r="AM860" s="6"/>
      <c r="AN860" s="6"/>
      <c r="AO860" s="6"/>
      <c r="AP860" s="6"/>
      <c r="AQ860" s="6"/>
      <c r="AR860" s="6"/>
    </row>
    <row r="861" spans="1:44">
      <c r="A861" s="6"/>
      <c r="B861" s="6"/>
      <c r="C861" s="6"/>
      <c r="D861" s="6"/>
      <c r="E861" s="6"/>
      <c r="F861" s="6"/>
      <c r="G861" s="11"/>
      <c r="H861" s="6"/>
      <c r="I861" s="6"/>
      <c r="J861" s="6"/>
      <c r="K861" s="7"/>
      <c r="L861" s="21" t="str">
        <f>микс!$H$11</f>
        <v>продажа под заказ</v>
      </c>
      <c r="M861" s="22"/>
      <c r="N861" s="22"/>
      <c r="O861" s="22" t="s">
        <v>144</v>
      </c>
      <c r="P861" s="23" t="str">
        <f>микс!$H$48</f>
        <v>Спортивный инвентарь</v>
      </c>
      <c r="Q861" s="21" t="s">
        <v>83</v>
      </c>
      <c r="R861" s="25">
        <v>1</v>
      </c>
      <c r="S861" s="28"/>
      <c r="T861" s="31">
        <v>42337</v>
      </c>
      <c r="U861" s="33">
        <v>2500.56</v>
      </c>
      <c r="V861" s="36">
        <f t="shared" si="67"/>
        <v>2500.56</v>
      </c>
      <c r="W861" s="28"/>
      <c r="X861" s="31">
        <v>42342</v>
      </c>
      <c r="Y861" s="33">
        <v>2520</v>
      </c>
      <c r="Z861" s="189">
        <f t="shared" si="68"/>
        <v>2520</v>
      </c>
      <c r="AA861" s="190"/>
      <c r="AB861" s="31">
        <v>42358</v>
      </c>
      <c r="AC861" s="36">
        <v>2500.56</v>
      </c>
      <c r="AD861" s="8"/>
      <c r="AE861" s="6"/>
      <c r="AF861" s="52">
        <f t="shared" si="65"/>
        <v>105866208.72</v>
      </c>
      <c r="AG861" s="25">
        <f t="shared" si="66"/>
        <v>106701840</v>
      </c>
      <c r="AH861" s="52">
        <f t="shared" si="69"/>
        <v>105918720.48</v>
      </c>
      <c r="AI861" s="6"/>
      <c r="AJ861" s="6"/>
      <c r="AK861" s="6"/>
      <c r="AL861" s="6"/>
      <c r="AM861" s="6"/>
      <c r="AN861" s="6"/>
      <c r="AO861" s="6"/>
      <c r="AP861" s="6"/>
      <c r="AQ861" s="6"/>
      <c r="AR861" s="6"/>
    </row>
    <row r="862" spans="1:44">
      <c r="A862" s="6"/>
      <c r="B862" s="6"/>
      <c r="C862" s="6"/>
      <c r="D862" s="6"/>
      <c r="E862" s="6"/>
      <c r="F862" s="6"/>
      <c r="G862" s="11"/>
      <c r="H862" s="6"/>
      <c r="I862" s="6"/>
      <c r="J862" s="6"/>
      <c r="K862" s="7"/>
      <c r="L862" s="21" t="str">
        <f>микс!$H$11</f>
        <v>продажа под заказ</v>
      </c>
      <c r="M862" s="22"/>
      <c r="N862" s="22"/>
      <c r="O862" s="22" t="s">
        <v>144</v>
      </c>
      <c r="P862" s="23" t="str">
        <f>микс!$H$48</f>
        <v>Спортивный инвентарь</v>
      </c>
      <c r="Q862" s="21" t="s">
        <v>83</v>
      </c>
      <c r="R862" s="25">
        <v>1</v>
      </c>
      <c r="S862" s="28"/>
      <c r="T862" s="31">
        <v>42337</v>
      </c>
      <c r="U862" s="33">
        <v>2500.56</v>
      </c>
      <c r="V862" s="36">
        <f t="shared" si="67"/>
        <v>2500.56</v>
      </c>
      <c r="W862" s="28"/>
      <c r="X862" s="31">
        <v>42342</v>
      </c>
      <c r="Y862" s="33">
        <v>2520</v>
      </c>
      <c r="Z862" s="189">
        <f t="shared" si="68"/>
        <v>2520</v>
      </c>
      <c r="AA862" s="190"/>
      <c r="AB862" s="31"/>
      <c r="AC862" s="36"/>
      <c r="AD862" s="8"/>
      <c r="AE862" s="6"/>
      <c r="AF862" s="52">
        <f t="shared" si="65"/>
        <v>105866208.72</v>
      </c>
      <c r="AG862" s="25">
        <f t="shared" si="66"/>
        <v>106701840</v>
      </c>
      <c r="AH862" s="52">
        <f t="shared" si="69"/>
        <v>0</v>
      </c>
      <c r="AI862" s="6"/>
      <c r="AJ862" s="6"/>
      <c r="AK862" s="6"/>
      <c r="AL862" s="6"/>
      <c r="AM862" s="6"/>
      <c r="AN862" s="6"/>
      <c r="AO862" s="6"/>
      <c r="AP862" s="6"/>
      <c r="AQ862" s="6"/>
      <c r="AR862" s="6"/>
    </row>
    <row r="863" spans="1:44">
      <c r="A863" s="6"/>
      <c r="B863" s="6"/>
      <c r="C863" s="6"/>
      <c r="D863" s="6"/>
      <c r="E863" s="6"/>
      <c r="F863" s="6"/>
      <c r="G863" s="11"/>
      <c r="H863" s="6"/>
      <c r="I863" s="6"/>
      <c r="J863" s="6"/>
      <c r="K863" s="7"/>
      <c r="L863" s="21" t="str">
        <f>микс!$H$11</f>
        <v>продажа под заказ</v>
      </c>
      <c r="M863" s="22"/>
      <c r="N863" s="22"/>
      <c r="O863" s="22" t="s">
        <v>144</v>
      </c>
      <c r="P863" s="23" t="str">
        <f>микс!$H$48</f>
        <v>Спортивный инвентарь</v>
      </c>
      <c r="Q863" s="21" t="s">
        <v>83</v>
      </c>
      <c r="R863" s="25">
        <v>1</v>
      </c>
      <c r="S863" s="28"/>
      <c r="T863" s="31">
        <v>42337</v>
      </c>
      <c r="U863" s="33">
        <v>2500.56</v>
      </c>
      <c r="V863" s="36">
        <f t="shared" si="67"/>
        <v>2500.56</v>
      </c>
      <c r="W863" s="28"/>
      <c r="X863" s="31">
        <v>42342</v>
      </c>
      <c r="Y863" s="33">
        <v>2520</v>
      </c>
      <c r="Z863" s="189">
        <f t="shared" si="68"/>
        <v>2520</v>
      </c>
      <c r="AA863" s="190"/>
      <c r="AB863" s="31">
        <v>42367</v>
      </c>
      <c r="AC863" s="36">
        <v>2500.56</v>
      </c>
      <c r="AD863" s="8"/>
      <c r="AE863" s="6"/>
      <c r="AF863" s="52">
        <f t="shared" si="65"/>
        <v>105866208.72</v>
      </c>
      <c r="AG863" s="25">
        <f t="shared" si="66"/>
        <v>106701840</v>
      </c>
      <c r="AH863" s="52">
        <f t="shared" si="69"/>
        <v>105941225.52</v>
      </c>
      <c r="AI863" s="6"/>
      <c r="AJ863" s="6"/>
      <c r="AK863" s="6"/>
      <c r="AL863" s="6"/>
      <c r="AM863" s="6"/>
      <c r="AN863" s="6"/>
      <c r="AO863" s="6"/>
      <c r="AP863" s="6"/>
      <c r="AQ863" s="6"/>
      <c r="AR863" s="6"/>
    </row>
    <row r="864" spans="1:44">
      <c r="A864" s="6"/>
      <c r="B864" s="6"/>
      <c r="C864" s="6"/>
      <c r="D864" s="6"/>
      <c r="E864" s="6"/>
      <c r="F864" s="6"/>
      <c r="G864" s="11"/>
      <c r="H864" s="6"/>
      <c r="I864" s="6"/>
      <c r="J864" s="6"/>
      <c r="K864" s="7"/>
      <c r="L864" s="21" t="str">
        <f>микс!$H$11</f>
        <v>продажа под заказ</v>
      </c>
      <c r="M864" s="22"/>
      <c r="N864" s="22"/>
      <c r="O864" s="22" t="s">
        <v>144</v>
      </c>
      <c r="P864" s="23" t="str">
        <f>микс!$H$48</f>
        <v>Спортивный инвентарь</v>
      </c>
      <c r="Q864" s="21" t="s">
        <v>83</v>
      </c>
      <c r="R864" s="25">
        <v>1</v>
      </c>
      <c r="S864" s="28"/>
      <c r="T864" s="31">
        <v>42336</v>
      </c>
      <c r="U864" s="33">
        <v>2500.56</v>
      </c>
      <c r="V864" s="36">
        <f t="shared" si="67"/>
        <v>2500.56</v>
      </c>
      <c r="W864" s="28"/>
      <c r="X864" s="31">
        <v>42342</v>
      </c>
      <c r="Y864" s="33">
        <v>2520</v>
      </c>
      <c r="Z864" s="189">
        <f t="shared" si="68"/>
        <v>2520</v>
      </c>
      <c r="AA864" s="190"/>
      <c r="AB864" s="31">
        <v>42351</v>
      </c>
      <c r="AC864" s="36">
        <v>2500.56</v>
      </c>
      <c r="AD864" s="8"/>
      <c r="AE864" s="6"/>
      <c r="AF864" s="52">
        <f t="shared" si="65"/>
        <v>105863708.16</v>
      </c>
      <c r="AG864" s="25">
        <f t="shared" si="66"/>
        <v>106701840</v>
      </c>
      <c r="AH864" s="52">
        <f t="shared" si="69"/>
        <v>105901216.56</v>
      </c>
      <c r="AI864" s="6"/>
      <c r="AJ864" s="6"/>
      <c r="AK864" s="6"/>
      <c r="AL864" s="6"/>
      <c r="AM864" s="6"/>
      <c r="AN864" s="6"/>
      <c r="AO864" s="6"/>
      <c r="AP864" s="6"/>
      <c r="AQ864" s="6"/>
      <c r="AR864" s="6"/>
    </row>
    <row r="865" spans="1:44">
      <c r="A865" s="6"/>
      <c r="B865" s="6"/>
      <c r="C865" s="6"/>
      <c r="D865" s="6"/>
      <c r="E865" s="6"/>
      <c r="F865" s="6"/>
      <c r="G865" s="11"/>
      <c r="H865" s="6"/>
      <c r="I865" s="6"/>
      <c r="J865" s="6"/>
      <c r="K865" s="7"/>
      <c r="L865" s="21" t="str">
        <f>микс!$H$11</f>
        <v>продажа под заказ</v>
      </c>
      <c r="M865" s="22"/>
      <c r="N865" s="22"/>
      <c r="O865" s="22" t="s">
        <v>144</v>
      </c>
      <c r="P865" s="23" t="str">
        <f>микс!$H$48</f>
        <v>Спортивный инвентарь</v>
      </c>
      <c r="Q865" s="21" t="s">
        <v>83</v>
      </c>
      <c r="R865" s="25">
        <v>1</v>
      </c>
      <c r="S865" s="28"/>
      <c r="T865" s="31">
        <v>42336</v>
      </c>
      <c r="U865" s="33">
        <v>2500.56</v>
      </c>
      <c r="V865" s="36">
        <f t="shared" si="67"/>
        <v>2500.56</v>
      </c>
      <c r="W865" s="28"/>
      <c r="X865" s="31">
        <v>42342</v>
      </c>
      <c r="Y865" s="33">
        <v>2520</v>
      </c>
      <c r="Z865" s="189">
        <f t="shared" si="68"/>
        <v>2520</v>
      </c>
      <c r="AA865" s="190"/>
      <c r="AB865" s="31">
        <v>42358</v>
      </c>
      <c r="AC865" s="36">
        <v>2500.56</v>
      </c>
      <c r="AD865" s="8"/>
      <c r="AE865" s="6"/>
      <c r="AF865" s="52">
        <f t="shared" si="65"/>
        <v>105863708.16</v>
      </c>
      <c r="AG865" s="25">
        <f t="shared" si="66"/>
        <v>106701840</v>
      </c>
      <c r="AH865" s="52">
        <f t="shared" si="69"/>
        <v>105918720.48</v>
      </c>
      <c r="AI865" s="6"/>
      <c r="AJ865" s="6"/>
      <c r="AK865" s="6"/>
      <c r="AL865" s="6"/>
      <c r="AM865" s="6"/>
      <c r="AN865" s="6"/>
      <c r="AO865" s="6"/>
      <c r="AP865" s="6"/>
      <c r="AQ865" s="6"/>
      <c r="AR865" s="6"/>
    </row>
    <row r="866" spans="1:44">
      <c r="A866" s="6"/>
      <c r="B866" s="6"/>
      <c r="C866" s="6"/>
      <c r="D866" s="6"/>
      <c r="E866" s="6"/>
      <c r="F866" s="6"/>
      <c r="G866" s="11"/>
      <c r="H866" s="6"/>
      <c r="I866" s="6"/>
      <c r="J866" s="6"/>
      <c r="K866" s="7"/>
      <c r="L866" s="21" t="str">
        <f>микс!$H$11</f>
        <v>продажа под заказ</v>
      </c>
      <c r="M866" s="22"/>
      <c r="N866" s="22"/>
      <c r="O866" s="22" t="s">
        <v>144</v>
      </c>
      <c r="P866" s="23" t="str">
        <f>микс!$H$48</f>
        <v>Спортивный инвентарь</v>
      </c>
      <c r="Q866" s="21" t="s">
        <v>83</v>
      </c>
      <c r="R866" s="25">
        <v>1</v>
      </c>
      <c r="S866" s="28"/>
      <c r="T866" s="31">
        <v>42336</v>
      </c>
      <c r="U866" s="33">
        <v>2500.56</v>
      </c>
      <c r="V866" s="36">
        <f t="shared" si="67"/>
        <v>2500.56</v>
      </c>
      <c r="W866" s="28"/>
      <c r="X866" s="31">
        <v>42341</v>
      </c>
      <c r="Y866" s="33">
        <v>2520</v>
      </c>
      <c r="Z866" s="189">
        <f t="shared" si="68"/>
        <v>2520</v>
      </c>
      <c r="AA866" s="190"/>
      <c r="AB866" s="31"/>
      <c r="AC866" s="36"/>
      <c r="AD866" s="8"/>
      <c r="AE866" s="6"/>
      <c r="AF866" s="52">
        <f t="shared" si="65"/>
        <v>105863708.16</v>
      </c>
      <c r="AG866" s="25">
        <f t="shared" si="66"/>
        <v>106699320</v>
      </c>
      <c r="AH866" s="52">
        <f t="shared" si="69"/>
        <v>0</v>
      </c>
      <c r="AI866" s="6"/>
      <c r="AJ866" s="6"/>
      <c r="AK866" s="6"/>
      <c r="AL866" s="6"/>
      <c r="AM866" s="6"/>
      <c r="AN866" s="6"/>
      <c r="AO866" s="6"/>
      <c r="AP866" s="6"/>
      <c r="AQ866" s="6"/>
      <c r="AR866" s="6"/>
    </row>
    <row r="867" spans="1:44">
      <c r="A867" s="6"/>
      <c r="B867" s="6"/>
      <c r="C867" s="6"/>
      <c r="D867" s="6"/>
      <c r="E867" s="6"/>
      <c r="F867" s="6"/>
      <c r="G867" s="11"/>
      <c r="H867" s="6"/>
      <c r="I867" s="6"/>
      <c r="J867" s="6"/>
      <c r="K867" s="7"/>
      <c r="L867" s="21" t="str">
        <f>микс!$H$11</f>
        <v>продажа под заказ</v>
      </c>
      <c r="M867" s="22"/>
      <c r="N867" s="22"/>
      <c r="O867" s="22" t="s">
        <v>144</v>
      </c>
      <c r="P867" s="23" t="str">
        <f>микс!$H$48</f>
        <v>Спортивный инвентарь</v>
      </c>
      <c r="Q867" s="21" t="s">
        <v>83</v>
      </c>
      <c r="R867" s="25">
        <v>1</v>
      </c>
      <c r="S867" s="28"/>
      <c r="T867" s="31">
        <v>42336</v>
      </c>
      <c r="U867" s="33">
        <v>2500.56</v>
      </c>
      <c r="V867" s="36">
        <f t="shared" si="67"/>
        <v>2500.56</v>
      </c>
      <c r="W867" s="28"/>
      <c r="X867" s="31">
        <v>42341</v>
      </c>
      <c r="Y867" s="33">
        <v>2520</v>
      </c>
      <c r="Z867" s="189">
        <f t="shared" si="68"/>
        <v>2520</v>
      </c>
      <c r="AA867" s="190"/>
      <c r="AB867" s="31">
        <v>42341</v>
      </c>
      <c r="AC867" s="36">
        <v>2500.56</v>
      </c>
      <c r="AD867" s="8"/>
      <c r="AE867" s="6"/>
      <c r="AF867" s="52">
        <f t="shared" si="65"/>
        <v>105863708.16</v>
      </c>
      <c r="AG867" s="25">
        <f t="shared" si="66"/>
        <v>106699320</v>
      </c>
      <c r="AH867" s="52">
        <f t="shared" si="69"/>
        <v>105876210.95999999</v>
      </c>
      <c r="AI867" s="6"/>
      <c r="AJ867" s="6"/>
      <c r="AK867" s="6"/>
      <c r="AL867" s="6"/>
      <c r="AM867" s="6"/>
      <c r="AN867" s="6"/>
      <c r="AO867" s="6"/>
      <c r="AP867" s="6"/>
      <c r="AQ867" s="6"/>
      <c r="AR867" s="6"/>
    </row>
    <row r="868" spans="1:44">
      <c r="A868" s="6"/>
      <c r="B868" s="6"/>
      <c r="C868" s="6"/>
      <c r="D868" s="6"/>
      <c r="E868" s="6"/>
      <c r="F868" s="6"/>
      <c r="G868" s="11"/>
      <c r="H868" s="6"/>
      <c r="I868" s="6"/>
      <c r="J868" s="6"/>
      <c r="K868" s="7"/>
      <c r="L868" s="21" t="str">
        <f>микс!$H$11</f>
        <v>продажа под заказ</v>
      </c>
      <c r="M868" s="22"/>
      <c r="N868" s="22"/>
      <c r="O868" s="22" t="s">
        <v>138</v>
      </c>
      <c r="P868" s="23" t="str">
        <f>микс!$H$49</f>
        <v>Товары для детей</v>
      </c>
      <c r="Q868" s="21" t="s">
        <v>119</v>
      </c>
      <c r="R868" s="25">
        <v>1</v>
      </c>
      <c r="S868" s="28"/>
      <c r="T868" s="31">
        <v>42295</v>
      </c>
      <c r="U868" s="33">
        <v>2190</v>
      </c>
      <c r="V868" s="36">
        <f t="shared" si="67"/>
        <v>2190</v>
      </c>
      <c r="W868" s="28"/>
      <c r="X868" s="31">
        <v>42299</v>
      </c>
      <c r="Y868" s="33">
        <v>2620</v>
      </c>
      <c r="Z868" s="189">
        <f t="shared" si="68"/>
        <v>2620</v>
      </c>
      <c r="AA868" s="190"/>
      <c r="AB868" s="31">
        <v>42335</v>
      </c>
      <c r="AC868" s="36">
        <v>2190</v>
      </c>
      <c r="AD868" s="8"/>
      <c r="AE868" s="6"/>
      <c r="AF868" s="52">
        <f t="shared" si="65"/>
        <v>92626050</v>
      </c>
      <c r="AG868" s="25">
        <f t="shared" si="66"/>
        <v>110823380</v>
      </c>
      <c r="AH868" s="52">
        <f t="shared" si="69"/>
        <v>92713650</v>
      </c>
      <c r="AI868" s="6"/>
      <c r="AJ868" s="6"/>
      <c r="AK868" s="6"/>
      <c r="AL868" s="6"/>
      <c r="AM868" s="6"/>
      <c r="AN868" s="6"/>
      <c r="AO868" s="6"/>
      <c r="AP868" s="6"/>
      <c r="AQ868" s="6"/>
      <c r="AR868" s="6"/>
    </row>
    <row r="869" spans="1:44">
      <c r="A869" s="6"/>
      <c r="B869" s="6"/>
      <c r="C869" s="6"/>
      <c r="D869" s="6"/>
      <c r="E869" s="6"/>
      <c r="F869" s="6"/>
      <c r="G869" s="11"/>
      <c r="H869" s="6"/>
      <c r="I869" s="6"/>
      <c r="J869" s="6"/>
      <c r="K869" s="7"/>
      <c r="L869" s="21" t="str">
        <f>микс!$H$11</f>
        <v>продажа под заказ</v>
      </c>
      <c r="M869" s="22"/>
      <c r="N869" s="22"/>
      <c r="O869" s="22" t="s">
        <v>138</v>
      </c>
      <c r="P869" s="23" t="str">
        <f>микс!$H$49</f>
        <v>Товары для детей</v>
      </c>
      <c r="Q869" s="21" t="s">
        <v>106</v>
      </c>
      <c r="R869" s="25">
        <v>1</v>
      </c>
      <c r="S869" s="28"/>
      <c r="T869" s="31">
        <v>42300</v>
      </c>
      <c r="U869" s="33">
        <v>1240</v>
      </c>
      <c r="V869" s="36">
        <f t="shared" si="67"/>
        <v>1240</v>
      </c>
      <c r="W869" s="28"/>
      <c r="X869" s="31">
        <v>42309</v>
      </c>
      <c r="Y869" s="33">
        <v>1532</v>
      </c>
      <c r="Z869" s="189">
        <f t="shared" si="68"/>
        <v>1532</v>
      </c>
      <c r="AA869" s="190"/>
      <c r="AB869" s="31"/>
      <c r="AC869" s="36"/>
      <c r="AD869" s="8"/>
      <c r="AE869" s="6"/>
      <c r="AF869" s="52">
        <f t="shared" si="65"/>
        <v>52452000</v>
      </c>
      <c r="AG869" s="25">
        <f t="shared" si="66"/>
        <v>64817388</v>
      </c>
      <c r="AH869" s="52">
        <f t="shared" si="69"/>
        <v>0</v>
      </c>
      <c r="AI869" s="6"/>
      <c r="AJ869" s="6"/>
      <c r="AK869" s="6"/>
      <c r="AL869" s="6"/>
      <c r="AM869" s="6"/>
      <c r="AN869" s="6"/>
      <c r="AO869" s="6"/>
      <c r="AP869" s="6"/>
      <c r="AQ869" s="6"/>
      <c r="AR869" s="6"/>
    </row>
    <row r="870" spans="1:44">
      <c r="A870" s="6"/>
      <c r="B870" s="6"/>
      <c r="C870" s="6"/>
      <c r="D870" s="6"/>
      <c r="E870" s="6"/>
      <c r="F870" s="6"/>
      <c r="G870" s="11"/>
      <c r="H870" s="6"/>
      <c r="I870" s="6"/>
      <c r="J870" s="6"/>
      <c r="K870" s="7"/>
      <c r="L870" s="21" t="str">
        <f>микс!$H$10</f>
        <v>продажа со склада</v>
      </c>
      <c r="M870" s="22"/>
      <c r="N870" s="22"/>
      <c r="O870" s="22" t="s">
        <v>138</v>
      </c>
      <c r="P870" s="23" t="str">
        <f>микс!$H$49</f>
        <v>Товары для детей</v>
      </c>
      <c r="Q870" s="21" t="s">
        <v>106</v>
      </c>
      <c r="R870" s="25">
        <v>1</v>
      </c>
      <c r="S870" s="28"/>
      <c r="T870" s="31">
        <v>42159</v>
      </c>
      <c r="U870" s="33">
        <v>1240</v>
      </c>
      <c r="V870" s="36">
        <f t="shared" si="67"/>
        <v>1240</v>
      </c>
      <c r="W870" s="28"/>
      <c r="X870" s="31">
        <v>42310</v>
      </c>
      <c r="Y870" s="33">
        <v>1380</v>
      </c>
      <c r="Z870" s="189">
        <f t="shared" si="68"/>
        <v>1380</v>
      </c>
      <c r="AA870" s="190"/>
      <c r="AB870" s="31">
        <v>42174</v>
      </c>
      <c r="AC870" s="36">
        <v>1240</v>
      </c>
      <c r="AD870" s="8"/>
      <c r="AE870" s="6"/>
      <c r="AF870" s="52">
        <f t="shared" si="65"/>
        <v>52277160</v>
      </c>
      <c r="AG870" s="25">
        <f t="shared" si="66"/>
        <v>58387800</v>
      </c>
      <c r="AH870" s="52">
        <f t="shared" si="69"/>
        <v>52295760</v>
      </c>
      <c r="AI870" s="6"/>
      <c r="AJ870" s="6"/>
      <c r="AK870" s="6"/>
      <c r="AL870" s="6"/>
      <c r="AM870" s="6"/>
      <c r="AN870" s="6"/>
      <c r="AO870" s="6"/>
      <c r="AP870" s="6"/>
      <c r="AQ870" s="6"/>
      <c r="AR870" s="6"/>
    </row>
    <row r="871" spans="1:44">
      <c r="A871" s="6"/>
      <c r="B871" s="6"/>
      <c r="C871" s="6"/>
      <c r="D871" s="6"/>
      <c r="E871" s="6"/>
      <c r="F871" s="6"/>
      <c r="G871" s="11"/>
      <c r="H871" s="6"/>
      <c r="I871" s="6"/>
      <c r="J871" s="6"/>
      <c r="K871" s="7"/>
      <c r="L871" s="21" t="str">
        <f>микс!$H$11</f>
        <v>продажа под заказ</v>
      </c>
      <c r="M871" s="22"/>
      <c r="N871" s="22"/>
      <c r="O871" s="22" t="s">
        <v>138</v>
      </c>
      <c r="P871" s="23" t="str">
        <f>микс!$H$49</f>
        <v>Товары для детей</v>
      </c>
      <c r="Q871" s="21" t="s">
        <v>106</v>
      </c>
      <c r="R871" s="25">
        <v>1</v>
      </c>
      <c r="S871" s="28"/>
      <c r="T871" s="31">
        <v>42307</v>
      </c>
      <c r="U871" s="33">
        <v>1570</v>
      </c>
      <c r="V871" s="36">
        <f t="shared" si="67"/>
        <v>1570</v>
      </c>
      <c r="W871" s="28"/>
      <c r="X871" s="31">
        <v>42309</v>
      </c>
      <c r="Y871" s="33">
        <v>1750</v>
      </c>
      <c r="Z871" s="189">
        <f t="shared" si="68"/>
        <v>1750</v>
      </c>
      <c r="AA871" s="190"/>
      <c r="AB871" s="31">
        <v>42357</v>
      </c>
      <c r="AC871" s="36">
        <v>1570</v>
      </c>
      <c r="AD871" s="8"/>
      <c r="AE871" s="6"/>
      <c r="AF871" s="52">
        <f t="shared" si="65"/>
        <v>66421990</v>
      </c>
      <c r="AG871" s="25">
        <f t="shared" si="66"/>
        <v>74040750</v>
      </c>
      <c r="AH871" s="52">
        <f t="shared" si="69"/>
        <v>66500490</v>
      </c>
      <c r="AI871" s="6"/>
      <c r="AJ871" s="6"/>
      <c r="AK871" s="6"/>
      <c r="AL871" s="6"/>
      <c r="AM871" s="6"/>
      <c r="AN871" s="6"/>
      <c r="AO871" s="6"/>
      <c r="AP871" s="6"/>
      <c r="AQ871" s="6"/>
      <c r="AR871" s="6"/>
    </row>
    <row r="872" spans="1:44">
      <c r="A872" s="6"/>
      <c r="B872" s="6"/>
      <c r="C872" s="6"/>
      <c r="D872" s="6"/>
      <c r="E872" s="6"/>
      <c r="F872" s="6"/>
      <c r="G872" s="11"/>
      <c r="H872" s="6"/>
      <c r="I872" s="6"/>
      <c r="J872" s="6"/>
      <c r="K872" s="7"/>
      <c r="L872" s="21" t="str">
        <f>микс!$H$11</f>
        <v>продажа под заказ</v>
      </c>
      <c r="M872" s="22"/>
      <c r="N872" s="22"/>
      <c r="O872" s="22" t="s">
        <v>138</v>
      </c>
      <c r="P872" s="23" t="str">
        <f>микс!$H$49</f>
        <v>Товары для детей</v>
      </c>
      <c r="Q872" s="21" t="s">
        <v>106</v>
      </c>
      <c r="R872" s="25">
        <v>1</v>
      </c>
      <c r="S872" s="28"/>
      <c r="T872" s="31">
        <v>42298</v>
      </c>
      <c r="U872" s="33">
        <v>1570</v>
      </c>
      <c r="V872" s="36">
        <f t="shared" si="67"/>
        <v>1570</v>
      </c>
      <c r="W872" s="28"/>
      <c r="X872" s="31">
        <v>42302</v>
      </c>
      <c r="Y872" s="33">
        <v>1880</v>
      </c>
      <c r="Z872" s="189">
        <f t="shared" si="68"/>
        <v>1880</v>
      </c>
      <c r="AA872" s="190"/>
      <c r="AB872" s="31">
        <v>42318</v>
      </c>
      <c r="AC872" s="36">
        <v>1570</v>
      </c>
      <c r="AD872" s="8"/>
      <c r="AE872" s="6"/>
      <c r="AF872" s="52">
        <f t="shared" si="65"/>
        <v>66407860</v>
      </c>
      <c r="AG872" s="25">
        <f t="shared" si="66"/>
        <v>79527760</v>
      </c>
      <c r="AH872" s="52">
        <f t="shared" si="69"/>
        <v>66439260</v>
      </c>
      <c r="AI872" s="6"/>
      <c r="AJ872" s="6"/>
      <c r="AK872" s="6"/>
      <c r="AL872" s="6"/>
      <c r="AM872" s="6"/>
      <c r="AN872" s="6"/>
      <c r="AO872" s="6"/>
      <c r="AP872" s="6"/>
      <c r="AQ872" s="6"/>
      <c r="AR872" s="6"/>
    </row>
    <row r="873" spans="1:44">
      <c r="A873" s="6"/>
      <c r="B873" s="6"/>
      <c r="C873" s="6"/>
      <c r="D873" s="6"/>
      <c r="E873" s="6"/>
      <c r="F873" s="6"/>
      <c r="G873" s="11"/>
      <c r="H873" s="6"/>
      <c r="I873" s="6"/>
      <c r="J873" s="6"/>
      <c r="K873" s="7"/>
      <c r="L873" s="21" t="str">
        <f>микс!$H$11</f>
        <v>продажа под заказ</v>
      </c>
      <c r="M873" s="22"/>
      <c r="N873" s="22"/>
      <c r="O873" s="22" t="s">
        <v>138</v>
      </c>
      <c r="P873" s="23" t="str">
        <f>микс!$H$49</f>
        <v>Товары для детей</v>
      </c>
      <c r="Q873" s="21" t="s">
        <v>106</v>
      </c>
      <c r="R873" s="25">
        <v>1</v>
      </c>
      <c r="S873" s="28"/>
      <c r="T873" s="31">
        <v>42317</v>
      </c>
      <c r="U873" s="33">
        <v>1570</v>
      </c>
      <c r="V873" s="36">
        <f t="shared" si="67"/>
        <v>1570</v>
      </c>
      <c r="W873" s="28"/>
      <c r="X873" s="31">
        <v>42319</v>
      </c>
      <c r="Y873" s="33">
        <v>1880</v>
      </c>
      <c r="Z873" s="189">
        <f t="shared" si="68"/>
        <v>1880</v>
      </c>
      <c r="AA873" s="190"/>
      <c r="AB873" s="31"/>
      <c r="AC873" s="36"/>
      <c r="AD873" s="8"/>
      <c r="AE873" s="6"/>
      <c r="AF873" s="52">
        <f t="shared" si="65"/>
        <v>66437690</v>
      </c>
      <c r="AG873" s="25">
        <f t="shared" si="66"/>
        <v>79559720</v>
      </c>
      <c r="AH873" s="52">
        <f t="shared" si="69"/>
        <v>0</v>
      </c>
      <c r="AI873" s="6"/>
      <c r="AJ873" s="6"/>
      <c r="AK873" s="6"/>
      <c r="AL873" s="6"/>
      <c r="AM873" s="6"/>
      <c r="AN873" s="6"/>
      <c r="AO873" s="6"/>
      <c r="AP873" s="6"/>
      <c r="AQ873" s="6"/>
      <c r="AR873" s="6"/>
    </row>
    <row r="874" spans="1:44">
      <c r="A874" s="6"/>
      <c r="B874" s="6"/>
      <c r="C874" s="6"/>
      <c r="D874" s="6"/>
      <c r="E874" s="6"/>
      <c r="F874" s="6"/>
      <c r="G874" s="11"/>
      <c r="H874" s="6"/>
      <c r="I874" s="6"/>
      <c r="J874" s="6"/>
      <c r="K874" s="7"/>
      <c r="L874" s="21" t="str">
        <f>микс!$H$11</f>
        <v>продажа под заказ</v>
      </c>
      <c r="M874" s="22"/>
      <c r="N874" s="22"/>
      <c r="O874" s="22" t="s">
        <v>138</v>
      </c>
      <c r="P874" s="23" t="str">
        <f>микс!$H$49</f>
        <v>Товары для детей</v>
      </c>
      <c r="Q874" s="21" t="s">
        <v>106</v>
      </c>
      <c r="R874" s="25">
        <v>1</v>
      </c>
      <c r="S874" s="28"/>
      <c r="T874" s="31">
        <v>42310</v>
      </c>
      <c r="U874" s="33">
        <v>1570</v>
      </c>
      <c r="V874" s="36">
        <f t="shared" si="67"/>
        <v>1570</v>
      </c>
      <c r="W874" s="28"/>
      <c r="X874" s="31">
        <v>42318</v>
      </c>
      <c r="Y874" s="33">
        <v>1750</v>
      </c>
      <c r="Z874" s="189">
        <f t="shared" si="68"/>
        <v>1750</v>
      </c>
      <c r="AA874" s="190"/>
      <c r="AB874" s="31"/>
      <c r="AC874" s="36"/>
      <c r="AD874" s="8"/>
      <c r="AE874" s="6"/>
      <c r="AF874" s="52">
        <f t="shared" si="65"/>
        <v>66426700</v>
      </c>
      <c r="AG874" s="25">
        <f t="shared" si="66"/>
        <v>74056500</v>
      </c>
      <c r="AH874" s="52">
        <f t="shared" si="69"/>
        <v>0</v>
      </c>
      <c r="AI874" s="6"/>
      <c r="AJ874" s="6"/>
      <c r="AK874" s="6"/>
      <c r="AL874" s="6"/>
      <c r="AM874" s="6"/>
      <c r="AN874" s="6"/>
      <c r="AO874" s="6"/>
      <c r="AP874" s="6"/>
      <c r="AQ874" s="6"/>
      <c r="AR874" s="6"/>
    </row>
    <row r="875" spans="1:44">
      <c r="A875" s="6"/>
      <c r="B875" s="6"/>
      <c r="C875" s="6"/>
      <c r="D875" s="6"/>
      <c r="E875" s="6"/>
      <c r="F875" s="6"/>
      <c r="G875" s="11"/>
      <c r="H875" s="6"/>
      <c r="I875" s="6"/>
      <c r="J875" s="6"/>
      <c r="K875" s="7"/>
      <c r="L875" s="21" t="str">
        <f>микс!$H$11</f>
        <v>продажа под заказ</v>
      </c>
      <c r="M875" s="22"/>
      <c r="N875" s="22"/>
      <c r="O875" s="22" t="s">
        <v>147</v>
      </c>
      <c r="P875" s="23" t="str">
        <f>микс!$H$48</f>
        <v>Спортивный инвентарь</v>
      </c>
      <c r="Q875" s="21" t="s">
        <v>83</v>
      </c>
      <c r="R875" s="25">
        <v>1</v>
      </c>
      <c r="S875" s="28"/>
      <c r="T875" s="31">
        <v>42338</v>
      </c>
      <c r="U875" s="33">
        <v>2268.5</v>
      </c>
      <c r="V875" s="36">
        <f t="shared" si="67"/>
        <v>2268.5</v>
      </c>
      <c r="W875" s="28"/>
      <c r="X875" s="31">
        <v>42345</v>
      </c>
      <c r="Y875" s="33">
        <v>2585</v>
      </c>
      <c r="Z875" s="189">
        <f t="shared" si="68"/>
        <v>2585</v>
      </c>
      <c r="AA875" s="190"/>
      <c r="AB875" s="31">
        <v>42348</v>
      </c>
      <c r="AC875" s="36">
        <v>2268.5</v>
      </c>
      <c r="AD875" s="8"/>
      <c r="AE875" s="6"/>
      <c r="AF875" s="52">
        <f t="shared" si="65"/>
        <v>96043753</v>
      </c>
      <c r="AG875" s="25">
        <f t="shared" si="66"/>
        <v>109461825</v>
      </c>
      <c r="AH875" s="52">
        <f t="shared" si="69"/>
        <v>96066438</v>
      </c>
      <c r="AI875" s="6"/>
      <c r="AJ875" s="6"/>
      <c r="AK875" s="6"/>
      <c r="AL875" s="6"/>
      <c r="AM875" s="6"/>
      <c r="AN875" s="6"/>
      <c r="AO875" s="6"/>
      <c r="AP875" s="6"/>
      <c r="AQ875" s="6"/>
      <c r="AR875" s="6"/>
    </row>
    <row r="876" spans="1:44">
      <c r="A876" s="6"/>
      <c r="B876" s="6"/>
      <c r="C876" s="6"/>
      <c r="D876" s="6"/>
      <c r="E876" s="6"/>
      <c r="F876" s="6"/>
      <c r="G876" s="11"/>
      <c r="H876" s="6"/>
      <c r="I876" s="6"/>
      <c r="J876" s="6"/>
      <c r="K876" s="7"/>
      <c r="L876" s="21" t="str">
        <f>микс!$H$11</f>
        <v>продажа под заказ</v>
      </c>
      <c r="M876" s="22"/>
      <c r="N876" s="22"/>
      <c r="O876" s="22" t="s">
        <v>147</v>
      </c>
      <c r="P876" s="23" t="str">
        <f>микс!$H$48</f>
        <v>Спортивный инвентарь</v>
      </c>
      <c r="Q876" s="21" t="s">
        <v>83</v>
      </c>
      <c r="R876" s="25">
        <v>1</v>
      </c>
      <c r="S876" s="28"/>
      <c r="T876" s="31">
        <v>42338</v>
      </c>
      <c r="U876" s="33">
        <v>2268.5</v>
      </c>
      <c r="V876" s="36">
        <f t="shared" si="67"/>
        <v>2268.5</v>
      </c>
      <c r="W876" s="28"/>
      <c r="X876" s="31">
        <v>42346</v>
      </c>
      <c r="Y876" s="33">
        <v>2585</v>
      </c>
      <c r="Z876" s="189">
        <f t="shared" si="68"/>
        <v>2585</v>
      </c>
      <c r="AA876" s="190"/>
      <c r="AB876" s="31">
        <v>42345</v>
      </c>
      <c r="AC876" s="36">
        <v>2268.5</v>
      </c>
      <c r="AD876" s="8"/>
      <c r="AE876" s="6"/>
      <c r="AF876" s="52">
        <f t="shared" si="65"/>
        <v>96043753</v>
      </c>
      <c r="AG876" s="25">
        <f t="shared" si="66"/>
        <v>109464410</v>
      </c>
      <c r="AH876" s="52">
        <f t="shared" si="69"/>
        <v>96059632.5</v>
      </c>
      <c r="AI876" s="6"/>
      <c r="AJ876" s="6"/>
      <c r="AK876" s="6"/>
      <c r="AL876" s="6"/>
      <c r="AM876" s="6"/>
      <c r="AN876" s="6"/>
      <c r="AO876" s="6"/>
      <c r="AP876" s="6"/>
      <c r="AQ876" s="6"/>
      <c r="AR876" s="6"/>
    </row>
    <row r="877" spans="1:44">
      <c r="A877" s="6"/>
      <c r="B877" s="6"/>
      <c r="C877" s="6"/>
      <c r="D877" s="6"/>
      <c r="E877" s="6"/>
      <c r="F877" s="6"/>
      <c r="G877" s="11"/>
      <c r="H877" s="6"/>
      <c r="I877" s="6"/>
      <c r="J877" s="6"/>
      <c r="K877" s="7"/>
      <c r="L877" s="21" t="str">
        <f>микс!$H$11</f>
        <v>продажа под заказ</v>
      </c>
      <c r="M877" s="22"/>
      <c r="N877" s="22"/>
      <c r="O877" s="22" t="s">
        <v>147</v>
      </c>
      <c r="P877" s="23" t="str">
        <f>микс!$H$48</f>
        <v>Спортивный инвентарь</v>
      </c>
      <c r="Q877" s="21" t="s">
        <v>83</v>
      </c>
      <c r="R877" s="25">
        <v>1</v>
      </c>
      <c r="S877" s="28"/>
      <c r="T877" s="31">
        <v>42337</v>
      </c>
      <c r="U877" s="33">
        <v>2268.5</v>
      </c>
      <c r="V877" s="36">
        <f t="shared" si="67"/>
        <v>2268.5</v>
      </c>
      <c r="W877" s="28"/>
      <c r="X877" s="31">
        <v>42348</v>
      </c>
      <c r="Y877" s="33">
        <v>2585</v>
      </c>
      <c r="Z877" s="189">
        <f t="shared" si="68"/>
        <v>2585</v>
      </c>
      <c r="AA877" s="190"/>
      <c r="AB877" s="31">
        <v>42359</v>
      </c>
      <c r="AC877" s="36">
        <v>2268.5</v>
      </c>
      <c r="AD877" s="8"/>
      <c r="AE877" s="6"/>
      <c r="AF877" s="52">
        <f t="shared" si="65"/>
        <v>96041484.5</v>
      </c>
      <c r="AG877" s="25">
        <f t="shared" si="66"/>
        <v>109469580</v>
      </c>
      <c r="AH877" s="52">
        <f t="shared" si="69"/>
        <v>96091391.5</v>
      </c>
      <c r="AI877" s="6"/>
      <c r="AJ877" s="6"/>
      <c r="AK877" s="6"/>
      <c r="AL877" s="6"/>
      <c r="AM877" s="6"/>
      <c r="AN877" s="6"/>
      <c r="AO877" s="6"/>
      <c r="AP877" s="6"/>
      <c r="AQ877" s="6"/>
      <c r="AR877" s="6"/>
    </row>
    <row r="878" spans="1:44">
      <c r="A878" s="6"/>
      <c r="B878" s="6"/>
      <c r="C878" s="6"/>
      <c r="D878" s="6"/>
      <c r="E878" s="6"/>
      <c r="F878" s="6"/>
      <c r="G878" s="11"/>
      <c r="H878" s="6"/>
      <c r="I878" s="6"/>
      <c r="J878" s="6"/>
      <c r="K878" s="7"/>
      <c r="L878" s="21" t="str">
        <f>микс!$H$11</f>
        <v>продажа под заказ</v>
      </c>
      <c r="M878" s="22"/>
      <c r="N878" s="22"/>
      <c r="O878" s="22" t="s">
        <v>135</v>
      </c>
      <c r="P878" s="23" t="str">
        <f>микс!$H$49</f>
        <v>Товары для детей</v>
      </c>
      <c r="Q878" s="21" t="s">
        <v>133</v>
      </c>
      <c r="R878" s="25">
        <v>1</v>
      </c>
      <c r="S878" s="28"/>
      <c r="T878" s="31">
        <v>42315</v>
      </c>
      <c r="U878" s="33">
        <v>415.5</v>
      </c>
      <c r="V878" s="36">
        <f t="shared" si="67"/>
        <v>415.5</v>
      </c>
      <c r="W878" s="28"/>
      <c r="X878" s="31">
        <v>42326</v>
      </c>
      <c r="Y878" s="33">
        <v>545</v>
      </c>
      <c r="Z878" s="189">
        <f t="shared" si="68"/>
        <v>545</v>
      </c>
      <c r="AA878" s="190"/>
      <c r="AB878" s="31">
        <v>42347</v>
      </c>
      <c r="AC878" s="36">
        <v>415.5</v>
      </c>
      <c r="AD878" s="8"/>
      <c r="AE878" s="6"/>
      <c r="AF878" s="52">
        <f t="shared" si="65"/>
        <v>17581882.5</v>
      </c>
      <c r="AG878" s="25">
        <f t="shared" si="66"/>
        <v>23067670</v>
      </c>
      <c r="AH878" s="52">
        <f t="shared" si="69"/>
        <v>17595178.5</v>
      </c>
      <c r="AI878" s="6"/>
      <c r="AJ878" s="6"/>
      <c r="AK878" s="6"/>
      <c r="AL878" s="6"/>
      <c r="AM878" s="6"/>
      <c r="AN878" s="6"/>
      <c r="AO878" s="6"/>
      <c r="AP878" s="6"/>
      <c r="AQ878" s="6"/>
      <c r="AR878" s="6"/>
    </row>
    <row r="879" spans="1:44">
      <c r="A879" s="6"/>
      <c r="B879" s="6"/>
      <c r="C879" s="6"/>
      <c r="D879" s="6"/>
      <c r="E879" s="6"/>
      <c r="F879" s="6"/>
      <c r="G879" s="11"/>
      <c r="H879" s="6"/>
      <c r="I879" s="6"/>
      <c r="J879" s="6"/>
      <c r="K879" s="7"/>
      <c r="L879" s="21" t="str">
        <f>микс!$H$11</f>
        <v>продажа под заказ</v>
      </c>
      <c r="M879" s="22"/>
      <c r="N879" s="22"/>
      <c r="O879" s="22" t="s">
        <v>135</v>
      </c>
      <c r="P879" s="23" t="str">
        <f>микс!$H$49</f>
        <v>Товары для детей</v>
      </c>
      <c r="Q879" s="21" t="s">
        <v>133</v>
      </c>
      <c r="R879" s="25">
        <v>1</v>
      </c>
      <c r="S879" s="28"/>
      <c r="T879" s="31">
        <v>42315</v>
      </c>
      <c r="U879" s="33">
        <v>344.87</v>
      </c>
      <c r="V879" s="36">
        <f t="shared" si="67"/>
        <v>344.87</v>
      </c>
      <c r="W879" s="28"/>
      <c r="X879" s="31">
        <v>42321</v>
      </c>
      <c r="Y879" s="33">
        <v>561</v>
      </c>
      <c r="Z879" s="189">
        <f t="shared" si="68"/>
        <v>561</v>
      </c>
      <c r="AA879" s="190"/>
      <c r="AB879" s="31">
        <v>42360</v>
      </c>
      <c r="AC879" s="36">
        <v>344.87</v>
      </c>
      <c r="AD879" s="8"/>
      <c r="AE879" s="6"/>
      <c r="AF879" s="52">
        <f t="shared" si="65"/>
        <v>14593174.050000001</v>
      </c>
      <c r="AG879" s="25">
        <f t="shared" si="66"/>
        <v>23742081</v>
      </c>
      <c r="AH879" s="52">
        <f t="shared" si="69"/>
        <v>14608693.200000001</v>
      </c>
      <c r="AI879" s="6"/>
      <c r="AJ879" s="6"/>
      <c r="AK879" s="6"/>
      <c r="AL879" s="6"/>
      <c r="AM879" s="6"/>
      <c r="AN879" s="6"/>
      <c r="AO879" s="6"/>
      <c r="AP879" s="6"/>
      <c r="AQ879" s="6"/>
      <c r="AR879" s="6"/>
    </row>
    <row r="880" spans="1:44">
      <c r="A880" s="6"/>
      <c r="B880" s="6"/>
      <c r="C880" s="6"/>
      <c r="D880" s="6"/>
      <c r="E880" s="6"/>
      <c r="F880" s="6"/>
      <c r="G880" s="11"/>
      <c r="H880" s="6"/>
      <c r="I880" s="6"/>
      <c r="J880" s="6"/>
      <c r="K880" s="7"/>
      <c r="L880" s="21" t="str">
        <f>микс!$H$10</f>
        <v>продажа со склада</v>
      </c>
      <c r="M880" s="22"/>
      <c r="N880" s="22"/>
      <c r="O880" s="22" t="s">
        <v>135</v>
      </c>
      <c r="P880" s="23" t="str">
        <f>микс!$H$49</f>
        <v>Товары для детей</v>
      </c>
      <c r="Q880" s="21" t="s">
        <v>133</v>
      </c>
      <c r="R880" s="25">
        <v>1</v>
      </c>
      <c r="S880" s="28"/>
      <c r="T880" s="31">
        <v>42158</v>
      </c>
      <c r="U880" s="33">
        <v>415.5</v>
      </c>
      <c r="V880" s="36">
        <f t="shared" si="67"/>
        <v>415.5</v>
      </c>
      <c r="W880" s="28"/>
      <c r="X880" s="31">
        <v>42318</v>
      </c>
      <c r="Y880" s="33">
        <v>479</v>
      </c>
      <c r="Z880" s="189">
        <f t="shared" si="68"/>
        <v>479</v>
      </c>
      <c r="AA880" s="190"/>
      <c r="AB880" s="31">
        <v>42196</v>
      </c>
      <c r="AC880" s="36">
        <v>415.5</v>
      </c>
      <c r="AD880" s="8"/>
      <c r="AE880" s="6"/>
      <c r="AF880" s="52">
        <f t="shared" si="65"/>
        <v>17516649</v>
      </c>
      <c r="AG880" s="25">
        <f t="shared" si="66"/>
        <v>20270322</v>
      </c>
      <c r="AH880" s="52">
        <f t="shared" si="69"/>
        <v>17532438</v>
      </c>
      <c r="AI880" s="6"/>
      <c r="AJ880" s="6"/>
      <c r="AK880" s="6"/>
      <c r="AL880" s="6"/>
      <c r="AM880" s="6"/>
      <c r="AN880" s="6"/>
      <c r="AO880" s="6"/>
      <c r="AP880" s="6"/>
      <c r="AQ880" s="6"/>
      <c r="AR880" s="6"/>
    </row>
    <row r="881" spans="1:44">
      <c r="A881" s="6"/>
      <c r="B881" s="6"/>
      <c r="C881" s="6"/>
      <c r="D881" s="6"/>
      <c r="E881" s="6"/>
      <c r="F881" s="6"/>
      <c r="G881" s="11"/>
      <c r="H881" s="6"/>
      <c r="I881" s="6"/>
      <c r="J881" s="6"/>
      <c r="K881" s="7"/>
      <c r="L881" s="21" t="str">
        <f>микс!$H$10</f>
        <v>продажа со склада</v>
      </c>
      <c r="M881" s="22"/>
      <c r="N881" s="22"/>
      <c r="O881" s="22" t="s">
        <v>135</v>
      </c>
      <c r="P881" s="23" t="str">
        <f>микс!$H$49</f>
        <v>Товары для детей</v>
      </c>
      <c r="Q881" s="21" t="s">
        <v>133</v>
      </c>
      <c r="R881" s="25">
        <v>1</v>
      </c>
      <c r="S881" s="28"/>
      <c r="T881" s="31">
        <v>42155</v>
      </c>
      <c r="U881" s="33">
        <v>415.5</v>
      </c>
      <c r="V881" s="36">
        <f t="shared" si="67"/>
        <v>415.5</v>
      </c>
      <c r="W881" s="28"/>
      <c r="X881" s="31">
        <v>42306</v>
      </c>
      <c r="Y881" s="33">
        <v>415</v>
      </c>
      <c r="Z881" s="189">
        <f t="shared" si="68"/>
        <v>415</v>
      </c>
      <c r="AA881" s="190"/>
      <c r="AB881" s="31">
        <v>42167</v>
      </c>
      <c r="AC881" s="36">
        <v>415.5</v>
      </c>
      <c r="AD881" s="8"/>
      <c r="AE881" s="6"/>
      <c r="AF881" s="52">
        <f t="shared" si="65"/>
        <v>17515402.5</v>
      </c>
      <c r="AG881" s="25">
        <f t="shared" si="66"/>
        <v>17556990</v>
      </c>
      <c r="AH881" s="52">
        <f t="shared" si="69"/>
        <v>17520388.5</v>
      </c>
      <c r="AI881" s="6"/>
      <c r="AJ881" s="6"/>
      <c r="AK881" s="6"/>
      <c r="AL881" s="6"/>
      <c r="AM881" s="6"/>
      <c r="AN881" s="6"/>
      <c r="AO881" s="6"/>
      <c r="AP881" s="6"/>
      <c r="AQ881" s="6"/>
      <c r="AR881" s="6"/>
    </row>
    <row r="882" spans="1:44">
      <c r="A882" s="6"/>
      <c r="B882" s="6"/>
      <c r="C882" s="6"/>
      <c r="D882" s="6"/>
      <c r="E882" s="6"/>
      <c r="F882" s="6"/>
      <c r="G882" s="11"/>
      <c r="H882" s="6"/>
      <c r="I882" s="6"/>
      <c r="J882" s="6"/>
      <c r="K882" s="7"/>
      <c r="L882" s="21" t="str">
        <f>микс!$H$11</f>
        <v>продажа под заказ</v>
      </c>
      <c r="M882" s="22"/>
      <c r="N882" s="22"/>
      <c r="O882" s="22" t="s">
        <v>135</v>
      </c>
      <c r="P882" s="23" t="str">
        <f>микс!$H$49</f>
        <v>Товары для детей</v>
      </c>
      <c r="Q882" s="21" t="s">
        <v>133</v>
      </c>
      <c r="R882" s="25">
        <v>1</v>
      </c>
      <c r="S882" s="28"/>
      <c r="T882" s="31">
        <v>42311</v>
      </c>
      <c r="U882" s="33">
        <v>415.5</v>
      </c>
      <c r="V882" s="36">
        <f t="shared" si="67"/>
        <v>415.5</v>
      </c>
      <c r="W882" s="28"/>
      <c r="X882" s="31">
        <v>42314</v>
      </c>
      <c r="Y882" s="33">
        <v>479</v>
      </c>
      <c r="Z882" s="189">
        <f t="shared" si="68"/>
        <v>479</v>
      </c>
      <c r="AA882" s="190"/>
      <c r="AB882" s="31">
        <v>42321</v>
      </c>
      <c r="AC882" s="36">
        <v>415.5</v>
      </c>
      <c r="AD882" s="8"/>
      <c r="AE882" s="6"/>
      <c r="AF882" s="52">
        <f t="shared" si="65"/>
        <v>17580220.5</v>
      </c>
      <c r="AG882" s="25">
        <f t="shared" si="66"/>
        <v>20268406</v>
      </c>
      <c r="AH882" s="52">
        <f t="shared" si="69"/>
        <v>17584375.5</v>
      </c>
      <c r="AI882" s="6"/>
      <c r="AJ882" s="6"/>
      <c r="AK882" s="6"/>
      <c r="AL882" s="6"/>
      <c r="AM882" s="6"/>
      <c r="AN882" s="6"/>
      <c r="AO882" s="6"/>
      <c r="AP882" s="6"/>
      <c r="AQ882" s="6"/>
      <c r="AR882" s="6"/>
    </row>
    <row r="883" spans="1:44">
      <c r="A883" s="6"/>
      <c r="B883" s="6"/>
      <c r="C883" s="6"/>
      <c r="D883" s="6"/>
      <c r="E883" s="6"/>
      <c r="F883" s="6"/>
      <c r="G883" s="11"/>
      <c r="H883" s="6"/>
      <c r="I883" s="6"/>
      <c r="J883" s="6"/>
      <c r="K883" s="7"/>
      <c r="L883" s="21" t="str">
        <f>микс!$H$11</f>
        <v>продажа под заказ</v>
      </c>
      <c r="M883" s="22"/>
      <c r="N883" s="22"/>
      <c r="O883" s="22" t="s">
        <v>139</v>
      </c>
      <c r="P883" s="23" t="str">
        <f>микс!$H$49</f>
        <v>Товары для детей</v>
      </c>
      <c r="Q883" s="21" t="s">
        <v>119</v>
      </c>
      <c r="R883" s="25">
        <v>1</v>
      </c>
      <c r="S883" s="28"/>
      <c r="T883" s="31">
        <v>42332</v>
      </c>
      <c r="U883" s="33">
        <v>6944</v>
      </c>
      <c r="V883" s="36">
        <f t="shared" si="67"/>
        <v>6944</v>
      </c>
      <c r="W883" s="28"/>
      <c r="X883" s="31">
        <v>42335</v>
      </c>
      <c r="Y883" s="33">
        <v>7719</v>
      </c>
      <c r="Z883" s="189">
        <f t="shared" si="68"/>
        <v>7719</v>
      </c>
      <c r="AA883" s="190"/>
      <c r="AB883" s="31">
        <v>42352</v>
      </c>
      <c r="AC883" s="36">
        <v>6944</v>
      </c>
      <c r="AD883" s="8"/>
      <c r="AE883" s="6"/>
      <c r="AF883" s="52">
        <f t="shared" si="65"/>
        <v>293953408</v>
      </c>
      <c r="AG883" s="25">
        <f t="shared" si="66"/>
        <v>326783865</v>
      </c>
      <c r="AH883" s="52">
        <f t="shared" si="69"/>
        <v>294092288</v>
      </c>
      <c r="AI883" s="6"/>
      <c r="AJ883" s="6"/>
      <c r="AK883" s="6"/>
      <c r="AL883" s="6"/>
      <c r="AM883" s="6"/>
      <c r="AN883" s="6"/>
      <c r="AO883" s="6"/>
      <c r="AP883" s="6"/>
      <c r="AQ883" s="6"/>
      <c r="AR883" s="6"/>
    </row>
    <row r="884" spans="1:44">
      <c r="A884" s="6"/>
      <c r="B884" s="6"/>
      <c r="C884" s="6"/>
      <c r="D884" s="6"/>
      <c r="E884" s="6"/>
      <c r="F884" s="6"/>
      <c r="G884" s="11"/>
      <c r="H884" s="6"/>
      <c r="I884" s="6"/>
      <c r="J884" s="6"/>
      <c r="K884" s="7"/>
      <c r="L884" s="21" t="str">
        <f>микс!$H$11</f>
        <v>продажа под заказ</v>
      </c>
      <c r="M884" s="22"/>
      <c r="N884" s="22"/>
      <c r="O884" s="22" t="s">
        <v>144</v>
      </c>
      <c r="P884" s="23" t="str">
        <f>микс!$H$48</f>
        <v>Спортивный инвентарь</v>
      </c>
      <c r="Q884" s="21" t="s">
        <v>116</v>
      </c>
      <c r="R884" s="25">
        <v>1</v>
      </c>
      <c r="S884" s="28"/>
      <c r="T884" s="31">
        <v>42330</v>
      </c>
      <c r="U884" s="33">
        <v>1666.08</v>
      </c>
      <c r="V884" s="36">
        <f t="shared" si="67"/>
        <v>1666.08</v>
      </c>
      <c r="W884" s="28"/>
      <c r="X884" s="31">
        <v>42335</v>
      </c>
      <c r="Y884" s="33">
        <v>2122</v>
      </c>
      <c r="Z884" s="189">
        <f t="shared" si="68"/>
        <v>2122</v>
      </c>
      <c r="AA884" s="190"/>
      <c r="AB884" s="31">
        <v>42360</v>
      </c>
      <c r="AC884" s="36">
        <v>1666.08</v>
      </c>
      <c r="AD884" s="8"/>
      <c r="AE884" s="6"/>
      <c r="AF884" s="52">
        <f t="shared" si="65"/>
        <v>70525166.399999991</v>
      </c>
      <c r="AG884" s="25">
        <f t="shared" si="66"/>
        <v>89834870</v>
      </c>
      <c r="AH884" s="52">
        <f t="shared" si="69"/>
        <v>70575148.799999997</v>
      </c>
      <c r="AI884" s="6"/>
      <c r="AJ884" s="6"/>
      <c r="AK884" s="6"/>
      <c r="AL884" s="6"/>
      <c r="AM884" s="6"/>
      <c r="AN884" s="6"/>
      <c r="AO884" s="6"/>
      <c r="AP884" s="6"/>
      <c r="AQ884" s="6"/>
      <c r="AR884" s="6"/>
    </row>
    <row r="885" spans="1:44">
      <c r="A885" s="6"/>
      <c r="B885" s="6"/>
      <c r="C885" s="6"/>
      <c r="D885" s="6"/>
      <c r="E885" s="6"/>
      <c r="F885" s="6"/>
      <c r="G885" s="11"/>
      <c r="H885" s="6"/>
      <c r="I885" s="6"/>
      <c r="J885" s="6"/>
      <c r="K885" s="7"/>
      <c r="L885" s="21" t="str">
        <f>микс!$H$10</f>
        <v>продажа со склада</v>
      </c>
      <c r="M885" s="22"/>
      <c r="N885" s="22"/>
      <c r="O885" s="22" t="s">
        <v>144</v>
      </c>
      <c r="P885" s="23" t="str">
        <f>микс!$H$48</f>
        <v>Спортивный инвентарь</v>
      </c>
      <c r="Q885" s="21" t="s">
        <v>116</v>
      </c>
      <c r="R885" s="25">
        <v>1</v>
      </c>
      <c r="S885" s="28"/>
      <c r="T885" s="31">
        <v>42178</v>
      </c>
      <c r="U885" s="33">
        <v>1666.08</v>
      </c>
      <c r="V885" s="36">
        <f t="shared" si="67"/>
        <v>1666.08</v>
      </c>
      <c r="W885" s="28"/>
      <c r="X885" s="31">
        <v>42331</v>
      </c>
      <c r="Y885" s="33">
        <v>1789</v>
      </c>
      <c r="Z885" s="189">
        <f t="shared" si="68"/>
        <v>1789</v>
      </c>
      <c r="AA885" s="190"/>
      <c r="AB885" s="31">
        <v>42208</v>
      </c>
      <c r="AC885" s="36">
        <v>1666.08</v>
      </c>
      <c r="AD885" s="8"/>
      <c r="AE885" s="6"/>
      <c r="AF885" s="52">
        <f t="shared" si="65"/>
        <v>70271922.239999995</v>
      </c>
      <c r="AG885" s="25">
        <f t="shared" si="66"/>
        <v>75730159</v>
      </c>
      <c r="AH885" s="52">
        <f t="shared" si="69"/>
        <v>70321904.640000001</v>
      </c>
      <c r="AI885" s="6"/>
      <c r="AJ885" s="6"/>
      <c r="AK885" s="6"/>
      <c r="AL885" s="6"/>
      <c r="AM885" s="6"/>
      <c r="AN885" s="6"/>
      <c r="AO885" s="6"/>
      <c r="AP885" s="6"/>
      <c r="AQ885" s="6"/>
      <c r="AR885" s="6"/>
    </row>
    <row r="886" spans="1:44">
      <c r="A886" s="6"/>
      <c r="B886" s="6"/>
      <c r="C886" s="6"/>
      <c r="D886" s="6"/>
      <c r="E886" s="6"/>
      <c r="F886" s="6"/>
      <c r="G886" s="11"/>
      <c r="H886" s="6"/>
      <c r="I886" s="6"/>
      <c r="J886" s="6"/>
      <c r="K886" s="7"/>
      <c r="L886" s="21" t="str">
        <f>микс!$H$10</f>
        <v>продажа со склада</v>
      </c>
      <c r="M886" s="22"/>
      <c r="N886" s="22"/>
      <c r="O886" s="22" t="s">
        <v>144</v>
      </c>
      <c r="P886" s="23" t="str">
        <f>микс!$H$48</f>
        <v>Спортивный инвентарь</v>
      </c>
      <c r="Q886" s="21" t="s">
        <v>116</v>
      </c>
      <c r="R886" s="25">
        <v>1</v>
      </c>
      <c r="S886" s="28"/>
      <c r="T886" s="31">
        <v>42178</v>
      </c>
      <c r="U886" s="33">
        <v>1666.08</v>
      </c>
      <c r="V886" s="36">
        <f t="shared" si="67"/>
        <v>1666.08</v>
      </c>
      <c r="W886" s="28"/>
      <c r="X886" s="31">
        <v>42335</v>
      </c>
      <c r="Y886" s="33">
        <v>1789</v>
      </c>
      <c r="Z886" s="189">
        <f t="shared" si="68"/>
        <v>1789</v>
      </c>
      <c r="AA886" s="190"/>
      <c r="AB886" s="31"/>
      <c r="AC886" s="36"/>
      <c r="AD886" s="8"/>
      <c r="AE886" s="6"/>
      <c r="AF886" s="52">
        <f t="shared" si="65"/>
        <v>70271922.239999995</v>
      </c>
      <c r="AG886" s="25">
        <f t="shared" si="66"/>
        <v>75737315</v>
      </c>
      <c r="AH886" s="52">
        <f t="shared" si="69"/>
        <v>0</v>
      </c>
      <c r="AI886" s="6"/>
      <c r="AJ886" s="6"/>
      <c r="AK886" s="6"/>
      <c r="AL886" s="6"/>
      <c r="AM886" s="6"/>
      <c r="AN886" s="6"/>
      <c r="AO886" s="6"/>
      <c r="AP886" s="6"/>
      <c r="AQ886" s="6"/>
      <c r="AR886" s="6"/>
    </row>
    <row r="887" spans="1:44">
      <c r="A887" s="6"/>
      <c r="B887" s="6"/>
      <c r="C887" s="6"/>
      <c r="D887" s="6"/>
      <c r="E887" s="6"/>
      <c r="F887" s="6"/>
      <c r="G887" s="11"/>
      <c r="H887" s="6"/>
      <c r="I887" s="6"/>
      <c r="J887" s="6"/>
      <c r="K887" s="7"/>
      <c r="L887" s="21" t="str">
        <f>микс!$H$10</f>
        <v>продажа со склада</v>
      </c>
      <c r="M887" s="22"/>
      <c r="N887" s="22"/>
      <c r="O887" s="22" t="s">
        <v>144</v>
      </c>
      <c r="P887" s="23" t="str">
        <f>микс!$H$48</f>
        <v>Спортивный инвентарь</v>
      </c>
      <c r="Q887" s="21" t="s">
        <v>116</v>
      </c>
      <c r="R887" s="25">
        <v>1</v>
      </c>
      <c r="S887" s="28"/>
      <c r="T887" s="31">
        <v>42176</v>
      </c>
      <c r="U887" s="33">
        <v>1666.08</v>
      </c>
      <c r="V887" s="36">
        <f t="shared" si="67"/>
        <v>1666.08</v>
      </c>
      <c r="W887" s="28"/>
      <c r="X887" s="31">
        <v>42334</v>
      </c>
      <c r="Y887" s="33">
        <v>2185</v>
      </c>
      <c r="Z887" s="189">
        <f t="shared" si="68"/>
        <v>2185</v>
      </c>
      <c r="AA887" s="190"/>
      <c r="AB887" s="31">
        <v>42236</v>
      </c>
      <c r="AC887" s="36">
        <v>1666.08</v>
      </c>
      <c r="AD887" s="8"/>
      <c r="AE887" s="6"/>
      <c r="AF887" s="52">
        <f t="shared" si="65"/>
        <v>70268590.079999998</v>
      </c>
      <c r="AG887" s="25">
        <f t="shared" si="66"/>
        <v>92499790</v>
      </c>
      <c r="AH887" s="52">
        <f t="shared" si="69"/>
        <v>70368554.879999995</v>
      </c>
      <c r="AI887" s="6"/>
      <c r="AJ887" s="6"/>
      <c r="AK887" s="6"/>
      <c r="AL887" s="6"/>
      <c r="AM887" s="6"/>
      <c r="AN887" s="6"/>
      <c r="AO887" s="6"/>
      <c r="AP887" s="6"/>
      <c r="AQ887" s="6"/>
      <c r="AR887" s="6"/>
    </row>
    <row r="888" spans="1:44">
      <c r="A888" s="6"/>
      <c r="B888" s="6"/>
      <c r="C888" s="6"/>
      <c r="D888" s="6"/>
      <c r="E888" s="6"/>
      <c r="F888" s="6"/>
      <c r="G888" s="11"/>
      <c r="H888" s="6"/>
      <c r="I888" s="6"/>
      <c r="J888" s="6"/>
      <c r="K888" s="7"/>
      <c r="L888" s="21" t="str">
        <f>микс!$H$11</f>
        <v>продажа под заказ</v>
      </c>
      <c r="M888" s="22"/>
      <c r="N888" s="22"/>
      <c r="O888" s="22" t="s">
        <v>144</v>
      </c>
      <c r="P888" s="23" t="str">
        <f>микс!$H$48</f>
        <v>Спортивный инвентарь</v>
      </c>
      <c r="Q888" s="21" t="s">
        <v>116</v>
      </c>
      <c r="R888" s="25">
        <v>1</v>
      </c>
      <c r="S888" s="28"/>
      <c r="T888" s="31">
        <v>42318</v>
      </c>
      <c r="U888" s="33">
        <v>1596.63</v>
      </c>
      <c r="V888" s="36">
        <f t="shared" si="67"/>
        <v>1596.63</v>
      </c>
      <c r="W888" s="28"/>
      <c r="X888" s="31">
        <v>42320</v>
      </c>
      <c r="Y888" s="33">
        <v>2184</v>
      </c>
      <c r="Z888" s="189">
        <f t="shared" si="68"/>
        <v>2184</v>
      </c>
      <c r="AA888" s="190"/>
      <c r="AB888" s="31">
        <v>42368</v>
      </c>
      <c r="AC888" s="36">
        <v>1596.63</v>
      </c>
      <c r="AD888" s="8"/>
      <c r="AE888" s="6"/>
      <c r="AF888" s="52">
        <f t="shared" si="65"/>
        <v>67566188.340000004</v>
      </c>
      <c r="AG888" s="25">
        <f t="shared" si="66"/>
        <v>92426880</v>
      </c>
      <c r="AH888" s="52">
        <f t="shared" si="69"/>
        <v>67646019.840000004</v>
      </c>
      <c r="AI888" s="6"/>
      <c r="AJ888" s="6"/>
      <c r="AK888" s="6"/>
      <c r="AL888" s="6"/>
      <c r="AM888" s="6"/>
      <c r="AN888" s="6"/>
      <c r="AO888" s="6"/>
      <c r="AP888" s="6"/>
      <c r="AQ888" s="6"/>
      <c r="AR888" s="6"/>
    </row>
    <row r="889" spans="1:44">
      <c r="A889" s="6"/>
      <c r="B889" s="6"/>
      <c r="C889" s="6"/>
      <c r="D889" s="6"/>
      <c r="E889" s="6"/>
      <c r="F889" s="6"/>
      <c r="G889" s="11"/>
      <c r="H889" s="6"/>
      <c r="I889" s="6"/>
      <c r="J889" s="6"/>
      <c r="K889" s="7"/>
      <c r="L889" s="21" t="str">
        <f>микс!$H$10</f>
        <v>продажа со склада</v>
      </c>
      <c r="M889" s="22"/>
      <c r="N889" s="22"/>
      <c r="O889" s="22" t="s">
        <v>144</v>
      </c>
      <c r="P889" s="23" t="str">
        <f>микс!$H$48</f>
        <v>Спортивный инвентарь</v>
      </c>
      <c r="Q889" s="21" t="s">
        <v>116</v>
      </c>
      <c r="R889" s="25">
        <v>1</v>
      </c>
      <c r="S889" s="28"/>
      <c r="T889" s="31">
        <v>42162</v>
      </c>
      <c r="U889" s="33">
        <v>1596.63</v>
      </c>
      <c r="V889" s="36">
        <f t="shared" si="67"/>
        <v>1596.63</v>
      </c>
      <c r="W889" s="28"/>
      <c r="X889" s="31">
        <v>42315</v>
      </c>
      <c r="Y889" s="33">
        <v>1753</v>
      </c>
      <c r="Z889" s="189">
        <f t="shared" si="68"/>
        <v>1753</v>
      </c>
      <c r="AA889" s="190"/>
      <c r="AB889" s="31">
        <v>42222</v>
      </c>
      <c r="AC889" s="36">
        <v>1596.63</v>
      </c>
      <c r="AD889" s="8"/>
      <c r="AE889" s="6"/>
      <c r="AF889" s="52">
        <f t="shared" si="65"/>
        <v>67317114.060000002</v>
      </c>
      <c r="AG889" s="25">
        <f t="shared" si="66"/>
        <v>74178195</v>
      </c>
      <c r="AH889" s="52">
        <f t="shared" si="69"/>
        <v>67412911.859999999</v>
      </c>
      <c r="AI889" s="6"/>
      <c r="AJ889" s="6"/>
      <c r="AK889" s="6"/>
      <c r="AL889" s="6"/>
      <c r="AM889" s="6"/>
      <c r="AN889" s="6"/>
      <c r="AO889" s="6"/>
      <c r="AP889" s="6"/>
      <c r="AQ889" s="6"/>
      <c r="AR889" s="6"/>
    </row>
    <row r="890" spans="1:44">
      <c r="A890" s="6"/>
      <c r="B890" s="6"/>
      <c r="C890" s="6"/>
      <c r="D890" s="6"/>
      <c r="E890" s="6"/>
      <c r="F890" s="6"/>
      <c r="G890" s="11"/>
      <c r="H890" s="6"/>
      <c r="I890" s="6"/>
      <c r="J890" s="6"/>
      <c r="K890" s="7"/>
      <c r="L890" s="21" t="str">
        <f>микс!$H$10</f>
        <v>продажа со склада</v>
      </c>
      <c r="M890" s="22"/>
      <c r="N890" s="22"/>
      <c r="O890" s="22" t="s">
        <v>144</v>
      </c>
      <c r="P890" s="23" t="str">
        <f>микс!$H$48</f>
        <v>Спортивный инвентарь</v>
      </c>
      <c r="Q890" s="21" t="s">
        <v>116</v>
      </c>
      <c r="R890" s="25">
        <v>1</v>
      </c>
      <c r="S890" s="28"/>
      <c r="T890" s="31">
        <v>42238</v>
      </c>
      <c r="U890" s="33">
        <v>1596.63</v>
      </c>
      <c r="V890" s="36">
        <f t="shared" si="67"/>
        <v>1596.63</v>
      </c>
      <c r="W890" s="28"/>
      <c r="X890" s="31">
        <v>42316</v>
      </c>
      <c r="Y890" s="33">
        <v>1753</v>
      </c>
      <c r="Z890" s="189">
        <f t="shared" si="68"/>
        <v>1753</v>
      </c>
      <c r="AA890" s="190"/>
      <c r="AB890" s="31"/>
      <c r="AC890" s="36"/>
      <c r="AD890" s="8"/>
      <c r="AE890" s="6"/>
      <c r="AF890" s="52">
        <f t="shared" si="65"/>
        <v>67438457.939999998</v>
      </c>
      <c r="AG890" s="25">
        <f t="shared" si="66"/>
        <v>74179948</v>
      </c>
      <c r="AH890" s="52">
        <f t="shared" si="69"/>
        <v>0</v>
      </c>
      <c r="AI890" s="6"/>
      <c r="AJ890" s="6"/>
      <c r="AK890" s="6"/>
      <c r="AL890" s="6"/>
      <c r="AM890" s="6"/>
      <c r="AN890" s="6"/>
      <c r="AO890" s="6"/>
      <c r="AP890" s="6"/>
      <c r="AQ890" s="6"/>
      <c r="AR890" s="6"/>
    </row>
    <row r="891" spans="1:44">
      <c r="A891" s="6"/>
      <c r="B891" s="6"/>
      <c r="C891" s="6"/>
      <c r="D891" s="6"/>
      <c r="E891" s="6"/>
      <c r="F891" s="6"/>
      <c r="G891" s="11"/>
      <c r="H891" s="6"/>
      <c r="I891" s="6"/>
      <c r="J891" s="6"/>
      <c r="K891" s="7"/>
      <c r="L891" s="21" t="str">
        <f>микс!$H$10</f>
        <v>продажа со склада</v>
      </c>
      <c r="M891" s="22"/>
      <c r="N891" s="22"/>
      <c r="O891" s="22" t="s">
        <v>144</v>
      </c>
      <c r="P891" s="23" t="str">
        <f>микс!$H$48</f>
        <v>Спортивный инвентарь</v>
      </c>
      <c r="Q891" s="21" t="s">
        <v>116</v>
      </c>
      <c r="R891" s="25">
        <v>1</v>
      </c>
      <c r="S891" s="28"/>
      <c r="T891" s="31">
        <v>42238</v>
      </c>
      <c r="U891" s="33">
        <v>1596.63</v>
      </c>
      <c r="V891" s="36">
        <f t="shared" si="67"/>
        <v>1596.63</v>
      </c>
      <c r="W891" s="28"/>
      <c r="X891" s="31">
        <v>42315</v>
      </c>
      <c r="Y891" s="33">
        <v>1753</v>
      </c>
      <c r="Z891" s="189">
        <f t="shared" si="68"/>
        <v>1753</v>
      </c>
      <c r="AA891" s="190"/>
      <c r="AB891" s="31">
        <v>42258</v>
      </c>
      <c r="AC891" s="36">
        <v>1596.63</v>
      </c>
      <c r="AD891" s="8"/>
      <c r="AE891" s="6"/>
      <c r="AF891" s="52">
        <f t="shared" si="65"/>
        <v>67438457.939999998</v>
      </c>
      <c r="AG891" s="25">
        <f t="shared" si="66"/>
        <v>74178195</v>
      </c>
      <c r="AH891" s="52">
        <f t="shared" si="69"/>
        <v>67470390.540000007</v>
      </c>
      <c r="AI891" s="6"/>
      <c r="AJ891" s="6"/>
      <c r="AK891" s="6"/>
      <c r="AL891" s="6"/>
      <c r="AM891" s="6"/>
      <c r="AN891" s="6"/>
      <c r="AO891" s="6"/>
      <c r="AP891" s="6"/>
      <c r="AQ891" s="6"/>
      <c r="AR891" s="6"/>
    </row>
    <row r="892" spans="1:44">
      <c r="A892" s="6"/>
      <c r="B892" s="6"/>
      <c r="C892" s="6"/>
      <c r="D892" s="6"/>
      <c r="E892" s="6"/>
      <c r="F892" s="6"/>
      <c r="G892" s="11"/>
      <c r="H892" s="6"/>
      <c r="I892" s="6"/>
      <c r="J892" s="6"/>
      <c r="K892" s="7"/>
      <c r="L892" s="21" t="str">
        <f>микс!$H$10</f>
        <v>продажа со склада</v>
      </c>
      <c r="M892" s="22"/>
      <c r="N892" s="22"/>
      <c r="O892" s="22" t="s">
        <v>144</v>
      </c>
      <c r="P892" s="23" t="str">
        <f>микс!$H$48</f>
        <v>Спортивный инвентарь</v>
      </c>
      <c r="Q892" s="21" t="s">
        <v>116</v>
      </c>
      <c r="R892" s="25">
        <v>1</v>
      </c>
      <c r="S892" s="28"/>
      <c r="T892" s="31">
        <v>42237</v>
      </c>
      <c r="U892" s="33">
        <v>1561.68</v>
      </c>
      <c r="V892" s="36">
        <f t="shared" si="67"/>
        <v>1561.68</v>
      </c>
      <c r="W892" s="28"/>
      <c r="X892" s="31">
        <v>42316</v>
      </c>
      <c r="Y892" s="33">
        <v>1790</v>
      </c>
      <c r="Z892" s="189">
        <f t="shared" si="68"/>
        <v>1790</v>
      </c>
      <c r="AA892" s="190"/>
      <c r="AB892" s="31">
        <v>42247</v>
      </c>
      <c r="AC892" s="36">
        <v>1561.68</v>
      </c>
      <c r="AD892" s="8"/>
      <c r="AE892" s="6"/>
      <c r="AF892" s="52">
        <f t="shared" si="65"/>
        <v>65960678.160000004</v>
      </c>
      <c r="AG892" s="25">
        <f t="shared" si="66"/>
        <v>75745640</v>
      </c>
      <c r="AH892" s="52">
        <f t="shared" si="69"/>
        <v>65976294.960000001</v>
      </c>
      <c r="AI892" s="6"/>
      <c r="AJ892" s="6"/>
      <c r="AK892" s="6"/>
      <c r="AL892" s="6"/>
      <c r="AM892" s="6"/>
      <c r="AN892" s="6"/>
      <c r="AO892" s="6"/>
      <c r="AP892" s="6"/>
      <c r="AQ892" s="6"/>
      <c r="AR892" s="6"/>
    </row>
    <row r="893" spans="1:44">
      <c r="A893" s="6"/>
      <c r="B893" s="6"/>
      <c r="C893" s="6"/>
      <c r="D893" s="6"/>
      <c r="E893" s="6"/>
      <c r="F893" s="6"/>
      <c r="G893" s="11"/>
      <c r="H893" s="6"/>
      <c r="I893" s="6"/>
      <c r="J893" s="6"/>
      <c r="K893" s="7"/>
      <c r="L893" s="21" t="str">
        <f>микс!$H$10</f>
        <v>продажа со склада</v>
      </c>
      <c r="M893" s="22"/>
      <c r="N893" s="22"/>
      <c r="O893" s="22" t="s">
        <v>144</v>
      </c>
      <c r="P893" s="23" t="str">
        <f>микс!$H$48</f>
        <v>Спортивный инвентарь</v>
      </c>
      <c r="Q893" s="21" t="s">
        <v>116</v>
      </c>
      <c r="R893" s="25">
        <v>1</v>
      </c>
      <c r="S893" s="28"/>
      <c r="T893" s="31">
        <v>42232</v>
      </c>
      <c r="U893" s="33">
        <v>1561.68</v>
      </c>
      <c r="V893" s="36">
        <f t="shared" si="67"/>
        <v>1561.68</v>
      </c>
      <c r="W893" s="28"/>
      <c r="X893" s="31">
        <v>42303</v>
      </c>
      <c r="Y893" s="33">
        <v>1790</v>
      </c>
      <c r="Z893" s="189">
        <f t="shared" si="68"/>
        <v>1790</v>
      </c>
      <c r="AA893" s="190"/>
      <c r="AB893" s="31">
        <v>42242</v>
      </c>
      <c r="AC893" s="36">
        <v>1561.68</v>
      </c>
      <c r="AD893" s="8"/>
      <c r="AE893" s="6"/>
      <c r="AF893" s="52">
        <f t="shared" si="65"/>
        <v>65952869.760000005</v>
      </c>
      <c r="AG893" s="25">
        <f t="shared" si="66"/>
        <v>75722370</v>
      </c>
      <c r="AH893" s="52">
        <f t="shared" si="69"/>
        <v>65968486.560000002</v>
      </c>
      <c r="AI893" s="6"/>
      <c r="AJ893" s="6"/>
      <c r="AK893" s="6"/>
      <c r="AL893" s="6"/>
      <c r="AM893" s="6"/>
      <c r="AN893" s="6"/>
      <c r="AO893" s="6"/>
      <c r="AP893" s="6"/>
      <c r="AQ893" s="6"/>
      <c r="AR893" s="6"/>
    </row>
    <row r="894" spans="1:44">
      <c r="A894" s="6"/>
      <c r="B894" s="6"/>
      <c r="C894" s="6"/>
      <c r="D894" s="6"/>
      <c r="E894" s="6"/>
      <c r="F894" s="6"/>
      <c r="G894" s="11"/>
      <c r="H894" s="6"/>
      <c r="I894" s="6"/>
      <c r="J894" s="6"/>
      <c r="K894" s="7"/>
      <c r="L894" s="21" t="str">
        <f>микс!$H$10</f>
        <v>продажа со склада</v>
      </c>
      <c r="M894" s="22"/>
      <c r="N894" s="22"/>
      <c r="O894" s="22" t="s">
        <v>144</v>
      </c>
      <c r="P894" s="23" t="str">
        <f>микс!$H$48</f>
        <v>Спортивный инвентарь</v>
      </c>
      <c r="Q894" s="21" t="s">
        <v>116</v>
      </c>
      <c r="R894" s="25">
        <v>1</v>
      </c>
      <c r="S894" s="28"/>
      <c r="T894" s="31">
        <v>42233</v>
      </c>
      <c r="U894" s="33">
        <v>1561.68</v>
      </c>
      <c r="V894" s="36">
        <f t="shared" si="67"/>
        <v>1561.68</v>
      </c>
      <c r="W894" s="28"/>
      <c r="X894" s="31">
        <v>42305</v>
      </c>
      <c r="Y894" s="33">
        <v>1790</v>
      </c>
      <c r="Z894" s="189">
        <f t="shared" si="68"/>
        <v>1790</v>
      </c>
      <c r="AA894" s="190"/>
      <c r="AB894" s="31">
        <v>42263</v>
      </c>
      <c r="AC894" s="36">
        <v>1561.68</v>
      </c>
      <c r="AD894" s="8"/>
      <c r="AE894" s="6"/>
      <c r="AF894" s="52">
        <f t="shared" si="65"/>
        <v>65954431.440000005</v>
      </c>
      <c r="AG894" s="25">
        <f t="shared" si="66"/>
        <v>75725950</v>
      </c>
      <c r="AH894" s="52">
        <f t="shared" si="69"/>
        <v>66001281.840000004</v>
      </c>
      <c r="AI894" s="6"/>
      <c r="AJ894" s="6"/>
      <c r="AK894" s="6"/>
      <c r="AL894" s="6"/>
      <c r="AM894" s="6"/>
      <c r="AN894" s="6"/>
      <c r="AO894" s="6"/>
      <c r="AP894" s="6"/>
      <c r="AQ894" s="6"/>
      <c r="AR894" s="6"/>
    </row>
    <row r="895" spans="1:44">
      <c r="A895" s="6"/>
      <c r="B895" s="6"/>
      <c r="C895" s="6"/>
      <c r="D895" s="6"/>
      <c r="E895" s="6"/>
      <c r="F895" s="6"/>
      <c r="G895" s="11"/>
      <c r="H895" s="6"/>
      <c r="I895" s="6"/>
      <c r="J895" s="6"/>
      <c r="K895" s="7"/>
      <c r="L895" s="21" t="str">
        <f>микс!$H$10</f>
        <v>продажа со склада</v>
      </c>
      <c r="M895" s="22"/>
      <c r="N895" s="22"/>
      <c r="O895" s="22" t="s">
        <v>144</v>
      </c>
      <c r="P895" s="23" t="str">
        <f>микс!$H$48</f>
        <v>Спортивный инвентарь</v>
      </c>
      <c r="Q895" s="21" t="s">
        <v>116</v>
      </c>
      <c r="R895" s="25">
        <v>1</v>
      </c>
      <c r="S895" s="28"/>
      <c r="T895" s="31">
        <v>42234</v>
      </c>
      <c r="U895" s="33">
        <v>1561.68</v>
      </c>
      <c r="V895" s="36">
        <f t="shared" si="67"/>
        <v>1561.68</v>
      </c>
      <c r="W895" s="28"/>
      <c r="X895" s="31">
        <v>42305</v>
      </c>
      <c r="Y895" s="33">
        <v>1790</v>
      </c>
      <c r="Z895" s="189">
        <f t="shared" si="68"/>
        <v>1790</v>
      </c>
      <c r="AA895" s="190"/>
      <c r="AB895" s="31">
        <v>42255</v>
      </c>
      <c r="AC895" s="36">
        <v>1561.68</v>
      </c>
      <c r="AD895" s="8"/>
      <c r="AE895" s="6"/>
      <c r="AF895" s="52">
        <f t="shared" si="65"/>
        <v>65955993.120000005</v>
      </c>
      <c r="AG895" s="25">
        <f t="shared" si="66"/>
        <v>75725950</v>
      </c>
      <c r="AH895" s="52">
        <f t="shared" si="69"/>
        <v>65988788.400000006</v>
      </c>
      <c r="AI895" s="6"/>
      <c r="AJ895" s="6"/>
      <c r="AK895" s="6"/>
      <c r="AL895" s="6"/>
      <c r="AM895" s="6"/>
      <c r="AN895" s="6"/>
      <c r="AO895" s="6"/>
      <c r="AP895" s="6"/>
      <c r="AQ895" s="6"/>
      <c r="AR895" s="6"/>
    </row>
    <row r="896" spans="1:44">
      <c r="A896" s="6"/>
      <c r="B896" s="6"/>
      <c r="C896" s="6"/>
      <c r="D896" s="6"/>
      <c r="E896" s="6"/>
      <c r="F896" s="6"/>
      <c r="G896" s="11"/>
      <c r="H896" s="6"/>
      <c r="I896" s="6"/>
      <c r="J896" s="6"/>
      <c r="K896" s="7"/>
      <c r="L896" s="21" t="str">
        <f>микс!$H$10</f>
        <v>продажа со склада</v>
      </c>
      <c r="M896" s="22"/>
      <c r="N896" s="22"/>
      <c r="O896" s="22" t="s">
        <v>144</v>
      </c>
      <c r="P896" s="23" t="str">
        <f>микс!$H$48</f>
        <v>Спортивный инвентарь</v>
      </c>
      <c r="Q896" s="21" t="s">
        <v>116</v>
      </c>
      <c r="R896" s="25">
        <v>1</v>
      </c>
      <c r="S896" s="28"/>
      <c r="T896" s="31">
        <v>42235</v>
      </c>
      <c r="U896" s="33">
        <v>1528.08</v>
      </c>
      <c r="V896" s="36">
        <f t="shared" si="67"/>
        <v>1528.08</v>
      </c>
      <c r="W896" s="28"/>
      <c r="X896" s="31">
        <v>42306</v>
      </c>
      <c r="Y896" s="33">
        <v>1790</v>
      </c>
      <c r="Z896" s="189">
        <f t="shared" si="68"/>
        <v>1790</v>
      </c>
      <c r="AA896" s="190"/>
      <c r="AB896" s="31">
        <v>42280</v>
      </c>
      <c r="AC896" s="36">
        <v>1528.08</v>
      </c>
      <c r="AD896" s="8"/>
      <c r="AE896" s="6"/>
      <c r="AF896" s="52">
        <f t="shared" si="65"/>
        <v>64538458.799999997</v>
      </c>
      <c r="AG896" s="25">
        <f t="shared" si="66"/>
        <v>75727740</v>
      </c>
      <c r="AH896" s="52">
        <f t="shared" si="69"/>
        <v>64607222.399999999</v>
      </c>
      <c r="AI896" s="6"/>
      <c r="AJ896" s="6"/>
      <c r="AK896" s="6"/>
      <c r="AL896" s="6"/>
      <c r="AM896" s="6"/>
      <c r="AN896" s="6"/>
      <c r="AO896" s="6"/>
      <c r="AP896" s="6"/>
      <c r="AQ896" s="6"/>
      <c r="AR896" s="6"/>
    </row>
    <row r="897" spans="1:44">
      <c r="A897" s="6"/>
      <c r="B897" s="6"/>
      <c r="C897" s="6"/>
      <c r="D897" s="6"/>
      <c r="E897" s="6"/>
      <c r="F897" s="6"/>
      <c r="G897" s="11"/>
      <c r="H897" s="6"/>
      <c r="I897" s="6"/>
      <c r="J897" s="6"/>
      <c r="K897" s="7"/>
      <c r="L897" s="21" t="str">
        <f>микс!$H$10</f>
        <v>продажа со склада</v>
      </c>
      <c r="M897" s="22"/>
      <c r="N897" s="22"/>
      <c r="O897" s="22" t="s">
        <v>144</v>
      </c>
      <c r="P897" s="23" t="str">
        <f>микс!$H$48</f>
        <v>Спортивный инвентарь</v>
      </c>
      <c r="Q897" s="21" t="s">
        <v>116</v>
      </c>
      <c r="R897" s="25">
        <v>1</v>
      </c>
      <c r="S897" s="28"/>
      <c r="T897" s="31">
        <v>42236</v>
      </c>
      <c r="U897" s="33">
        <v>1561.68</v>
      </c>
      <c r="V897" s="36">
        <f t="shared" si="67"/>
        <v>1561.68</v>
      </c>
      <c r="W897" s="28"/>
      <c r="X897" s="31">
        <v>42307</v>
      </c>
      <c r="Y897" s="33">
        <v>1790</v>
      </c>
      <c r="Z897" s="189">
        <f t="shared" si="68"/>
        <v>1790</v>
      </c>
      <c r="AA897" s="190"/>
      <c r="AB897" s="31">
        <v>42266</v>
      </c>
      <c r="AC897" s="36">
        <v>1561.68</v>
      </c>
      <c r="AD897" s="8"/>
      <c r="AE897" s="6"/>
      <c r="AF897" s="52">
        <f t="shared" si="65"/>
        <v>65959116.480000004</v>
      </c>
      <c r="AG897" s="25">
        <f t="shared" si="66"/>
        <v>75729530</v>
      </c>
      <c r="AH897" s="52">
        <f t="shared" si="69"/>
        <v>66005966.880000003</v>
      </c>
      <c r="AI897" s="6"/>
      <c r="AJ897" s="6"/>
      <c r="AK897" s="6"/>
      <c r="AL897" s="6"/>
      <c r="AM897" s="6"/>
      <c r="AN897" s="6"/>
      <c r="AO897" s="6"/>
      <c r="AP897" s="6"/>
      <c r="AQ897" s="6"/>
      <c r="AR897" s="6"/>
    </row>
    <row r="898" spans="1:44">
      <c r="A898" s="6"/>
      <c r="B898" s="6"/>
      <c r="C898" s="6"/>
      <c r="D898" s="6"/>
      <c r="E898" s="6"/>
      <c r="F898" s="6"/>
      <c r="G898" s="11"/>
      <c r="H898" s="6"/>
      <c r="I898" s="6"/>
      <c r="J898" s="6"/>
      <c r="K898" s="7"/>
      <c r="L898" s="21" t="str">
        <f>микс!$H$10</f>
        <v>продажа со склада</v>
      </c>
      <c r="M898" s="22"/>
      <c r="N898" s="22"/>
      <c r="O898" s="22" t="s">
        <v>144</v>
      </c>
      <c r="P898" s="23" t="str">
        <f>микс!$H$48</f>
        <v>Спортивный инвентарь</v>
      </c>
      <c r="Q898" s="21" t="s">
        <v>116</v>
      </c>
      <c r="R898" s="25">
        <v>1</v>
      </c>
      <c r="S898" s="28"/>
      <c r="T898" s="31">
        <v>42225</v>
      </c>
      <c r="U898" s="33">
        <v>1561.68</v>
      </c>
      <c r="V898" s="36">
        <f t="shared" si="67"/>
        <v>1561.68</v>
      </c>
      <c r="W898" s="28"/>
      <c r="X898" s="31">
        <v>42299</v>
      </c>
      <c r="Y898" s="33">
        <v>1690</v>
      </c>
      <c r="Z898" s="189">
        <f t="shared" si="68"/>
        <v>1690</v>
      </c>
      <c r="AA898" s="190"/>
      <c r="AB898" s="31">
        <v>42240</v>
      </c>
      <c r="AC898" s="36">
        <v>1561.68</v>
      </c>
      <c r="AD898" s="8"/>
      <c r="AE898" s="6"/>
      <c r="AF898" s="52">
        <f t="shared" si="65"/>
        <v>65941938</v>
      </c>
      <c r="AG898" s="25">
        <f t="shared" si="66"/>
        <v>71485310</v>
      </c>
      <c r="AH898" s="52">
        <f t="shared" si="69"/>
        <v>65965363.200000003</v>
      </c>
      <c r="AI898" s="6"/>
      <c r="AJ898" s="6"/>
      <c r="AK898" s="6"/>
      <c r="AL898" s="6"/>
      <c r="AM898" s="6"/>
      <c r="AN898" s="6"/>
      <c r="AO898" s="6"/>
      <c r="AP898" s="6"/>
      <c r="AQ898" s="6"/>
      <c r="AR898" s="6"/>
    </row>
    <row r="899" spans="1:44">
      <c r="A899" s="6"/>
      <c r="B899" s="6"/>
      <c r="C899" s="6"/>
      <c r="D899" s="6"/>
      <c r="E899" s="6"/>
      <c r="F899" s="6"/>
      <c r="G899" s="11"/>
      <c r="H899" s="6"/>
      <c r="I899" s="6"/>
      <c r="J899" s="6"/>
      <c r="K899" s="7"/>
      <c r="L899" s="21" t="str">
        <f>микс!$H$10</f>
        <v>продажа со склада</v>
      </c>
      <c r="M899" s="22"/>
      <c r="N899" s="22"/>
      <c r="O899" s="22" t="s">
        <v>144</v>
      </c>
      <c r="P899" s="23" t="str">
        <f>микс!$H$48</f>
        <v>Спортивный инвентарь</v>
      </c>
      <c r="Q899" s="21" t="s">
        <v>116</v>
      </c>
      <c r="R899" s="25">
        <v>1</v>
      </c>
      <c r="S899" s="28"/>
      <c r="T899" s="31">
        <v>42231</v>
      </c>
      <c r="U899" s="33">
        <v>1561.68</v>
      </c>
      <c r="V899" s="36">
        <f t="shared" si="67"/>
        <v>1561.68</v>
      </c>
      <c r="W899" s="28"/>
      <c r="X899" s="31">
        <v>42302</v>
      </c>
      <c r="Y899" s="33">
        <v>1790</v>
      </c>
      <c r="Z899" s="189">
        <f t="shared" si="68"/>
        <v>1790</v>
      </c>
      <c r="AA899" s="190"/>
      <c r="AB899" s="31">
        <v>42253</v>
      </c>
      <c r="AC899" s="36">
        <v>1561.68</v>
      </c>
      <c r="AD899" s="8"/>
      <c r="AE899" s="6"/>
      <c r="AF899" s="52">
        <f t="shared" si="65"/>
        <v>65951308.080000006</v>
      </c>
      <c r="AG899" s="25">
        <f t="shared" si="66"/>
        <v>75720580</v>
      </c>
      <c r="AH899" s="52">
        <f t="shared" si="69"/>
        <v>65985665.039999999</v>
      </c>
      <c r="AI899" s="6"/>
      <c r="AJ899" s="6"/>
      <c r="AK899" s="6"/>
      <c r="AL899" s="6"/>
      <c r="AM899" s="6"/>
      <c r="AN899" s="6"/>
      <c r="AO899" s="6"/>
      <c r="AP899" s="6"/>
      <c r="AQ899" s="6"/>
      <c r="AR899" s="6"/>
    </row>
    <row r="900" spans="1:44">
      <c r="A900" s="6"/>
      <c r="B900" s="6"/>
      <c r="C900" s="6"/>
      <c r="D900" s="6"/>
      <c r="E900" s="6"/>
      <c r="F900" s="6"/>
      <c r="G900" s="11"/>
      <c r="H900" s="6"/>
      <c r="I900" s="6"/>
      <c r="J900" s="6"/>
      <c r="K900" s="7"/>
      <c r="L900" s="21" t="str">
        <f>микс!$H$10</f>
        <v>продажа со склада</v>
      </c>
      <c r="M900" s="22"/>
      <c r="N900" s="22"/>
      <c r="O900" s="22" t="s">
        <v>144</v>
      </c>
      <c r="P900" s="23" t="str">
        <f>микс!$H$48</f>
        <v>Спортивный инвентарь</v>
      </c>
      <c r="Q900" s="21" t="s">
        <v>116</v>
      </c>
      <c r="R900" s="25">
        <v>1</v>
      </c>
      <c r="S900" s="28"/>
      <c r="T900" s="31">
        <v>42232</v>
      </c>
      <c r="U900" s="33">
        <v>1561.68</v>
      </c>
      <c r="V900" s="36">
        <f t="shared" si="67"/>
        <v>1561.68</v>
      </c>
      <c r="W900" s="28"/>
      <c r="X900" s="31">
        <v>42303</v>
      </c>
      <c r="Y900" s="33">
        <v>1790</v>
      </c>
      <c r="Z900" s="189">
        <f t="shared" si="68"/>
        <v>1790</v>
      </c>
      <c r="AA900" s="190"/>
      <c r="AB900" s="31">
        <v>42292</v>
      </c>
      <c r="AC900" s="36">
        <v>1561.68</v>
      </c>
      <c r="AD900" s="8"/>
      <c r="AE900" s="6"/>
      <c r="AF900" s="52">
        <f t="shared" si="65"/>
        <v>65952869.760000005</v>
      </c>
      <c r="AG900" s="25">
        <f t="shared" si="66"/>
        <v>75722370</v>
      </c>
      <c r="AH900" s="52">
        <f t="shared" si="69"/>
        <v>66046570.560000002</v>
      </c>
      <c r="AI900" s="6"/>
      <c r="AJ900" s="6"/>
      <c r="AK900" s="6"/>
      <c r="AL900" s="6"/>
      <c r="AM900" s="6"/>
      <c r="AN900" s="6"/>
      <c r="AO900" s="6"/>
      <c r="AP900" s="6"/>
      <c r="AQ900" s="6"/>
      <c r="AR900" s="6"/>
    </row>
    <row r="901" spans="1:44">
      <c r="A901" s="6"/>
      <c r="B901" s="6"/>
      <c r="C901" s="6"/>
      <c r="D901" s="6"/>
      <c r="E901" s="6"/>
      <c r="F901" s="6"/>
      <c r="G901" s="11"/>
      <c r="H901" s="6"/>
      <c r="I901" s="6"/>
      <c r="J901" s="6"/>
      <c r="K901" s="7"/>
      <c r="L901" s="21" t="str">
        <f>микс!$H$11</f>
        <v>продажа под заказ</v>
      </c>
      <c r="M901" s="22"/>
      <c r="N901" s="22"/>
      <c r="O901" s="22" t="s">
        <v>144</v>
      </c>
      <c r="P901" s="23" t="str">
        <f>микс!$H$48</f>
        <v>Спортивный инвентарь</v>
      </c>
      <c r="Q901" s="21" t="s">
        <v>116</v>
      </c>
      <c r="R901" s="25">
        <v>1</v>
      </c>
      <c r="S901" s="28"/>
      <c r="T901" s="31">
        <v>42336</v>
      </c>
      <c r="U901" s="33">
        <v>1666.08</v>
      </c>
      <c r="V901" s="36">
        <f t="shared" si="67"/>
        <v>1666.08</v>
      </c>
      <c r="W901" s="28"/>
      <c r="X901" s="31">
        <v>42347</v>
      </c>
      <c r="Y901" s="33">
        <v>1789</v>
      </c>
      <c r="Z901" s="189">
        <f t="shared" si="68"/>
        <v>1789</v>
      </c>
      <c r="AA901" s="190"/>
      <c r="AB901" s="31">
        <v>42341</v>
      </c>
      <c r="AC901" s="36">
        <v>1666.08</v>
      </c>
      <c r="AD901" s="8"/>
      <c r="AE901" s="6"/>
      <c r="AF901" s="52">
        <f t="shared" si="65"/>
        <v>70535162.879999995</v>
      </c>
      <c r="AG901" s="25">
        <f t="shared" si="66"/>
        <v>75758783</v>
      </c>
      <c r="AH901" s="52">
        <f t="shared" si="69"/>
        <v>70543493.280000001</v>
      </c>
      <c r="AI901" s="6"/>
      <c r="AJ901" s="6"/>
      <c r="AK901" s="6"/>
      <c r="AL901" s="6"/>
      <c r="AM901" s="6"/>
      <c r="AN901" s="6"/>
      <c r="AO901" s="6"/>
      <c r="AP901" s="6"/>
      <c r="AQ901" s="6"/>
      <c r="AR901" s="6"/>
    </row>
    <row r="902" spans="1:44">
      <c r="A902" s="6"/>
      <c r="B902" s="6"/>
      <c r="C902" s="6"/>
      <c r="D902" s="6"/>
      <c r="E902" s="6"/>
      <c r="F902" s="6"/>
      <c r="G902" s="11"/>
      <c r="H902" s="6"/>
      <c r="I902" s="6"/>
      <c r="J902" s="6"/>
      <c r="K902" s="7"/>
      <c r="L902" s="21" t="str">
        <f>микс!$H$11</f>
        <v>продажа под заказ</v>
      </c>
      <c r="M902" s="22"/>
      <c r="N902" s="22"/>
      <c r="O902" s="22" t="s">
        <v>144</v>
      </c>
      <c r="P902" s="23" t="str">
        <f>микс!$H$48</f>
        <v>Спортивный инвентарь</v>
      </c>
      <c r="Q902" s="21" t="s">
        <v>116</v>
      </c>
      <c r="R902" s="25">
        <v>1</v>
      </c>
      <c r="S902" s="28"/>
      <c r="T902" s="31">
        <v>42336</v>
      </c>
      <c r="U902" s="33">
        <v>1666.08</v>
      </c>
      <c r="V902" s="36">
        <f t="shared" si="67"/>
        <v>1666.08</v>
      </c>
      <c r="W902" s="28"/>
      <c r="X902" s="31">
        <v>42342</v>
      </c>
      <c r="Y902" s="33">
        <v>1789</v>
      </c>
      <c r="Z902" s="189">
        <f t="shared" si="68"/>
        <v>1789</v>
      </c>
      <c r="AA902" s="190"/>
      <c r="AB902" s="31"/>
      <c r="AC902" s="36"/>
      <c r="AD902" s="8"/>
      <c r="AE902" s="6"/>
      <c r="AF902" s="52">
        <f t="shared" si="65"/>
        <v>70535162.879999995</v>
      </c>
      <c r="AG902" s="25">
        <f t="shared" si="66"/>
        <v>75749838</v>
      </c>
      <c r="AH902" s="52">
        <f t="shared" si="69"/>
        <v>0</v>
      </c>
      <c r="AI902" s="6"/>
      <c r="AJ902" s="6"/>
      <c r="AK902" s="6"/>
      <c r="AL902" s="6"/>
      <c r="AM902" s="6"/>
      <c r="AN902" s="6"/>
      <c r="AO902" s="6"/>
      <c r="AP902" s="6"/>
      <c r="AQ902" s="6"/>
      <c r="AR902" s="6"/>
    </row>
    <row r="903" spans="1:44">
      <c r="A903" s="6"/>
      <c r="B903" s="6"/>
      <c r="C903" s="6"/>
      <c r="D903" s="6"/>
      <c r="E903" s="6"/>
      <c r="F903" s="6"/>
      <c r="G903" s="11"/>
      <c r="H903" s="6"/>
      <c r="I903" s="6"/>
      <c r="J903" s="6"/>
      <c r="K903" s="7"/>
      <c r="L903" s="21" t="str">
        <f>микс!$H$11</f>
        <v>продажа под заказ</v>
      </c>
      <c r="M903" s="22"/>
      <c r="N903" s="22"/>
      <c r="O903" s="22" t="s">
        <v>144</v>
      </c>
      <c r="P903" s="23" t="str">
        <f>микс!$H$48</f>
        <v>Спортивный инвентарь</v>
      </c>
      <c r="Q903" s="21" t="s">
        <v>116</v>
      </c>
      <c r="R903" s="25">
        <v>1</v>
      </c>
      <c r="S903" s="28"/>
      <c r="T903" s="31">
        <v>42338</v>
      </c>
      <c r="U903" s="33">
        <v>1666.08</v>
      </c>
      <c r="V903" s="36">
        <f t="shared" si="67"/>
        <v>1666.08</v>
      </c>
      <c r="W903" s="28"/>
      <c r="X903" s="31">
        <v>42342</v>
      </c>
      <c r="Y903" s="33">
        <v>1789</v>
      </c>
      <c r="Z903" s="189">
        <f t="shared" si="68"/>
        <v>1789</v>
      </c>
      <c r="AA903" s="190"/>
      <c r="AB903" s="31"/>
      <c r="AC903" s="36"/>
      <c r="AD903" s="8"/>
      <c r="AE903" s="6"/>
      <c r="AF903" s="52">
        <f t="shared" si="65"/>
        <v>70538495.039999992</v>
      </c>
      <c r="AG903" s="25">
        <f t="shared" si="66"/>
        <v>75749838</v>
      </c>
      <c r="AH903" s="52">
        <f t="shared" si="69"/>
        <v>0</v>
      </c>
      <c r="AI903" s="6"/>
      <c r="AJ903" s="6"/>
      <c r="AK903" s="6"/>
      <c r="AL903" s="6"/>
      <c r="AM903" s="6"/>
      <c r="AN903" s="6"/>
      <c r="AO903" s="6"/>
      <c r="AP903" s="6"/>
      <c r="AQ903" s="6"/>
      <c r="AR903" s="6"/>
    </row>
    <row r="904" spans="1:44">
      <c r="A904" s="6"/>
      <c r="B904" s="6"/>
      <c r="C904" s="6"/>
      <c r="D904" s="6"/>
      <c r="E904" s="6"/>
      <c r="F904" s="6"/>
      <c r="G904" s="11"/>
      <c r="H904" s="6"/>
      <c r="I904" s="6"/>
      <c r="J904" s="6"/>
      <c r="K904" s="7"/>
      <c r="L904" s="21" t="str">
        <f>микс!$H$10</f>
        <v>продажа со склада</v>
      </c>
      <c r="M904" s="22"/>
      <c r="N904" s="22"/>
      <c r="O904" s="22" t="s">
        <v>138</v>
      </c>
      <c r="P904" s="23" t="str">
        <f>микс!$H$49</f>
        <v>Товары для детей</v>
      </c>
      <c r="Q904" s="21" t="s">
        <v>59</v>
      </c>
      <c r="R904" s="25">
        <v>1</v>
      </c>
      <c r="S904" s="28"/>
      <c r="T904" s="31">
        <v>42244</v>
      </c>
      <c r="U904" s="33">
        <v>3026.67</v>
      </c>
      <c r="V904" s="36">
        <f t="shared" si="67"/>
        <v>3026.67</v>
      </c>
      <c r="W904" s="28"/>
      <c r="X904" s="31">
        <v>42315</v>
      </c>
      <c r="Y904" s="33">
        <v>3370</v>
      </c>
      <c r="Z904" s="189">
        <f t="shared" si="68"/>
        <v>3370</v>
      </c>
      <c r="AA904" s="190"/>
      <c r="AB904" s="31">
        <v>42259</v>
      </c>
      <c r="AC904" s="36">
        <v>3026.67</v>
      </c>
      <c r="AD904" s="8"/>
      <c r="AE904" s="6"/>
      <c r="AF904" s="52">
        <f t="shared" si="65"/>
        <v>127858647.48</v>
      </c>
      <c r="AG904" s="25">
        <f t="shared" si="66"/>
        <v>142601550</v>
      </c>
      <c r="AH904" s="52">
        <f t="shared" si="69"/>
        <v>127904047.53</v>
      </c>
      <c r="AI904" s="6"/>
      <c r="AJ904" s="6"/>
      <c r="AK904" s="6"/>
      <c r="AL904" s="6"/>
      <c r="AM904" s="6"/>
      <c r="AN904" s="6"/>
      <c r="AO904" s="6"/>
      <c r="AP904" s="6"/>
      <c r="AQ904" s="6"/>
      <c r="AR904" s="6"/>
    </row>
    <row r="905" spans="1:44">
      <c r="A905" s="6"/>
      <c r="B905" s="6"/>
      <c r="C905" s="6"/>
      <c r="D905" s="6"/>
      <c r="E905" s="6"/>
      <c r="F905" s="6"/>
      <c r="G905" s="11"/>
      <c r="H905" s="6"/>
      <c r="I905" s="6"/>
      <c r="J905" s="6"/>
      <c r="K905" s="7"/>
      <c r="L905" s="21" t="str">
        <f>микс!$H$11</f>
        <v>продажа под заказ</v>
      </c>
      <c r="M905" s="22"/>
      <c r="N905" s="22"/>
      <c r="O905" s="22" t="s">
        <v>138</v>
      </c>
      <c r="P905" s="23" t="str">
        <f>микс!$H$49</f>
        <v>Товары для детей</v>
      </c>
      <c r="Q905" s="21" t="s">
        <v>59</v>
      </c>
      <c r="R905" s="25">
        <v>1</v>
      </c>
      <c r="S905" s="28"/>
      <c r="T905" s="31">
        <v>42310</v>
      </c>
      <c r="U905" s="33">
        <v>3026.67</v>
      </c>
      <c r="V905" s="36">
        <f t="shared" si="67"/>
        <v>3026.67</v>
      </c>
      <c r="W905" s="28"/>
      <c r="X905" s="31">
        <v>42314</v>
      </c>
      <c r="Y905" s="33">
        <v>3267</v>
      </c>
      <c r="Z905" s="189">
        <f t="shared" si="68"/>
        <v>3267</v>
      </c>
      <c r="AA905" s="190"/>
      <c r="AB905" s="31">
        <v>42360</v>
      </c>
      <c r="AC905" s="36">
        <v>3026.67</v>
      </c>
      <c r="AD905" s="8"/>
      <c r="AE905" s="6"/>
      <c r="AF905" s="52">
        <f t="shared" ref="AF905:AF968" si="70">T905*V905</f>
        <v>128058407.7</v>
      </c>
      <c r="AG905" s="25">
        <f t="shared" ref="AG905:AG968" si="71">X905*Z905</f>
        <v>138239838</v>
      </c>
      <c r="AH905" s="52">
        <f t="shared" si="69"/>
        <v>128209741.2</v>
      </c>
      <c r="AI905" s="6"/>
      <c r="AJ905" s="6"/>
      <c r="AK905" s="6"/>
      <c r="AL905" s="6"/>
      <c r="AM905" s="6"/>
      <c r="AN905" s="6"/>
      <c r="AO905" s="6"/>
      <c r="AP905" s="6"/>
      <c r="AQ905" s="6"/>
      <c r="AR905" s="6"/>
    </row>
    <row r="906" spans="1:44">
      <c r="A906" s="6"/>
      <c r="B906" s="6"/>
      <c r="C906" s="6"/>
      <c r="D906" s="6"/>
      <c r="E906" s="6"/>
      <c r="F906" s="6"/>
      <c r="G906" s="11"/>
      <c r="H906" s="6"/>
      <c r="I906" s="6"/>
      <c r="J906" s="6"/>
      <c r="K906" s="7"/>
      <c r="L906" s="21" t="str">
        <f>микс!$H$11</f>
        <v>продажа под заказ</v>
      </c>
      <c r="M906" s="22"/>
      <c r="N906" s="22"/>
      <c r="O906" s="22" t="s">
        <v>138</v>
      </c>
      <c r="P906" s="23" t="str">
        <f>микс!$H$49</f>
        <v>Товары для детей</v>
      </c>
      <c r="Q906" s="21" t="s">
        <v>59</v>
      </c>
      <c r="R906" s="25">
        <v>1</v>
      </c>
      <c r="S906" s="28"/>
      <c r="T906" s="31">
        <v>42304</v>
      </c>
      <c r="U906" s="33">
        <v>2990</v>
      </c>
      <c r="V906" s="36">
        <f t="shared" ref="V906:V969" si="72">$R906*U906</f>
        <v>2990</v>
      </c>
      <c r="W906" s="28"/>
      <c r="X906" s="31">
        <v>42314</v>
      </c>
      <c r="Y906" s="33">
        <v>3370</v>
      </c>
      <c r="Z906" s="189">
        <f t="shared" ref="Z906:Z969" si="73">$R906*Y906</f>
        <v>3370</v>
      </c>
      <c r="AA906" s="190"/>
      <c r="AB906" s="31">
        <v>42324</v>
      </c>
      <c r="AC906" s="36">
        <v>2990</v>
      </c>
      <c r="AD906" s="8"/>
      <c r="AE906" s="6"/>
      <c r="AF906" s="52">
        <f t="shared" si="70"/>
        <v>126488960</v>
      </c>
      <c r="AG906" s="25">
        <f t="shared" si="71"/>
        <v>142598180</v>
      </c>
      <c r="AH906" s="52">
        <f t="shared" ref="AH906:AH969" si="74">AB906*AC906</f>
        <v>126548760</v>
      </c>
      <c r="AI906" s="6"/>
      <c r="AJ906" s="6"/>
      <c r="AK906" s="6"/>
      <c r="AL906" s="6"/>
      <c r="AM906" s="6"/>
      <c r="AN906" s="6"/>
      <c r="AO906" s="6"/>
      <c r="AP906" s="6"/>
      <c r="AQ906" s="6"/>
      <c r="AR906" s="6"/>
    </row>
    <row r="907" spans="1:44">
      <c r="A907" s="6"/>
      <c r="B907" s="6"/>
      <c r="C907" s="6"/>
      <c r="D907" s="6"/>
      <c r="E907" s="6"/>
      <c r="F907" s="6"/>
      <c r="G907" s="11"/>
      <c r="H907" s="6"/>
      <c r="I907" s="6"/>
      <c r="J907" s="6"/>
      <c r="K907" s="7"/>
      <c r="L907" s="21" t="str">
        <f>микс!$H$11</f>
        <v>продажа под заказ</v>
      </c>
      <c r="M907" s="22"/>
      <c r="N907" s="22"/>
      <c r="O907" s="22" t="s">
        <v>138</v>
      </c>
      <c r="P907" s="23" t="str">
        <f>микс!$H$49</f>
        <v>Товары для детей</v>
      </c>
      <c r="Q907" s="21" t="s">
        <v>59</v>
      </c>
      <c r="R907" s="25">
        <v>1</v>
      </c>
      <c r="S907" s="28"/>
      <c r="T907" s="31">
        <v>42307</v>
      </c>
      <c r="U907" s="33">
        <v>2990</v>
      </c>
      <c r="V907" s="36">
        <f t="shared" si="72"/>
        <v>2990</v>
      </c>
      <c r="W907" s="28"/>
      <c r="X907" s="31">
        <v>42323</v>
      </c>
      <c r="Y907" s="33">
        <v>3471</v>
      </c>
      <c r="Z907" s="189">
        <f t="shared" si="73"/>
        <v>3471</v>
      </c>
      <c r="AA907" s="190"/>
      <c r="AB907" s="31">
        <v>42337</v>
      </c>
      <c r="AC907" s="36">
        <v>2990</v>
      </c>
      <c r="AD907" s="8"/>
      <c r="AE907" s="6"/>
      <c r="AF907" s="52">
        <f t="shared" si="70"/>
        <v>126497930</v>
      </c>
      <c r="AG907" s="25">
        <f t="shared" si="71"/>
        <v>146903133</v>
      </c>
      <c r="AH907" s="52">
        <f t="shared" si="74"/>
        <v>126587630</v>
      </c>
      <c r="AI907" s="6"/>
      <c r="AJ907" s="6"/>
      <c r="AK907" s="6"/>
      <c r="AL907" s="6"/>
      <c r="AM907" s="6"/>
      <c r="AN907" s="6"/>
      <c r="AO907" s="6"/>
      <c r="AP907" s="6"/>
      <c r="AQ907" s="6"/>
      <c r="AR907" s="6"/>
    </row>
    <row r="908" spans="1:44">
      <c r="A908" s="6"/>
      <c r="B908" s="6"/>
      <c r="C908" s="6"/>
      <c r="D908" s="6"/>
      <c r="E908" s="6"/>
      <c r="F908" s="6"/>
      <c r="G908" s="11"/>
      <c r="H908" s="6"/>
      <c r="I908" s="6"/>
      <c r="J908" s="6"/>
      <c r="K908" s="7"/>
      <c r="L908" s="21" t="str">
        <f>микс!$H$11</f>
        <v>продажа под заказ</v>
      </c>
      <c r="M908" s="22"/>
      <c r="N908" s="22"/>
      <c r="O908" s="22" t="s">
        <v>138</v>
      </c>
      <c r="P908" s="23" t="str">
        <f>микс!$H$49</f>
        <v>Товары для детей</v>
      </c>
      <c r="Q908" s="21" t="s">
        <v>59</v>
      </c>
      <c r="R908" s="25">
        <v>1</v>
      </c>
      <c r="S908" s="28"/>
      <c r="T908" s="31">
        <v>42302</v>
      </c>
      <c r="U908" s="33">
        <v>3026.67</v>
      </c>
      <c r="V908" s="36">
        <f t="shared" si="72"/>
        <v>3026.67</v>
      </c>
      <c r="W908" s="28"/>
      <c r="X908" s="31">
        <v>42313</v>
      </c>
      <c r="Y908" s="33">
        <v>3370</v>
      </c>
      <c r="Z908" s="189">
        <f t="shared" si="73"/>
        <v>3370</v>
      </c>
      <c r="AA908" s="190"/>
      <c r="AB908" s="31">
        <v>42327</v>
      </c>
      <c r="AC908" s="36">
        <v>3026.67</v>
      </c>
      <c r="AD908" s="8"/>
      <c r="AE908" s="6"/>
      <c r="AF908" s="52">
        <f t="shared" si="70"/>
        <v>128034194.34</v>
      </c>
      <c r="AG908" s="25">
        <f t="shared" si="71"/>
        <v>142594810</v>
      </c>
      <c r="AH908" s="52">
        <f t="shared" si="74"/>
        <v>128109861.09</v>
      </c>
      <c r="AI908" s="6"/>
      <c r="AJ908" s="6"/>
      <c r="AK908" s="6"/>
      <c r="AL908" s="6"/>
      <c r="AM908" s="6"/>
      <c r="AN908" s="6"/>
      <c r="AO908" s="6"/>
      <c r="AP908" s="6"/>
      <c r="AQ908" s="6"/>
      <c r="AR908" s="6"/>
    </row>
    <row r="909" spans="1:44">
      <c r="A909" s="6"/>
      <c r="B909" s="6"/>
      <c r="C909" s="6"/>
      <c r="D909" s="6"/>
      <c r="E909" s="6"/>
      <c r="F909" s="6"/>
      <c r="G909" s="11"/>
      <c r="H909" s="6"/>
      <c r="I909" s="6"/>
      <c r="J909" s="6"/>
      <c r="K909" s="7"/>
      <c r="L909" s="21" t="str">
        <f>микс!$H$11</f>
        <v>продажа под заказ</v>
      </c>
      <c r="M909" s="22"/>
      <c r="N909" s="22"/>
      <c r="O909" s="22" t="s">
        <v>138</v>
      </c>
      <c r="P909" s="23" t="str">
        <f>микс!$H$49</f>
        <v>Товары для детей</v>
      </c>
      <c r="Q909" s="21" t="s">
        <v>59</v>
      </c>
      <c r="R909" s="25">
        <v>1</v>
      </c>
      <c r="S909" s="28"/>
      <c r="T909" s="31">
        <v>42303</v>
      </c>
      <c r="U909" s="33">
        <v>2990</v>
      </c>
      <c r="V909" s="36">
        <f t="shared" si="72"/>
        <v>2990</v>
      </c>
      <c r="W909" s="28"/>
      <c r="X909" s="31">
        <v>42306</v>
      </c>
      <c r="Y909" s="33">
        <v>3370</v>
      </c>
      <c r="Z909" s="189">
        <f t="shared" si="73"/>
        <v>3370</v>
      </c>
      <c r="AA909" s="190"/>
      <c r="AB909" s="31"/>
      <c r="AC909" s="36"/>
      <c r="AD909" s="8"/>
      <c r="AE909" s="6"/>
      <c r="AF909" s="52">
        <f t="shared" si="70"/>
        <v>126485970</v>
      </c>
      <c r="AG909" s="25">
        <f t="shared" si="71"/>
        <v>142571220</v>
      </c>
      <c r="AH909" s="52">
        <f t="shared" si="74"/>
        <v>0</v>
      </c>
      <c r="AI909" s="6"/>
      <c r="AJ909" s="6"/>
      <c r="AK909" s="6"/>
      <c r="AL909" s="6"/>
      <c r="AM909" s="6"/>
      <c r="AN909" s="6"/>
      <c r="AO909" s="6"/>
      <c r="AP909" s="6"/>
      <c r="AQ909" s="6"/>
      <c r="AR909" s="6"/>
    </row>
    <row r="910" spans="1:44">
      <c r="A910" s="6"/>
      <c r="B910" s="6"/>
      <c r="C910" s="6"/>
      <c r="D910" s="6"/>
      <c r="E910" s="6"/>
      <c r="F910" s="6"/>
      <c r="G910" s="11"/>
      <c r="H910" s="6"/>
      <c r="I910" s="6"/>
      <c r="J910" s="6"/>
      <c r="K910" s="7"/>
      <c r="L910" s="21" t="str">
        <f>микс!$H$11</f>
        <v>продажа под заказ</v>
      </c>
      <c r="M910" s="22"/>
      <c r="N910" s="22"/>
      <c r="O910" s="22" t="s">
        <v>138</v>
      </c>
      <c r="P910" s="23" t="str">
        <f>микс!$H$49</f>
        <v>Товары для детей</v>
      </c>
      <c r="Q910" s="21" t="s">
        <v>59</v>
      </c>
      <c r="R910" s="25">
        <v>1</v>
      </c>
      <c r="S910" s="28"/>
      <c r="T910" s="31">
        <v>42298</v>
      </c>
      <c r="U910" s="33">
        <v>2990</v>
      </c>
      <c r="V910" s="36">
        <f t="shared" si="72"/>
        <v>2990</v>
      </c>
      <c r="W910" s="28"/>
      <c r="X910" s="31">
        <v>42301</v>
      </c>
      <c r="Y910" s="33">
        <v>3370</v>
      </c>
      <c r="Z910" s="189">
        <f t="shared" si="73"/>
        <v>3370</v>
      </c>
      <c r="AA910" s="190"/>
      <c r="AB910" s="31"/>
      <c r="AC910" s="36"/>
      <c r="AD910" s="8"/>
      <c r="AE910" s="6"/>
      <c r="AF910" s="52">
        <f t="shared" si="70"/>
        <v>126471020</v>
      </c>
      <c r="AG910" s="25">
        <f t="shared" si="71"/>
        <v>142554370</v>
      </c>
      <c r="AH910" s="52">
        <f t="shared" si="74"/>
        <v>0</v>
      </c>
      <c r="AI910" s="6"/>
      <c r="AJ910" s="6"/>
      <c r="AK910" s="6"/>
      <c r="AL910" s="6"/>
      <c r="AM910" s="6"/>
      <c r="AN910" s="6"/>
      <c r="AO910" s="6"/>
      <c r="AP910" s="6"/>
      <c r="AQ910" s="6"/>
      <c r="AR910" s="6"/>
    </row>
    <row r="911" spans="1:44">
      <c r="A911" s="6"/>
      <c r="B911" s="6"/>
      <c r="C911" s="6"/>
      <c r="D911" s="6"/>
      <c r="E911" s="6"/>
      <c r="F911" s="6"/>
      <c r="G911" s="11"/>
      <c r="H911" s="6"/>
      <c r="I911" s="6"/>
      <c r="J911" s="6"/>
      <c r="K911" s="7"/>
      <c r="L911" s="21" t="str">
        <f>микс!$H$10</f>
        <v>продажа со склада</v>
      </c>
      <c r="M911" s="22"/>
      <c r="N911" s="22"/>
      <c r="O911" s="22" t="s">
        <v>138</v>
      </c>
      <c r="P911" s="23" t="str">
        <f>микс!$H$49</f>
        <v>Товары для детей</v>
      </c>
      <c r="Q911" s="21" t="s">
        <v>59</v>
      </c>
      <c r="R911" s="25">
        <v>1</v>
      </c>
      <c r="S911" s="28"/>
      <c r="T911" s="31">
        <v>42227</v>
      </c>
      <c r="U911" s="33">
        <v>2990</v>
      </c>
      <c r="V911" s="36">
        <f t="shared" si="72"/>
        <v>2990</v>
      </c>
      <c r="W911" s="28"/>
      <c r="X911" s="31">
        <v>42298</v>
      </c>
      <c r="Y911" s="33">
        <v>3370</v>
      </c>
      <c r="Z911" s="189">
        <f t="shared" si="73"/>
        <v>3370</v>
      </c>
      <c r="AA911" s="190"/>
      <c r="AB911" s="31">
        <v>42249</v>
      </c>
      <c r="AC911" s="36">
        <v>2990</v>
      </c>
      <c r="AD911" s="8"/>
      <c r="AE911" s="6"/>
      <c r="AF911" s="52">
        <f t="shared" si="70"/>
        <v>126258730</v>
      </c>
      <c r="AG911" s="25">
        <f t="shared" si="71"/>
        <v>142544260</v>
      </c>
      <c r="AH911" s="52">
        <f t="shared" si="74"/>
        <v>126324510</v>
      </c>
      <c r="AI911" s="6"/>
      <c r="AJ911" s="6"/>
      <c r="AK911" s="6"/>
      <c r="AL911" s="6"/>
      <c r="AM911" s="6"/>
      <c r="AN911" s="6"/>
      <c r="AO911" s="6"/>
      <c r="AP911" s="6"/>
      <c r="AQ911" s="6"/>
      <c r="AR911" s="6"/>
    </row>
    <row r="912" spans="1:44">
      <c r="A912" s="6"/>
      <c r="B912" s="6"/>
      <c r="C912" s="6"/>
      <c r="D912" s="6"/>
      <c r="E912" s="6"/>
      <c r="F912" s="6"/>
      <c r="G912" s="11"/>
      <c r="H912" s="6"/>
      <c r="I912" s="6"/>
      <c r="J912" s="6"/>
      <c r="K912" s="7"/>
      <c r="L912" s="21" t="str">
        <f>микс!$H$11</f>
        <v>продажа под заказ</v>
      </c>
      <c r="M912" s="22"/>
      <c r="N912" s="22"/>
      <c r="O912" s="22" t="s">
        <v>138</v>
      </c>
      <c r="P912" s="23" t="str">
        <f>микс!$H$49</f>
        <v>Товары для детей</v>
      </c>
      <c r="Q912" s="21" t="s">
        <v>59</v>
      </c>
      <c r="R912" s="25">
        <v>1</v>
      </c>
      <c r="S912" s="28"/>
      <c r="T912" s="31">
        <v>42300</v>
      </c>
      <c r="U912" s="33">
        <v>2990</v>
      </c>
      <c r="V912" s="36">
        <f t="shared" si="72"/>
        <v>2990</v>
      </c>
      <c r="W912" s="28"/>
      <c r="X912" s="31">
        <v>42302</v>
      </c>
      <c r="Y912" s="33">
        <v>3370</v>
      </c>
      <c r="Z912" s="189">
        <f t="shared" si="73"/>
        <v>3370</v>
      </c>
      <c r="AA912" s="190"/>
      <c r="AB912" s="31">
        <v>42332</v>
      </c>
      <c r="AC912" s="36">
        <v>2990</v>
      </c>
      <c r="AD912" s="8"/>
      <c r="AE912" s="6"/>
      <c r="AF912" s="52">
        <f t="shared" si="70"/>
        <v>126477000</v>
      </c>
      <c r="AG912" s="25">
        <f t="shared" si="71"/>
        <v>142557740</v>
      </c>
      <c r="AH912" s="52">
        <f t="shared" si="74"/>
        <v>126572680</v>
      </c>
      <c r="AI912" s="6"/>
      <c r="AJ912" s="6"/>
      <c r="AK912" s="6"/>
      <c r="AL912" s="6"/>
      <c r="AM912" s="6"/>
      <c r="AN912" s="6"/>
      <c r="AO912" s="6"/>
      <c r="AP912" s="6"/>
      <c r="AQ912" s="6"/>
      <c r="AR912" s="6"/>
    </row>
    <row r="913" spans="1:44">
      <c r="A913" s="6"/>
      <c r="B913" s="6"/>
      <c r="C913" s="6"/>
      <c r="D913" s="6"/>
      <c r="E913" s="6"/>
      <c r="F913" s="6"/>
      <c r="G913" s="11"/>
      <c r="H913" s="6"/>
      <c r="I913" s="6"/>
      <c r="J913" s="6"/>
      <c r="K913" s="7"/>
      <c r="L913" s="21" t="str">
        <f>микс!$H$11</f>
        <v>продажа под заказ</v>
      </c>
      <c r="M913" s="22"/>
      <c r="N913" s="22"/>
      <c r="O913" s="22" t="s">
        <v>138</v>
      </c>
      <c r="P913" s="23" t="str">
        <f>микс!$H$49</f>
        <v>Товары для детей</v>
      </c>
      <c r="Q913" s="21" t="s">
        <v>59</v>
      </c>
      <c r="R913" s="25">
        <v>1</v>
      </c>
      <c r="S913" s="28"/>
      <c r="T913" s="31">
        <v>42300</v>
      </c>
      <c r="U913" s="33">
        <v>3050</v>
      </c>
      <c r="V913" s="36">
        <f t="shared" si="72"/>
        <v>3050</v>
      </c>
      <c r="W913" s="28"/>
      <c r="X913" s="31">
        <v>42307</v>
      </c>
      <c r="Y913" s="33">
        <v>3471</v>
      </c>
      <c r="Z913" s="189">
        <f t="shared" si="73"/>
        <v>3471</v>
      </c>
      <c r="AA913" s="190"/>
      <c r="AB913" s="31"/>
      <c r="AC913" s="36"/>
      <c r="AD913" s="8"/>
      <c r="AE913" s="6"/>
      <c r="AF913" s="52">
        <f t="shared" si="70"/>
        <v>129015000</v>
      </c>
      <c r="AG913" s="25">
        <f t="shared" si="71"/>
        <v>146847597</v>
      </c>
      <c r="AH913" s="52">
        <f t="shared" si="74"/>
        <v>0</v>
      </c>
      <c r="AI913" s="6"/>
      <c r="AJ913" s="6"/>
      <c r="AK913" s="6"/>
      <c r="AL913" s="6"/>
      <c r="AM913" s="6"/>
      <c r="AN913" s="6"/>
      <c r="AO913" s="6"/>
      <c r="AP913" s="6"/>
      <c r="AQ913" s="6"/>
      <c r="AR913" s="6"/>
    </row>
    <row r="914" spans="1:44">
      <c r="A914" s="6"/>
      <c r="B914" s="6"/>
      <c r="C914" s="6"/>
      <c r="D914" s="6"/>
      <c r="E914" s="6"/>
      <c r="F914" s="6"/>
      <c r="G914" s="11"/>
      <c r="H914" s="6"/>
      <c r="I914" s="6"/>
      <c r="J914" s="6"/>
      <c r="K914" s="7"/>
      <c r="L914" s="21" t="str">
        <f>микс!$H$11</f>
        <v>продажа под заказ</v>
      </c>
      <c r="M914" s="22"/>
      <c r="N914" s="22"/>
      <c r="O914" s="22" t="s">
        <v>138</v>
      </c>
      <c r="P914" s="23" t="str">
        <f>микс!$H$49</f>
        <v>Товары для детей</v>
      </c>
      <c r="Q914" s="21" t="s">
        <v>59</v>
      </c>
      <c r="R914" s="25">
        <v>1</v>
      </c>
      <c r="S914" s="28"/>
      <c r="T914" s="31">
        <v>42319</v>
      </c>
      <c r="U914" s="33">
        <v>2990</v>
      </c>
      <c r="V914" s="36">
        <f t="shared" si="72"/>
        <v>2990</v>
      </c>
      <c r="W914" s="28"/>
      <c r="X914" s="31">
        <v>42325</v>
      </c>
      <c r="Y914" s="33">
        <v>3471</v>
      </c>
      <c r="Z914" s="189">
        <f t="shared" si="73"/>
        <v>3471</v>
      </c>
      <c r="AA914" s="190"/>
      <c r="AB914" s="31">
        <v>42357</v>
      </c>
      <c r="AC914" s="36">
        <v>2990</v>
      </c>
      <c r="AD914" s="8"/>
      <c r="AE914" s="6"/>
      <c r="AF914" s="52">
        <f t="shared" si="70"/>
        <v>126533810</v>
      </c>
      <c r="AG914" s="25">
        <f t="shared" si="71"/>
        <v>146910075</v>
      </c>
      <c r="AH914" s="52">
        <f t="shared" si="74"/>
        <v>126647430</v>
      </c>
      <c r="AI914" s="6"/>
      <c r="AJ914" s="6"/>
      <c r="AK914" s="6"/>
      <c r="AL914" s="6"/>
      <c r="AM914" s="6"/>
      <c r="AN914" s="6"/>
      <c r="AO914" s="6"/>
      <c r="AP914" s="6"/>
      <c r="AQ914" s="6"/>
      <c r="AR914" s="6"/>
    </row>
    <row r="915" spans="1:44">
      <c r="A915" s="6"/>
      <c r="B915" s="6"/>
      <c r="C915" s="6"/>
      <c r="D915" s="6"/>
      <c r="E915" s="6"/>
      <c r="F915" s="6"/>
      <c r="G915" s="11"/>
      <c r="H915" s="6"/>
      <c r="I915" s="6"/>
      <c r="J915" s="6"/>
      <c r="K915" s="7"/>
      <c r="L915" s="21" t="str">
        <f>микс!$H$11</f>
        <v>продажа под заказ</v>
      </c>
      <c r="M915" s="22"/>
      <c r="N915" s="22"/>
      <c r="O915" s="22" t="s">
        <v>138</v>
      </c>
      <c r="P915" s="23" t="str">
        <f>микс!$H$49</f>
        <v>Товары для детей</v>
      </c>
      <c r="Q915" s="21" t="s">
        <v>59</v>
      </c>
      <c r="R915" s="25">
        <v>1</v>
      </c>
      <c r="S915" s="28"/>
      <c r="T915" s="31">
        <v>42321</v>
      </c>
      <c r="U915" s="33">
        <v>3026.67</v>
      </c>
      <c r="V915" s="36">
        <f t="shared" si="72"/>
        <v>3026.67</v>
      </c>
      <c r="W915" s="28"/>
      <c r="X915" s="31">
        <v>42323</v>
      </c>
      <c r="Y915" s="33">
        <v>3370</v>
      </c>
      <c r="Z915" s="189">
        <f t="shared" si="73"/>
        <v>3370</v>
      </c>
      <c r="AA915" s="190"/>
      <c r="AB915" s="31">
        <v>42333</v>
      </c>
      <c r="AC915" s="36">
        <v>3026.67</v>
      </c>
      <c r="AD915" s="8"/>
      <c r="AE915" s="6"/>
      <c r="AF915" s="52">
        <f t="shared" si="70"/>
        <v>128091701.07000001</v>
      </c>
      <c r="AG915" s="25">
        <f t="shared" si="71"/>
        <v>142628510</v>
      </c>
      <c r="AH915" s="52">
        <f t="shared" si="74"/>
        <v>128128021.11</v>
      </c>
      <c r="AI915" s="6"/>
      <c r="AJ915" s="6"/>
      <c r="AK915" s="6"/>
      <c r="AL915" s="6"/>
      <c r="AM915" s="6"/>
      <c r="AN915" s="6"/>
      <c r="AO915" s="6"/>
      <c r="AP915" s="6"/>
      <c r="AQ915" s="6"/>
      <c r="AR915" s="6"/>
    </row>
    <row r="916" spans="1:44">
      <c r="A916" s="6"/>
      <c r="B916" s="6"/>
      <c r="C916" s="6"/>
      <c r="D916" s="6"/>
      <c r="E916" s="6"/>
      <c r="F916" s="6"/>
      <c r="G916" s="11"/>
      <c r="H916" s="6"/>
      <c r="I916" s="6"/>
      <c r="J916" s="6"/>
      <c r="K916" s="7"/>
      <c r="L916" s="21" t="str">
        <f>микс!$H$10</f>
        <v>продажа со склада</v>
      </c>
      <c r="M916" s="22"/>
      <c r="N916" s="22"/>
      <c r="O916" s="22" t="s">
        <v>138</v>
      </c>
      <c r="P916" s="23" t="str">
        <f>микс!$H$49</f>
        <v>Товары для детей</v>
      </c>
      <c r="Q916" s="21" t="s">
        <v>59</v>
      </c>
      <c r="R916" s="25">
        <v>1</v>
      </c>
      <c r="S916" s="28"/>
      <c r="T916" s="31">
        <v>42260</v>
      </c>
      <c r="U916" s="33">
        <v>3026.67</v>
      </c>
      <c r="V916" s="36">
        <f t="shared" si="72"/>
        <v>3026.67</v>
      </c>
      <c r="W916" s="28"/>
      <c r="X916" s="31">
        <v>42332</v>
      </c>
      <c r="Y916" s="33">
        <v>3218</v>
      </c>
      <c r="Z916" s="189">
        <f t="shared" si="73"/>
        <v>3218</v>
      </c>
      <c r="AA916" s="190"/>
      <c r="AB916" s="31">
        <v>42270</v>
      </c>
      <c r="AC916" s="36">
        <v>3026.67</v>
      </c>
      <c r="AD916" s="8"/>
      <c r="AE916" s="6"/>
      <c r="AF916" s="52">
        <f t="shared" si="70"/>
        <v>127907074.2</v>
      </c>
      <c r="AG916" s="25">
        <f t="shared" si="71"/>
        <v>136224376</v>
      </c>
      <c r="AH916" s="52">
        <f t="shared" si="74"/>
        <v>127937340.90000001</v>
      </c>
      <c r="AI916" s="6"/>
      <c r="AJ916" s="6"/>
      <c r="AK916" s="6"/>
      <c r="AL916" s="6"/>
      <c r="AM916" s="6"/>
      <c r="AN916" s="6"/>
      <c r="AO916" s="6"/>
      <c r="AP916" s="6"/>
      <c r="AQ916" s="6"/>
      <c r="AR916" s="6"/>
    </row>
    <row r="917" spans="1:44">
      <c r="A917" s="6"/>
      <c r="B917" s="6"/>
      <c r="C917" s="6"/>
      <c r="D917" s="6"/>
      <c r="E917" s="6"/>
      <c r="F917" s="6"/>
      <c r="G917" s="11"/>
      <c r="H917" s="6"/>
      <c r="I917" s="6"/>
      <c r="J917" s="6"/>
      <c r="K917" s="7"/>
      <c r="L917" s="21" t="str">
        <f>микс!$H$11</f>
        <v>продажа под заказ</v>
      </c>
      <c r="M917" s="22"/>
      <c r="N917" s="22"/>
      <c r="O917" s="22" t="s">
        <v>142</v>
      </c>
      <c r="P917" s="23" t="str">
        <f>микс!$H$47</f>
        <v>Домашнее хозяйство</v>
      </c>
      <c r="Q917" s="21" t="s">
        <v>120</v>
      </c>
      <c r="R917" s="25">
        <v>1</v>
      </c>
      <c r="S917" s="28"/>
      <c r="T917" s="31">
        <v>42337</v>
      </c>
      <c r="U917" s="33">
        <v>2728</v>
      </c>
      <c r="V917" s="36">
        <f t="shared" si="72"/>
        <v>2728</v>
      </c>
      <c r="W917" s="28"/>
      <c r="X917" s="31">
        <v>42342</v>
      </c>
      <c r="Y917" s="33">
        <v>3268</v>
      </c>
      <c r="Z917" s="189">
        <f t="shared" si="73"/>
        <v>3268</v>
      </c>
      <c r="AA917" s="190"/>
      <c r="AB917" s="31">
        <v>42357</v>
      </c>
      <c r="AC917" s="36">
        <v>2728</v>
      </c>
      <c r="AD917" s="8"/>
      <c r="AE917" s="6"/>
      <c r="AF917" s="52">
        <f t="shared" si="70"/>
        <v>115495336</v>
      </c>
      <c r="AG917" s="25">
        <f t="shared" si="71"/>
        <v>138373656</v>
      </c>
      <c r="AH917" s="52">
        <f t="shared" si="74"/>
        <v>115549896</v>
      </c>
      <c r="AI917" s="6"/>
      <c r="AJ917" s="6"/>
      <c r="AK917" s="6"/>
      <c r="AL917" s="6"/>
      <c r="AM917" s="6"/>
      <c r="AN917" s="6"/>
      <c r="AO917" s="6"/>
      <c r="AP917" s="6"/>
      <c r="AQ917" s="6"/>
      <c r="AR917" s="6"/>
    </row>
    <row r="918" spans="1:44">
      <c r="A918" s="6"/>
      <c r="B918" s="6"/>
      <c r="C918" s="6"/>
      <c r="D918" s="6"/>
      <c r="E918" s="6"/>
      <c r="F918" s="6"/>
      <c r="G918" s="11"/>
      <c r="H918" s="6"/>
      <c r="I918" s="6"/>
      <c r="J918" s="6"/>
      <c r="K918" s="7"/>
      <c r="L918" s="21" t="str">
        <f>микс!$H$11</f>
        <v>продажа под заказ</v>
      </c>
      <c r="M918" s="22"/>
      <c r="N918" s="22"/>
      <c r="O918" s="22" t="s">
        <v>138</v>
      </c>
      <c r="P918" s="23" t="str">
        <f>микс!$H$49</f>
        <v>Товары для детей</v>
      </c>
      <c r="Q918" s="21" t="s">
        <v>63</v>
      </c>
      <c r="R918" s="25">
        <v>1</v>
      </c>
      <c r="S918" s="28"/>
      <c r="T918" s="31">
        <v>42336</v>
      </c>
      <c r="U918" s="33">
        <v>5420</v>
      </c>
      <c r="V918" s="36">
        <f t="shared" si="72"/>
        <v>5420</v>
      </c>
      <c r="W918" s="28"/>
      <c r="X918" s="31">
        <v>42342</v>
      </c>
      <c r="Y918" s="33">
        <v>5850</v>
      </c>
      <c r="Z918" s="189">
        <f t="shared" si="73"/>
        <v>5850</v>
      </c>
      <c r="AA918" s="190"/>
      <c r="AB918" s="31">
        <v>42366</v>
      </c>
      <c r="AC918" s="36">
        <v>5420</v>
      </c>
      <c r="AD918" s="8"/>
      <c r="AE918" s="6"/>
      <c r="AF918" s="52">
        <f t="shared" si="70"/>
        <v>229461120</v>
      </c>
      <c r="AG918" s="25">
        <f t="shared" si="71"/>
        <v>247700700</v>
      </c>
      <c r="AH918" s="52">
        <f t="shared" si="74"/>
        <v>229623720</v>
      </c>
      <c r="AI918" s="6"/>
      <c r="AJ918" s="6"/>
      <c r="AK918" s="6"/>
      <c r="AL918" s="6"/>
      <c r="AM918" s="6"/>
      <c r="AN918" s="6"/>
      <c r="AO918" s="6"/>
      <c r="AP918" s="6"/>
      <c r="AQ918" s="6"/>
      <c r="AR918" s="6"/>
    </row>
    <row r="919" spans="1:44">
      <c r="A919" s="6"/>
      <c r="B919" s="6"/>
      <c r="C919" s="6"/>
      <c r="D919" s="6"/>
      <c r="E919" s="6"/>
      <c r="F919" s="6"/>
      <c r="G919" s="11"/>
      <c r="H919" s="6"/>
      <c r="I919" s="6"/>
      <c r="J919" s="6"/>
      <c r="K919" s="7"/>
      <c r="L919" s="21" t="str">
        <f>микс!$H$11</f>
        <v>продажа под заказ</v>
      </c>
      <c r="M919" s="22"/>
      <c r="N919" s="22"/>
      <c r="O919" s="22" t="s">
        <v>138</v>
      </c>
      <c r="P919" s="23" t="str">
        <f>микс!$H$49</f>
        <v>Товары для детей</v>
      </c>
      <c r="Q919" s="21" t="s">
        <v>63</v>
      </c>
      <c r="R919" s="25">
        <v>1</v>
      </c>
      <c r="S919" s="28"/>
      <c r="T919" s="31">
        <v>42336</v>
      </c>
      <c r="U919" s="33">
        <v>5420</v>
      </c>
      <c r="V919" s="36">
        <f t="shared" si="72"/>
        <v>5420</v>
      </c>
      <c r="W919" s="28"/>
      <c r="X919" s="31">
        <v>42342</v>
      </c>
      <c r="Y919" s="33">
        <v>5850</v>
      </c>
      <c r="Z919" s="189">
        <f t="shared" si="73"/>
        <v>5850</v>
      </c>
      <c r="AA919" s="190"/>
      <c r="AB919" s="31">
        <v>42366</v>
      </c>
      <c r="AC919" s="36">
        <v>5420</v>
      </c>
      <c r="AD919" s="8"/>
      <c r="AE919" s="6"/>
      <c r="AF919" s="52">
        <f t="shared" si="70"/>
        <v>229461120</v>
      </c>
      <c r="AG919" s="25">
        <f t="shared" si="71"/>
        <v>247700700</v>
      </c>
      <c r="AH919" s="52">
        <f t="shared" si="74"/>
        <v>229623720</v>
      </c>
      <c r="AI919" s="6"/>
      <c r="AJ919" s="6"/>
      <c r="AK919" s="6"/>
      <c r="AL919" s="6"/>
      <c r="AM919" s="6"/>
      <c r="AN919" s="6"/>
      <c r="AO919" s="6"/>
      <c r="AP919" s="6"/>
      <c r="AQ919" s="6"/>
      <c r="AR919" s="6"/>
    </row>
    <row r="920" spans="1:44">
      <c r="A920" s="6"/>
      <c r="B920" s="6"/>
      <c r="C920" s="6"/>
      <c r="D920" s="6"/>
      <c r="E920" s="6"/>
      <c r="F920" s="6"/>
      <c r="G920" s="11"/>
      <c r="H920" s="6"/>
      <c r="I920" s="6"/>
      <c r="J920" s="6"/>
      <c r="K920" s="7"/>
      <c r="L920" s="21" t="str">
        <f>микс!$H$10</f>
        <v>продажа со склада</v>
      </c>
      <c r="M920" s="22"/>
      <c r="N920" s="22"/>
      <c r="O920" s="22" t="s">
        <v>138</v>
      </c>
      <c r="P920" s="23" t="str">
        <f>микс!$H$49</f>
        <v>Товары для детей</v>
      </c>
      <c r="Q920" s="21" t="s">
        <v>63</v>
      </c>
      <c r="R920" s="25">
        <v>1</v>
      </c>
      <c r="S920" s="28"/>
      <c r="T920" s="31">
        <v>42260</v>
      </c>
      <c r="U920" s="33">
        <v>3485</v>
      </c>
      <c r="V920" s="36">
        <f t="shared" si="72"/>
        <v>3485</v>
      </c>
      <c r="W920" s="28"/>
      <c r="X920" s="31">
        <v>42333</v>
      </c>
      <c r="Y920" s="33">
        <v>4301</v>
      </c>
      <c r="Z920" s="189">
        <f t="shared" si="73"/>
        <v>4301</v>
      </c>
      <c r="AA920" s="190"/>
      <c r="AB920" s="31">
        <v>42305</v>
      </c>
      <c r="AC920" s="36">
        <v>3485</v>
      </c>
      <c r="AD920" s="8"/>
      <c r="AE920" s="6"/>
      <c r="AF920" s="52">
        <f t="shared" si="70"/>
        <v>147276100</v>
      </c>
      <c r="AG920" s="25">
        <f t="shared" si="71"/>
        <v>182074233</v>
      </c>
      <c r="AH920" s="52">
        <f t="shared" si="74"/>
        <v>147432925</v>
      </c>
      <c r="AI920" s="6"/>
      <c r="AJ920" s="6"/>
      <c r="AK920" s="6"/>
      <c r="AL920" s="6"/>
      <c r="AM920" s="6"/>
      <c r="AN920" s="6"/>
      <c r="AO920" s="6"/>
      <c r="AP920" s="6"/>
      <c r="AQ920" s="6"/>
      <c r="AR920" s="6"/>
    </row>
    <row r="921" spans="1:44">
      <c r="A921" s="6"/>
      <c r="B921" s="6"/>
      <c r="C921" s="6"/>
      <c r="D921" s="6"/>
      <c r="E921" s="6"/>
      <c r="F921" s="6"/>
      <c r="G921" s="11"/>
      <c r="H921" s="6"/>
      <c r="I921" s="6"/>
      <c r="J921" s="6"/>
      <c r="K921" s="7"/>
      <c r="L921" s="21" t="str">
        <f>микс!$H$10</f>
        <v>продажа со склада</v>
      </c>
      <c r="M921" s="22"/>
      <c r="N921" s="22"/>
      <c r="O921" s="22" t="s">
        <v>138</v>
      </c>
      <c r="P921" s="23" t="str">
        <f>микс!$H$49</f>
        <v>Товары для детей</v>
      </c>
      <c r="Q921" s="21" t="s">
        <v>106</v>
      </c>
      <c r="R921" s="25">
        <v>1</v>
      </c>
      <c r="S921" s="28"/>
      <c r="T921" s="31">
        <v>42238</v>
      </c>
      <c r="U921" s="33">
        <v>1240</v>
      </c>
      <c r="V921" s="36">
        <f t="shared" si="72"/>
        <v>1240</v>
      </c>
      <c r="W921" s="28"/>
      <c r="X921" s="31">
        <v>42309</v>
      </c>
      <c r="Y921" s="33">
        <v>1380</v>
      </c>
      <c r="Z921" s="189">
        <f t="shared" si="73"/>
        <v>1380</v>
      </c>
      <c r="AA921" s="190"/>
      <c r="AB921" s="31">
        <v>42298</v>
      </c>
      <c r="AC921" s="36">
        <v>1240</v>
      </c>
      <c r="AD921" s="8"/>
      <c r="AE921" s="6"/>
      <c r="AF921" s="52">
        <f t="shared" si="70"/>
        <v>52375120</v>
      </c>
      <c r="AG921" s="25">
        <f t="shared" si="71"/>
        <v>58386420</v>
      </c>
      <c r="AH921" s="52">
        <f t="shared" si="74"/>
        <v>52449520</v>
      </c>
      <c r="AI921" s="6"/>
      <c r="AJ921" s="6"/>
      <c r="AK921" s="6"/>
      <c r="AL921" s="6"/>
      <c r="AM921" s="6"/>
      <c r="AN921" s="6"/>
      <c r="AO921" s="6"/>
      <c r="AP921" s="6"/>
      <c r="AQ921" s="6"/>
      <c r="AR921" s="6"/>
    </row>
    <row r="922" spans="1:44">
      <c r="A922" s="6"/>
      <c r="B922" s="6"/>
      <c r="C922" s="6"/>
      <c r="D922" s="6"/>
      <c r="E922" s="6"/>
      <c r="F922" s="6"/>
      <c r="G922" s="11"/>
      <c r="H922" s="6"/>
      <c r="I922" s="6"/>
      <c r="J922" s="6"/>
      <c r="K922" s="7"/>
      <c r="L922" s="21" t="str">
        <f>микс!$H$11</f>
        <v>продажа под заказ</v>
      </c>
      <c r="M922" s="22"/>
      <c r="N922" s="22"/>
      <c r="O922" s="22" t="s">
        <v>138</v>
      </c>
      <c r="P922" s="23" t="str">
        <f>микс!$H$49</f>
        <v>Товары для детей</v>
      </c>
      <c r="Q922" s="21" t="s">
        <v>106</v>
      </c>
      <c r="R922" s="25">
        <v>1</v>
      </c>
      <c r="S922" s="28"/>
      <c r="T922" s="31">
        <v>42325</v>
      </c>
      <c r="U922" s="33">
        <v>1240</v>
      </c>
      <c r="V922" s="36">
        <f t="shared" si="72"/>
        <v>1240</v>
      </c>
      <c r="W922" s="28"/>
      <c r="X922" s="31">
        <v>42328</v>
      </c>
      <c r="Y922" s="33">
        <v>1488</v>
      </c>
      <c r="Z922" s="189">
        <f t="shared" si="73"/>
        <v>1488</v>
      </c>
      <c r="AA922" s="190"/>
      <c r="AB922" s="31"/>
      <c r="AC922" s="36"/>
      <c r="AD922" s="8"/>
      <c r="AE922" s="6"/>
      <c r="AF922" s="52">
        <f t="shared" si="70"/>
        <v>52483000</v>
      </c>
      <c r="AG922" s="25">
        <f t="shared" si="71"/>
        <v>62984064</v>
      </c>
      <c r="AH922" s="52">
        <f t="shared" si="74"/>
        <v>0</v>
      </c>
      <c r="AI922" s="6"/>
      <c r="AJ922" s="6"/>
      <c r="AK922" s="6"/>
      <c r="AL922" s="6"/>
      <c r="AM922" s="6"/>
      <c r="AN922" s="6"/>
      <c r="AO922" s="6"/>
      <c r="AP922" s="6"/>
      <c r="AQ922" s="6"/>
      <c r="AR922" s="6"/>
    </row>
    <row r="923" spans="1:44">
      <c r="A923" s="6"/>
      <c r="B923" s="6"/>
      <c r="C923" s="6"/>
      <c r="D923" s="6"/>
      <c r="E923" s="6"/>
      <c r="F923" s="6"/>
      <c r="G923" s="11"/>
      <c r="H923" s="6"/>
      <c r="I923" s="6"/>
      <c r="J923" s="6"/>
      <c r="K923" s="7"/>
      <c r="L923" s="21" t="str">
        <f>микс!$H$11</f>
        <v>продажа под заказ</v>
      </c>
      <c r="M923" s="22"/>
      <c r="N923" s="22"/>
      <c r="O923" s="22" t="s">
        <v>138</v>
      </c>
      <c r="P923" s="23" t="str">
        <f>микс!$H$49</f>
        <v>Товары для детей</v>
      </c>
      <c r="Q923" s="21" t="s">
        <v>106</v>
      </c>
      <c r="R923" s="25">
        <v>1</v>
      </c>
      <c r="S923" s="28"/>
      <c r="T923" s="31">
        <v>42321</v>
      </c>
      <c r="U923" s="33">
        <v>3510</v>
      </c>
      <c r="V923" s="36">
        <f t="shared" si="72"/>
        <v>3510</v>
      </c>
      <c r="W923" s="28"/>
      <c r="X923" s="31">
        <v>42326</v>
      </c>
      <c r="Y923" s="33">
        <v>3990</v>
      </c>
      <c r="Z923" s="189">
        <f t="shared" si="73"/>
        <v>3990</v>
      </c>
      <c r="AA923" s="190"/>
      <c r="AB923" s="31"/>
      <c r="AC923" s="36"/>
      <c r="AD923" s="8"/>
      <c r="AE923" s="6"/>
      <c r="AF923" s="52">
        <f t="shared" si="70"/>
        <v>148546710</v>
      </c>
      <c r="AG923" s="25">
        <f t="shared" si="71"/>
        <v>168880740</v>
      </c>
      <c r="AH923" s="52">
        <f t="shared" si="74"/>
        <v>0</v>
      </c>
      <c r="AI923" s="6"/>
      <c r="AJ923" s="6"/>
      <c r="AK923" s="6"/>
      <c r="AL923" s="6"/>
      <c r="AM923" s="6"/>
      <c r="AN923" s="6"/>
      <c r="AO923" s="6"/>
      <c r="AP923" s="6"/>
      <c r="AQ923" s="6"/>
      <c r="AR923" s="6"/>
    </row>
    <row r="924" spans="1:44">
      <c r="A924" s="6"/>
      <c r="B924" s="6"/>
      <c r="C924" s="6"/>
      <c r="D924" s="6"/>
      <c r="E924" s="6"/>
      <c r="F924" s="6"/>
      <c r="G924" s="11"/>
      <c r="H924" s="6"/>
      <c r="I924" s="6"/>
      <c r="J924" s="6"/>
      <c r="K924" s="7"/>
      <c r="L924" s="21" t="str">
        <f>микс!$H$11</f>
        <v>продажа под заказ</v>
      </c>
      <c r="M924" s="22"/>
      <c r="N924" s="22"/>
      <c r="O924" s="22" t="s">
        <v>138</v>
      </c>
      <c r="P924" s="23" t="str">
        <f>микс!$H$49</f>
        <v>Товары для детей</v>
      </c>
      <c r="Q924" s="21" t="s">
        <v>106</v>
      </c>
      <c r="R924" s="25">
        <v>1</v>
      </c>
      <c r="S924" s="28"/>
      <c r="T924" s="31">
        <v>42325</v>
      </c>
      <c r="U924" s="33">
        <v>3510</v>
      </c>
      <c r="V924" s="36">
        <f t="shared" si="72"/>
        <v>3510</v>
      </c>
      <c r="W924" s="28"/>
      <c r="X924" s="31">
        <v>42327</v>
      </c>
      <c r="Y924" s="33">
        <v>3990</v>
      </c>
      <c r="Z924" s="189">
        <f t="shared" si="73"/>
        <v>3990</v>
      </c>
      <c r="AA924" s="190"/>
      <c r="AB924" s="31">
        <v>42355</v>
      </c>
      <c r="AC924" s="36">
        <v>3510</v>
      </c>
      <c r="AD924" s="8"/>
      <c r="AE924" s="6"/>
      <c r="AF924" s="52">
        <f t="shared" si="70"/>
        <v>148560750</v>
      </c>
      <c r="AG924" s="25">
        <f t="shared" si="71"/>
        <v>168884730</v>
      </c>
      <c r="AH924" s="52">
        <f t="shared" si="74"/>
        <v>148666050</v>
      </c>
      <c r="AI924" s="6"/>
      <c r="AJ924" s="6"/>
      <c r="AK924" s="6"/>
      <c r="AL924" s="6"/>
      <c r="AM924" s="6"/>
      <c r="AN924" s="6"/>
      <c r="AO924" s="6"/>
      <c r="AP924" s="6"/>
      <c r="AQ924" s="6"/>
      <c r="AR924" s="6"/>
    </row>
    <row r="925" spans="1:44">
      <c r="A925" s="6"/>
      <c r="B925" s="6"/>
      <c r="C925" s="6"/>
      <c r="D925" s="6"/>
      <c r="E925" s="6"/>
      <c r="F925" s="6"/>
      <c r="G925" s="11"/>
      <c r="H925" s="6"/>
      <c r="I925" s="6"/>
      <c r="J925" s="6"/>
      <c r="K925" s="7"/>
      <c r="L925" s="21" t="str">
        <f>микс!$H$11</f>
        <v>продажа под заказ</v>
      </c>
      <c r="M925" s="22"/>
      <c r="N925" s="22"/>
      <c r="O925" s="22" t="s">
        <v>138</v>
      </c>
      <c r="P925" s="23" t="str">
        <f>микс!$H$49</f>
        <v>Товары для детей</v>
      </c>
      <c r="Q925" s="21" t="s">
        <v>106</v>
      </c>
      <c r="R925" s="25">
        <v>1</v>
      </c>
      <c r="S925" s="28"/>
      <c r="T925" s="31">
        <v>42325</v>
      </c>
      <c r="U925" s="33">
        <v>3510</v>
      </c>
      <c r="V925" s="36">
        <f t="shared" si="72"/>
        <v>3510</v>
      </c>
      <c r="W925" s="28"/>
      <c r="X925" s="31">
        <v>42327</v>
      </c>
      <c r="Y925" s="33">
        <v>3990</v>
      </c>
      <c r="Z925" s="189">
        <f t="shared" si="73"/>
        <v>3990</v>
      </c>
      <c r="AA925" s="190"/>
      <c r="AB925" s="31">
        <v>42345</v>
      </c>
      <c r="AC925" s="36">
        <v>3510</v>
      </c>
      <c r="AD925" s="8"/>
      <c r="AE925" s="6"/>
      <c r="AF925" s="52">
        <f t="shared" si="70"/>
        <v>148560750</v>
      </c>
      <c r="AG925" s="25">
        <f t="shared" si="71"/>
        <v>168884730</v>
      </c>
      <c r="AH925" s="52">
        <f t="shared" si="74"/>
        <v>148630950</v>
      </c>
      <c r="AI925" s="6"/>
      <c r="AJ925" s="6"/>
      <c r="AK925" s="6"/>
      <c r="AL925" s="6"/>
      <c r="AM925" s="6"/>
      <c r="AN925" s="6"/>
      <c r="AO925" s="6"/>
      <c r="AP925" s="6"/>
      <c r="AQ925" s="6"/>
      <c r="AR925" s="6"/>
    </row>
    <row r="926" spans="1:44">
      <c r="A926" s="6"/>
      <c r="B926" s="6"/>
      <c r="C926" s="6"/>
      <c r="D926" s="6"/>
      <c r="E926" s="6"/>
      <c r="F926" s="6"/>
      <c r="G926" s="11"/>
      <c r="H926" s="6"/>
      <c r="I926" s="6"/>
      <c r="J926" s="6"/>
      <c r="K926" s="7"/>
      <c r="L926" s="21" t="str">
        <f>микс!$H$11</f>
        <v>продажа под заказ</v>
      </c>
      <c r="M926" s="22"/>
      <c r="N926" s="22"/>
      <c r="O926" s="22" t="s">
        <v>138</v>
      </c>
      <c r="P926" s="23" t="str">
        <f>микс!$H$49</f>
        <v>Товары для детей</v>
      </c>
      <c r="Q926" s="21" t="s">
        <v>106</v>
      </c>
      <c r="R926" s="25">
        <v>1</v>
      </c>
      <c r="S926" s="28"/>
      <c r="T926" s="31">
        <v>42307</v>
      </c>
      <c r="U926" s="33">
        <v>3510</v>
      </c>
      <c r="V926" s="36">
        <f t="shared" si="72"/>
        <v>3510</v>
      </c>
      <c r="W926" s="28"/>
      <c r="X926" s="31">
        <v>42313</v>
      </c>
      <c r="Y926" s="33">
        <v>3990</v>
      </c>
      <c r="Z926" s="189">
        <f t="shared" si="73"/>
        <v>3990</v>
      </c>
      <c r="AA926" s="190"/>
      <c r="AB926" s="31">
        <v>42317</v>
      </c>
      <c r="AC926" s="36">
        <v>3510</v>
      </c>
      <c r="AD926" s="8"/>
      <c r="AE926" s="6"/>
      <c r="AF926" s="52">
        <f t="shared" si="70"/>
        <v>148497570</v>
      </c>
      <c r="AG926" s="25">
        <f t="shared" si="71"/>
        <v>168828870</v>
      </c>
      <c r="AH926" s="52">
        <f t="shared" si="74"/>
        <v>148532670</v>
      </c>
      <c r="AI926" s="6"/>
      <c r="AJ926" s="6"/>
      <c r="AK926" s="6"/>
      <c r="AL926" s="6"/>
      <c r="AM926" s="6"/>
      <c r="AN926" s="6"/>
      <c r="AO926" s="6"/>
      <c r="AP926" s="6"/>
      <c r="AQ926" s="6"/>
      <c r="AR926" s="6"/>
    </row>
    <row r="927" spans="1:44">
      <c r="A927" s="6"/>
      <c r="B927" s="6"/>
      <c r="C927" s="6"/>
      <c r="D927" s="6"/>
      <c r="E927" s="6"/>
      <c r="F927" s="6"/>
      <c r="G927" s="11"/>
      <c r="H927" s="6"/>
      <c r="I927" s="6"/>
      <c r="J927" s="6"/>
      <c r="K927" s="7"/>
      <c r="L927" s="21" t="str">
        <f>микс!$H$11</f>
        <v>продажа под заказ</v>
      </c>
      <c r="M927" s="22"/>
      <c r="N927" s="22"/>
      <c r="O927" s="22" t="s">
        <v>138</v>
      </c>
      <c r="P927" s="23" t="str">
        <f>микс!$H$49</f>
        <v>Товары для детей</v>
      </c>
      <c r="Q927" s="21" t="s">
        <v>106</v>
      </c>
      <c r="R927" s="25">
        <v>1</v>
      </c>
      <c r="S927" s="28"/>
      <c r="T927" s="31">
        <v>42314</v>
      </c>
      <c r="U927" s="33">
        <v>3510</v>
      </c>
      <c r="V927" s="36">
        <f t="shared" si="72"/>
        <v>3510</v>
      </c>
      <c r="W927" s="28"/>
      <c r="X927" s="31">
        <v>42316</v>
      </c>
      <c r="Y927" s="33">
        <v>3990</v>
      </c>
      <c r="Z927" s="189">
        <f t="shared" si="73"/>
        <v>3990</v>
      </c>
      <c r="AA927" s="190"/>
      <c r="AB927" s="31">
        <v>42324</v>
      </c>
      <c r="AC927" s="36">
        <v>3510</v>
      </c>
      <c r="AD927" s="8"/>
      <c r="AE927" s="6"/>
      <c r="AF927" s="52">
        <f t="shared" si="70"/>
        <v>148522140</v>
      </c>
      <c r="AG927" s="25">
        <f t="shared" si="71"/>
        <v>168840840</v>
      </c>
      <c r="AH927" s="52">
        <f t="shared" si="74"/>
        <v>148557240</v>
      </c>
      <c r="AI927" s="6"/>
      <c r="AJ927" s="6"/>
      <c r="AK927" s="6"/>
      <c r="AL927" s="6"/>
      <c r="AM927" s="6"/>
      <c r="AN927" s="6"/>
      <c r="AO927" s="6"/>
      <c r="AP927" s="6"/>
      <c r="AQ927" s="6"/>
      <c r="AR927" s="6"/>
    </row>
    <row r="928" spans="1:44">
      <c r="A928" s="6"/>
      <c r="B928" s="6"/>
      <c r="C928" s="6"/>
      <c r="D928" s="6"/>
      <c r="E928" s="6"/>
      <c r="F928" s="6"/>
      <c r="G928" s="11"/>
      <c r="H928" s="6"/>
      <c r="I928" s="6"/>
      <c r="J928" s="6"/>
      <c r="K928" s="7"/>
      <c r="L928" s="21" t="str">
        <f>микс!$H$11</f>
        <v>продажа под заказ</v>
      </c>
      <c r="M928" s="22"/>
      <c r="N928" s="22"/>
      <c r="O928" s="22" t="s">
        <v>138</v>
      </c>
      <c r="P928" s="23" t="str">
        <f>микс!$H$49</f>
        <v>Товары для детей</v>
      </c>
      <c r="Q928" s="21" t="s">
        <v>106</v>
      </c>
      <c r="R928" s="25">
        <v>1</v>
      </c>
      <c r="S928" s="28"/>
      <c r="T928" s="31">
        <v>42313</v>
      </c>
      <c r="U928" s="33">
        <v>3510</v>
      </c>
      <c r="V928" s="36">
        <f t="shared" si="72"/>
        <v>3510</v>
      </c>
      <c r="W928" s="28"/>
      <c r="X928" s="31">
        <v>42320</v>
      </c>
      <c r="Y928" s="33">
        <v>4109</v>
      </c>
      <c r="Z928" s="189">
        <f t="shared" si="73"/>
        <v>4109</v>
      </c>
      <c r="AA928" s="190"/>
      <c r="AB928" s="31"/>
      <c r="AC928" s="36"/>
      <c r="AD928" s="8"/>
      <c r="AE928" s="6"/>
      <c r="AF928" s="52">
        <f t="shared" si="70"/>
        <v>148518630</v>
      </c>
      <c r="AG928" s="25">
        <f t="shared" si="71"/>
        <v>173892880</v>
      </c>
      <c r="AH928" s="52">
        <f t="shared" si="74"/>
        <v>0</v>
      </c>
      <c r="AI928" s="6"/>
      <c r="AJ928" s="6"/>
      <c r="AK928" s="6"/>
      <c r="AL928" s="6"/>
      <c r="AM928" s="6"/>
      <c r="AN928" s="6"/>
      <c r="AO928" s="6"/>
      <c r="AP928" s="6"/>
      <c r="AQ928" s="6"/>
      <c r="AR928" s="6"/>
    </row>
    <row r="929" spans="1:44">
      <c r="A929" s="6"/>
      <c r="B929" s="6"/>
      <c r="C929" s="6"/>
      <c r="D929" s="6"/>
      <c r="E929" s="6"/>
      <c r="F929" s="6"/>
      <c r="G929" s="11"/>
      <c r="H929" s="6"/>
      <c r="I929" s="6"/>
      <c r="J929" s="6"/>
      <c r="K929" s="7"/>
      <c r="L929" s="21" t="str">
        <f>микс!$H$11</f>
        <v>продажа под заказ</v>
      </c>
      <c r="M929" s="22"/>
      <c r="N929" s="22"/>
      <c r="O929" s="22" t="s">
        <v>138</v>
      </c>
      <c r="P929" s="23" t="str">
        <f>микс!$H$49</f>
        <v>Товары для детей</v>
      </c>
      <c r="Q929" s="21" t="s">
        <v>106</v>
      </c>
      <c r="R929" s="25">
        <v>1</v>
      </c>
      <c r="S929" s="28"/>
      <c r="T929" s="31">
        <v>42310</v>
      </c>
      <c r="U929" s="33">
        <v>3510</v>
      </c>
      <c r="V929" s="36">
        <f t="shared" si="72"/>
        <v>3510</v>
      </c>
      <c r="W929" s="28"/>
      <c r="X929" s="31">
        <v>42319</v>
      </c>
      <c r="Y929" s="33">
        <v>3869</v>
      </c>
      <c r="Z929" s="189">
        <f t="shared" si="73"/>
        <v>3869</v>
      </c>
      <c r="AA929" s="190"/>
      <c r="AB929" s="31">
        <v>42331</v>
      </c>
      <c r="AC929" s="36">
        <v>3510</v>
      </c>
      <c r="AD929" s="8"/>
      <c r="AE929" s="6"/>
      <c r="AF929" s="52">
        <f t="shared" si="70"/>
        <v>148508100</v>
      </c>
      <c r="AG929" s="25">
        <f t="shared" si="71"/>
        <v>163732211</v>
      </c>
      <c r="AH929" s="52">
        <f t="shared" si="74"/>
        <v>148581810</v>
      </c>
      <c r="AI929" s="6"/>
      <c r="AJ929" s="6"/>
      <c r="AK929" s="6"/>
      <c r="AL929" s="6"/>
      <c r="AM929" s="6"/>
      <c r="AN929" s="6"/>
      <c r="AO929" s="6"/>
      <c r="AP929" s="6"/>
      <c r="AQ929" s="6"/>
      <c r="AR929" s="6"/>
    </row>
    <row r="930" spans="1:44">
      <c r="A930" s="6"/>
      <c r="B930" s="6"/>
      <c r="C930" s="6"/>
      <c r="D930" s="6"/>
      <c r="E930" s="6"/>
      <c r="F930" s="6"/>
      <c r="G930" s="11"/>
      <c r="H930" s="6"/>
      <c r="I930" s="6"/>
      <c r="J930" s="6"/>
      <c r="K930" s="7"/>
      <c r="L930" s="21" t="str">
        <f>микс!$H$11</f>
        <v>продажа под заказ</v>
      </c>
      <c r="M930" s="22"/>
      <c r="N930" s="22"/>
      <c r="O930" s="22" t="s">
        <v>138</v>
      </c>
      <c r="P930" s="23" t="str">
        <f>микс!$H$49</f>
        <v>Товары для детей</v>
      </c>
      <c r="Q930" s="21" t="s">
        <v>106</v>
      </c>
      <c r="R930" s="25">
        <v>1</v>
      </c>
      <c r="S930" s="28"/>
      <c r="T930" s="31">
        <v>42312</v>
      </c>
      <c r="U930" s="33">
        <v>3510</v>
      </c>
      <c r="V930" s="36">
        <f t="shared" si="72"/>
        <v>3510</v>
      </c>
      <c r="W930" s="28"/>
      <c r="X930" s="31">
        <v>42321</v>
      </c>
      <c r="Y930" s="33">
        <v>3869</v>
      </c>
      <c r="Z930" s="189">
        <f t="shared" si="73"/>
        <v>3869</v>
      </c>
      <c r="AA930" s="190"/>
      <c r="AB930" s="31">
        <v>42357</v>
      </c>
      <c r="AC930" s="36">
        <v>3510</v>
      </c>
      <c r="AD930" s="8"/>
      <c r="AE930" s="6"/>
      <c r="AF930" s="52">
        <f t="shared" si="70"/>
        <v>148515120</v>
      </c>
      <c r="AG930" s="25">
        <f t="shared" si="71"/>
        <v>163739949</v>
      </c>
      <c r="AH930" s="52">
        <f t="shared" si="74"/>
        <v>148673070</v>
      </c>
      <c r="AI930" s="6"/>
      <c r="AJ930" s="6"/>
      <c r="AK930" s="6"/>
      <c r="AL930" s="6"/>
      <c r="AM930" s="6"/>
      <c r="AN930" s="6"/>
      <c r="AO930" s="6"/>
      <c r="AP930" s="6"/>
      <c r="AQ930" s="6"/>
      <c r="AR930" s="6"/>
    </row>
    <row r="931" spans="1:44">
      <c r="A931" s="6"/>
      <c r="B931" s="6"/>
      <c r="C931" s="6"/>
      <c r="D931" s="6"/>
      <c r="E931" s="6"/>
      <c r="F931" s="6"/>
      <c r="G931" s="11"/>
      <c r="H931" s="6"/>
      <c r="I931" s="6"/>
      <c r="J931" s="6"/>
      <c r="K931" s="7"/>
      <c r="L931" s="21" t="str">
        <f>микс!$H$11</f>
        <v>продажа под заказ</v>
      </c>
      <c r="M931" s="22"/>
      <c r="N931" s="22"/>
      <c r="O931" s="22" t="s">
        <v>138</v>
      </c>
      <c r="P931" s="23" t="str">
        <f>микс!$H$49</f>
        <v>Товары для детей</v>
      </c>
      <c r="Q931" s="21" t="s">
        <v>106</v>
      </c>
      <c r="R931" s="25">
        <v>1</v>
      </c>
      <c r="S931" s="28"/>
      <c r="T931" s="31">
        <v>42314</v>
      </c>
      <c r="U931" s="33">
        <v>3510</v>
      </c>
      <c r="V931" s="36">
        <f t="shared" si="72"/>
        <v>3510</v>
      </c>
      <c r="W931" s="28"/>
      <c r="X931" s="31">
        <v>42316</v>
      </c>
      <c r="Y931" s="33">
        <v>3990</v>
      </c>
      <c r="Z931" s="189">
        <f t="shared" si="73"/>
        <v>3990</v>
      </c>
      <c r="AA931" s="190"/>
      <c r="AB931" s="31"/>
      <c r="AC931" s="36"/>
      <c r="AD931" s="8"/>
      <c r="AE931" s="6"/>
      <c r="AF931" s="52">
        <f t="shared" si="70"/>
        <v>148522140</v>
      </c>
      <c r="AG931" s="25">
        <f t="shared" si="71"/>
        <v>168840840</v>
      </c>
      <c r="AH931" s="52">
        <f t="shared" si="74"/>
        <v>0</v>
      </c>
      <c r="AI931" s="6"/>
      <c r="AJ931" s="6"/>
      <c r="AK931" s="6"/>
      <c r="AL931" s="6"/>
      <c r="AM931" s="6"/>
      <c r="AN931" s="6"/>
      <c r="AO931" s="6"/>
      <c r="AP931" s="6"/>
      <c r="AQ931" s="6"/>
      <c r="AR931" s="6"/>
    </row>
    <row r="932" spans="1:44">
      <c r="A932" s="6"/>
      <c r="B932" s="6"/>
      <c r="C932" s="6"/>
      <c r="D932" s="6"/>
      <c r="E932" s="6"/>
      <c r="F932" s="6"/>
      <c r="G932" s="11"/>
      <c r="H932" s="6"/>
      <c r="I932" s="6"/>
      <c r="J932" s="6"/>
      <c r="K932" s="7"/>
      <c r="L932" s="21" t="str">
        <f>микс!$H$11</f>
        <v>продажа под заказ</v>
      </c>
      <c r="M932" s="22"/>
      <c r="N932" s="22"/>
      <c r="O932" s="22" t="s">
        <v>138</v>
      </c>
      <c r="P932" s="23" t="str">
        <f>микс!$H$49</f>
        <v>Товары для детей</v>
      </c>
      <c r="Q932" s="21" t="s">
        <v>106</v>
      </c>
      <c r="R932" s="25">
        <v>1</v>
      </c>
      <c r="S932" s="28"/>
      <c r="T932" s="31">
        <v>42314</v>
      </c>
      <c r="U932" s="33">
        <v>3510</v>
      </c>
      <c r="V932" s="36">
        <f t="shared" si="72"/>
        <v>3510</v>
      </c>
      <c r="W932" s="28"/>
      <c r="X932" s="31">
        <v>42316</v>
      </c>
      <c r="Y932" s="33">
        <v>3990</v>
      </c>
      <c r="Z932" s="189">
        <f t="shared" si="73"/>
        <v>3990</v>
      </c>
      <c r="AA932" s="190"/>
      <c r="AB932" s="31">
        <v>42329</v>
      </c>
      <c r="AC932" s="36">
        <v>3510</v>
      </c>
      <c r="AD932" s="8"/>
      <c r="AE932" s="6"/>
      <c r="AF932" s="52">
        <f t="shared" si="70"/>
        <v>148522140</v>
      </c>
      <c r="AG932" s="25">
        <f t="shared" si="71"/>
        <v>168840840</v>
      </c>
      <c r="AH932" s="52">
        <f t="shared" si="74"/>
        <v>148574790</v>
      </c>
      <c r="AI932" s="6"/>
      <c r="AJ932" s="6"/>
      <c r="AK932" s="6"/>
      <c r="AL932" s="6"/>
      <c r="AM932" s="6"/>
      <c r="AN932" s="6"/>
      <c r="AO932" s="6"/>
      <c r="AP932" s="6"/>
      <c r="AQ932" s="6"/>
      <c r="AR932" s="6"/>
    </row>
    <row r="933" spans="1:44">
      <c r="A933" s="6"/>
      <c r="B933" s="6"/>
      <c r="C933" s="6"/>
      <c r="D933" s="6"/>
      <c r="E933" s="6"/>
      <c r="F933" s="6"/>
      <c r="G933" s="11"/>
      <c r="H933" s="6"/>
      <c r="I933" s="6"/>
      <c r="J933" s="6"/>
      <c r="K933" s="7"/>
      <c r="L933" s="21" t="str">
        <f>микс!$H$11</f>
        <v>продажа под заказ</v>
      </c>
      <c r="M933" s="22"/>
      <c r="N933" s="22"/>
      <c r="O933" s="22" t="s">
        <v>144</v>
      </c>
      <c r="P933" s="23" t="str">
        <f>микс!$H$48</f>
        <v>Спортивный инвентарь</v>
      </c>
      <c r="Q933" s="21" t="s">
        <v>116</v>
      </c>
      <c r="R933" s="25">
        <v>1</v>
      </c>
      <c r="S933" s="28"/>
      <c r="T933" s="31">
        <v>42338</v>
      </c>
      <c r="U933" s="33">
        <v>1666.08</v>
      </c>
      <c r="V933" s="36">
        <f t="shared" si="72"/>
        <v>1666.08</v>
      </c>
      <c r="W933" s="28"/>
      <c r="X933" s="31">
        <v>42342</v>
      </c>
      <c r="Y933" s="33">
        <v>1789</v>
      </c>
      <c r="Z933" s="189">
        <f t="shared" si="73"/>
        <v>1789</v>
      </c>
      <c r="AA933" s="190"/>
      <c r="AB933" s="31">
        <v>42360</v>
      </c>
      <c r="AC933" s="36">
        <v>1666.08</v>
      </c>
      <c r="AD933" s="8"/>
      <c r="AE933" s="6"/>
      <c r="AF933" s="52">
        <f t="shared" si="70"/>
        <v>70538495.039999992</v>
      </c>
      <c r="AG933" s="25">
        <f t="shared" si="71"/>
        <v>75749838</v>
      </c>
      <c r="AH933" s="52">
        <f t="shared" si="74"/>
        <v>70575148.799999997</v>
      </c>
      <c r="AI933" s="6"/>
      <c r="AJ933" s="6"/>
      <c r="AK933" s="6"/>
      <c r="AL933" s="6"/>
      <c r="AM933" s="6"/>
      <c r="AN933" s="6"/>
      <c r="AO933" s="6"/>
      <c r="AP933" s="6"/>
      <c r="AQ933" s="6"/>
      <c r="AR933" s="6"/>
    </row>
    <row r="934" spans="1:44">
      <c r="A934" s="6"/>
      <c r="B934" s="6"/>
      <c r="C934" s="6"/>
      <c r="D934" s="6"/>
      <c r="E934" s="6"/>
      <c r="F934" s="6"/>
      <c r="G934" s="11"/>
      <c r="H934" s="6"/>
      <c r="I934" s="6"/>
      <c r="J934" s="6"/>
      <c r="K934" s="7"/>
      <c r="L934" s="21" t="str">
        <f>микс!$H$11</f>
        <v>продажа под заказ</v>
      </c>
      <c r="M934" s="22"/>
      <c r="N934" s="22"/>
      <c r="O934" s="22" t="s">
        <v>144</v>
      </c>
      <c r="P934" s="23" t="str">
        <f>микс!$H$48</f>
        <v>Спортивный инвентарь</v>
      </c>
      <c r="Q934" s="21" t="s">
        <v>116</v>
      </c>
      <c r="R934" s="25">
        <v>1</v>
      </c>
      <c r="S934" s="28"/>
      <c r="T934" s="31">
        <v>42336</v>
      </c>
      <c r="U934" s="33">
        <v>1666.08</v>
      </c>
      <c r="V934" s="36">
        <f t="shared" si="72"/>
        <v>1666.08</v>
      </c>
      <c r="W934" s="28"/>
      <c r="X934" s="31">
        <v>42344</v>
      </c>
      <c r="Y934" s="33">
        <v>1789</v>
      </c>
      <c r="Z934" s="189">
        <f t="shared" si="73"/>
        <v>1789</v>
      </c>
      <c r="AA934" s="190"/>
      <c r="AB934" s="31"/>
      <c r="AC934" s="36"/>
      <c r="AD934" s="8"/>
      <c r="AE934" s="6"/>
      <c r="AF934" s="52">
        <f t="shared" si="70"/>
        <v>70535162.879999995</v>
      </c>
      <c r="AG934" s="25">
        <f t="shared" si="71"/>
        <v>75753416</v>
      </c>
      <c r="AH934" s="52">
        <f t="shared" si="74"/>
        <v>0</v>
      </c>
      <c r="AI934" s="6"/>
      <c r="AJ934" s="6"/>
      <c r="AK934" s="6"/>
      <c r="AL934" s="6"/>
      <c r="AM934" s="6"/>
      <c r="AN934" s="6"/>
      <c r="AO934" s="6"/>
      <c r="AP934" s="6"/>
      <c r="AQ934" s="6"/>
      <c r="AR934" s="6"/>
    </row>
    <row r="935" spans="1:44">
      <c r="A935" s="6"/>
      <c r="B935" s="6"/>
      <c r="C935" s="6"/>
      <c r="D935" s="6"/>
      <c r="E935" s="6"/>
      <c r="F935" s="6"/>
      <c r="G935" s="11"/>
      <c r="H935" s="6"/>
      <c r="I935" s="6"/>
      <c r="J935" s="6"/>
      <c r="K935" s="7"/>
      <c r="L935" s="21" t="str">
        <f>микс!$H$11</f>
        <v>продажа под заказ</v>
      </c>
      <c r="M935" s="22"/>
      <c r="N935" s="22"/>
      <c r="O935" s="22" t="s">
        <v>144</v>
      </c>
      <c r="P935" s="23" t="str">
        <f>микс!$H$48</f>
        <v>Спортивный инвентарь</v>
      </c>
      <c r="Q935" s="21" t="s">
        <v>116</v>
      </c>
      <c r="R935" s="25">
        <v>1</v>
      </c>
      <c r="S935" s="28"/>
      <c r="T935" s="31">
        <v>42338</v>
      </c>
      <c r="U935" s="33">
        <v>1666.08</v>
      </c>
      <c r="V935" s="36">
        <f t="shared" si="72"/>
        <v>1666.08</v>
      </c>
      <c r="W935" s="28"/>
      <c r="X935" s="31">
        <v>42346</v>
      </c>
      <c r="Y935" s="33">
        <v>1789</v>
      </c>
      <c r="Z935" s="189">
        <f t="shared" si="73"/>
        <v>1789</v>
      </c>
      <c r="AA935" s="190"/>
      <c r="AB935" s="31">
        <v>42343</v>
      </c>
      <c r="AC935" s="36">
        <v>1666.08</v>
      </c>
      <c r="AD935" s="8"/>
      <c r="AE935" s="6"/>
      <c r="AF935" s="52">
        <f t="shared" si="70"/>
        <v>70538495.039999992</v>
      </c>
      <c r="AG935" s="25">
        <f t="shared" si="71"/>
        <v>75756994</v>
      </c>
      <c r="AH935" s="52">
        <f t="shared" si="74"/>
        <v>70546825.439999998</v>
      </c>
      <c r="AI935" s="6"/>
      <c r="AJ935" s="6"/>
      <c r="AK935" s="6"/>
      <c r="AL935" s="6"/>
      <c r="AM935" s="6"/>
      <c r="AN935" s="6"/>
      <c r="AO935" s="6"/>
      <c r="AP935" s="6"/>
      <c r="AQ935" s="6"/>
      <c r="AR935" s="6"/>
    </row>
    <row r="936" spans="1:44">
      <c r="A936" s="6"/>
      <c r="B936" s="6"/>
      <c r="C936" s="6"/>
      <c r="D936" s="6"/>
      <c r="E936" s="6"/>
      <c r="F936" s="6"/>
      <c r="G936" s="11"/>
      <c r="H936" s="6"/>
      <c r="I936" s="6"/>
      <c r="J936" s="6"/>
      <c r="K936" s="7"/>
      <c r="L936" s="21" t="str">
        <f>микс!$H$11</f>
        <v>продажа под заказ</v>
      </c>
      <c r="M936" s="22"/>
      <c r="N936" s="22"/>
      <c r="O936" s="22" t="s">
        <v>144</v>
      </c>
      <c r="P936" s="23" t="str">
        <f>микс!$H$48</f>
        <v>Спортивный инвентарь</v>
      </c>
      <c r="Q936" s="21" t="s">
        <v>116</v>
      </c>
      <c r="R936" s="25">
        <v>1</v>
      </c>
      <c r="S936" s="28"/>
      <c r="T936" s="31">
        <v>42338</v>
      </c>
      <c r="U936" s="33">
        <v>1666.08</v>
      </c>
      <c r="V936" s="36">
        <f t="shared" si="72"/>
        <v>1666.08</v>
      </c>
      <c r="W936" s="28"/>
      <c r="X936" s="31">
        <v>42342</v>
      </c>
      <c r="Y936" s="33">
        <v>1789</v>
      </c>
      <c r="Z936" s="189">
        <f t="shared" si="73"/>
        <v>1789</v>
      </c>
      <c r="AA936" s="190"/>
      <c r="AB936" s="31"/>
      <c r="AC936" s="36"/>
      <c r="AD936" s="8"/>
      <c r="AE936" s="6"/>
      <c r="AF936" s="52">
        <f t="shared" si="70"/>
        <v>70538495.039999992</v>
      </c>
      <c r="AG936" s="25">
        <f t="shared" si="71"/>
        <v>75749838</v>
      </c>
      <c r="AH936" s="52">
        <f t="shared" si="74"/>
        <v>0</v>
      </c>
      <c r="AI936" s="6"/>
      <c r="AJ936" s="6"/>
      <c r="AK936" s="6"/>
      <c r="AL936" s="6"/>
      <c r="AM936" s="6"/>
      <c r="AN936" s="6"/>
      <c r="AO936" s="6"/>
      <c r="AP936" s="6"/>
      <c r="AQ936" s="6"/>
      <c r="AR936" s="6"/>
    </row>
    <row r="937" spans="1:44">
      <c r="A937" s="6"/>
      <c r="B937" s="6"/>
      <c r="C937" s="6"/>
      <c r="D937" s="6"/>
      <c r="E937" s="6"/>
      <c r="F937" s="6"/>
      <c r="G937" s="11"/>
      <c r="H937" s="6"/>
      <c r="I937" s="6"/>
      <c r="J937" s="6"/>
      <c r="K937" s="7"/>
      <c r="L937" s="21" t="str">
        <f>микс!$H$11</f>
        <v>продажа под заказ</v>
      </c>
      <c r="M937" s="22"/>
      <c r="N937" s="22"/>
      <c r="O937" s="22" t="s">
        <v>144</v>
      </c>
      <c r="P937" s="23" t="str">
        <f>микс!$H$48</f>
        <v>Спортивный инвентарь</v>
      </c>
      <c r="Q937" s="21" t="s">
        <v>116</v>
      </c>
      <c r="R937" s="25">
        <v>1</v>
      </c>
      <c r="S937" s="28"/>
      <c r="T937" s="31">
        <v>42338</v>
      </c>
      <c r="U937" s="33">
        <v>1666.08</v>
      </c>
      <c r="V937" s="36">
        <f t="shared" si="72"/>
        <v>1666.08</v>
      </c>
      <c r="W937" s="28"/>
      <c r="X937" s="31">
        <v>42342</v>
      </c>
      <c r="Y937" s="33">
        <v>1789</v>
      </c>
      <c r="Z937" s="189">
        <f t="shared" si="73"/>
        <v>1789</v>
      </c>
      <c r="AA937" s="190"/>
      <c r="AB937" s="31"/>
      <c r="AC937" s="36"/>
      <c r="AD937" s="8"/>
      <c r="AE937" s="6"/>
      <c r="AF937" s="52">
        <f t="shared" si="70"/>
        <v>70538495.039999992</v>
      </c>
      <c r="AG937" s="25">
        <f t="shared" si="71"/>
        <v>75749838</v>
      </c>
      <c r="AH937" s="52">
        <f t="shared" si="74"/>
        <v>0</v>
      </c>
      <c r="AI937" s="6"/>
      <c r="AJ937" s="6"/>
      <c r="AK937" s="6"/>
      <c r="AL937" s="6"/>
      <c r="AM937" s="6"/>
      <c r="AN937" s="6"/>
      <c r="AO937" s="6"/>
      <c r="AP937" s="6"/>
      <c r="AQ937" s="6"/>
      <c r="AR937" s="6"/>
    </row>
    <row r="938" spans="1:44">
      <c r="A938" s="6"/>
      <c r="B938" s="6"/>
      <c r="C938" s="6"/>
      <c r="D938" s="6"/>
      <c r="E938" s="6"/>
      <c r="F938" s="6"/>
      <c r="G938" s="11"/>
      <c r="H938" s="6"/>
      <c r="I938" s="6"/>
      <c r="J938" s="6"/>
      <c r="K938" s="7"/>
      <c r="L938" s="21" t="str">
        <f>микс!$H$11</f>
        <v>продажа под заказ</v>
      </c>
      <c r="M938" s="22"/>
      <c r="N938" s="22"/>
      <c r="O938" s="22" t="s">
        <v>144</v>
      </c>
      <c r="P938" s="23" t="str">
        <f>микс!$H$48</f>
        <v>Спортивный инвентарь</v>
      </c>
      <c r="Q938" s="21" t="s">
        <v>116</v>
      </c>
      <c r="R938" s="25">
        <v>1</v>
      </c>
      <c r="S938" s="28"/>
      <c r="T938" s="31">
        <v>42335</v>
      </c>
      <c r="U938" s="33">
        <v>1666.08</v>
      </c>
      <c r="V938" s="36">
        <f t="shared" si="72"/>
        <v>1666.08</v>
      </c>
      <c r="W938" s="28"/>
      <c r="X938" s="31">
        <v>42341</v>
      </c>
      <c r="Y938" s="33">
        <v>1789</v>
      </c>
      <c r="Z938" s="189">
        <f t="shared" si="73"/>
        <v>1789</v>
      </c>
      <c r="AA938" s="190"/>
      <c r="AB938" s="31">
        <v>42350</v>
      </c>
      <c r="AC938" s="36">
        <v>1666.08</v>
      </c>
      <c r="AD938" s="8"/>
      <c r="AE938" s="6"/>
      <c r="AF938" s="52">
        <f t="shared" si="70"/>
        <v>70533496.799999997</v>
      </c>
      <c r="AG938" s="25">
        <f t="shared" si="71"/>
        <v>75748049</v>
      </c>
      <c r="AH938" s="52">
        <f t="shared" si="74"/>
        <v>70558488</v>
      </c>
      <c r="AI938" s="6"/>
      <c r="AJ938" s="6"/>
      <c r="AK938" s="6"/>
      <c r="AL938" s="6"/>
      <c r="AM938" s="6"/>
      <c r="AN938" s="6"/>
      <c r="AO938" s="6"/>
      <c r="AP938" s="6"/>
      <c r="AQ938" s="6"/>
      <c r="AR938" s="6"/>
    </row>
    <row r="939" spans="1:44">
      <c r="A939" s="6"/>
      <c r="B939" s="6"/>
      <c r="C939" s="6"/>
      <c r="D939" s="6"/>
      <c r="E939" s="6"/>
      <c r="F939" s="6"/>
      <c r="G939" s="11"/>
      <c r="H939" s="6"/>
      <c r="I939" s="6"/>
      <c r="J939" s="6"/>
      <c r="K939" s="7"/>
      <c r="L939" s="21" t="str">
        <f>микс!$H$11</f>
        <v>продажа под заказ</v>
      </c>
      <c r="M939" s="22"/>
      <c r="N939" s="22"/>
      <c r="O939" s="22" t="s">
        <v>144</v>
      </c>
      <c r="P939" s="23" t="str">
        <f>микс!$H$48</f>
        <v>Спортивный инвентарь</v>
      </c>
      <c r="Q939" s="21" t="s">
        <v>116</v>
      </c>
      <c r="R939" s="25">
        <v>1</v>
      </c>
      <c r="S939" s="28"/>
      <c r="T939" s="31">
        <v>42337</v>
      </c>
      <c r="U939" s="33">
        <v>1666.08</v>
      </c>
      <c r="V939" s="36">
        <f t="shared" si="72"/>
        <v>1666.08</v>
      </c>
      <c r="W939" s="28"/>
      <c r="X939" s="31">
        <v>42342</v>
      </c>
      <c r="Y939" s="33">
        <v>1789</v>
      </c>
      <c r="Z939" s="189">
        <f t="shared" si="73"/>
        <v>1789</v>
      </c>
      <c r="AA939" s="190"/>
      <c r="AB939" s="31"/>
      <c r="AC939" s="36"/>
      <c r="AD939" s="8"/>
      <c r="AE939" s="6"/>
      <c r="AF939" s="52">
        <f t="shared" si="70"/>
        <v>70536828.959999993</v>
      </c>
      <c r="AG939" s="25">
        <f t="shared" si="71"/>
        <v>75749838</v>
      </c>
      <c r="AH939" s="52">
        <f t="shared" si="74"/>
        <v>0</v>
      </c>
      <c r="AI939" s="6"/>
      <c r="AJ939" s="6"/>
      <c r="AK939" s="6"/>
      <c r="AL939" s="6"/>
      <c r="AM939" s="6"/>
      <c r="AN939" s="6"/>
      <c r="AO939" s="6"/>
      <c r="AP939" s="6"/>
      <c r="AQ939" s="6"/>
      <c r="AR939" s="6"/>
    </row>
    <row r="940" spans="1:44">
      <c r="A940" s="6"/>
      <c r="B940" s="6"/>
      <c r="C940" s="6"/>
      <c r="D940" s="6"/>
      <c r="E940" s="6"/>
      <c r="F940" s="6"/>
      <c r="G940" s="11"/>
      <c r="H940" s="6"/>
      <c r="I940" s="6"/>
      <c r="J940" s="6"/>
      <c r="K940" s="7"/>
      <c r="L940" s="21" t="str">
        <f>микс!$H$10</f>
        <v>продажа со склада</v>
      </c>
      <c r="M940" s="22"/>
      <c r="N940" s="22"/>
      <c r="O940" s="22" t="s">
        <v>144</v>
      </c>
      <c r="P940" s="23" t="str">
        <f>микс!$H$48</f>
        <v>Спортивный инвентарь</v>
      </c>
      <c r="Q940" s="21" t="s">
        <v>121</v>
      </c>
      <c r="R940" s="25">
        <v>1</v>
      </c>
      <c r="S940" s="28"/>
      <c r="T940" s="31">
        <v>42232</v>
      </c>
      <c r="U940" s="33">
        <v>4307.37</v>
      </c>
      <c r="V940" s="36">
        <f t="shared" si="72"/>
        <v>4307.37</v>
      </c>
      <c r="W940" s="28"/>
      <c r="X940" s="31">
        <v>42304</v>
      </c>
      <c r="Y940" s="33">
        <v>4910</v>
      </c>
      <c r="Z940" s="189">
        <f t="shared" si="73"/>
        <v>4910</v>
      </c>
      <c r="AA940" s="190"/>
      <c r="AB940" s="31">
        <v>42252</v>
      </c>
      <c r="AC940" s="36">
        <v>4307.37</v>
      </c>
      <c r="AD940" s="8"/>
      <c r="AE940" s="6"/>
      <c r="AF940" s="52">
        <f t="shared" si="70"/>
        <v>181908849.84</v>
      </c>
      <c r="AG940" s="25">
        <f t="shared" si="71"/>
        <v>207712640</v>
      </c>
      <c r="AH940" s="52">
        <f t="shared" si="74"/>
        <v>181994997.24000001</v>
      </c>
      <c r="AI940" s="6"/>
      <c r="AJ940" s="6"/>
      <c r="AK940" s="6"/>
      <c r="AL940" s="6"/>
      <c r="AM940" s="6"/>
      <c r="AN940" s="6"/>
      <c r="AO940" s="6"/>
      <c r="AP940" s="6"/>
      <c r="AQ940" s="6"/>
      <c r="AR940" s="6"/>
    </row>
    <row r="941" spans="1:44">
      <c r="A941" s="6"/>
      <c r="B941" s="6"/>
      <c r="C941" s="6"/>
      <c r="D941" s="6"/>
      <c r="E941" s="6"/>
      <c r="F941" s="6"/>
      <c r="G941" s="11"/>
      <c r="H941" s="6"/>
      <c r="I941" s="6"/>
      <c r="J941" s="6"/>
      <c r="K941" s="7"/>
      <c r="L941" s="21" t="str">
        <f>микс!$H$10</f>
        <v>продажа со склада</v>
      </c>
      <c r="M941" s="22"/>
      <c r="N941" s="22"/>
      <c r="O941" s="22" t="s">
        <v>144</v>
      </c>
      <c r="P941" s="23" t="str">
        <f>микс!$H$48</f>
        <v>Спортивный инвентарь</v>
      </c>
      <c r="Q941" s="21" t="s">
        <v>121</v>
      </c>
      <c r="R941" s="25">
        <v>1</v>
      </c>
      <c r="S941" s="28"/>
      <c r="T941" s="31">
        <v>42228</v>
      </c>
      <c r="U941" s="33">
        <v>4307.37</v>
      </c>
      <c r="V941" s="36">
        <f t="shared" si="72"/>
        <v>4307.37</v>
      </c>
      <c r="W941" s="28"/>
      <c r="X941" s="31">
        <v>42299</v>
      </c>
      <c r="Y941" s="33">
        <v>5060</v>
      </c>
      <c r="Z941" s="189">
        <f t="shared" si="73"/>
        <v>5060</v>
      </c>
      <c r="AA941" s="190"/>
      <c r="AB941" s="31">
        <v>42258</v>
      </c>
      <c r="AC941" s="36">
        <v>4307.37</v>
      </c>
      <c r="AD941" s="8"/>
      <c r="AE941" s="6"/>
      <c r="AF941" s="52">
        <f t="shared" si="70"/>
        <v>181891620.35999998</v>
      </c>
      <c r="AG941" s="25">
        <f t="shared" si="71"/>
        <v>214032940</v>
      </c>
      <c r="AH941" s="52">
        <f t="shared" si="74"/>
        <v>182020841.46000001</v>
      </c>
      <c r="AI941" s="6"/>
      <c r="AJ941" s="6"/>
      <c r="AK941" s="6"/>
      <c r="AL941" s="6"/>
      <c r="AM941" s="6"/>
      <c r="AN941" s="6"/>
      <c r="AO941" s="6"/>
      <c r="AP941" s="6"/>
      <c r="AQ941" s="6"/>
      <c r="AR941" s="6"/>
    </row>
    <row r="942" spans="1:44">
      <c r="A942" s="6"/>
      <c r="B942" s="6"/>
      <c r="C942" s="6"/>
      <c r="D942" s="6"/>
      <c r="E942" s="6"/>
      <c r="F942" s="6"/>
      <c r="G942" s="11"/>
      <c r="H942" s="6"/>
      <c r="I942" s="6"/>
      <c r="J942" s="6"/>
      <c r="K942" s="7"/>
      <c r="L942" s="21" t="str">
        <f>микс!$H$10</f>
        <v>продажа со склада</v>
      </c>
      <c r="M942" s="22"/>
      <c r="N942" s="22"/>
      <c r="O942" s="22" t="s">
        <v>144</v>
      </c>
      <c r="P942" s="23" t="str">
        <f>микс!$H$48</f>
        <v>Спортивный инвентарь</v>
      </c>
      <c r="Q942" s="21" t="s">
        <v>121</v>
      </c>
      <c r="R942" s="25">
        <v>1</v>
      </c>
      <c r="S942" s="28"/>
      <c r="T942" s="31">
        <v>42236</v>
      </c>
      <c r="U942" s="33">
        <v>4307.37</v>
      </c>
      <c r="V942" s="36">
        <f t="shared" si="72"/>
        <v>4307.37</v>
      </c>
      <c r="W942" s="28"/>
      <c r="X942" s="31">
        <v>42308</v>
      </c>
      <c r="Y942" s="33">
        <v>4910</v>
      </c>
      <c r="Z942" s="189">
        <f t="shared" si="73"/>
        <v>4910</v>
      </c>
      <c r="AA942" s="190"/>
      <c r="AB942" s="31"/>
      <c r="AC942" s="36"/>
      <c r="AD942" s="8"/>
      <c r="AE942" s="6"/>
      <c r="AF942" s="52">
        <f t="shared" si="70"/>
        <v>181926079.31999999</v>
      </c>
      <c r="AG942" s="25">
        <f t="shared" si="71"/>
        <v>207732280</v>
      </c>
      <c r="AH942" s="52">
        <f t="shared" si="74"/>
        <v>0</v>
      </c>
      <c r="AI942" s="6"/>
      <c r="AJ942" s="6"/>
      <c r="AK942" s="6"/>
      <c r="AL942" s="6"/>
      <c r="AM942" s="6"/>
      <c r="AN942" s="6"/>
      <c r="AO942" s="6"/>
      <c r="AP942" s="6"/>
      <c r="AQ942" s="6"/>
      <c r="AR942" s="6"/>
    </row>
    <row r="943" spans="1:44">
      <c r="A943" s="6"/>
      <c r="B943" s="6"/>
      <c r="C943" s="6"/>
      <c r="D943" s="6"/>
      <c r="E943" s="6"/>
      <c r="F943" s="6"/>
      <c r="G943" s="11"/>
      <c r="H943" s="6"/>
      <c r="I943" s="6"/>
      <c r="J943" s="6"/>
      <c r="K943" s="7"/>
      <c r="L943" s="21" t="str">
        <f>микс!$H$10</f>
        <v>продажа со склада</v>
      </c>
      <c r="M943" s="22"/>
      <c r="N943" s="22"/>
      <c r="O943" s="22" t="s">
        <v>144</v>
      </c>
      <c r="P943" s="23" t="str">
        <f>микс!$H$48</f>
        <v>Спортивный инвентарь</v>
      </c>
      <c r="Q943" s="21" t="s">
        <v>121</v>
      </c>
      <c r="R943" s="25">
        <v>1</v>
      </c>
      <c r="S943" s="28"/>
      <c r="T943" s="31">
        <v>42234</v>
      </c>
      <c r="U943" s="33">
        <v>4307.37</v>
      </c>
      <c r="V943" s="36">
        <f t="shared" si="72"/>
        <v>4307.37</v>
      </c>
      <c r="W943" s="28"/>
      <c r="X943" s="31">
        <v>42306</v>
      </c>
      <c r="Y943" s="33">
        <v>4910</v>
      </c>
      <c r="Z943" s="189">
        <f t="shared" si="73"/>
        <v>4910</v>
      </c>
      <c r="AA943" s="190"/>
      <c r="AB943" s="31"/>
      <c r="AC943" s="36"/>
      <c r="AD943" s="8"/>
      <c r="AE943" s="6"/>
      <c r="AF943" s="52">
        <f t="shared" si="70"/>
        <v>181917464.57999998</v>
      </c>
      <c r="AG943" s="25">
        <f t="shared" si="71"/>
        <v>207722460</v>
      </c>
      <c r="AH943" s="52">
        <f t="shared" si="74"/>
        <v>0</v>
      </c>
      <c r="AI943" s="6"/>
      <c r="AJ943" s="6"/>
      <c r="AK943" s="6"/>
      <c r="AL943" s="6"/>
      <c r="AM943" s="6"/>
      <c r="AN943" s="6"/>
      <c r="AO943" s="6"/>
      <c r="AP943" s="6"/>
      <c r="AQ943" s="6"/>
      <c r="AR943" s="6"/>
    </row>
    <row r="944" spans="1:44">
      <c r="A944" s="6"/>
      <c r="B944" s="6"/>
      <c r="C944" s="6"/>
      <c r="D944" s="6"/>
      <c r="E944" s="6"/>
      <c r="F944" s="6"/>
      <c r="G944" s="11"/>
      <c r="H944" s="6"/>
      <c r="I944" s="6"/>
      <c r="J944" s="6"/>
      <c r="K944" s="7"/>
      <c r="L944" s="21" t="str">
        <f>микс!$H$10</f>
        <v>продажа со склада</v>
      </c>
      <c r="M944" s="22"/>
      <c r="N944" s="22"/>
      <c r="O944" s="22" t="s">
        <v>144</v>
      </c>
      <c r="P944" s="23" t="str">
        <f>микс!$H$48</f>
        <v>Спортивный инвентарь</v>
      </c>
      <c r="Q944" s="21" t="s">
        <v>121</v>
      </c>
      <c r="R944" s="25">
        <v>1</v>
      </c>
      <c r="S944" s="28"/>
      <c r="T944" s="31">
        <v>42233</v>
      </c>
      <c r="U944" s="33">
        <v>4307.38</v>
      </c>
      <c r="V944" s="36">
        <f t="shared" si="72"/>
        <v>4307.38</v>
      </c>
      <c r="W944" s="28"/>
      <c r="X944" s="31">
        <v>42309</v>
      </c>
      <c r="Y944" s="33">
        <v>4910</v>
      </c>
      <c r="Z944" s="189">
        <f t="shared" si="73"/>
        <v>4910</v>
      </c>
      <c r="AA944" s="190"/>
      <c r="AB944" s="31">
        <v>42240</v>
      </c>
      <c r="AC944" s="36">
        <v>4307.38</v>
      </c>
      <c r="AD944" s="8"/>
      <c r="AE944" s="6"/>
      <c r="AF944" s="52">
        <f t="shared" si="70"/>
        <v>181913579.53999999</v>
      </c>
      <c r="AG944" s="25">
        <f t="shared" si="71"/>
        <v>207737190</v>
      </c>
      <c r="AH944" s="52">
        <f t="shared" si="74"/>
        <v>181943731.20000002</v>
      </c>
      <c r="AI944" s="6"/>
      <c r="AJ944" s="6"/>
      <c r="AK944" s="6"/>
      <c r="AL944" s="6"/>
      <c r="AM944" s="6"/>
      <c r="AN944" s="6"/>
      <c r="AO944" s="6"/>
      <c r="AP944" s="6"/>
      <c r="AQ944" s="6"/>
      <c r="AR944" s="6"/>
    </row>
    <row r="945" spans="1:44">
      <c r="A945" s="6"/>
      <c r="B945" s="6"/>
      <c r="C945" s="6"/>
      <c r="D945" s="6"/>
      <c r="E945" s="6"/>
      <c r="F945" s="6"/>
      <c r="G945" s="11"/>
      <c r="H945" s="6"/>
      <c r="I945" s="6"/>
      <c r="J945" s="6"/>
      <c r="K945" s="7"/>
      <c r="L945" s="21" t="str">
        <f>микс!$H$10</f>
        <v>продажа со склада</v>
      </c>
      <c r="M945" s="22"/>
      <c r="N945" s="22"/>
      <c r="O945" s="22" t="s">
        <v>144</v>
      </c>
      <c r="P945" s="23" t="str">
        <f>микс!$H$48</f>
        <v>Спортивный инвентарь</v>
      </c>
      <c r="Q945" s="21" t="s">
        <v>121</v>
      </c>
      <c r="R945" s="25">
        <v>1</v>
      </c>
      <c r="S945" s="28"/>
      <c r="T945" s="31">
        <v>42244</v>
      </c>
      <c r="U945" s="33">
        <v>4307.37</v>
      </c>
      <c r="V945" s="36">
        <f t="shared" si="72"/>
        <v>4307.37</v>
      </c>
      <c r="W945" s="28"/>
      <c r="X945" s="31">
        <v>42322</v>
      </c>
      <c r="Y945" s="33">
        <v>5057</v>
      </c>
      <c r="Z945" s="189">
        <f t="shared" si="73"/>
        <v>5057</v>
      </c>
      <c r="AA945" s="190"/>
      <c r="AB945" s="31">
        <v>42266</v>
      </c>
      <c r="AC945" s="36">
        <v>4307.37</v>
      </c>
      <c r="AD945" s="8"/>
      <c r="AE945" s="6"/>
      <c r="AF945" s="52">
        <f t="shared" si="70"/>
        <v>181960538.28</v>
      </c>
      <c r="AG945" s="25">
        <f t="shared" si="71"/>
        <v>214022354</v>
      </c>
      <c r="AH945" s="52">
        <f t="shared" si="74"/>
        <v>182055300.41999999</v>
      </c>
      <c r="AI945" s="6"/>
      <c r="AJ945" s="6"/>
      <c r="AK945" s="6"/>
      <c r="AL945" s="6"/>
      <c r="AM945" s="6"/>
      <c r="AN945" s="6"/>
      <c r="AO945" s="6"/>
      <c r="AP945" s="6"/>
      <c r="AQ945" s="6"/>
      <c r="AR945" s="6"/>
    </row>
    <row r="946" spans="1:44">
      <c r="A946" s="6"/>
      <c r="B946" s="6"/>
      <c r="C946" s="6"/>
      <c r="D946" s="6"/>
      <c r="E946" s="6"/>
      <c r="F946" s="6"/>
      <c r="G946" s="11"/>
      <c r="H946" s="6"/>
      <c r="I946" s="6"/>
      <c r="J946" s="6"/>
      <c r="K946" s="7"/>
      <c r="L946" s="21" t="str">
        <f>микс!$H$10</f>
        <v>продажа со склада</v>
      </c>
      <c r="M946" s="22"/>
      <c r="N946" s="22"/>
      <c r="O946" s="22" t="s">
        <v>144</v>
      </c>
      <c r="P946" s="23" t="str">
        <f>микс!$H$48</f>
        <v>Спортивный инвентарь</v>
      </c>
      <c r="Q946" s="21" t="s">
        <v>121</v>
      </c>
      <c r="R946" s="25">
        <v>1</v>
      </c>
      <c r="S946" s="28"/>
      <c r="T946" s="31">
        <v>42248</v>
      </c>
      <c r="U946" s="33">
        <v>4307.38</v>
      </c>
      <c r="V946" s="36">
        <f t="shared" si="72"/>
        <v>4307.38</v>
      </c>
      <c r="W946" s="28"/>
      <c r="X946" s="31">
        <v>42320</v>
      </c>
      <c r="Y946" s="33">
        <v>4990</v>
      </c>
      <c r="Z946" s="189">
        <f t="shared" si="73"/>
        <v>4990</v>
      </c>
      <c r="AA946" s="190"/>
      <c r="AB946" s="31">
        <v>42280</v>
      </c>
      <c r="AC946" s="36">
        <v>4307.38</v>
      </c>
      <c r="AD946" s="8"/>
      <c r="AE946" s="6"/>
      <c r="AF946" s="52">
        <f t="shared" si="70"/>
        <v>181978190.24000001</v>
      </c>
      <c r="AG946" s="25">
        <f t="shared" si="71"/>
        <v>211176800</v>
      </c>
      <c r="AH946" s="52">
        <f t="shared" si="74"/>
        <v>182116026.40000001</v>
      </c>
      <c r="AI946" s="6"/>
      <c r="AJ946" s="6"/>
      <c r="AK946" s="6"/>
      <c r="AL946" s="6"/>
      <c r="AM946" s="6"/>
      <c r="AN946" s="6"/>
      <c r="AO946" s="6"/>
      <c r="AP946" s="6"/>
      <c r="AQ946" s="6"/>
      <c r="AR946" s="6"/>
    </row>
    <row r="947" spans="1:44">
      <c r="A947" s="6"/>
      <c r="B947" s="6"/>
      <c r="C947" s="6"/>
      <c r="D947" s="6"/>
      <c r="E947" s="6"/>
      <c r="F947" s="6"/>
      <c r="G947" s="11"/>
      <c r="H947" s="6"/>
      <c r="I947" s="6"/>
      <c r="J947" s="6"/>
      <c r="K947" s="7"/>
      <c r="L947" s="21" t="str">
        <f>микс!$H$10</f>
        <v>продажа со склада</v>
      </c>
      <c r="M947" s="22"/>
      <c r="N947" s="22"/>
      <c r="O947" s="22" t="s">
        <v>138</v>
      </c>
      <c r="P947" s="23" t="str">
        <f>микс!$H$49</f>
        <v>Товары для детей</v>
      </c>
      <c r="Q947" s="21" t="s">
        <v>106</v>
      </c>
      <c r="R947" s="25">
        <v>1</v>
      </c>
      <c r="S947" s="28"/>
      <c r="T947" s="31">
        <v>42249</v>
      </c>
      <c r="U947" s="33">
        <v>3510</v>
      </c>
      <c r="V947" s="36">
        <f t="shared" si="72"/>
        <v>3510</v>
      </c>
      <c r="W947" s="28"/>
      <c r="X947" s="31">
        <v>42330</v>
      </c>
      <c r="Y947" s="33">
        <v>4109</v>
      </c>
      <c r="Z947" s="189">
        <f t="shared" si="73"/>
        <v>4109</v>
      </c>
      <c r="AA947" s="190"/>
      <c r="AB947" s="31"/>
      <c r="AC947" s="36"/>
      <c r="AD947" s="8"/>
      <c r="AE947" s="6"/>
      <c r="AF947" s="52">
        <f t="shared" si="70"/>
        <v>148293990</v>
      </c>
      <c r="AG947" s="25">
        <f t="shared" si="71"/>
        <v>173933970</v>
      </c>
      <c r="AH947" s="52">
        <f t="shared" si="74"/>
        <v>0</v>
      </c>
      <c r="AI947" s="6"/>
      <c r="AJ947" s="6"/>
      <c r="AK947" s="6"/>
      <c r="AL947" s="6"/>
      <c r="AM947" s="6"/>
      <c r="AN947" s="6"/>
      <c r="AO947" s="6"/>
      <c r="AP947" s="6"/>
      <c r="AQ947" s="6"/>
      <c r="AR947" s="6"/>
    </row>
    <row r="948" spans="1:44">
      <c r="A948" s="6"/>
      <c r="B948" s="6"/>
      <c r="C948" s="6"/>
      <c r="D948" s="6"/>
      <c r="E948" s="6"/>
      <c r="F948" s="6"/>
      <c r="G948" s="11"/>
      <c r="H948" s="6"/>
      <c r="I948" s="6"/>
      <c r="J948" s="6"/>
      <c r="K948" s="7"/>
      <c r="L948" s="21" t="str">
        <f>микс!$H$10</f>
        <v>продажа со склада</v>
      </c>
      <c r="M948" s="22"/>
      <c r="N948" s="22"/>
      <c r="O948" s="22" t="s">
        <v>138</v>
      </c>
      <c r="P948" s="23" t="str">
        <f>микс!$H$49</f>
        <v>Товары для детей</v>
      </c>
      <c r="Q948" s="21" t="s">
        <v>106</v>
      </c>
      <c r="R948" s="25">
        <v>1</v>
      </c>
      <c r="S948" s="28"/>
      <c r="T948" s="31">
        <v>42229</v>
      </c>
      <c r="U948" s="33">
        <v>3510</v>
      </c>
      <c r="V948" s="36">
        <f t="shared" si="72"/>
        <v>3510</v>
      </c>
      <c r="W948" s="28"/>
      <c r="X948" s="31">
        <v>42300</v>
      </c>
      <c r="Y948" s="33">
        <v>3990</v>
      </c>
      <c r="Z948" s="189">
        <f t="shared" si="73"/>
        <v>3990</v>
      </c>
      <c r="AA948" s="190"/>
      <c r="AB948" s="31">
        <v>42267</v>
      </c>
      <c r="AC948" s="36">
        <v>3510</v>
      </c>
      <c r="AD948" s="8"/>
      <c r="AE948" s="6"/>
      <c r="AF948" s="52">
        <f t="shared" si="70"/>
        <v>148223790</v>
      </c>
      <c r="AG948" s="25">
        <f t="shared" si="71"/>
        <v>168777000</v>
      </c>
      <c r="AH948" s="52">
        <f t="shared" si="74"/>
        <v>148357170</v>
      </c>
      <c r="AI948" s="6"/>
      <c r="AJ948" s="6"/>
      <c r="AK948" s="6"/>
      <c r="AL948" s="6"/>
      <c r="AM948" s="6"/>
      <c r="AN948" s="6"/>
      <c r="AO948" s="6"/>
      <c r="AP948" s="6"/>
      <c r="AQ948" s="6"/>
      <c r="AR948" s="6"/>
    </row>
    <row r="949" spans="1:44">
      <c r="A949" s="6"/>
      <c r="B949" s="6"/>
      <c r="C949" s="6"/>
      <c r="D949" s="6"/>
      <c r="E949" s="6"/>
      <c r="F949" s="6"/>
      <c r="G949" s="11"/>
      <c r="H949" s="6"/>
      <c r="I949" s="6"/>
      <c r="J949" s="6"/>
      <c r="K949" s="7"/>
      <c r="L949" s="21" t="str">
        <f>микс!$H$10</f>
        <v>продажа со склада</v>
      </c>
      <c r="M949" s="22"/>
      <c r="N949" s="22"/>
      <c r="O949" s="22" t="s">
        <v>138</v>
      </c>
      <c r="P949" s="23" t="str">
        <f>микс!$H$49</f>
        <v>Товары для детей</v>
      </c>
      <c r="Q949" s="21" t="s">
        <v>106</v>
      </c>
      <c r="R949" s="25">
        <v>1</v>
      </c>
      <c r="S949" s="28"/>
      <c r="T949" s="31">
        <v>42233</v>
      </c>
      <c r="U949" s="33">
        <v>3509.99</v>
      </c>
      <c r="V949" s="36">
        <f t="shared" si="72"/>
        <v>3509.99</v>
      </c>
      <c r="W949" s="28"/>
      <c r="X949" s="31">
        <v>42304</v>
      </c>
      <c r="Y949" s="33">
        <v>3990</v>
      </c>
      <c r="Z949" s="189">
        <f t="shared" si="73"/>
        <v>3990</v>
      </c>
      <c r="AA949" s="190"/>
      <c r="AB949" s="31">
        <v>42245</v>
      </c>
      <c r="AC949" s="36">
        <v>3509.99</v>
      </c>
      <c r="AD949" s="8"/>
      <c r="AE949" s="6"/>
      <c r="AF949" s="52">
        <f t="shared" si="70"/>
        <v>148237407.66999999</v>
      </c>
      <c r="AG949" s="25">
        <f t="shared" si="71"/>
        <v>168792960</v>
      </c>
      <c r="AH949" s="52">
        <f t="shared" si="74"/>
        <v>148279527.54999998</v>
      </c>
      <c r="AI949" s="6"/>
      <c r="AJ949" s="6"/>
      <c r="AK949" s="6"/>
      <c r="AL949" s="6"/>
      <c r="AM949" s="6"/>
      <c r="AN949" s="6"/>
      <c r="AO949" s="6"/>
      <c r="AP949" s="6"/>
      <c r="AQ949" s="6"/>
      <c r="AR949" s="6"/>
    </row>
    <row r="950" spans="1:44">
      <c r="A950" s="6"/>
      <c r="B950" s="6"/>
      <c r="C950" s="6"/>
      <c r="D950" s="6"/>
      <c r="E950" s="6"/>
      <c r="F950" s="6"/>
      <c r="G950" s="11"/>
      <c r="H950" s="6"/>
      <c r="I950" s="6"/>
      <c r="J950" s="6"/>
      <c r="K950" s="7"/>
      <c r="L950" s="21" t="str">
        <f>микс!$H$10</f>
        <v>продажа со склада</v>
      </c>
      <c r="M950" s="22"/>
      <c r="N950" s="22"/>
      <c r="O950" s="22" t="s">
        <v>138</v>
      </c>
      <c r="P950" s="23" t="str">
        <f>микс!$H$49</f>
        <v>Товары для детей</v>
      </c>
      <c r="Q950" s="21" t="s">
        <v>106</v>
      </c>
      <c r="R950" s="25">
        <v>1</v>
      </c>
      <c r="S950" s="28"/>
      <c r="T950" s="31">
        <v>42231</v>
      </c>
      <c r="U950" s="33">
        <v>3510</v>
      </c>
      <c r="V950" s="36">
        <f t="shared" si="72"/>
        <v>3510</v>
      </c>
      <c r="W950" s="28"/>
      <c r="X950" s="31">
        <v>42303</v>
      </c>
      <c r="Y950" s="33">
        <v>3990</v>
      </c>
      <c r="Z950" s="189">
        <f t="shared" si="73"/>
        <v>3990</v>
      </c>
      <c r="AA950" s="190"/>
      <c r="AB950" s="31">
        <v>42241</v>
      </c>
      <c r="AC950" s="36">
        <v>3510</v>
      </c>
      <c r="AD950" s="8"/>
      <c r="AE950" s="6"/>
      <c r="AF950" s="52">
        <f t="shared" si="70"/>
        <v>148230810</v>
      </c>
      <c r="AG950" s="25">
        <f t="shared" si="71"/>
        <v>168788970</v>
      </c>
      <c r="AH950" s="52">
        <f t="shared" si="74"/>
        <v>148265910</v>
      </c>
      <c r="AI950" s="6"/>
      <c r="AJ950" s="6"/>
      <c r="AK950" s="6"/>
      <c r="AL950" s="6"/>
      <c r="AM950" s="6"/>
      <c r="AN950" s="6"/>
      <c r="AO950" s="6"/>
      <c r="AP950" s="6"/>
      <c r="AQ950" s="6"/>
      <c r="AR950" s="6"/>
    </row>
    <row r="951" spans="1:44">
      <c r="A951" s="6"/>
      <c r="B951" s="6"/>
      <c r="C951" s="6"/>
      <c r="D951" s="6"/>
      <c r="E951" s="6"/>
      <c r="F951" s="6"/>
      <c r="G951" s="11"/>
      <c r="H951" s="6"/>
      <c r="I951" s="6"/>
      <c r="J951" s="6"/>
      <c r="K951" s="7"/>
      <c r="L951" s="21" t="str">
        <f>микс!$H$10</f>
        <v>продажа со склада</v>
      </c>
      <c r="M951" s="22"/>
      <c r="N951" s="22"/>
      <c r="O951" s="22" t="s">
        <v>138</v>
      </c>
      <c r="P951" s="23" t="str">
        <f>микс!$H$49</f>
        <v>Товары для детей</v>
      </c>
      <c r="Q951" s="21" t="s">
        <v>106</v>
      </c>
      <c r="R951" s="25">
        <v>1</v>
      </c>
      <c r="S951" s="28"/>
      <c r="T951" s="31">
        <v>42231</v>
      </c>
      <c r="U951" s="33">
        <v>3510</v>
      </c>
      <c r="V951" s="36">
        <f t="shared" si="72"/>
        <v>3510</v>
      </c>
      <c r="W951" s="28"/>
      <c r="X951" s="31">
        <v>42302</v>
      </c>
      <c r="Y951" s="33">
        <v>3990</v>
      </c>
      <c r="Z951" s="189">
        <f t="shared" si="73"/>
        <v>3990</v>
      </c>
      <c r="AA951" s="190"/>
      <c r="AB951" s="31">
        <v>42251</v>
      </c>
      <c r="AC951" s="36">
        <v>3510</v>
      </c>
      <c r="AD951" s="8"/>
      <c r="AE951" s="6"/>
      <c r="AF951" s="52">
        <f t="shared" si="70"/>
        <v>148230810</v>
      </c>
      <c r="AG951" s="25">
        <f t="shared" si="71"/>
        <v>168784980</v>
      </c>
      <c r="AH951" s="52">
        <f t="shared" si="74"/>
        <v>148301010</v>
      </c>
      <c r="AI951" s="6"/>
      <c r="AJ951" s="6"/>
      <c r="AK951" s="6"/>
      <c r="AL951" s="6"/>
      <c r="AM951" s="6"/>
      <c r="AN951" s="6"/>
      <c r="AO951" s="6"/>
      <c r="AP951" s="6"/>
      <c r="AQ951" s="6"/>
      <c r="AR951" s="6"/>
    </row>
    <row r="952" spans="1:44">
      <c r="A952" s="6"/>
      <c r="B952" s="6"/>
      <c r="C952" s="6"/>
      <c r="D952" s="6"/>
      <c r="E952" s="6"/>
      <c r="F952" s="6"/>
      <c r="G952" s="11"/>
      <c r="H952" s="6"/>
      <c r="I952" s="6"/>
      <c r="J952" s="6"/>
      <c r="K952" s="7"/>
      <c r="L952" s="21" t="str">
        <f>микс!$H$10</f>
        <v>продажа со склада</v>
      </c>
      <c r="M952" s="22"/>
      <c r="N952" s="22"/>
      <c r="O952" s="22" t="s">
        <v>138</v>
      </c>
      <c r="P952" s="23" t="str">
        <f>микс!$H$49</f>
        <v>Товары для детей</v>
      </c>
      <c r="Q952" s="21" t="s">
        <v>106</v>
      </c>
      <c r="R952" s="25">
        <v>1</v>
      </c>
      <c r="S952" s="28"/>
      <c r="T952" s="31">
        <v>42009</v>
      </c>
      <c r="U952" s="33">
        <v>3510</v>
      </c>
      <c r="V952" s="36">
        <f t="shared" si="72"/>
        <v>3510</v>
      </c>
      <c r="W952" s="28"/>
      <c r="X952" s="31">
        <v>42294</v>
      </c>
      <c r="Y952" s="33">
        <v>3990</v>
      </c>
      <c r="Z952" s="189">
        <f t="shared" si="73"/>
        <v>3990</v>
      </c>
      <c r="AA952" s="190"/>
      <c r="AB952" s="31">
        <v>42039</v>
      </c>
      <c r="AC952" s="36">
        <v>3510</v>
      </c>
      <c r="AD952" s="8"/>
      <c r="AE952" s="6"/>
      <c r="AF952" s="52">
        <f t="shared" si="70"/>
        <v>147451590</v>
      </c>
      <c r="AG952" s="25">
        <f t="shared" si="71"/>
        <v>168753060</v>
      </c>
      <c r="AH952" s="52">
        <f t="shared" si="74"/>
        <v>147556890</v>
      </c>
      <c r="AI952" s="6"/>
      <c r="AJ952" s="6"/>
      <c r="AK952" s="6"/>
      <c r="AL952" s="6"/>
      <c r="AM952" s="6"/>
      <c r="AN952" s="6"/>
      <c r="AO952" s="6"/>
      <c r="AP952" s="6"/>
      <c r="AQ952" s="6"/>
      <c r="AR952" s="6"/>
    </row>
    <row r="953" spans="1:44">
      <c r="A953" s="6"/>
      <c r="B953" s="6"/>
      <c r="C953" s="6"/>
      <c r="D953" s="6"/>
      <c r="E953" s="6"/>
      <c r="F953" s="6"/>
      <c r="G953" s="11"/>
      <c r="H953" s="6"/>
      <c r="I953" s="6"/>
      <c r="J953" s="6"/>
      <c r="K953" s="7"/>
      <c r="L953" s="21" t="str">
        <f>микс!$H$10</f>
        <v>продажа со склада</v>
      </c>
      <c r="M953" s="22"/>
      <c r="N953" s="22"/>
      <c r="O953" s="22" t="s">
        <v>138</v>
      </c>
      <c r="P953" s="23" t="str">
        <f>микс!$H$49</f>
        <v>Товары для детей</v>
      </c>
      <c r="Q953" s="21" t="s">
        <v>63</v>
      </c>
      <c r="R953" s="25">
        <v>1</v>
      </c>
      <c r="S953" s="28"/>
      <c r="T953" s="31">
        <v>42260</v>
      </c>
      <c r="U953" s="33">
        <v>5440</v>
      </c>
      <c r="V953" s="36">
        <f t="shared" si="72"/>
        <v>5440</v>
      </c>
      <c r="W953" s="28"/>
      <c r="X953" s="31">
        <v>42333</v>
      </c>
      <c r="Y953" s="33">
        <v>5717</v>
      </c>
      <c r="Z953" s="189">
        <f t="shared" si="73"/>
        <v>5717</v>
      </c>
      <c r="AA953" s="190"/>
      <c r="AB953" s="31">
        <v>42290</v>
      </c>
      <c r="AC953" s="36">
        <v>5440</v>
      </c>
      <c r="AD953" s="8"/>
      <c r="AE953" s="6"/>
      <c r="AF953" s="52">
        <f t="shared" si="70"/>
        <v>229894400</v>
      </c>
      <c r="AG953" s="25">
        <f t="shared" si="71"/>
        <v>242017761</v>
      </c>
      <c r="AH953" s="52">
        <f t="shared" si="74"/>
        <v>230057600</v>
      </c>
      <c r="AI953" s="6"/>
      <c r="AJ953" s="6"/>
      <c r="AK953" s="6"/>
      <c r="AL953" s="6"/>
      <c r="AM953" s="6"/>
      <c r="AN953" s="6"/>
      <c r="AO953" s="6"/>
      <c r="AP953" s="6"/>
      <c r="AQ953" s="6"/>
      <c r="AR953" s="6"/>
    </row>
    <row r="954" spans="1:44">
      <c r="A954" s="6"/>
      <c r="B954" s="6"/>
      <c r="C954" s="6"/>
      <c r="D954" s="6"/>
      <c r="E954" s="6"/>
      <c r="F954" s="6"/>
      <c r="G954" s="11"/>
      <c r="H954" s="6"/>
      <c r="I954" s="6"/>
      <c r="J954" s="6"/>
      <c r="K954" s="7"/>
      <c r="L954" s="21" t="str">
        <f>микс!$H$10</f>
        <v>продажа со склада</v>
      </c>
      <c r="M954" s="22"/>
      <c r="N954" s="22"/>
      <c r="O954" s="22" t="s">
        <v>138</v>
      </c>
      <c r="P954" s="23" t="str">
        <f>микс!$H$49</f>
        <v>Товары для детей</v>
      </c>
      <c r="Q954" s="21" t="s">
        <v>59</v>
      </c>
      <c r="R954" s="25">
        <v>1</v>
      </c>
      <c r="S954" s="28"/>
      <c r="T954" s="31">
        <v>42251</v>
      </c>
      <c r="U954" s="33">
        <v>3056</v>
      </c>
      <c r="V954" s="36">
        <f t="shared" si="72"/>
        <v>3056</v>
      </c>
      <c r="W954" s="28"/>
      <c r="X954" s="31">
        <v>42333</v>
      </c>
      <c r="Y954" s="33">
        <v>3440</v>
      </c>
      <c r="Z954" s="189">
        <f t="shared" si="73"/>
        <v>3440</v>
      </c>
      <c r="AA954" s="190"/>
      <c r="AB954" s="31">
        <v>42296</v>
      </c>
      <c r="AC954" s="36">
        <v>3056</v>
      </c>
      <c r="AD954" s="8"/>
      <c r="AE954" s="6"/>
      <c r="AF954" s="52">
        <f t="shared" si="70"/>
        <v>129119056</v>
      </c>
      <c r="AG954" s="25">
        <f t="shared" si="71"/>
        <v>145625520</v>
      </c>
      <c r="AH954" s="52">
        <f t="shared" si="74"/>
        <v>129256576</v>
      </c>
      <c r="AI954" s="6"/>
      <c r="AJ954" s="6"/>
      <c r="AK954" s="6"/>
      <c r="AL954" s="6"/>
      <c r="AM954" s="6"/>
      <c r="AN954" s="6"/>
      <c r="AO954" s="6"/>
      <c r="AP954" s="6"/>
      <c r="AQ954" s="6"/>
      <c r="AR954" s="6"/>
    </row>
    <row r="955" spans="1:44">
      <c r="A955" s="6"/>
      <c r="B955" s="6"/>
      <c r="C955" s="6"/>
      <c r="D955" s="6"/>
      <c r="E955" s="6"/>
      <c r="F955" s="6"/>
      <c r="G955" s="11"/>
      <c r="H955" s="6"/>
      <c r="I955" s="6"/>
      <c r="J955" s="6"/>
      <c r="K955" s="7"/>
      <c r="L955" s="21" t="str">
        <f>микс!$H$11</f>
        <v>продажа под заказ</v>
      </c>
      <c r="M955" s="22"/>
      <c r="N955" s="22"/>
      <c r="O955" s="22" t="s">
        <v>138</v>
      </c>
      <c r="P955" s="23" t="str">
        <f>микс!$H$49</f>
        <v>Товары для детей</v>
      </c>
      <c r="Q955" s="21" t="s">
        <v>59</v>
      </c>
      <c r="R955" s="25">
        <v>1</v>
      </c>
      <c r="S955" s="28"/>
      <c r="T955" s="31">
        <v>42324</v>
      </c>
      <c r="U955" s="33">
        <v>3100</v>
      </c>
      <c r="V955" s="36">
        <f t="shared" si="72"/>
        <v>3100</v>
      </c>
      <c r="W955" s="28"/>
      <c r="X955" s="31">
        <v>42330</v>
      </c>
      <c r="Y955" s="33">
        <v>3543</v>
      </c>
      <c r="Z955" s="189">
        <f t="shared" si="73"/>
        <v>3543</v>
      </c>
      <c r="AA955" s="190"/>
      <c r="AB955" s="31"/>
      <c r="AC955" s="36"/>
      <c r="AD955" s="8"/>
      <c r="AE955" s="6"/>
      <c r="AF955" s="52">
        <f t="shared" si="70"/>
        <v>131204400</v>
      </c>
      <c r="AG955" s="25">
        <f t="shared" si="71"/>
        <v>149975190</v>
      </c>
      <c r="AH955" s="52">
        <f t="shared" si="74"/>
        <v>0</v>
      </c>
      <c r="AI955" s="6"/>
      <c r="AJ955" s="6"/>
      <c r="AK955" s="6"/>
      <c r="AL955" s="6"/>
      <c r="AM955" s="6"/>
      <c r="AN955" s="6"/>
      <c r="AO955" s="6"/>
      <c r="AP955" s="6"/>
      <c r="AQ955" s="6"/>
      <c r="AR955" s="6"/>
    </row>
    <row r="956" spans="1:44">
      <c r="A956" s="6"/>
      <c r="B956" s="6"/>
      <c r="C956" s="6"/>
      <c r="D956" s="6"/>
      <c r="E956" s="6"/>
      <c r="F956" s="6"/>
      <c r="G956" s="11"/>
      <c r="H956" s="6"/>
      <c r="I956" s="6"/>
      <c r="J956" s="6"/>
      <c r="K956" s="7"/>
      <c r="L956" s="21" t="str">
        <f>микс!$H$11</f>
        <v>продажа под заказ</v>
      </c>
      <c r="M956" s="22"/>
      <c r="N956" s="22"/>
      <c r="O956" s="22" t="s">
        <v>138</v>
      </c>
      <c r="P956" s="23" t="str">
        <f>микс!$H$49</f>
        <v>Товары для детей</v>
      </c>
      <c r="Q956" s="21" t="s">
        <v>59</v>
      </c>
      <c r="R956" s="25">
        <v>1</v>
      </c>
      <c r="S956" s="28"/>
      <c r="T956" s="31">
        <v>42322</v>
      </c>
      <c r="U956" s="33">
        <v>3056</v>
      </c>
      <c r="V956" s="36">
        <f t="shared" si="72"/>
        <v>3056</v>
      </c>
      <c r="W956" s="28"/>
      <c r="X956" s="31">
        <v>42328</v>
      </c>
      <c r="Y956" s="33">
        <v>3440</v>
      </c>
      <c r="Z956" s="189">
        <f t="shared" si="73"/>
        <v>3440</v>
      </c>
      <c r="AA956" s="190"/>
      <c r="AB956" s="31"/>
      <c r="AC956" s="36"/>
      <c r="AD956" s="8"/>
      <c r="AE956" s="6"/>
      <c r="AF956" s="52">
        <f t="shared" si="70"/>
        <v>129336032</v>
      </c>
      <c r="AG956" s="25">
        <f t="shared" si="71"/>
        <v>145608320</v>
      </c>
      <c r="AH956" s="52">
        <f t="shared" si="74"/>
        <v>0</v>
      </c>
      <c r="AI956" s="6"/>
      <c r="AJ956" s="6"/>
      <c r="AK956" s="6"/>
      <c r="AL956" s="6"/>
      <c r="AM956" s="6"/>
      <c r="AN956" s="6"/>
      <c r="AO956" s="6"/>
      <c r="AP956" s="6"/>
      <c r="AQ956" s="6"/>
      <c r="AR956" s="6"/>
    </row>
    <row r="957" spans="1:44">
      <c r="A957" s="6"/>
      <c r="B957" s="6"/>
      <c r="C957" s="6"/>
      <c r="D957" s="6"/>
      <c r="E957" s="6"/>
      <c r="F957" s="6"/>
      <c r="G957" s="11"/>
      <c r="H957" s="6"/>
      <c r="I957" s="6"/>
      <c r="J957" s="6"/>
      <c r="K957" s="7"/>
      <c r="L957" s="21" t="str">
        <f>микс!$H$11</f>
        <v>продажа под заказ</v>
      </c>
      <c r="M957" s="22"/>
      <c r="N957" s="22"/>
      <c r="O957" s="22" t="s">
        <v>138</v>
      </c>
      <c r="P957" s="23" t="str">
        <f>микс!$H$49</f>
        <v>Товары для детей</v>
      </c>
      <c r="Q957" s="21" t="s">
        <v>59</v>
      </c>
      <c r="R957" s="25">
        <v>1</v>
      </c>
      <c r="S957" s="28"/>
      <c r="T957" s="31">
        <v>42297</v>
      </c>
      <c r="U957" s="33">
        <v>2990</v>
      </c>
      <c r="V957" s="36">
        <f t="shared" si="72"/>
        <v>2990</v>
      </c>
      <c r="W957" s="28"/>
      <c r="X957" s="31">
        <v>42301</v>
      </c>
      <c r="Y957" s="33">
        <v>3370</v>
      </c>
      <c r="Z957" s="189">
        <f t="shared" si="73"/>
        <v>3370</v>
      </c>
      <c r="AA957" s="190"/>
      <c r="AB957" s="31">
        <v>42357</v>
      </c>
      <c r="AC957" s="36">
        <v>2990</v>
      </c>
      <c r="AD957" s="8"/>
      <c r="AE957" s="6"/>
      <c r="AF957" s="52">
        <f t="shared" si="70"/>
        <v>126468030</v>
      </c>
      <c r="AG957" s="25">
        <f t="shared" si="71"/>
        <v>142554370</v>
      </c>
      <c r="AH957" s="52">
        <f t="shared" si="74"/>
        <v>126647430</v>
      </c>
      <c r="AI957" s="6"/>
      <c r="AJ957" s="6"/>
      <c r="AK957" s="6"/>
      <c r="AL957" s="6"/>
      <c r="AM957" s="6"/>
      <c r="AN957" s="6"/>
      <c r="AO957" s="6"/>
      <c r="AP957" s="6"/>
      <c r="AQ957" s="6"/>
      <c r="AR957" s="6"/>
    </row>
    <row r="958" spans="1:44">
      <c r="A958" s="6"/>
      <c r="B958" s="6"/>
      <c r="C958" s="6"/>
      <c r="D958" s="6"/>
      <c r="E958" s="6"/>
      <c r="F958" s="6"/>
      <c r="G958" s="11"/>
      <c r="H958" s="6"/>
      <c r="I958" s="6"/>
      <c r="J958" s="6"/>
      <c r="K958" s="7"/>
      <c r="L958" s="21" t="str">
        <f>микс!$H$10</f>
        <v>продажа со склада</v>
      </c>
      <c r="M958" s="22"/>
      <c r="N958" s="22"/>
      <c r="O958" s="22" t="s">
        <v>138</v>
      </c>
      <c r="P958" s="23" t="str">
        <f>микс!$H$49</f>
        <v>Товары для детей</v>
      </c>
      <c r="Q958" s="21" t="s">
        <v>59</v>
      </c>
      <c r="R958" s="25">
        <v>1</v>
      </c>
      <c r="S958" s="28"/>
      <c r="T958" s="31">
        <v>42216</v>
      </c>
      <c r="U958" s="33">
        <v>2990</v>
      </c>
      <c r="V958" s="36">
        <f t="shared" si="72"/>
        <v>2990</v>
      </c>
      <c r="W958" s="28"/>
      <c r="X958" s="31">
        <v>42299</v>
      </c>
      <c r="Y958" s="33">
        <v>3370</v>
      </c>
      <c r="Z958" s="189">
        <f t="shared" si="73"/>
        <v>3370</v>
      </c>
      <c r="AA958" s="190"/>
      <c r="AB958" s="31">
        <v>42246</v>
      </c>
      <c r="AC958" s="36">
        <v>2990</v>
      </c>
      <c r="AD958" s="8"/>
      <c r="AE958" s="6"/>
      <c r="AF958" s="52">
        <f t="shared" si="70"/>
        <v>126225840</v>
      </c>
      <c r="AG958" s="25">
        <f t="shared" si="71"/>
        <v>142547630</v>
      </c>
      <c r="AH958" s="52">
        <f t="shared" si="74"/>
        <v>126315540</v>
      </c>
      <c r="AI958" s="6"/>
      <c r="AJ958" s="6"/>
      <c r="AK958" s="6"/>
      <c r="AL958" s="6"/>
      <c r="AM958" s="6"/>
      <c r="AN958" s="6"/>
      <c r="AO958" s="6"/>
      <c r="AP958" s="6"/>
      <c r="AQ958" s="6"/>
      <c r="AR958" s="6"/>
    </row>
    <row r="959" spans="1:44">
      <c r="A959" s="6"/>
      <c r="B959" s="6"/>
      <c r="C959" s="6"/>
      <c r="D959" s="6"/>
      <c r="E959" s="6"/>
      <c r="F959" s="6"/>
      <c r="G959" s="11"/>
      <c r="H959" s="6"/>
      <c r="I959" s="6"/>
      <c r="J959" s="6"/>
      <c r="K959" s="7"/>
      <c r="L959" s="21" t="str">
        <f>микс!$H$10</f>
        <v>продажа со склада</v>
      </c>
      <c r="M959" s="22"/>
      <c r="N959" s="22"/>
      <c r="O959" s="22" t="s">
        <v>138</v>
      </c>
      <c r="P959" s="23" t="str">
        <f>микс!$H$49</f>
        <v>Товары для детей</v>
      </c>
      <c r="Q959" s="21" t="s">
        <v>59</v>
      </c>
      <c r="R959" s="25">
        <v>1</v>
      </c>
      <c r="S959" s="28"/>
      <c r="T959" s="31">
        <v>41634</v>
      </c>
      <c r="U959" s="33">
        <v>2990</v>
      </c>
      <c r="V959" s="36">
        <f t="shared" si="72"/>
        <v>2990</v>
      </c>
      <c r="W959" s="28"/>
      <c r="X959" s="31">
        <v>42294</v>
      </c>
      <c r="Y959" s="33">
        <v>3471</v>
      </c>
      <c r="Z959" s="189">
        <f t="shared" si="73"/>
        <v>3471</v>
      </c>
      <c r="AA959" s="190"/>
      <c r="AB959" s="31">
        <v>41654</v>
      </c>
      <c r="AC959" s="36">
        <v>2990</v>
      </c>
      <c r="AD959" s="8"/>
      <c r="AE959" s="6"/>
      <c r="AF959" s="52">
        <f t="shared" si="70"/>
        <v>124485660</v>
      </c>
      <c r="AG959" s="25">
        <f t="shared" si="71"/>
        <v>146802474</v>
      </c>
      <c r="AH959" s="52">
        <f t="shared" si="74"/>
        <v>124545460</v>
      </c>
      <c r="AI959" s="6"/>
      <c r="AJ959" s="6"/>
      <c r="AK959" s="6"/>
      <c r="AL959" s="6"/>
      <c r="AM959" s="6"/>
      <c r="AN959" s="6"/>
      <c r="AO959" s="6"/>
      <c r="AP959" s="6"/>
      <c r="AQ959" s="6"/>
      <c r="AR959" s="6"/>
    </row>
    <row r="960" spans="1:44">
      <c r="A960" s="6"/>
      <c r="B960" s="6"/>
      <c r="C960" s="6"/>
      <c r="D960" s="6"/>
      <c r="E960" s="6"/>
      <c r="F960" s="6"/>
      <c r="G960" s="11"/>
      <c r="H960" s="6"/>
      <c r="I960" s="6"/>
      <c r="J960" s="6"/>
      <c r="K960" s="7"/>
      <c r="L960" s="21" t="str">
        <f>микс!$H$11</f>
        <v>продажа под заказ</v>
      </c>
      <c r="M960" s="22"/>
      <c r="N960" s="22"/>
      <c r="O960" s="22" t="s">
        <v>138</v>
      </c>
      <c r="P960" s="23" t="str">
        <f>микс!$H$49</f>
        <v>Товары для детей</v>
      </c>
      <c r="Q960" s="21" t="s">
        <v>59</v>
      </c>
      <c r="R960" s="25">
        <v>1</v>
      </c>
      <c r="S960" s="28"/>
      <c r="T960" s="31">
        <v>42301</v>
      </c>
      <c r="U960" s="33">
        <v>2990</v>
      </c>
      <c r="V960" s="36">
        <f t="shared" si="72"/>
        <v>2990</v>
      </c>
      <c r="W960" s="28"/>
      <c r="X960" s="31">
        <v>42305</v>
      </c>
      <c r="Y960" s="33">
        <v>3471</v>
      </c>
      <c r="Z960" s="189">
        <f t="shared" si="73"/>
        <v>3471</v>
      </c>
      <c r="AA960" s="190"/>
      <c r="AB960" s="31">
        <v>42311</v>
      </c>
      <c r="AC960" s="36">
        <v>2990</v>
      </c>
      <c r="AD960" s="8"/>
      <c r="AE960" s="6"/>
      <c r="AF960" s="52">
        <f t="shared" si="70"/>
        <v>126479990</v>
      </c>
      <c r="AG960" s="25">
        <f t="shared" si="71"/>
        <v>146840655</v>
      </c>
      <c r="AH960" s="52">
        <f t="shared" si="74"/>
        <v>126509890</v>
      </c>
      <c r="AI960" s="6"/>
      <c r="AJ960" s="6"/>
      <c r="AK960" s="6"/>
      <c r="AL960" s="6"/>
      <c r="AM960" s="6"/>
      <c r="AN960" s="6"/>
      <c r="AO960" s="6"/>
      <c r="AP960" s="6"/>
      <c r="AQ960" s="6"/>
      <c r="AR960" s="6"/>
    </row>
    <row r="961" spans="1:44">
      <c r="A961" s="6"/>
      <c r="B961" s="6"/>
      <c r="C961" s="6"/>
      <c r="D961" s="6"/>
      <c r="E961" s="6"/>
      <c r="F961" s="6"/>
      <c r="G961" s="11"/>
      <c r="H961" s="6"/>
      <c r="I961" s="6"/>
      <c r="J961" s="6"/>
      <c r="K961" s="7"/>
      <c r="L961" s="21" t="str">
        <f>микс!$H$11</f>
        <v>продажа под заказ</v>
      </c>
      <c r="M961" s="22"/>
      <c r="N961" s="22"/>
      <c r="O961" s="22" t="s">
        <v>138</v>
      </c>
      <c r="P961" s="23" t="str">
        <f>микс!$H$49</f>
        <v>Товары для детей</v>
      </c>
      <c r="Q961" s="21" t="s">
        <v>59</v>
      </c>
      <c r="R961" s="25">
        <v>1</v>
      </c>
      <c r="S961" s="28"/>
      <c r="T961" s="31">
        <v>42308</v>
      </c>
      <c r="U961" s="33">
        <v>3056</v>
      </c>
      <c r="V961" s="36">
        <f t="shared" si="72"/>
        <v>3056</v>
      </c>
      <c r="W961" s="28"/>
      <c r="X961" s="31">
        <v>42314</v>
      </c>
      <c r="Y961" s="33">
        <v>3267</v>
      </c>
      <c r="Z961" s="189">
        <f t="shared" si="73"/>
        <v>3267</v>
      </c>
      <c r="AA961" s="190"/>
      <c r="AB961" s="31">
        <v>42318</v>
      </c>
      <c r="AC961" s="36">
        <v>3056</v>
      </c>
      <c r="AD961" s="8"/>
      <c r="AE961" s="6"/>
      <c r="AF961" s="52">
        <f t="shared" si="70"/>
        <v>129293248</v>
      </c>
      <c r="AG961" s="25">
        <f t="shared" si="71"/>
        <v>138239838</v>
      </c>
      <c r="AH961" s="52">
        <f t="shared" si="74"/>
        <v>129323808</v>
      </c>
      <c r="AI961" s="6"/>
      <c r="AJ961" s="6"/>
      <c r="AK961" s="6"/>
      <c r="AL961" s="6"/>
      <c r="AM961" s="6"/>
      <c r="AN961" s="6"/>
      <c r="AO961" s="6"/>
      <c r="AP961" s="6"/>
      <c r="AQ961" s="6"/>
      <c r="AR961" s="6"/>
    </row>
    <row r="962" spans="1:44">
      <c r="A962" s="6"/>
      <c r="B962" s="6"/>
      <c r="C962" s="6"/>
      <c r="D962" s="6"/>
      <c r="E962" s="6"/>
      <c r="F962" s="6"/>
      <c r="G962" s="11"/>
      <c r="H962" s="6"/>
      <c r="I962" s="6"/>
      <c r="J962" s="6"/>
      <c r="K962" s="7"/>
      <c r="L962" s="21" t="str">
        <f>микс!$H$11</f>
        <v>продажа под заказ</v>
      </c>
      <c r="M962" s="22"/>
      <c r="N962" s="22"/>
      <c r="O962" s="22" t="s">
        <v>138</v>
      </c>
      <c r="P962" s="23" t="str">
        <f>микс!$H$49</f>
        <v>Товары для детей</v>
      </c>
      <c r="Q962" s="21" t="s">
        <v>59</v>
      </c>
      <c r="R962" s="25">
        <v>1</v>
      </c>
      <c r="S962" s="28"/>
      <c r="T962" s="31">
        <v>42294</v>
      </c>
      <c r="U962" s="33">
        <v>5870</v>
      </c>
      <c r="V962" s="36">
        <f t="shared" si="72"/>
        <v>5870</v>
      </c>
      <c r="W962" s="28"/>
      <c r="X962" s="31">
        <v>42298</v>
      </c>
      <c r="Y962" s="33">
        <v>6190</v>
      </c>
      <c r="Z962" s="189">
        <f t="shared" si="73"/>
        <v>6190</v>
      </c>
      <c r="AA962" s="190"/>
      <c r="AB962" s="31">
        <v>42324</v>
      </c>
      <c r="AC962" s="36">
        <v>5870</v>
      </c>
      <c r="AD962" s="8"/>
      <c r="AE962" s="6"/>
      <c r="AF962" s="52">
        <f t="shared" si="70"/>
        <v>248265780</v>
      </c>
      <c r="AG962" s="25">
        <f t="shared" si="71"/>
        <v>261824620</v>
      </c>
      <c r="AH962" s="52">
        <f t="shared" si="74"/>
        <v>248441880</v>
      </c>
      <c r="AI962" s="6"/>
      <c r="AJ962" s="6"/>
      <c r="AK962" s="6"/>
      <c r="AL962" s="6"/>
      <c r="AM962" s="6"/>
      <c r="AN962" s="6"/>
      <c r="AO962" s="6"/>
      <c r="AP962" s="6"/>
      <c r="AQ962" s="6"/>
      <c r="AR962" s="6"/>
    </row>
    <row r="963" spans="1:44">
      <c r="A963" s="6"/>
      <c r="B963" s="6"/>
      <c r="C963" s="6"/>
      <c r="D963" s="6"/>
      <c r="E963" s="6"/>
      <c r="F963" s="6"/>
      <c r="G963" s="11"/>
      <c r="H963" s="6"/>
      <c r="I963" s="6"/>
      <c r="J963" s="6"/>
      <c r="K963" s="7"/>
      <c r="L963" s="21" t="str">
        <f>микс!$H$10</f>
        <v>продажа со склада</v>
      </c>
      <c r="M963" s="22"/>
      <c r="N963" s="22"/>
      <c r="O963" s="22" t="s">
        <v>138</v>
      </c>
      <c r="P963" s="23" t="str">
        <f>микс!$H$49</f>
        <v>Товары для детей</v>
      </c>
      <c r="Q963" s="21" t="s">
        <v>59</v>
      </c>
      <c r="R963" s="25">
        <v>1</v>
      </c>
      <c r="S963" s="28"/>
      <c r="T963" s="31">
        <v>42226</v>
      </c>
      <c r="U963" s="33">
        <v>5870</v>
      </c>
      <c r="V963" s="36">
        <f t="shared" si="72"/>
        <v>5870</v>
      </c>
      <c r="W963" s="28"/>
      <c r="X963" s="31">
        <v>42307</v>
      </c>
      <c r="Y963" s="33">
        <v>6906</v>
      </c>
      <c r="Z963" s="189">
        <f t="shared" si="73"/>
        <v>6906</v>
      </c>
      <c r="AA963" s="190"/>
      <c r="AB963" s="31">
        <v>42247</v>
      </c>
      <c r="AC963" s="36">
        <v>5870</v>
      </c>
      <c r="AD963" s="8"/>
      <c r="AE963" s="6"/>
      <c r="AF963" s="52">
        <f t="shared" si="70"/>
        <v>247866620</v>
      </c>
      <c r="AG963" s="25">
        <f t="shared" si="71"/>
        <v>292172142</v>
      </c>
      <c r="AH963" s="52">
        <f t="shared" si="74"/>
        <v>247989890</v>
      </c>
      <c r="AI963" s="6"/>
      <c r="AJ963" s="6"/>
      <c r="AK963" s="6"/>
      <c r="AL963" s="6"/>
      <c r="AM963" s="6"/>
      <c r="AN963" s="6"/>
      <c r="AO963" s="6"/>
      <c r="AP963" s="6"/>
      <c r="AQ963" s="6"/>
      <c r="AR963" s="6"/>
    </row>
    <row r="964" spans="1:44">
      <c r="A964" s="6"/>
      <c r="B964" s="6"/>
      <c r="C964" s="6"/>
      <c r="D964" s="6"/>
      <c r="E964" s="6"/>
      <c r="F964" s="6"/>
      <c r="G964" s="11"/>
      <c r="H964" s="6"/>
      <c r="I964" s="6"/>
      <c r="J964" s="6"/>
      <c r="K964" s="7"/>
      <c r="L964" s="21" t="str">
        <f>микс!$H$11</f>
        <v>продажа под заказ</v>
      </c>
      <c r="M964" s="22"/>
      <c r="N964" s="22"/>
      <c r="O964" s="22" t="s">
        <v>138</v>
      </c>
      <c r="P964" s="23" t="str">
        <f>микс!$H$49</f>
        <v>Товары для детей</v>
      </c>
      <c r="Q964" s="21" t="s">
        <v>59</v>
      </c>
      <c r="R964" s="25">
        <v>1</v>
      </c>
      <c r="S964" s="28"/>
      <c r="T964" s="31">
        <v>42325</v>
      </c>
      <c r="U964" s="33">
        <v>5760</v>
      </c>
      <c r="V964" s="36">
        <f t="shared" si="72"/>
        <v>5760</v>
      </c>
      <c r="W964" s="28"/>
      <c r="X964" s="31">
        <v>42332</v>
      </c>
      <c r="Y964" s="33">
        <v>5999</v>
      </c>
      <c r="Z964" s="189">
        <f t="shared" si="73"/>
        <v>5999</v>
      </c>
      <c r="AA964" s="190"/>
      <c r="AB964" s="31"/>
      <c r="AC964" s="36"/>
      <c r="AD964" s="8"/>
      <c r="AE964" s="6"/>
      <c r="AF964" s="52">
        <f t="shared" si="70"/>
        <v>243792000</v>
      </c>
      <c r="AG964" s="25">
        <f t="shared" si="71"/>
        <v>253949668</v>
      </c>
      <c r="AH964" s="52">
        <f t="shared" si="74"/>
        <v>0</v>
      </c>
      <c r="AI964" s="6"/>
      <c r="AJ964" s="6"/>
      <c r="AK964" s="6"/>
      <c r="AL964" s="6"/>
      <c r="AM964" s="6"/>
      <c r="AN964" s="6"/>
      <c r="AO964" s="6"/>
      <c r="AP964" s="6"/>
      <c r="AQ964" s="6"/>
      <c r="AR964" s="6"/>
    </row>
    <row r="965" spans="1:44">
      <c r="A965" s="6"/>
      <c r="B965" s="6"/>
      <c r="C965" s="6"/>
      <c r="D965" s="6"/>
      <c r="E965" s="6"/>
      <c r="F965" s="6"/>
      <c r="G965" s="11"/>
      <c r="H965" s="6"/>
      <c r="I965" s="6"/>
      <c r="J965" s="6"/>
      <c r="K965" s="7"/>
      <c r="L965" s="21" t="str">
        <f>микс!$H$10</f>
        <v>продажа со склада</v>
      </c>
      <c r="M965" s="22"/>
      <c r="N965" s="22"/>
      <c r="O965" s="22" t="s">
        <v>138</v>
      </c>
      <c r="P965" s="23" t="str">
        <f>микс!$H$49</f>
        <v>Товары для детей</v>
      </c>
      <c r="Q965" s="21" t="s">
        <v>61</v>
      </c>
      <c r="R965" s="25">
        <v>1</v>
      </c>
      <c r="S965" s="28"/>
      <c r="T965" s="31">
        <v>42250</v>
      </c>
      <c r="U965" s="33">
        <v>2609</v>
      </c>
      <c r="V965" s="36">
        <f t="shared" si="72"/>
        <v>2609</v>
      </c>
      <c r="W965" s="28"/>
      <c r="X965" s="31">
        <v>42341</v>
      </c>
      <c r="Y965" s="33">
        <v>2822</v>
      </c>
      <c r="Z965" s="189">
        <f t="shared" si="73"/>
        <v>2822</v>
      </c>
      <c r="AA965" s="190"/>
      <c r="AB965" s="31">
        <v>42280</v>
      </c>
      <c r="AC965" s="36">
        <v>2609</v>
      </c>
      <c r="AD965" s="8"/>
      <c r="AE965" s="6"/>
      <c r="AF965" s="52">
        <f t="shared" si="70"/>
        <v>110230250</v>
      </c>
      <c r="AG965" s="25">
        <f t="shared" si="71"/>
        <v>119486302</v>
      </c>
      <c r="AH965" s="52">
        <f t="shared" si="74"/>
        <v>110308520</v>
      </c>
      <c r="AI965" s="6"/>
      <c r="AJ965" s="6"/>
      <c r="AK965" s="6"/>
      <c r="AL965" s="6"/>
      <c r="AM965" s="6"/>
      <c r="AN965" s="6"/>
      <c r="AO965" s="6"/>
      <c r="AP965" s="6"/>
      <c r="AQ965" s="6"/>
      <c r="AR965" s="6"/>
    </row>
    <row r="966" spans="1:44">
      <c r="A966" s="6"/>
      <c r="B966" s="6"/>
      <c r="C966" s="6"/>
      <c r="D966" s="6"/>
      <c r="E966" s="6"/>
      <c r="F966" s="6"/>
      <c r="G966" s="11"/>
      <c r="H966" s="6"/>
      <c r="I966" s="6"/>
      <c r="J966" s="6"/>
      <c r="K966" s="7"/>
      <c r="L966" s="21" t="str">
        <f>микс!$H$11</f>
        <v>продажа под заказ</v>
      </c>
      <c r="M966" s="22"/>
      <c r="N966" s="22"/>
      <c r="O966" s="22" t="s">
        <v>134</v>
      </c>
      <c r="P966" s="23" t="str">
        <f>микс!$H$49</f>
        <v>Товары для детей</v>
      </c>
      <c r="Q966" s="21" t="s">
        <v>61</v>
      </c>
      <c r="R966" s="25">
        <v>1</v>
      </c>
      <c r="S966" s="28"/>
      <c r="T966" s="31">
        <v>42325</v>
      </c>
      <c r="U966" s="33">
        <v>2519.63</v>
      </c>
      <c r="V966" s="36">
        <f t="shared" si="72"/>
        <v>2519.63</v>
      </c>
      <c r="W966" s="28"/>
      <c r="X966" s="31">
        <v>42328</v>
      </c>
      <c r="Y966" s="33">
        <v>2740</v>
      </c>
      <c r="Z966" s="189">
        <f t="shared" si="73"/>
        <v>2740</v>
      </c>
      <c r="AA966" s="190"/>
      <c r="AB966" s="31">
        <v>42340</v>
      </c>
      <c r="AC966" s="36">
        <v>2519.63</v>
      </c>
      <c r="AD966" s="8"/>
      <c r="AE966" s="6"/>
      <c r="AF966" s="52">
        <f t="shared" si="70"/>
        <v>106643339.75</v>
      </c>
      <c r="AG966" s="25">
        <f t="shared" si="71"/>
        <v>115978720</v>
      </c>
      <c r="AH966" s="52">
        <f t="shared" si="74"/>
        <v>106681134.2</v>
      </c>
      <c r="AI966" s="6"/>
      <c r="AJ966" s="6"/>
      <c r="AK966" s="6"/>
      <c r="AL966" s="6"/>
      <c r="AM966" s="6"/>
      <c r="AN966" s="6"/>
      <c r="AO966" s="6"/>
      <c r="AP966" s="6"/>
      <c r="AQ966" s="6"/>
      <c r="AR966" s="6"/>
    </row>
    <row r="967" spans="1:44">
      <c r="A967" s="6"/>
      <c r="B967" s="6"/>
      <c r="C967" s="6"/>
      <c r="D967" s="6"/>
      <c r="E967" s="6"/>
      <c r="F967" s="6"/>
      <c r="G967" s="11"/>
      <c r="H967" s="6"/>
      <c r="I967" s="6"/>
      <c r="J967" s="6"/>
      <c r="K967" s="7"/>
      <c r="L967" s="21" t="str">
        <f>микс!$H$10</f>
        <v>продажа со склада</v>
      </c>
      <c r="M967" s="22"/>
      <c r="N967" s="22"/>
      <c r="O967" s="22" t="s">
        <v>137</v>
      </c>
      <c r="P967" s="23" t="str">
        <f>микс!$H$46</f>
        <v>Электроника и бытовая техника</v>
      </c>
      <c r="Q967" s="21" t="s">
        <v>122</v>
      </c>
      <c r="R967" s="25">
        <v>1</v>
      </c>
      <c r="S967" s="28"/>
      <c r="T967" s="31">
        <v>42245</v>
      </c>
      <c r="U967" s="33">
        <v>2914.41</v>
      </c>
      <c r="V967" s="36">
        <f t="shared" si="72"/>
        <v>2914.41</v>
      </c>
      <c r="W967" s="28"/>
      <c r="X967" s="31">
        <v>42326</v>
      </c>
      <c r="Y967" s="33">
        <v>3090</v>
      </c>
      <c r="Z967" s="189">
        <f t="shared" si="73"/>
        <v>3090</v>
      </c>
      <c r="AA967" s="190"/>
      <c r="AB967" s="31">
        <v>42267</v>
      </c>
      <c r="AC967" s="36">
        <v>2914.41</v>
      </c>
      <c r="AD967" s="8"/>
      <c r="AE967" s="6"/>
      <c r="AF967" s="52">
        <f t="shared" si="70"/>
        <v>123119250.44999999</v>
      </c>
      <c r="AG967" s="25">
        <f t="shared" si="71"/>
        <v>130787340</v>
      </c>
      <c r="AH967" s="52">
        <f t="shared" si="74"/>
        <v>123183367.47</v>
      </c>
      <c r="AI967" s="6"/>
      <c r="AJ967" s="6"/>
      <c r="AK967" s="6"/>
      <c r="AL967" s="6"/>
      <c r="AM967" s="6"/>
      <c r="AN967" s="6"/>
      <c r="AO967" s="6"/>
      <c r="AP967" s="6"/>
      <c r="AQ967" s="6"/>
      <c r="AR967" s="6"/>
    </row>
    <row r="968" spans="1:44">
      <c r="A968" s="6"/>
      <c r="B968" s="6"/>
      <c r="C968" s="6"/>
      <c r="D968" s="6"/>
      <c r="E968" s="6"/>
      <c r="F968" s="6"/>
      <c r="G968" s="11"/>
      <c r="H968" s="6"/>
      <c r="I968" s="6"/>
      <c r="J968" s="6"/>
      <c r="K968" s="7"/>
      <c r="L968" s="21" t="str">
        <f>микс!$H$10</f>
        <v>продажа со склада</v>
      </c>
      <c r="M968" s="22"/>
      <c r="N968" s="22"/>
      <c r="O968" s="22" t="s">
        <v>137</v>
      </c>
      <c r="P968" s="23" t="str">
        <f>микс!$H$46</f>
        <v>Электроника и бытовая техника</v>
      </c>
      <c r="Q968" s="21" t="s">
        <v>122</v>
      </c>
      <c r="R968" s="25">
        <v>1</v>
      </c>
      <c r="S968" s="28"/>
      <c r="T968" s="31">
        <v>42241</v>
      </c>
      <c r="U968" s="33">
        <v>2914.41</v>
      </c>
      <c r="V968" s="36">
        <f t="shared" si="72"/>
        <v>2914.41</v>
      </c>
      <c r="W968" s="28"/>
      <c r="X968" s="31">
        <v>42323</v>
      </c>
      <c r="Y968" s="33">
        <v>3090</v>
      </c>
      <c r="Z968" s="189">
        <f t="shared" si="73"/>
        <v>3090</v>
      </c>
      <c r="AA968" s="190"/>
      <c r="AB968" s="31">
        <v>42301</v>
      </c>
      <c r="AC968" s="36">
        <v>2914.41</v>
      </c>
      <c r="AD968" s="8"/>
      <c r="AE968" s="6"/>
      <c r="AF968" s="52">
        <f t="shared" si="70"/>
        <v>123107592.80999999</v>
      </c>
      <c r="AG968" s="25">
        <f t="shared" si="71"/>
        <v>130778070</v>
      </c>
      <c r="AH968" s="52">
        <f t="shared" si="74"/>
        <v>123282457.41</v>
      </c>
      <c r="AI968" s="6"/>
      <c r="AJ968" s="6"/>
      <c r="AK968" s="6"/>
      <c r="AL968" s="6"/>
      <c r="AM968" s="6"/>
      <c r="AN968" s="6"/>
      <c r="AO968" s="6"/>
      <c r="AP968" s="6"/>
      <c r="AQ968" s="6"/>
      <c r="AR968" s="6"/>
    </row>
    <row r="969" spans="1:44">
      <c r="A969" s="6"/>
      <c r="B969" s="6"/>
      <c r="C969" s="6"/>
      <c r="D969" s="6"/>
      <c r="E969" s="6"/>
      <c r="F969" s="6"/>
      <c r="G969" s="11"/>
      <c r="H969" s="6"/>
      <c r="I969" s="6"/>
      <c r="J969" s="6"/>
      <c r="K969" s="7"/>
      <c r="L969" s="21" t="str">
        <f>микс!$H$10</f>
        <v>продажа со склада</v>
      </c>
      <c r="M969" s="22"/>
      <c r="N969" s="22"/>
      <c r="O969" s="22" t="s">
        <v>137</v>
      </c>
      <c r="P969" s="23" t="str">
        <f>микс!$H$46</f>
        <v>Электроника и бытовая техника</v>
      </c>
      <c r="Q969" s="21" t="s">
        <v>122</v>
      </c>
      <c r="R969" s="25">
        <v>1</v>
      </c>
      <c r="S969" s="28"/>
      <c r="T969" s="31">
        <v>42255</v>
      </c>
      <c r="U969" s="33">
        <v>2914.41</v>
      </c>
      <c r="V969" s="36">
        <f t="shared" si="72"/>
        <v>2914.41</v>
      </c>
      <c r="W969" s="28"/>
      <c r="X969" s="31">
        <v>42338</v>
      </c>
      <c r="Y969" s="33">
        <v>3260</v>
      </c>
      <c r="Z969" s="189">
        <f t="shared" si="73"/>
        <v>3260</v>
      </c>
      <c r="AA969" s="190"/>
      <c r="AB969" s="31">
        <v>42260</v>
      </c>
      <c r="AC969" s="36">
        <v>2914.41</v>
      </c>
      <c r="AD969" s="8"/>
      <c r="AE969" s="6"/>
      <c r="AF969" s="52">
        <f t="shared" ref="AF969:AF1032" si="75">T969*V969</f>
        <v>123148394.55</v>
      </c>
      <c r="AG969" s="25">
        <f t="shared" ref="AG969:AG1032" si="76">X969*Z969</f>
        <v>138021880</v>
      </c>
      <c r="AH969" s="52">
        <f t="shared" si="74"/>
        <v>123162966.59999999</v>
      </c>
      <c r="AI969" s="6"/>
      <c r="AJ969" s="6"/>
      <c r="AK969" s="6"/>
      <c r="AL969" s="6"/>
      <c r="AM969" s="6"/>
      <c r="AN969" s="6"/>
      <c r="AO969" s="6"/>
      <c r="AP969" s="6"/>
      <c r="AQ969" s="6"/>
      <c r="AR969" s="6"/>
    </row>
    <row r="970" spans="1:44">
      <c r="A970" s="6"/>
      <c r="B970" s="6"/>
      <c r="C970" s="6"/>
      <c r="D970" s="6"/>
      <c r="E970" s="6"/>
      <c r="F970" s="6"/>
      <c r="G970" s="11"/>
      <c r="H970" s="6"/>
      <c r="I970" s="6"/>
      <c r="J970" s="6"/>
      <c r="K970" s="7"/>
      <c r="L970" s="21" t="str">
        <f>микс!$H$11</f>
        <v>продажа под заказ</v>
      </c>
      <c r="M970" s="22"/>
      <c r="N970" s="22"/>
      <c r="O970" s="22" t="s">
        <v>137</v>
      </c>
      <c r="P970" s="23" t="str">
        <f>микс!$H$46</f>
        <v>Электроника и бытовая техника</v>
      </c>
      <c r="Q970" s="21" t="s">
        <v>123</v>
      </c>
      <c r="R970" s="25">
        <v>1</v>
      </c>
      <c r="S970" s="28"/>
      <c r="T970" s="31">
        <v>42338</v>
      </c>
      <c r="U970" s="33">
        <v>17194</v>
      </c>
      <c r="V970" s="36">
        <f t="shared" ref="V970:V1019" si="77">$R970*U970</f>
        <v>17194</v>
      </c>
      <c r="W970" s="28"/>
      <c r="X970" s="31">
        <v>42346</v>
      </c>
      <c r="Y970" s="33">
        <v>18910</v>
      </c>
      <c r="Z970" s="189">
        <f t="shared" ref="Z970:Z1008" si="78">$R970*Y970</f>
        <v>18910</v>
      </c>
      <c r="AA970" s="190"/>
      <c r="AB970" s="31"/>
      <c r="AC970" s="36"/>
      <c r="AD970" s="8"/>
      <c r="AE970" s="6"/>
      <c r="AF970" s="52">
        <f t="shared" si="75"/>
        <v>727959572</v>
      </c>
      <c r="AG970" s="25">
        <f t="shared" si="76"/>
        <v>800762860</v>
      </c>
      <c r="AH970" s="52">
        <f t="shared" ref="AH970:AH1033" si="79">AB970*AC970</f>
        <v>0</v>
      </c>
      <c r="AI970" s="6"/>
      <c r="AJ970" s="6"/>
      <c r="AK970" s="6"/>
      <c r="AL970" s="6"/>
      <c r="AM970" s="6"/>
      <c r="AN970" s="6"/>
      <c r="AO970" s="6"/>
      <c r="AP970" s="6"/>
      <c r="AQ970" s="6"/>
      <c r="AR970" s="6"/>
    </row>
    <row r="971" spans="1:44">
      <c r="A971" s="6"/>
      <c r="B971" s="6"/>
      <c r="C971" s="6"/>
      <c r="D971" s="6"/>
      <c r="E971" s="6"/>
      <c r="F971" s="6"/>
      <c r="G971" s="11"/>
      <c r="H971" s="6"/>
      <c r="I971" s="6"/>
      <c r="J971" s="6"/>
      <c r="K971" s="7"/>
      <c r="L971" s="21" t="str">
        <f>микс!$H$10</f>
        <v>продажа со склада</v>
      </c>
      <c r="M971" s="22"/>
      <c r="N971" s="22"/>
      <c r="O971" s="22" t="s">
        <v>142</v>
      </c>
      <c r="P971" s="23" t="str">
        <f>микс!$H$47</f>
        <v>Домашнее хозяйство</v>
      </c>
      <c r="Q971" s="21" t="s">
        <v>112</v>
      </c>
      <c r="R971" s="25">
        <v>1</v>
      </c>
      <c r="S971" s="28"/>
      <c r="T971" s="31">
        <v>42258</v>
      </c>
      <c r="U971" s="33">
        <v>2063</v>
      </c>
      <c r="V971" s="36">
        <f t="shared" si="77"/>
        <v>2063</v>
      </c>
      <c r="W971" s="28"/>
      <c r="X971" s="31">
        <v>42349</v>
      </c>
      <c r="Y971" s="33">
        <v>2200</v>
      </c>
      <c r="Z971" s="189">
        <f t="shared" si="78"/>
        <v>2200</v>
      </c>
      <c r="AA971" s="190"/>
      <c r="AB971" s="31">
        <v>42293</v>
      </c>
      <c r="AC971" s="36">
        <v>2063</v>
      </c>
      <c r="AD971" s="8"/>
      <c r="AE971" s="6"/>
      <c r="AF971" s="52">
        <f t="shared" si="75"/>
        <v>87178254</v>
      </c>
      <c r="AG971" s="25">
        <f t="shared" si="76"/>
        <v>93167800</v>
      </c>
      <c r="AH971" s="52">
        <f t="shared" si="79"/>
        <v>87250459</v>
      </c>
      <c r="AI971" s="6"/>
      <c r="AJ971" s="6"/>
      <c r="AK971" s="6"/>
      <c r="AL971" s="6"/>
      <c r="AM971" s="6"/>
      <c r="AN971" s="6"/>
      <c r="AO971" s="6"/>
      <c r="AP971" s="6"/>
      <c r="AQ971" s="6"/>
      <c r="AR971" s="6"/>
    </row>
    <row r="972" spans="1:44">
      <c r="A972" s="6"/>
      <c r="B972" s="6"/>
      <c r="C972" s="6"/>
      <c r="D972" s="6"/>
      <c r="E972" s="6"/>
      <c r="F972" s="6"/>
      <c r="G972" s="11"/>
      <c r="H972" s="6"/>
      <c r="I972" s="6"/>
      <c r="J972" s="6"/>
      <c r="K972" s="7"/>
      <c r="L972" s="21" t="str">
        <f>микс!$H$10</f>
        <v>продажа со склада</v>
      </c>
      <c r="M972" s="22"/>
      <c r="N972" s="22"/>
      <c r="O972" s="22" t="s">
        <v>142</v>
      </c>
      <c r="P972" s="23" t="str">
        <f>микс!$H$47</f>
        <v>Домашнее хозяйство</v>
      </c>
      <c r="Q972" s="21" t="s">
        <v>112</v>
      </c>
      <c r="R972" s="25">
        <v>1</v>
      </c>
      <c r="S972" s="28"/>
      <c r="T972" s="31">
        <v>42258</v>
      </c>
      <c r="U972" s="33">
        <v>2063</v>
      </c>
      <c r="V972" s="36">
        <f t="shared" si="77"/>
        <v>2063</v>
      </c>
      <c r="W972" s="28"/>
      <c r="X972" s="31">
        <v>42341</v>
      </c>
      <c r="Y972" s="33">
        <v>2200</v>
      </c>
      <c r="Z972" s="189">
        <f t="shared" si="78"/>
        <v>2200</v>
      </c>
      <c r="AA972" s="190"/>
      <c r="AB972" s="31">
        <v>42273</v>
      </c>
      <c r="AC972" s="36">
        <v>2063</v>
      </c>
      <c r="AD972" s="8"/>
      <c r="AE972" s="6"/>
      <c r="AF972" s="52">
        <f t="shared" si="75"/>
        <v>87178254</v>
      </c>
      <c r="AG972" s="25">
        <f t="shared" si="76"/>
        <v>93150200</v>
      </c>
      <c r="AH972" s="52">
        <f t="shared" si="79"/>
        <v>87209199</v>
      </c>
      <c r="AI972" s="6"/>
      <c r="AJ972" s="6"/>
      <c r="AK972" s="6"/>
      <c r="AL972" s="6"/>
      <c r="AM972" s="6"/>
      <c r="AN972" s="6"/>
      <c r="AO972" s="6"/>
      <c r="AP972" s="6"/>
      <c r="AQ972" s="6"/>
      <c r="AR972" s="6"/>
    </row>
    <row r="973" spans="1:44">
      <c r="A973" s="6"/>
      <c r="B973" s="6"/>
      <c r="C973" s="6"/>
      <c r="D973" s="6"/>
      <c r="E973" s="6"/>
      <c r="F973" s="6"/>
      <c r="G973" s="11"/>
      <c r="H973" s="6"/>
      <c r="I973" s="6"/>
      <c r="J973" s="6"/>
      <c r="K973" s="7"/>
      <c r="L973" s="21" t="str">
        <f>микс!$H$10</f>
        <v>продажа со склада</v>
      </c>
      <c r="M973" s="22"/>
      <c r="N973" s="22"/>
      <c r="O973" s="22" t="s">
        <v>142</v>
      </c>
      <c r="P973" s="23" t="str">
        <f>микс!$H$47</f>
        <v>Домашнее хозяйство</v>
      </c>
      <c r="Q973" s="21" t="s">
        <v>112</v>
      </c>
      <c r="R973" s="25">
        <v>1</v>
      </c>
      <c r="S973" s="28"/>
      <c r="T973" s="31">
        <v>42257</v>
      </c>
      <c r="U973" s="33">
        <v>2063</v>
      </c>
      <c r="V973" s="36">
        <f t="shared" si="77"/>
        <v>2063</v>
      </c>
      <c r="W973" s="28"/>
      <c r="X973" s="31">
        <v>42339</v>
      </c>
      <c r="Y973" s="33">
        <v>2200</v>
      </c>
      <c r="Z973" s="189">
        <f t="shared" si="78"/>
        <v>2200</v>
      </c>
      <c r="AA973" s="190"/>
      <c r="AB973" s="31">
        <v>42307</v>
      </c>
      <c r="AC973" s="36">
        <v>2063</v>
      </c>
      <c r="AD973" s="8"/>
      <c r="AE973" s="6"/>
      <c r="AF973" s="52">
        <f t="shared" si="75"/>
        <v>87176191</v>
      </c>
      <c r="AG973" s="25">
        <f t="shared" si="76"/>
        <v>93145800</v>
      </c>
      <c r="AH973" s="52">
        <f t="shared" si="79"/>
        <v>87279341</v>
      </c>
      <c r="AI973" s="6"/>
      <c r="AJ973" s="6"/>
      <c r="AK973" s="6"/>
      <c r="AL973" s="6"/>
      <c r="AM973" s="6"/>
      <c r="AN973" s="6"/>
      <c r="AO973" s="6"/>
      <c r="AP973" s="6"/>
      <c r="AQ973" s="6"/>
      <c r="AR973" s="6"/>
    </row>
    <row r="974" spans="1:44">
      <c r="A974" s="6"/>
      <c r="B974" s="6"/>
      <c r="C974" s="6"/>
      <c r="D974" s="6"/>
      <c r="E974" s="6"/>
      <c r="F974" s="6"/>
      <c r="G974" s="11"/>
      <c r="H974" s="6"/>
      <c r="I974" s="6"/>
      <c r="J974" s="6"/>
      <c r="K974" s="7"/>
      <c r="L974" s="21" t="str">
        <f>микс!$H$10</f>
        <v>продажа со склада</v>
      </c>
      <c r="M974" s="22"/>
      <c r="N974" s="22"/>
      <c r="O974" s="22" t="s">
        <v>142</v>
      </c>
      <c r="P974" s="23" t="str">
        <f>микс!$H$47</f>
        <v>Домашнее хозяйство</v>
      </c>
      <c r="Q974" s="21" t="s">
        <v>112</v>
      </c>
      <c r="R974" s="25">
        <v>1</v>
      </c>
      <c r="S974" s="28"/>
      <c r="T974" s="31">
        <v>42217</v>
      </c>
      <c r="U974" s="33">
        <v>2063</v>
      </c>
      <c r="V974" s="36">
        <f t="shared" si="77"/>
        <v>2063</v>
      </c>
      <c r="W974" s="28"/>
      <c r="X974" s="31">
        <v>42300</v>
      </c>
      <c r="Y974" s="33">
        <v>2280</v>
      </c>
      <c r="Z974" s="189">
        <f t="shared" si="78"/>
        <v>2280</v>
      </c>
      <c r="AA974" s="190"/>
      <c r="AB974" s="31"/>
      <c r="AC974" s="36"/>
      <c r="AD974" s="8"/>
      <c r="AE974" s="6"/>
      <c r="AF974" s="52">
        <f t="shared" si="75"/>
        <v>87093671</v>
      </c>
      <c r="AG974" s="25">
        <f t="shared" si="76"/>
        <v>96444000</v>
      </c>
      <c r="AH974" s="52">
        <f t="shared" si="79"/>
        <v>0</v>
      </c>
      <c r="AI974" s="6"/>
      <c r="AJ974" s="6"/>
      <c r="AK974" s="6"/>
      <c r="AL974" s="6"/>
      <c r="AM974" s="6"/>
      <c r="AN974" s="6"/>
      <c r="AO974" s="6"/>
      <c r="AP974" s="6"/>
      <c r="AQ974" s="6"/>
      <c r="AR974" s="6"/>
    </row>
    <row r="975" spans="1:44">
      <c r="A975" s="6"/>
      <c r="B975" s="6"/>
      <c r="C975" s="6"/>
      <c r="D975" s="6"/>
      <c r="E975" s="6"/>
      <c r="F975" s="6"/>
      <c r="G975" s="11"/>
      <c r="H975" s="6"/>
      <c r="I975" s="6"/>
      <c r="J975" s="6"/>
      <c r="K975" s="7"/>
      <c r="L975" s="21" t="str">
        <f>микс!$H$10</f>
        <v>продажа со склада</v>
      </c>
      <c r="M975" s="22"/>
      <c r="N975" s="22"/>
      <c r="O975" s="22" t="s">
        <v>142</v>
      </c>
      <c r="P975" s="23" t="str">
        <f>микс!$H$47</f>
        <v>Домашнее хозяйство</v>
      </c>
      <c r="Q975" s="21" t="s">
        <v>112</v>
      </c>
      <c r="R975" s="25">
        <v>1</v>
      </c>
      <c r="S975" s="28"/>
      <c r="T975" s="31">
        <v>42238</v>
      </c>
      <c r="U975" s="33">
        <v>2416</v>
      </c>
      <c r="V975" s="36">
        <f t="shared" si="77"/>
        <v>2416</v>
      </c>
      <c r="W975" s="28"/>
      <c r="X975" s="31">
        <v>42337</v>
      </c>
      <c r="Y975" s="33">
        <v>2990</v>
      </c>
      <c r="Z975" s="189">
        <f t="shared" si="78"/>
        <v>2990</v>
      </c>
      <c r="AA975" s="190"/>
      <c r="AB975" s="31">
        <v>42268</v>
      </c>
      <c r="AC975" s="36">
        <v>2416</v>
      </c>
      <c r="AD975" s="8"/>
      <c r="AE975" s="6"/>
      <c r="AF975" s="52">
        <f t="shared" si="75"/>
        <v>102047008</v>
      </c>
      <c r="AG975" s="25">
        <f t="shared" si="76"/>
        <v>126587630</v>
      </c>
      <c r="AH975" s="52">
        <f t="shared" si="79"/>
        <v>102119488</v>
      </c>
      <c r="AI975" s="6"/>
      <c r="AJ975" s="6"/>
      <c r="AK975" s="6"/>
      <c r="AL975" s="6"/>
      <c r="AM975" s="6"/>
      <c r="AN975" s="6"/>
      <c r="AO975" s="6"/>
      <c r="AP975" s="6"/>
      <c r="AQ975" s="6"/>
      <c r="AR975" s="6"/>
    </row>
    <row r="976" spans="1:44">
      <c r="A976" s="6"/>
      <c r="B976" s="6"/>
      <c r="C976" s="6"/>
      <c r="D976" s="6"/>
      <c r="E976" s="6"/>
      <c r="F976" s="6"/>
      <c r="G976" s="11"/>
      <c r="H976" s="6"/>
      <c r="I976" s="6"/>
      <c r="J976" s="6"/>
      <c r="K976" s="7"/>
      <c r="L976" s="21" t="str">
        <f>микс!$H$10</f>
        <v>продажа со склада</v>
      </c>
      <c r="M976" s="22"/>
      <c r="N976" s="22"/>
      <c r="O976" s="22" t="s">
        <v>144</v>
      </c>
      <c r="P976" s="23" t="str">
        <f>микс!$H$48</f>
        <v>Спортивный инвентарь</v>
      </c>
      <c r="Q976" s="21" t="s">
        <v>121</v>
      </c>
      <c r="R976" s="25">
        <v>1</v>
      </c>
      <c r="S976" s="28"/>
      <c r="T976" s="31">
        <v>42252</v>
      </c>
      <c r="U976" s="33">
        <v>4307.38</v>
      </c>
      <c r="V976" s="36">
        <f t="shared" si="77"/>
        <v>4307.38</v>
      </c>
      <c r="W976" s="28"/>
      <c r="X976" s="31">
        <v>42335</v>
      </c>
      <c r="Y976" s="33">
        <v>4743</v>
      </c>
      <c r="Z976" s="189">
        <f t="shared" si="78"/>
        <v>4743</v>
      </c>
      <c r="AA976" s="190"/>
      <c r="AB976" s="31">
        <v>42277</v>
      </c>
      <c r="AC976" s="36">
        <v>4307.38</v>
      </c>
      <c r="AD976" s="8"/>
      <c r="AE976" s="6"/>
      <c r="AF976" s="52">
        <f t="shared" si="75"/>
        <v>181995419.75999999</v>
      </c>
      <c r="AG976" s="25">
        <f t="shared" si="76"/>
        <v>200794905</v>
      </c>
      <c r="AH976" s="52">
        <f t="shared" si="79"/>
        <v>182103104.25999999</v>
      </c>
      <c r="AI976" s="6"/>
      <c r="AJ976" s="6"/>
      <c r="AK976" s="6"/>
      <c r="AL976" s="6"/>
      <c r="AM976" s="6"/>
      <c r="AN976" s="6"/>
      <c r="AO976" s="6"/>
      <c r="AP976" s="6"/>
      <c r="AQ976" s="6"/>
      <c r="AR976" s="6"/>
    </row>
    <row r="977" spans="1:44">
      <c r="A977" s="6"/>
      <c r="B977" s="6"/>
      <c r="C977" s="6"/>
      <c r="D977" s="6"/>
      <c r="E977" s="6"/>
      <c r="F977" s="6"/>
      <c r="G977" s="11"/>
      <c r="H977" s="6"/>
      <c r="I977" s="6"/>
      <c r="J977" s="6"/>
      <c r="K977" s="7"/>
      <c r="L977" s="21" t="str">
        <f>микс!$H$10</f>
        <v>продажа со склада</v>
      </c>
      <c r="M977" s="22"/>
      <c r="N977" s="22"/>
      <c r="O977" s="22" t="s">
        <v>144</v>
      </c>
      <c r="P977" s="23" t="str">
        <f>микс!$H$48</f>
        <v>Спортивный инвентарь</v>
      </c>
      <c r="Q977" s="21" t="s">
        <v>121</v>
      </c>
      <c r="R977" s="25">
        <v>1</v>
      </c>
      <c r="S977" s="28"/>
      <c r="T977" s="31">
        <v>42248</v>
      </c>
      <c r="U977" s="33">
        <v>4307.37</v>
      </c>
      <c r="V977" s="36">
        <f t="shared" si="77"/>
        <v>4307.37</v>
      </c>
      <c r="W977" s="28"/>
      <c r="X977" s="31">
        <v>42339</v>
      </c>
      <c r="Y977" s="33">
        <v>4743</v>
      </c>
      <c r="Z977" s="189">
        <f t="shared" si="78"/>
        <v>4743</v>
      </c>
      <c r="AA977" s="190"/>
      <c r="AB977" s="31">
        <v>42258</v>
      </c>
      <c r="AC977" s="36">
        <v>4307.37</v>
      </c>
      <c r="AD977" s="8"/>
      <c r="AE977" s="6"/>
      <c r="AF977" s="52">
        <f t="shared" si="75"/>
        <v>181977767.75999999</v>
      </c>
      <c r="AG977" s="25">
        <f t="shared" si="76"/>
        <v>200813877</v>
      </c>
      <c r="AH977" s="52">
        <f t="shared" si="79"/>
        <v>182020841.46000001</v>
      </c>
      <c r="AI977" s="6"/>
      <c r="AJ977" s="6"/>
      <c r="AK977" s="6"/>
      <c r="AL977" s="6"/>
      <c r="AM977" s="6"/>
      <c r="AN977" s="6"/>
      <c r="AO977" s="6"/>
      <c r="AP977" s="6"/>
      <c r="AQ977" s="6"/>
      <c r="AR977" s="6"/>
    </row>
    <row r="978" spans="1:44">
      <c r="A978" s="6"/>
      <c r="B978" s="6"/>
      <c r="C978" s="6"/>
      <c r="D978" s="6"/>
      <c r="E978" s="6"/>
      <c r="F978" s="6"/>
      <c r="G978" s="11"/>
      <c r="H978" s="6"/>
      <c r="I978" s="6"/>
      <c r="J978" s="6"/>
      <c r="K978" s="7"/>
      <c r="L978" s="21" t="str">
        <f>микс!$H$10</f>
        <v>продажа со склада</v>
      </c>
      <c r="M978" s="22"/>
      <c r="N978" s="22"/>
      <c r="O978" s="22" t="s">
        <v>144</v>
      </c>
      <c r="P978" s="23" t="str">
        <f>микс!$H$48</f>
        <v>Спортивный инвентарь</v>
      </c>
      <c r="Q978" s="21" t="s">
        <v>121</v>
      </c>
      <c r="R978" s="25">
        <v>1</v>
      </c>
      <c r="S978" s="28"/>
      <c r="T978" s="31">
        <v>42251</v>
      </c>
      <c r="U978" s="33">
        <v>4307.38</v>
      </c>
      <c r="V978" s="36">
        <f t="shared" si="77"/>
        <v>4307.38</v>
      </c>
      <c r="W978" s="28"/>
      <c r="X978" s="31">
        <v>42334</v>
      </c>
      <c r="Y978" s="33">
        <v>4743</v>
      </c>
      <c r="Z978" s="189">
        <f t="shared" si="78"/>
        <v>4743</v>
      </c>
      <c r="AA978" s="190"/>
      <c r="AB978" s="31">
        <v>42258</v>
      </c>
      <c r="AC978" s="36">
        <v>4307.38</v>
      </c>
      <c r="AD978" s="8"/>
      <c r="AE978" s="6"/>
      <c r="AF978" s="52">
        <f t="shared" si="75"/>
        <v>181991112.38</v>
      </c>
      <c r="AG978" s="25">
        <f t="shared" si="76"/>
        <v>200790162</v>
      </c>
      <c r="AH978" s="52">
        <f t="shared" si="79"/>
        <v>182021264.03999999</v>
      </c>
      <c r="AI978" s="6"/>
      <c r="AJ978" s="6"/>
      <c r="AK978" s="6"/>
      <c r="AL978" s="6"/>
      <c r="AM978" s="6"/>
      <c r="AN978" s="6"/>
      <c r="AO978" s="6"/>
      <c r="AP978" s="6"/>
      <c r="AQ978" s="6"/>
      <c r="AR978" s="6"/>
    </row>
    <row r="979" spans="1:44">
      <c r="A979" s="6"/>
      <c r="B979" s="6"/>
      <c r="C979" s="6"/>
      <c r="D979" s="6"/>
      <c r="E979" s="6"/>
      <c r="F979" s="6"/>
      <c r="G979" s="11"/>
      <c r="H979" s="6"/>
      <c r="I979" s="6"/>
      <c r="J979" s="6"/>
      <c r="K979" s="7"/>
      <c r="L979" s="21" t="str">
        <f>микс!$H$11</f>
        <v>продажа под заказ</v>
      </c>
      <c r="M979" s="22"/>
      <c r="N979" s="22"/>
      <c r="O979" s="22" t="s">
        <v>138</v>
      </c>
      <c r="P979" s="23" t="str">
        <f>микс!$H$49</f>
        <v>Товары для детей</v>
      </c>
      <c r="Q979" s="21" t="s">
        <v>63</v>
      </c>
      <c r="R979" s="25">
        <v>1</v>
      </c>
      <c r="S979" s="28"/>
      <c r="T979" s="31">
        <v>42338</v>
      </c>
      <c r="U979" s="33">
        <v>3485</v>
      </c>
      <c r="V979" s="36">
        <f t="shared" si="77"/>
        <v>3485</v>
      </c>
      <c r="W979" s="28"/>
      <c r="X979" s="31">
        <v>42342</v>
      </c>
      <c r="Y979" s="33">
        <v>4064</v>
      </c>
      <c r="Z979" s="189">
        <f t="shared" si="78"/>
        <v>4064</v>
      </c>
      <c r="AA979" s="190"/>
      <c r="AB979" s="31">
        <v>42360</v>
      </c>
      <c r="AC979" s="36">
        <v>3485</v>
      </c>
      <c r="AD979" s="8"/>
      <c r="AE979" s="6"/>
      <c r="AF979" s="52">
        <f t="shared" si="75"/>
        <v>147547930</v>
      </c>
      <c r="AG979" s="25">
        <f t="shared" si="76"/>
        <v>172077888</v>
      </c>
      <c r="AH979" s="52">
        <f t="shared" si="79"/>
        <v>147624600</v>
      </c>
      <c r="AI979" s="6"/>
      <c r="AJ979" s="6"/>
      <c r="AK979" s="6"/>
      <c r="AL979" s="6"/>
      <c r="AM979" s="6"/>
      <c r="AN979" s="6"/>
      <c r="AO979" s="6"/>
      <c r="AP979" s="6"/>
      <c r="AQ979" s="6"/>
      <c r="AR979" s="6"/>
    </row>
    <row r="980" spans="1:44">
      <c r="A980" s="6"/>
      <c r="B980" s="6"/>
      <c r="C980" s="6"/>
      <c r="D980" s="6"/>
      <c r="E980" s="6"/>
      <c r="F980" s="6"/>
      <c r="G980" s="11"/>
      <c r="H980" s="6"/>
      <c r="I980" s="6"/>
      <c r="J980" s="6"/>
      <c r="K980" s="7"/>
      <c r="L980" s="21" t="str">
        <f>микс!$H$10</f>
        <v>продажа со склада</v>
      </c>
      <c r="M980" s="22"/>
      <c r="N980" s="22"/>
      <c r="O980" s="22" t="s">
        <v>138</v>
      </c>
      <c r="P980" s="23" t="str">
        <f>микс!$H$49</f>
        <v>Товары для детей</v>
      </c>
      <c r="Q980" s="21" t="s">
        <v>63</v>
      </c>
      <c r="R980" s="25">
        <v>1</v>
      </c>
      <c r="S980" s="28"/>
      <c r="T980" s="31">
        <v>42250</v>
      </c>
      <c r="U980" s="33">
        <v>1060</v>
      </c>
      <c r="V980" s="36">
        <f t="shared" si="77"/>
        <v>1060</v>
      </c>
      <c r="W980" s="28"/>
      <c r="X980" s="31">
        <v>42333</v>
      </c>
      <c r="Y980" s="33">
        <v>1154</v>
      </c>
      <c r="Z980" s="189">
        <f t="shared" si="78"/>
        <v>1154</v>
      </c>
      <c r="AA980" s="190"/>
      <c r="AB980" s="31">
        <v>42282</v>
      </c>
      <c r="AC980" s="36">
        <v>1060</v>
      </c>
      <c r="AD980" s="8"/>
      <c r="AE980" s="6"/>
      <c r="AF980" s="52">
        <f t="shared" si="75"/>
        <v>44785000</v>
      </c>
      <c r="AG980" s="25">
        <f t="shared" si="76"/>
        <v>48852282</v>
      </c>
      <c r="AH980" s="52">
        <f t="shared" si="79"/>
        <v>44818920</v>
      </c>
      <c r="AI980" s="6"/>
      <c r="AJ980" s="6"/>
      <c r="AK980" s="6"/>
      <c r="AL980" s="6"/>
      <c r="AM980" s="6"/>
      <c r="AN980" s="6"/>
      <c r="AO980" s="6"/>
      <c r="AP980" s="6"/>
      <c r="AQ980" s="6"/>
      <c r="AR980" s="6"/>
    </row>
    <row r="981" spans="1:44">
      <c r="A981" s="6"/>
      <c r="B981" s="6"/>
      <c r="C981" s="6"/>
      <c r="D981" s="6"/>
      <c r="E981" s="6"/>
      <c r="F981" s="6"/>
      <c r="G981" s="11"/>
      <c r="H981" s="6"/>
      <c r="I981" s="6"/>
      <c r="J981" s="6"/>
      <c r="K981" s="7"/>
      <c r="L981" s="21" t="str">
        <f>микс!$H$10</f>
        <v>продажа со склада</v>
      </c>
      <c r="M981" s="22"/>
      <c r="N981" s="22"/>
      <c r="O981" s="22" t="s">
        <v>138</v>
      </c>
      <c r="P981" s="23" t="str">
        <f>микс!$H$49</f>
        <v>Товары для детей</v>
      </c>
      <c r="Q981" s="21" t="s">
        <v>63</v>
      </c>
      <c r="R981" s="25">
        <v>1</v>
      </c>
      <c r="S981" s="28"/>
      <c r="T981" s="31">
        <v>42242</v>
      </c>
      <c r="U981" s="33">
        <v>1060</v>
      </c>
      <c r="V981" s="36">
        <f t="shared" si="77"/>
        <v>1060</v>
      </c>
      <c r="W981" s="28"/>
      <c r="X981" s="31">
        <v>42327</v>
      </c>
      <c r="Y981" s="33">
        <v>1260</v>
      </c>
      <c r="Z981" s="189">
        <f t="shared" si="78"/>
        <v>1260</v>
      </c>
      <c r="AA981" s="190"/>
      <c r="AB981" s="31">
        <v>42287</v>
      </c>
      <c r="AC981" s="36">
        <v>1060</v>
      </c>
      <c r="AD981" s="8"/>
      <c r="AE981" s="6"/>
      <c r="AF981" s="52">
        <f t="shared" si="75"/>
        <v>44776520</v>
      </c>
      <c r="AG981" s="25">
        <f t="shared" si="76"/>
        <v>53332020</v>
      </c>
      <c r="AH981" s="52">
        <f t="shared" si="79"/>
        <v>44824220</v>
      </c>
      <c r="AI981" s="6"/>
      <c r="AJ981" s="6"/>
      <c r="AK981" s="6"/>
      <c r="AL981" s="6"/>
      <c r="AM981" s="6"/>
      <c r="AN981" s="6"/>
      <c r="AO981" s="6"/>
      <c r="AP981" s="6"/>
      <c r="AQ981" s="6"/>
      <c r="AR981" s="6"/>
    </row>
    <row r="982" spans="1:44">
      <c r="A982" s="6"/>
      <c r="B982" s="6"/>
      <c r="C982" s="6"/>
      <c r="D982" s="6"/>
      <c r="E982" s="6"/>
      <c r="F982" s="6"/>
      <c r="G982" s="11"/>
      <c r="H982" s="6"/>
      <c r="I982" s="6"/>
      <c r="J982" s="6"/>
      <c r="K982" s="7"/>
      <c r="L982" s="21" t="str">
        <f>микс!$H$11</f>
        <v>продажа под заказ</v>
      </c>
      <c r="M982" s="22"/>
      <c r="N982" s="22"/>
      <c r="O982" s="22" t="s">
        <v>138</v>
      </c>
      <c r="P982" s="23" t="str">
        <f>микс!$H$49</f>
        <v>Товары для детей</v>
      </c>
      <c r="Q982" s="21" t="s">
        <v>63</v>
      </c>
      <c r="R982" s="25">
        <v>2</v>
      </c>
      <c r="S982" s="28"/>
      <c r="T982" s="31">
        <v>42308</v>
      </c>
      <c r="U982" s="33">
        <v>1060</v>
      </c>
      <c r="V982" s="36">
        <f t="shared" si="77"/>
        <v>2120</v>
      </c>
      <c r="W982" s="28"/>
      <c r="X982" s="31">
        <v>42328</v>
      </c>
      <c r="Y982" s="33">
        <v>1250</v>
      </c>
      <c r="Z982" s="189">
        <f t="shared" si="78"/>
        <v>2500</v>
      </c>
      <c r="AA982" s="190"/>
      <c r="AB982" s="31">
        <v>42346</v>
      </c>
      <c r="AC982" s="36">
        <v>2120</v>
      </c>
      <c r="AD982" s="8"/>
      <c r="AE982" s="6"/>
      <c r="AF982" s="52">
        <f t="shared" si="75"/>
        <v>89692960</v>
      </c>
      <c r="AG982" s="25">
        <f t="shared" si="76"/>
        <v>105820000</v>
      </c>
      <c r="AH982" s="52">
        <f t="shared" si="79"/>
        <v>89773520</v>
      </c>
      <c r="AI982" s="6"/>
      <c r="AJ982" s="6"/>
      <c r="AK982" s="6"/>
      <c r="AL982" s="6"/>
      <c r="AM982" s="6"/>
      <c r="AN982" s="6"/>
      <c r="AO982" s="6"/>
      <c r="AP982" s="6"/>
      <c r="AQ982" s="6"/>
      <c r="AR982" s="6"/>
    </row>
    <row r="983" spans="1:44">
      <c r="A983" s="6"/>
      <c r="B983" s="6"/>
      <c r="C983" s="6"/>
      <c r="D983" s="6"/>
      <c r="E983" s="6"/>
      <c r="F983" s="6"/>
      <c r="G983" s="11"/>
      <c r="H983" s="6"/>
      <c r="I983" s="6"/>
      <c r="J983" s="6"/>
      <c r="K983" s="7"/>
      <c r="L983" s="21" t="str">
        <f>микс!$H$11</f>
        <v>продажа под заказ</v>
      </c>
      <c r="M983" s="22"/>
      <c r="N983" s="22"/>
      <c r="O983" s="22" t="s">
        <v>138</v>
      </c>
      <c r="P983" s="23" t="str">
        <f>микс!$H$49</f>
        <v>Товары для детей</v>
      </c>
      <c r="Q983" s="21" t="s">
        <v>63</v>
      </c>
      <c r="R983" s="25">
        <v>1</v>
      </c>
      <c r="S983" s="28"/>
      <c r="T983" s="31">
        <v>42317</v>
      </c>
      <c r="U983" s="33">
        <v>2900</v>
      </c>
      <c r="V983" s="36">
        <f t="shared" si="77"/>
        <v>2900</v>
      </c>
      <c r="W983" s="28"/>
      <c r="X983" s="31">
        <v>42320</v>
      </c>
      <c r="Y983" s="33">
        <v>4504</v>
      </c>
      <c r="Z983" s="189">
        <f t="shared" si="78"/>
        <v>4504</v>
      </c>
      <c r="AA983" s="190"/>
      <c r="AB983" s="31">
        <v>42329</v>
      </c>
      <c r="AC983" s="36">
        <v>2900</v>
      </c>
      <c r="AD983" s="8"/>
      <c r="AE983" s="6"/>
      <c r="AF983" s="52">
        <f t="shared" si="75"/>
        <v>122719300</v>
      </c>
      <c r="AG983" s="25">
        <f t="shared" si="76"/>
        <v>190609280</v>
      </c>
      <c r="AH983" s="52">
        <f t="shared" si="79"/>
        <v>122754100</v>
      </c>
      <c r="AI983" s="6"/>
      <c r="AJ983" s="6"/>
      <c r="AK983" s="6"/>
      <c r="AL983" s="6"/>
      <c r="AM983" s="6"/>
      <c r="AN983" s="6"/>
      <c r="AO983" s="6"/>
      <c r="AP983" s="6"/>
      <c r="AQ983" s="6"/>
      <c r="AR983" s="6"/>
    </row>
    <row r="984" spans="1:44">
      <c r="A984" s="6"/>
      <c r="B984" s="6"/>
      <c r="C984" s="6"/>
      <c r="D984" s="6"/>
      <c r="E984" s="6"/>
      <c r="F984" s="6"/>
      <c r="G984" s="11"/>
      <c r="H984" s="6"/>
      <c r="I984" s="6"/>
      <c r="J984" s="6"/>
      <c r="K984" s="7"/>
      <c r="L984" s="21" t="str">
        <f>микс!$H$11</f>
        <v>продажа под заказ</v>
      </c>
      <c r="M984" s="22"/>
      <c r="N984" s="22"/>
      <c r="O984" s="22" t="s">
        <v>138</v>
      </c>
      <c r="P984" s="23" t="str">
        <f>микс!$H$49</f>
        <v>Товары для детей</v>
      </c>
      <c r="Q984" s="21" t="s">
        <v>63</v>
      </c>
      <c r="R984" s="25">
        <v>1</v>
      </c>
      <c r="S984" s="28"/>
      <c r="T984" s="31">
        <v>42328</v>
      </c>
      <c r="U984" s="33">
        <v>2900</v>
      </c>
      <c r="V984" s="36">
        <f t="shared" si="77"/>
        <v>2900</v>
      </c>
      <c r="W984" s="28"/>
      <c r="X984" s="31">
        <v>42332</v>
      </c>
      <c r="Y984" s="33">
        <v>3349</v>
      </c>
      <c r="Z984" s="189">
        <f t="shared" si="78"/>
        <v>3349</v>
      </c>
      <c r="AA984" s="190"/>
      <c r="AB984" s="31"/>
      <c r="AC984" s="36"/>
      <c r="AD984" s="8"/>
      <c r="AE984" s="6"/>
      <c r="AF984" s="52">
        <f t="shared" si="75"/>
        <v>122751200</v>
      </c>
      <c r="AG984" s="25">
        <f t="shared" si="76"/>
        <v>141769868</v>
      </c>
      <c r="AH984" s="52">
        <f t="shared" si="79"/>
        <v>0</v>
      </c>
      <c r="AI984" s="6"/>
      <c r="AJ984" s="6"/>
      <c r="AK984" s="6"/>
      <c r="AL984" s="6"/>
      <c r="AM984" s="6"/>
      <c r="AN984" s="6"/>
      <c r="AO984" s="6"/>
      <c r="AP984" s="6"/>
      <c r="AQ984" s="6"/>
      <c r="AR984" s="6"/>
    </row>
    <row r="985" spans="1:44">
      <c r="A985" s="6"/>
      <c r="B985" s="6"/>
      <c r="C985" s="6"/>
      <c r="D985" s="6"/>
      <c r="E985" s="6"/>
      <c r="F985" s="6"/>
      <c r="G985" s="11"/>
      <c r="H985" s="6"/>
      <c r="I985" s="6"/>
      <c r="J985" s="6"/>
      <c r="K985" s="7"/>
      <c r="L985" s="21" t="str">
        <f>микс!$H$11</f>
        <v>продажа под заказ</v>
      </c>
      <c r="M985" s="22"/>
      <c r="N985" s="22"/>
      <c r="O985" s="22" t="s">
        <v>138</v>
      </c>
      <c r="P985" s="23" t="str">
        <f>микс!$H$49</f>
        <v>Товары для детей</v>
      </c>
      <c r="Q985" s="21" t="s">
        <v>63</v>
      </c>
      <c r="R985" s="25">
        <v>1</v>
      </c>
      <c r="S985" s="28"/>
      <c r="T985" s="31">
        <v>42321</v>
      </c>
      <c r="U985" s="33">
        <v>3450</v>
      </c>
      <c r="V985" s="36">
        <f t="shared" si="77"/>
        <v>3450</v>
      </c>
      <c r="W985" s="28"/>
      <c r="X985" s="31">
        <v>42325</v>
      </c>
      <c r="Y985" s="33">
        <v>4118</v>
      </c>
      <c r="Z985" s="189">
        <f t="shared" si="78"/>
        <v>4118</v>
      </c>
      <c r="AA985" s="190"/>
      <c r="AB985" s="31">
        <v>42341</v>
      </c>
      <c r="AC985" s="36">
        <v>3450</v>
      </c>
      <c r="AD985" s="8"/>
      <c r="AE985" s="6"/>
      <c r="AF985" s="52">
        <f t="shared" si="75"/>
        <v>146007450</v>
      </c>
      <c r="AG985" s="25">
        <f t="shared" si="76"/>
        <v>174294350</v>
      </c>
      <c r="AH985" s="52">
        <f t="shared" si="79"/>
        <v>146076450</v>
      </c>
      <c r="AI985" s="6"/>
      <c r="AJ985" s="6"/>
      <c r="AK985" s="6"/>
      <c r="AL985" s="6"/>
      <c r="AM985" s="6"/>
      <c r="AN985" s="6"/>
      <c r="AO985" s="6"/>
      <c r="AP985" s="6"/>
      <c r="AQ985" s="6"/>
      <c r="AR985" s="6"/>
    </row>
    <row r="986" spans="1:44">
      <c r="A986" s="6"/>
      <c r="B986" s="6"/>
      <c r="C986" s="6"/>
      <c r="D986" s="6"/>
      <c r="E986" s="6"/>
      <c r="F986" s="6"/>
      <c r="G986" s="11"/>
      <c r="H986" s="6"/>
      <c r="I986" s="6"/>
      <c r="J986" s="6"/>
      <c r="K986" s="7"/>
      <c r="L986" s="21" t="str">
        <f>микс!$H$11</f>
        <v>продажа под заказ</v>
      </c>
      <c r="M986" s="22"/>
      <c r="N986" s="22"/>
      <c r="O986" s="22" t="s">
        <v>138</v>
      </c>
      <c r="P986" s="23" t="str">
        <f>микс!$H$49</f>
        <v>Товары для детей</v>
      </c>
      <c r="Q986" s="21" t="s">
        <v>63</v>
      </c>
      <c r="R986" s="25">
        <v>1</v>
      </c>
      <c r="S986" s="28"/>
      <c r="T986" s="31">
        <v>42334</v>
      </c>
      <c r="U986" s="33">
        <v>3450</v>
      </c>
      <c r="V986" s="36">
        <f t="shared" si="77"/>
        <v>3450</v>
      </c>
      <c r="W986" s="28"/>
      <c r="X986" s="31">
        <v>42340</v>
      </c>
      <c r="Y986" s="33">
        <v>3750</v>
      </c>
      <c r="Z986" s="189">
        <f t="shared" si="78"/>
        <v>3750</v>
      </c>
      <c r="AA986" s="190"/>
      <c r="AB986" s="31">
        <v>42364</v>
      </c>
      <c r="AC986" s="36">
        <v>3450</v>
      </c>
      <c r="AD986" s="8"/>
      <c r="AE986" s="6"/>
      <c r="AF986" s="52">
        <f t="shared" si="75"/>
        <v>146052300</v>
      </c>
      <c r="AG986" s="25">
        <f t="shared" si="76"/>
        <v>158775000</v>
      </c>
      <c r="AH986" s="52">
        <f t="shared" si="79"/>
        <v>146155800</v>
      </c>
      <c r="AI986" s="6"/>
      <c r="AJ986" s="6"/>
      <c r="AK986" s="6"/>
      <c r="AL986" s="6"/>
      <c r="AM986" s="6"/>
      <c r="AN986" s="6"/>
      <c r="AO986" s="6"/>
      <c r="AP986" s="6"/>
      <c r="AQ986" s="6"/>
      <c r="AR986" s="6"/>
    </row>
    <row r="987" spans="1:44">
      <c r="A987" s="6"/>
      <c r="B987" s="6"/>
      <c r="C987" s="6"/>
      <c r="D987" s="6"/>
      <c r="E987" s="6"/>
      <c r="F987" s="6"/>
      <c r="G987" s="11"/>
      <c r="H987" s="6"/>
      <c r="I987" s="6"/>
      <c r="J987" s="6"/>
      <c r="K987" s="7"/>
      <c r="L987" s="21" t="str">
        <f>микс!$H$11</f>
        <v>продажа под заказ</v>
      </c>
      <c r="M987" s="22"/>
      <c r="N987" s="22"/>
      <c r="O987" s="22" t="s">
        <v>138</v>
      </c>
      <c r="P987" s="23" t="str">
        <f>микс!$H$49</f>
        <v>Товары для детей</v>
      </c>
      <c r="Q987" s="21" t="s">
        <v>63</v>
      </c>
      <c r="R987" s="25">
        <v>1</v>
      </c>
      <c r="S987" s="28"/>
      <c r="T987" s="31">
        <v>42334</v>
      </c>
      <c r="U987" s="33">
        <v>3450</v>
      </c>
      <c r="V987" s="36">
        <f t="shared" si="77"/>
        <v>3450</v>
      </c>
      <c r="W987" s="28"/>
      <c r="X987" s="31">
        <v>42337</v>
      </c>
      <c r="Y987" s="33">
        <v>3999</v>
      </c>
      <c r="Z987" s="189">
        <f t="shared" si="78"/>
        <v>3999</v>
      </c>
      <c r="AA987" s="190"/>
      <c r="AB987" s="31">
        <v>42364</v>
      </c>
      <c r="AC987" s="36">
        <v>3450</v>
      </c>
      <c r="AD987" s="8"/>
      <c r="AE987" s="6"/>
      <c r="AF987" s="52">
        <f t="shared" si="75"/>
        <v>146052300</v>
      </c>
      <c r="AG987" s="25">
        <f t="shared" si="76"/>
        <v>169305663</v>
      </c>
      <c r="AH987" s="52">
        <f t="shared" si="79"/>
        <v>146155800</v>
      </c>
      <c r="AI987" s="6"/>
      <c r="AJ987" s="6"/>
      <c r="AK987" s="6"/>
      <c r="AL987" s="6"/>
      <c r="AM987" s="6"/>
      <c r="AN987" s="6"/>
      <c r="AO987" s="6"/>
      <c r="AP987" s="6"/>
      <c r="AQ987" s="6"/>
      <c r="AR987" s="6"/>
    </row>
    <row r="988" spans="1:44">
      <c r="A988" s="6"/>
      <c r="B988" s="6"/>
      <c r="C988" s="6"/>
      <c r="D988" s="6"/>
      <c r="E988" s="6"/>
      <c r="F988" s="6"/>
      <c r="G988" s="11"/>
      <c r="H988" s="6"/>
      <c r="I988" s="6"/>
      <c r="J988" s="6"/>
      <c r="K988" s="7"/>
      <c r="L988" s="21" t="str">
        <f>микс!$H$11</f>
        <v>продажа под заказ</v>
      </c>
      <c r="M988" s="22"/>
      <c r="N988" s="22"/>
      <c r="O988" s="22" t="s">
        <v>138</v>
      </c>
      <c r="P988" s="23" t="str">
        <f>микс!$H$49</f>
        <v>Товары для детей</v>
      </c>
      <c r="Q988" s="21" t="s">
        <v>63</v>
      </c>
      <c r="R988" s="25">
        <v>1</v>
      </c>
      <c r="S988" s="28"/>
      <c r="T988" s="31">
        <v>42337</v>
      </c>
      <c r="U988" s="33">
        <v>3450</v>
      </c>
      <c r="V988" s="36">
        <f t="shared" si="77"/>
        <v>3450</v>
      </c>
      <c r="W988" s="28"/>
      <c r="X988" s="31">
        <v>42350</v>
      </c>
      <c r="Y988" s="33">
        <v>3637</v>
      </c>
      <c r="Z988" s="189">
        <f t="shared" si="78"/>
        <v>3637</v>
      </c>
      <c r="AA988" s="190"/>
      <c r="AB988" s="31"/>
      <c r="AC988" s="36"/>
      <c r="AD988" s="8"/>
      <c r="AE988" s="6"/>
      <c r="AF988" s="52">
        <f t="shared" si="75"/>
        <v>146062650</v>
      </c>
      <c r="AG988" s="25">
        <f t="shared" si="76"/>
        <v>154026950</v>
      </c>
      <c r="AH988" s="52">
        <f t="shared" si="79"/>
        <v>0</v>
      </c>
      <c r="AI988" s="6"/>
      <c r="AJ988" s="6"/>
      <c r="AK988" s="6"/>
      <c r="AL988" s="6"/>
      <c r="AM988" s="6"/>
      <c r="AN988" s="6"/>
      <c r="AO988" s="6"/>
      <c r="AP988" s="6"/>
      <c r="AQ988" s="6"/>
      <c r="AR988" s="6"/>
    </row>
    <row r="989" spans="1:44">
      <c r="A989" s="6"/>
      <c r="B989" s="6"/>
      <c r="C989" s="6"/>
      <c r="D989" s="6"/>
      <c r="E989" s="6"/>
      <c r="F989" s="6"/>
      <c r="G989" s="11"/>
      <c r="H989" s="6"/>
      <c r="I989" s="6"/>
      <c r="J989" s="6"/>
      <c r="K989" s="7"/>
      <c r="L989" s="21" t="str">
        <f>микс!$H$11</f>
        <v>продажа под заказ</v>
      </c>
      <c r="M989" s="22"/>
      <c r="N989" s="22"/>
      <c r="O989" s="22" t="s">
        <v>138</v>
      </c>
      <c r="P989" s="23" t="str">
        <f>микс!$H$49</f>
        <v>Товары для детей</v>
      </c>
      <c r="Q989" s="21" t="s">
        <v>63</v>
      </c>
      <c r="R989" s="25">
        <v>1</v>
      </c>
      <c r="S989" s="28"/>
      <c r="T989" s="31">
        <v>42335</v>
      </c>
      <c r="U989" s="33">
        <v>3450</v>
      </c>
      <c r="V989" s="36">
        <f t="shared" si="77"/>
        <v>3450</v>
      </c>
      <c r="W989" s="28"/>
      <c r="X989" s="31">
        <v>42347</v>
      </c>
      <c r="Y989" s="33">
        <v>3637</v>
      </c>
      <c r="Z989" s="189">
        <f t="shared" si="78"/>
        <v>3637</v>
      </c>
      <c r="AA989" s="190"/>
      <c r="AB989" s="31"/>
      <c r="AC989" s="36"/>
      <c r="AD989" s="8"/>
      <c r="AE989" s="6"/>
      <c r="AF989" s="52">
        <f t="shared" si="75"/>
        <v>146055750</v>
      </c>
      <c r="AG989" s="25">
        <f t="shared" si="76"/>
        <v>154016039</v>
      </c>
      <c r="AH989" s="52">
        <f t="shared" si="79"/>
        <v>0</v>
      </c>
      <c r="AI989" s="6"/>
      <c r="AJ989" s="6"/>
      <c r="AK989" s="6"/>
      <c r="AL989" s="6"/>
      <c r="AM989" s="6"/>
      <c r="AN989" s="6"/>
      <c r="AO989" s="6"/>
      <c r="AP989" s="6"/>
      <c r="AQ989" s="6"/>
      <c r="AR989" s="6"/>
    </row>
    <row r="990" spans="1:44">
      <c r="A990" s="6"/>
      <c r="B990" s="6"/>
      <c r="C990" s="6"/>
      <c r="D990" s="6"/>
      <c r="E990" s="6"/>
      <c r="F990" s="6"/>
      <c r="G990" s="11"/>
      <c r="H990" s="6"/>
      <c r="I990" s="6"/>
      <c r="J990" s="6"/>
      <c r="K990" s="7"/>
      <c r="L990" s="21" t="str">
        <f>микс!$H$11</f>
        <v>продажа под заказ</v>
      </c>
      <c r="M990" s="22"/>
      <c r="N990" s="22"/>
      <c r="O990" s="22" t="s">
        <v>138</v>
      </c>
      <c r="P990" s="23" t="str">
        <f>микс!$H$49</f>
        <v>Товары для детей</v>
      </c>
      <c r="Q990" s="21" t="s">
        <v>63</v>
      </c>
      <c r="R990" s="25">
        <v>1</v>
      </c>
      <c r="S990" s="28"/>
      <c r="T990" s="31">
        <v>42332</v>
      </c>
      <c r="U990" s="33">
        <v>3450</v>
      </c>
      <c r="V990" s="36">
        <f t="shared" si="77"/>
        <v>3450</v>
      </c>
      <c r="W990" s="28"/>
      <c r="X990" s="31">
        <v>42335</v>
      </c>
      <c r="Y990" s="33">
        <v>3830</v>
      </c>
      <c r="Z990" s="189">
        <f t="shared" si="78"/>
        <v>3830</v>
      </c>
      <c r="AA990" s="190"/>
      <c r="AB990" s="31"/>
      <c r="AC990" s="36"/>
      <c r="AD990" s="8"/>
      <c r="AE990" s="6"/>
      <c r="AF990" s="52">
        <f t="shared" si="75"/>
        <v>146045400</v>
      </c>
      <c r="AG990" s="25">
        <f t="shared" si="76"/>
        <v>162143050</v>
      </c>
      <c r="AH990" s="52">
        <f t="shared" si="79"/>
        <v>0</v>
      </c>
      <c r="AI990" s="6"/>
      <c r="AJ990" s="6"/>
      <c r="AK990" s="6"/>
      <c r="AL990" s="6"/>
      <c r="AM990" s="6"/>
      <c r="AN990" s="6"/>
      <c r="AO990" s="6"/>
      <c r="AP990" s="6"/>
      <c r="AQ990" s="6"/>
      <c r="AR990" s="6"/>
    </row>
    <row r="991" spans="1:44">
      <c r="A991" s="6"/>
      <c r="B991" s="6"/>
      <c r="C991" s="6"/>
      <c r="D991" s="6"/>
      <c r="E991" s="6"/>
      <c r="F991" s="6"/>
      <c r="G991" s="11"/>
      <c r="H991" s="6"/>
      <c r="I991" s="6"/>
      <c r="J991" s="6"/>
      <c r="K991" s="7"/>
      <c r="L991" s="21" t="str">
        <f>микс!$H$11</f>
        <v>продажа под заказ</v>
      </c>
      <c r="M991" s="22"/>
      <c r="N991" s="22"/>
      <c r="O991" s="22" t="s">
        <v>138</v>
      </c>
      <c r="P991" s="23" t="str">
        <f>микс!$H$49</f>
        <v>Товары для детей</v>
      </c>
      <c r="Q991" s="21" t="s">
        <v>59</v>
      </c>
      <c r="R991" s="25">
        <v>1</v>
      </c>
      <c r="S991" s="28"/>
      <c r="T991" s="31">
        <v>42335</v>
      </c>
      <c r="U991" s="33">
        <v>3100</v>
      </c>
      <c r="V991" s="36">
        <f t="shared" si="77"/>
        <v>3100</v>
      </c>
      <c r="W991" s="28"/>
      <c r="X991" s="31">
        <v>42343</v>
      </c>
      <c r="Y991" s="33">
        <v>3336</v>
      </c>
      <c r="Z991" s="189">
        <f t="shared" si="78"/>
        <v>3336</v>
      </c>
      <c r="AA991" s="190"/>
      <c r="AB991" s="31"/>
      <c r="AC991" s="36"/>
      <c r="AD991" s="8"/>
      <c r="AE991" s="6"/>
      <c r="AF991" s="52">
        <f t="shared" si="75"/>
        <v>131238500</v>
      </c>
      <c r="AG991" s="25">
        <f t="shared" si="76"/>
        <v>141256248</v>
      </c>
      <c r="AH991" s="52">
        <f t="shared" si="79"/>
        <v>0</v>
      </c>
      <c r="AI991" s="6"/>
      <c r="AJ991" s="6"/>
      <c r="AK991" s="6"/>
      <c r="AL991" s="6"/>
      <c r="AM991" s="6"/>
      <c r="AN991" s="6"/>
      <c r="AO991" s="6"/>
      <c r="AP991" s="6"/>
      <c r="AQ991" s="6"/>
      <c r="AR991" s="6"/>
    </row>
    <row r="992" spans="1:44">
      <c r="A992" s="6"/>
      <c r="B992" s="6"/>
      <c r="C992" s="6"/>
      <c r="D992" s="6"/>
      <c r="E992" s="6"/>
      <c r="F992" s="6"/>
      <c r="G992" s="11"/>
      <c r="H992" s="6"/>
      <c r="I992" s="6"/>
      <c r="J992" s="6"/>
      <c r="K992" s="7"/>
      <c r="L992" s="21" t="str">
        <f>микс!$H$11</f>
        <v>продажа под заказ</v>
      </c>
      <c r="M992" s="22"/>
      <c r="N992" s="22"/>
      <c r="O992" s="22" t="s">
        <v>138</v>
      </c>
      <c r="P992" s="23" t="str">
        <f>микс!$H$49</f>
        <v>Товары для детей</v>
      </c>
      <c r="Q992" s="21" t="s">
        <v>59</v>
      </c>
      <c r="R992" s="25">
        <v>1</v>
      </c>
      <c r="S992" s="28"/>
      <c r="T992" s="31">
        <v>42337</v>
      </c>
      <c r="U992" s="33">
        <v>3100</v>
      </c>
      <c r="V992" s="36">
        <f t="shared" si="77"/>
        <v>3100</v>
      </c>
      <c r="W992" s="28"/>
      <c r="X992" s="31">
        <v>42341</v>
      </c>
      <c r="Y992" s="33">
        <v>3336</v>
      </c>
      <c r="Z992" s="189">
        <f t="shared" si="78"/>
        <v>3336</v>
      </c>
      <c r="AA992" s="190"/>
      <c r="AB992" s="31">
        <v>42367</v>
      </c>
      <c r="AC992" s="36">
        <v>3100</v>
      </c>
      <c r="AD992" s="8"/>
      <c r="AE992" s="6"/>
      <c r="AF992" s="52">
        <f t="shared" si="75"/>
        <v>131244700</v>
      </c>
      <c r="AG992" s="25">
        <f t="shared" si="76"/>
        <v>141249576</v>
      </c>
      <c r="AH992" s="52">
        <f t="shared" si="79"/>
        <v>131337700</v>
      </c>
      <c r="AI992" s="6"/>
      <c r="AJ992" s="6"/>
      <c r="AK992" s="6"/>
      <c r="AL992" s="6"/>
      <c r="AM992" s="6"/>
      <c r="AN992" s="6"/>
      <c r="AO992" s="6"/>
      <c r="AP992" s="6"/>
      <c r="AQ992" s="6"/>
      <c r="AR992" s="6"/>
    </row>
    <row r="993" spans="1:44">
      <c r="A993" s="6"/>
      <c r="B993" s="6"/>
      <c r="C993" s="6"/>
      <c r="D993" s="6"/>
      <c r="E993" s="6"/>
      <c r="F993" s="6"/>
      <c r="G993" s="11"/>
      <c r="H993" s="6"/>
      <c r="I993" s="6"/>
      <c r="J993" s="6"/>
      <c r="K993" s="7"/>
      <c r="L993" s="21" t="str">
        <f>микс!$H$10</f>
        <v>продажа со склада</v>
      </c>
      <c r="M993" s="22"/>
      <c r="N993" s="22"/>
      <c r="O993" s="22" t="s">
        <v>137</v>
      </c>
      <c r="P993" s="23" t="str">
        <f>микс!$H$46</f>
        <v>Электроника и бытовая техника</v>
      </c>
      <c r="Q993" s="21" t="s">
        <v>100</v>
      </c>
      <c r="R993" s="25">
        <v>1</v>
      </c>
      <c r="S993" s="28"/>
      <c r="T993" s="31">
        <v>42249</v>
      </c>
      <c r="U993" s="33">
        <v>3341.34</v>
      </c>
      <c r="V993" s="36">
        <f t="shared" si="77"/>
        <v>3341.34</v>
      </c>
      <c r="W993" s="28"/>
      <c r="X993" s="31">
        <v>42331</v>
      </c>
      <c r="Y993" s="33">
        <v>3569</v>
      </c>
      <c r="Z993" s="189">
        <f t="shared" si="78"/>
        <v>3569</v>
      </c>
      <c r="AA993" s="190"/>
      <c r="AB993" s="31">
        <v>42269</v>
      </c>
      <c r="AC993" s="36">
        <v>3341.34</v>
      </c>
      <c r="AD993" s="8"/>
      <c r="AE993" s="6"/>
      <c r="AF993" s="52">
        <f t="shared" si="75"/>
        <v>141168273.66</v>
      </c>
      <c r="AG993" s="25">
        <f t="shared" si="76"/>
        <v>151079339</v>
      </c>
      <c r="AH993" s="52">
        <f t="shared" si="79"/>
        <v>141235100.46000001</v>
      </c>
      <c r="AI993" s="6"/>
      <c r="AJ993" s="6"/>
      <c r="AK993" s="6"/>
      <c r="AL993" s="6"/>
      <c r="AM993" s="6"/>
      <c r="AN993" s="6"/>
      <c r="AO993" s="6"/>
      <c r="AP993" s="6"/>
      <c r="AQ993" s="6"/>
      <c r="AR993" s="6"/>
    </row>
    <row r="994" spans="1:44">
      <c r="A994" s="6"/>
      <c r="B994" s="6"/>
      <c r="C994" s="6"/>
      <c r="D994" s="6"/>
      <c r="E994" s="6"/>
      <c r="F994" s="6"/>
      <c r="G994" s="11"/>
      <c r="H994" s="6"/>
      <c r="I994" s="6"/>
      <c r="J994" s="6"/>
      <c r="K994" s="7"/>
      <c r="L994" s="21" t="str">
        <f>микс!$H$10</f>
        <v>продажа со склада</v>
      </c>
      <c r="M994" s="22"/>
      <c r="N994" s="22"/>
      <c r="O994" s="22" t="s">
        <v>142</v>
      </c>
      <c r="P994" s="23" t="str">
        <f>микс!$H$47</f>
        <v>Домашнее хозяйство</v>
      </c>
      <c r="Q994" s="21" t="s">
        <v>112</v>
      </c>
      <c r="R994" s="25">
        <v>1</v>
      </c>
      <c r="S994" s="28"/>
      <c r="T994" s="31">
        <v>42239</v>
      </c>
      <c r="U994" s="33">
        <v>2773.17</v>
      </c>
      <c r="V994" s="36">
        <f t="shared" si="77"/>
        <v>2773.17</v>
      </c>
      <c r="W994" s="28"/>
      <c r="X994" s="31">
        <v>42322</v>
      </c>
      <c r="Y994" s="33">
        <v>1757</v>
      </c>
      <c r="Z994" s="189">
        <f t="shared" si="78"/>
        <v>1757</v>
      </c>
      <c r="AA994" s="190"/>
      <c r="AB994" s="31">
        <v>42249</v>
      </c>
      <c r="AC994" s="36">
        <v>2773.17</v>
      </c>
      <c r="AD994" s="8"/>
      <c r="AE994" s="6"/>
      <c r="AF994" s="52">
        <f t="shared" si="75"/>
        <v>117135927.63000001</v>
      </c>
      <c r="AG994" s="25">
        <f t="shared" si="76"/>
        <v>74359754</v>
      </c>
      <c r="AH994" s="52">
        <f t="shared" si="79"/>
        <v>117163659.33</v>
      </c>
      <c r="AI994" s="6"/>
      <c r="AJ994" s="6"/>
      <c r="AK994" s="6"/>
      <c r="AL994" s="6"/>
      <c r="AM994" s="6"/>
      <c r="AN994" s="6"/>
      <c r="AO994" s="6"/>
      <c r="AP994" s="6"/>
      <c r="AQ994" s="6"/>
      <c r="AR994" s="6"/>
    </row>
    <row r="995" spans="1:44">
      <c r="A995" s="6"/>
      <c r="B995" s="6"/>
      <c r="C995" s="6"/>
      <c r="D995" s="6"/>
      <c r="E995" s="6"/>
      <c r="F995" s="6"/>
      <c r="G995" s="11"/>
      <c r="H995" s="6"/>
      <c r="I995" s="6"/>
      <c r="J995" s="6"/>
      <c r="K995" s="7"/>
      <c r="L995" s="21" t="str">
        <f>микс!$H$10</f>
        <v>продажа со склада</v>
      </c>
      <c r="M995" s="22"/>
      <c r="N995" s="22"/>
      <c r="O995" s="22" t="s">
        <v>142</v>
      </c>
      <c r="P995" s="23" t="str">
        <f>микс!$H$47</f>
        <v>Домашнее хозяйство</v>
      </c>
      <c r="Q995" s="21" t="s">
        <v>112</v>
      </c>
      <c r="R995" s="25">
        <v>1</v>
      </c>
      <c r="S995" s="28"/>
      <c r="T995" s="31">
        <v>42238</v>
      </c>
      <c r="U995" s="33">
        <v>2773.17</v>
      </c>
      <c r="V995" s="36">
        <f t="shared" si="77"/>
        <v>2773.17</v>
      </c>
      <c r="W995" s="28"/>
      <c r="X995" s="31">
        <v>42319</v>
      </c>
      <c r="Y995" s="33">
        <v>1757</v>
      </c>
      <c r="Z995" s="189">
        <f t="shared" si="78"/>
        <v>1757</v>
      </c>
      <c r="AA995" s="190"/>
      <c r="AB995" s="31">
        <v>42248</v>
      </c>
      <c r="AC995" s="36">
        <v>2773.17</v>
      </c>
      <c r="AD995" s="8"/>
      <c r="AE995" s="6"/>
      <c r="AF995" s="52">
        <f t="shared" si="75"/>
        <v>117133154.46000001</v>
      </c>
      <c r="AG995" s="25">
        <f t="shared" si="76"/>
        <v>74354483</v>
      </c>
      <c r="AH995" s="52">
        <f t="shared" si="79"/>
        <v>117160886.16</v>
      </c>
      <c r="AI995" s="6"/>
      <c r="AJ995" s="6"/>
      <c r="AK995" s="6"/>
      <c r="AL995" s="6"/>
      <c r="AM995" s="6"/>
      <c r="AN995" s="6"/>
      <c r="AO995" s="6"/>
      <c r="AP995" s="6"/>
      <c r="AQ995" s="6"/>
      <c r="AR995" s="6"/>
    </row>
    <row r="996" spans="1:44">
      <c r="A996" s="6"/>
      <c r="B996" s="6"/>
      <c r="C996" s="6"/>
      <c r="D996" s="6"/>
      <c r="E996" s="6"/>
      <c r="F996" s="6"/>
      <c r="G996" s="11"/>
      <c r="H996" s="6"/>
      <c r="I996" s="6"/>
      <c r="J996" s="6"/>
      <c r="K996" s="7"/>
      <c r="L996" s="21" t="str">
        <f>микс!$H$10</f>
        <v>продажа со склада</v>
      </c>
      <c r="M996" s="22"/>
      <c r="N996" s="22"/>
      <c r="O996" s="22" t="s">
        <v>142</v>
      </c>
      <c r="P996" s="23" t="str">
        <f>микс!$H$47</f>
        <v>Домашнее хозяйство</v>
      </c>
      <c r="Q996" s="21" t="s">
        <v>112</v>
      </c>
      <c r="R996" s="25">
        <v>5</v>
      </c>
      <c r="S996" s="28"/>
      <c r="T996" s="31">
        <v>42226</v>
      </c>
      <c r="U996" s="33">
        <v>2909</v>
      </c>
      <c r="V996" s="36">
        <f t="shared" si="77"/>
        <v>14545</v>
      </c>
      <c r="W996" s="28"/>
      <c r="X996" s="31">
        <v>42307</v>
      </c>
      <c r="Y996" s="33">
        <v>3030</v>
      </c>
      <c r="Z996" s="189">
        <f t="shared" si="78"/>
        <v>15150</v>
      </c>
      <c r="AA996" s="190"/>
      <c r="AB996" s="31">
        <v>42256</v>
      </c>
      <c r="AC996" s="36">
        <v>14545</v>
      </c>
      <c r="AD996" s="8"/>
      <c r="AE996" s="6"/>
      <c r="AF996" s="52">
        <f t="shared" si="75"/>
        <v>614177170</v>
      </c>
      <c r="AG996" s="25">
        <f t="shared" si="76"/>
        <v>640951050</v>
      </c>
      <c r="AH996" s="52">
        <f t="shared" si="79"/>
        <v>614613520</v>
      </c>
      <c r="AI996" s="6"/>
      <c r="AJ996" s="6"/>
      <c r="AK996" s="6"/>
      <c r="AL996" s="6"/>
      <c r="AM996" s="6"/>
      <c r="AN996" s="6"/>
      <c r="AO996" s="6"/>
      <c r="AP996" s="6"/>
      <c r="AQ996" s="6"/>
      <c r="AR996" s="6"/>
    </row>
    <row r="997" spans="1:44">
      <c r="A997" s="6"/>
      <c r="B997" s="6"/>
      <c r="C997" s="6"/>
      <c r="D997" s="6"/>
      <c r="E997" s="6"/>
      <c r="F997" s="6"/>
      <c r="G997" s="11"/>
      <c r="H997" s="6"/>
      <c r="I997" s="6"/>
      <c r="J997" s="6"/>
      <c r="K997" s="7"/>
      <c r="L997" s="21" t="str">
        <f>микс!$H$10</f>
        <v>продажа со склада</v>
      </c>
      <c r="M997" s="22"/>
      <c r="N997" s="22"/>
      <c r="O997" s="22" t="s">
        <v>142</v>
      </c>
      <c r="P997" s="23" t="str">
        <f>микс!$H$47</f>
        <v>Домашнее хозяйство</v>
      </c>
      <c r="Q997" s="21" t="s">
        <v>112</v>
      </c>
      <c r="R997" s="25">
        <v>1</v>
      </c>
      <c r="S997" s="28"/>
      <c r="T997" s="31">
        <v>42227</v>
      </c>
      <c r="U997" s="33">
        <v>2909.01</v>
      </c>
      <c r="V997" s="36">
        <f t="shared" si="77"/>
        <v>2909.01</v>
      </c>
      <c r="W997" s="28"/>
      <c r="X997" s="31">
        <v>42311</v>
      </c>
      <c r="Y997" s="33">
        <v>3120</v>
      </c>
      <c r="Z997" s="189">
        <f t="shared" si="78"/>
        <v>3120</v>
      </c>
      <c r="AA997" s="190"/>
      <c r="AB997" s="31">
        <v>42248</v>
      </c>
      <c r="AC997" s="36">
        <v>2909.01</v>
      </c>
      <c r="AD997" s="8"/>
      <c r="AE997" s="6"/>
      <c r="AF997" s="52">
        <f t="shared" si="75"/>
        <v>122838765.27000001</v>
      </c>
      <c r="AG997" s="25">
        <f t="shared" si="76"/>
        <v>132010320</v>
      </c>
      <c r="AH997" s="52">
        <f t="shared" si="79"/>
        <v>122899854.48</v>
      </c>
      <c r="AI997" s="6"/>
      <c r="AJ997" s="6"/>
      <c r="AK997" s="6"/>
      <c r="AL997" s="6"/>
      <c r="AM997" s="6"/>
      <c r="AN997" s="6"/>
      <c r="AO997" s="6"/>
      <c r="AP997" s="6"/>
      <c r="AQ997" s="6"/>
      <c r="AR997" s="6"/>
    </row>
    <row r="998" spans="1:44">
      <c r="A998" s="6"/>
      <c r="B998" s="6"/>
      <c r="C998" s="6"/>
      <c r="D998" s="6"/>
      <c r="E998" s="6"/>
      <c r="F998" s="6"/>
      <c r="G998" s="11"/>
      <c r="H998" s="6"/>
      <c r="I998" s="6"/>
      <c r="J998" s="6"/>
      <c r="K998" s="7"/>
      <c r="L998" s="21" t="str">
        <f>микс!$H$10</f>
        <v>продажа со склада</v>
      </c>
      <c r="M998" s="22"/>
      <c r="N998" s="22"/>
      <c r="O998" s="22" t="s">
        <v>142</v>
      </c>
      <c r="P998" s="23" t="str">
        <f>микс!$H$47</f>
        <v>Домашнее хозяйство</v>
      </c>
      <c r="Q998" s="21" t="s">
        <v>112</v>
      </c>
      <c r="R998" s="25">
        <v>1</v>
      </c>
      <c r="S998" s="28"/>
      <c r="T998" s="31">
        <v>42217</v>
      </c>
      <c r="U998" s="33">
        <v>2909</v>
      </c>
      <c r="V998" s="36">
        <f t="shared" si="77"/>
        <v>2909</v>
      </c>
      <c r="W998" s="28"/>
      <c r="X998" s="31">
        <v>42308</v>
      </c>
      <c r="Y998" s="33">
        <v>3139</v>
      </c>
      <c r="Z998" s="189">
        <f t="shared" si="78"/>
        <v>3139</v>
      </c>
      <c r="AA998" s="190"/>
      <c r="AB998" s="31"/>
      <c r="AC998" s="36"/>
      <c r="AD998" s="8"/>
      <c r="AE998" s="6"/>
      <c r="AF998" s="52">
        <f t="shared" si="75"/>
        <v>122809253</v>
      </c>
      <c r="AG998" s="25">
        <f t="shared" si="76"/>
        <v>132804812</v>
      </c>
      <c r="AH998" s="52">
        <f t="shared" si="79"/>
        <v>0</v>
      </c>
      <c r="AI998" s="6"/>
      <c r="AJ998" s="6"/>
      <c r="AK998" s="6"/>
      <c r="AL998" s="6"/>
      <c r="AM998" s="6"/>
      <c r="AN998" s="6"/>
      <c r="AO998" s="6"/>
      <c r="AP998" s="6"/>
      <c r="AQ998" s="6"/>
      <c r="AR998" s="6"/>
    </row>
    <row r="999" spans="1:44">
      <c r="A999" s="6"/>
      <c r="B999" s="6"/>
      <c r="C999" s="6"/>
      <c r="D999" s="6"/>
      <c r="E999" s="6"/>
      <c r="F999" s="6"/>
      <c r="G999" s="11"/>
      <c r="H999" s="6"/>
      <c r="I999" s="6"/>
      <c r="J999" s="6"/>
      <c r="K999" s="7"/>
      <c r="L999" s="21" t="str">
        <f>микс!$H$10</f>
        <v>продажа со склада</v>
      </c>
      <c r="M999" s="22"/>
      <c r="N999" s="22"/>
      <c r="O999" s="22" t="s">
        <v>142</v>
      </c>
      <c r="P999" s="23" t="str">
        <f>микс!$H$47</f>
        <v>Домашнее хозяйство</v>
      </c>
      <c r="Q999" s="21" t="s">
        <v>112</v>
      </c>
      <c r="R999" s="25">
        <v>1</v>
      </c>
      <c r="S999" s="28"/>
      <c r="T999" s="31">
        <v>42281</v>
      </c>
      <c r="U999" s="33">
        <v>2909</v>
      </c>
      <c r="V999" s="36">
        <f t="shared" si="77"/>
        <v>2909</v>
      </c>
      <c r="W999" s="28"/>
      <c r="X999" s="31">
        <v>42302</v>
      </c>
      <c r="Y999" s="33">
        <v>3030</v>
      </c>
      <c r="Z999" s="189">
        <f t="shared" si="78"/>
        <v>3030</v>
      </c>
      <c r="AA999" s="190"/>
      <c r="AB999" s="31">
        <v>42311</v>
      </c>
      <c r="AC999" s="36">
        <v>2909</v>
      </c>
      <c r="AD999" s="8"/>
      <c r="AE999" s="6"/>
      <c r="AF999" s="52">
        <f t="shared" si="75"/>
        <v>122995429</v>
      </c>
      <c r="AG999" s="25">
        <f t="shared" si="76"/>
        <v>128175060</v>
      </c>
      <c r="AH999" s="52">
        <f t="shared" si="79"/>
        <v>123082699</v>
      </c>
      <c r="AI999" s="6"/>
      <c r="AJ999" s="6"/>
      <c r="AK999" s="6"/>
      <c r="AL999" s="6"/>
      <c r="AM999" s="6"/>
      <c r="AN999" s="6"/>
      <c r="AO999" s="6"/>
      <c r="AP999" s="6"/>
      <c r="AQ999" s="6"/>
      <c r="AR999" s="6"/>
    </row>
    <row r="1000" spans="1:44">
      <c r="A1000" s="6"/>
      <c r="B1000" s="6"/>
      <c r="C1000" s="6"/>
      <c r="D1000" s="6"/>
      <c r="E1000" s="6"/>
      <c r="F1000" s="6"/>
      <c r="G1000" s="11"/>
      <c r="H1000" s="6"/>
      <c r="I1000" s="6"/>
      <c r="J1000" s="6"/>
      <c r="K1000" s="7"/>
      <c r="L1000" s="21" t="str">
        <f>микс!$H$10</f>
        <v>продажа со склада</v>
      </c>
      <c r="M1000" s="22"/>
      <c r="N1000" s="22"/>
      <c r="O1000" s="22" t="s">
        <v>142</v>
      </c>
      <c r="P1000" s="23" t="str">
        <f>микс!$H$47</f>
        <v>Домашнее хозяйство</v>
      </c>
      <c r="Q1000" s="21" t="s">
        <v>124</v>
      </c>
      <c r="R1000" s="25">
        <v>1</v>
      </c>
      <c r="S1000" s="28"/>
      <c r="T1000" s="31">
        <v>42281</v>
      </c>
      <c r="U1000" s="33">
        <v>769</v>
      </c>
      <c r="V1000" s="36">
        <f t="shared" si="77"/>
        <v>769</v>
      </c>
      <c r="W1000" s="28"/>
      <c r="X1000" s="31">
        <v>42303</v>
      </c>
      <c r="Y1000" s="33">
        <v>905</v>
      </c>
      <c r="Z1000" s="189">
        <f t="shared" si="78"/>
        <v>905</v>
      </c>
      <c r="AA1000" s="190"/>
      <c r="AB1000" s="31">
        <v>42296</v>
      </c>
      <c r="AC1000" s="36">
        <v>769</v>
      </c>
      <c r="AD1000" s="8"/>
      <c r="AE1000" s="6"/>
      <c r="AF1000" s="52">
        <f t="shared" si="75"/>
        <v>32514089</v>
      </c>
      <c r="AG1000" s="25">
        <f t="shared" si="76"/>
        <v>38284215</v>
      </c>
      <c r="AH1000" s="52">
        <f t="shared" si="79"/>
        <v>32525624</v>
      </c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</row>
    <row r="1001" spans="1:44">
      <c r="A1001" s="6"/>
      <c r="B1001" s="6"/>
      <c r="C1001" s="6"/>
      <c r="D1001" s="6"/>
      <c r="E1001" s="6"/>
      <c r="F1001" s="6"/>
      <c r="G1001" s="11"/>
      <c r="H1001" s="6"/>
      <c r="I1001" s="6"/>
      <c r="J1001" s="6"/>
      <c r="K1001" s="7"/>
      <c r="L1001" s="21" t="str">
        <f>микс!$H$10</f>
        <v>продажа со склада</v>
      </c>
      <c r="M1001" s="22"/>
      <c r="N1001" s="22"/>
      <c r="O1001" s="22" t="s">
        <v>142</v>
      </c>
      <c r="P1001" s="23" t="str">
        <f>микс!$H$47</f>
        <v>Домашнее хозяйство</v>
      </c>
      <c r="Q1001" s="21" t="s">
        <v>124</v>
      </c>
      <c r="R1001" s="25">
        <v>1</v>
      </c>
      <c r="S1001" s="28"/>
      <c r="T1001" s="31">
        <v>42278</v>
      </c>
      <c r="U1001" s="33">
        <v>769</v>
      </c>
      <c r="V1001" s="36">
        <f t="shared" si="77"/>
        <v>769</v>
      </c>
      <c r="W1001" s="28"/>
      <c r="X1001" s="31">
        <v>42299</v>
      </c>
      <c r="Y1001" s="33">
        <v>905</v>
      </c>
      <c r="Z1001" s="189">
        <f t="shared" si="78"/>
        <v>905</v>
      </c>
      <c r="AA1001" s="190"/>
      <c r="AB1001" s="31">
        <v>42300</v>
      </c>
      <c r="AC1001" s="36">
        <v>769</v>
      </c>
      <c r="AD1001" s="8"/>
      <c r="AE1001" s="6"/>
      <c r="AF1001" s="52">
        <f t="shared" si="75"/>
        <v>32511782</v>
      </c>
      <c r="AG1001" s="25">
        <f t="shared" si="76"/>
        <v>38280595</v>
      </c>
      <c r="AH1001" s="52">
        <f t="shared" si="79"/>
        <v>32528700</v>
      </c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</row>
    <row r="1002" spans="1:44">
      <c r="A1002" s="6"/>
      <c r="B1002" s="6"/>
      <c r="C1002" s="6"/>
      <c r="D1002" s="6"/>
      <c r="E1002" s="6"/>
      <c r="F1002" s="6"/>
      <c r="G1002" s="11"/>
      <c r="H1002" s="6"/>
      <c r="I1002" s="6"/>
      <c r="J1002" s="6"/>
      <c r="K1002" s="7"/>
      <c r="L1002" s="21" t="str">
        <f>микс!$H$10</f>
        <v>продажа со склада</v>
      </c>
      <c r="M1002" s="22"/>
      <c r="N1002" s="22"/>
      <c r="O1002" s="22" t="s">
        <v>142</v>
      </c>
      <c r="P1002" s="23" t="str">
        <f>микс!$H$47</f>
        <v>Домашнее хозяйство</v>
      </c>
      <c r="Q1002" s="21" t="s">
        <v>124</v>
      </c>
      <c r="R1002" s="25">
        <v>1</v>
      </c>
      <c r="S1002" s="28"/>
      <c r="T1002" s="31">
        <v>41694</v>
      </c>
      <c r="U1002" s="33">
        <v>769</v>
      </c>
      <c r="V1002" s="36">
        <f t="shared" si="77"/>
        <v>769</v>
      </c>
      <c r="W1002" s="28"/>
      <c r="X1002" s="31">
        <v>42294</v>
      </c>
      <c r="Y1002" s="33">
        <v>952</v>
      </c>
      <c r="Z1002" s="189">
        <f t="shared" si="78"/>
        <v>952</v>
      </c>
      <c r="AA1002" s="190"/>
      <c r="AB1002" s="31"/>
      <c r="AC1002" s="36"/>
      <c r="AD1002" s="8"/>
      <c r="AE1002" s="6"/>
      <c r="AF1002" s="52">
        <f t="shared" si="75"/>
        <v>32062686</v>
      </c>
      <c r="AG1002" s="25">
        <f t="shared" si="76"/>
        <v>40263888</v>
      </c>
      <c r="AH1002" s="52">
        <f t="shared" si="79"/>
        <v>0</v>
      </c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</row>
    <row r="1003" spans="1:44">
      <c r="A1003" s="6"/>
      <c r="B1003" s="6"/>
      <c r="C1003" s="6"/>
      <c r="D1003" s="6"/>
      <c r="E1003" s="6"/>
      <c r="F1003" s="6"/>
      <c r="G1003" s="11"/>
      <c r="H1003" s="6"/>
      <c r="I1003" s="6"/>
      <c r="J1003" s="6"/>
      <c r="K1003" s="7"/>
      <c r="L1003" s="21" t="str">
        <f>микс!$H$10</f>
        <v>продажа со склада</v>
      </c>
      <c r="M1003" s="22"/>
      <c r="N1003" s="22"/>
      <c r="O1003" s="22" t="s">
        <v>142</v>
      </c>
      <c r="P1003" s="23" t="str">
        <f>микс!$H$47</f>
        <v>Домашнее хозяйство</v>
      </c>
      <c r="Q1003" s="21" t="s">
        <v>124</v>
      </c>
      <c r="R1003" s="25">
        <v>1</v>
      </c>
      <c r="S1003" s="28"/>
      <c r="T1003" s="31">
        <v>42282</v>
      </c>
      <c r="U1003" s="33">
        <v>769</v>
      </c>
      <c r="V1003" s="36">
        <f t="shared" si="77"/>
        <v>769</v>
      </c>
      <c r="W1003" s="28"/>
      <c r="X1003" s="31">
        <v>42304</v>
      </c>
      <c r="Y1003" s="33">
        <v>905</v>
      </c>
      <c r="Z1003" s="189">
        <f t="shared" si="78"/>
        <v>905</v>
      </c>
      <c r="AA1003" s="190"/>
      <c r="AB1003" s="31">
        <v>42287</v>
      </c>
      <c r="AC1003" s="36">
        <v>769</v>
      </c>
      <c r="AD1003" s="8"/>
      <c r="AE1003" s="6"/>
      <c r="AF1003" s="52">
        <f t="shared" si="75"/>
        <v>32514858</v>
      </c>
      <c r="AG1003" s="25">
        <f t="shared" si="76"/>
        <v>38285120</v>
      </c>
      <c r="AH1003" s="52">
        <f t="shared" si="79"/>
        <v>32518703</v>
      </c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</row>
    <row r="1004" spans="1:44">
      <c r="A1004" s="6"/>
      <c r="B1004" s="6"/>
      <c r="C1004" s="6"/>
      <c r="D1004" s="6"/>
      <c r="E1004" s="6"/>
      <c r="F1004" s="6"/>
      <c r="G1004" s="11"/>
      <c r="H1004" s="6"/>
      <c r="I1004" s="6"/>
      <c r="J1004" s="6"/>
      <c r="K1004" s="7"/>
      <c r="L1004" s="21" t="str">
        <f>микс!$H$10</f>
        <v>продажа со склада</v>
      </c>
      <c r="M1004" s="22"/>
      <c r="N1004" s="22"/>
      <c r="O1004" s="22" t="s">
        <v>142</v>
      </c>
      <c r="P1004" s="23" t="str">
        <f>микс!$H$47</f>
        <v>Домашнее хозяйство</v>
      </c>
      <c r="Q1004" s="21" t="s">
        <v>124</v>
      </c>
      <c r="R1004" s="25">
        <v>1</v>
      </c>
      <c r="S1004" s="28"/>
      <c r="T1004" s="31">
        <v>42293</v>
      </c>
      <c r="U1004" s="33">
        <v>769.01</v>
      </c>
      <c r="V1004" s="36">
        <f t="shared" si="77"/>
        <v>769.01</v>
      </c>
      <c r="W1004" s="28"/>
      <c r="X1004" s="31">
        <v>42314</v>
      </c>
      <c r="Y1004" s="33">
        <v>905</v>
      </c>
      <c r="Z1004" s="189">
        <f t="shared" si="78"/>
        <v>905</v>
      </c>
      <c r="AA1004" s="190"/>
      <c r="AB1004" s="31">
        <v>42333</v>
      </c>
      <c r="AC1004" s="36">
        <v>769.01</v>
      </c>
      <c r="AD1004" s="8"/>
      <c r="AE1004" s="6"/>
      <c r="AF1004" s="52">
        <f t="shared" si="75"/>
        <v>32523739.93</v>
      </c>
      <c r="AG1004" s="25">
        <f t="shared" si="76"/>
        <v>38294170</v>
      </c>
      <c r="AH1004" s="52">
        <f t="shared" si="79"/>
        <v>32554500.329999998</v>
      </c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</row>
    <row r="1005" spans="1:44">
      <c r="A1005" s="6"/>
      <c r="B1005" s="6"/>
      <c r="C1005" s="6"/>
      <c r="D1005" s="6"/>
      <c r="E1005" s="6"/>
      <c r="F1005" s="6"/>
      <c r="G1005" s="11"/>
      <c r="H1005" s="6"/>
      <c r="I1005" s="6"/>
      <c r="J1005" s="6"/>
      <c r="K1005" s="7"/>
      <c r="L1005" s="21" t="str">
        <f>микс!$H$10</f>
        <v>продажа со склада</v>
      </c>
      <c r="M1005" s="22"/>
      <c r="N1005" s="22"/>
      <c r="O1005" s="22" t="s">
        <v>145</v>
      </c>
      <c r="P1005" s="23" t="str">
        <f>микс!$H$46</f>
        <v>Электроника и бытовая техника</v>
      </c>
      <c r="Q1005" s="21" t="s">
        <v>68</v>
      </c>
      <c r="R1005" s="25">
        <v>1</v>
      </c>
      <c r="S1005" s="28"/>
      <c r="T1005" s="31">
        <v>42310</v>
      </c>
      <c r="U1005" s="33">
        <v>1479.65</v>
      </c>
      <c r="V1005" s="36">
        <f t="shared" si="77"/>
        <v>1479.65</v>
      </c>
      <c r="W1005" s="28"/>
      <c r="X1005" s="31">
        <v>42332</v>
      </c>
      <c r="Y1005" s="33">
        <v>1745</v>
      </c>
      <c r="Z1005" s="189">
        <f t="shared" si="78"/>
        <v>1745</v>
      </c>
      <c r="AA1005" s="190"/>
      <c r="AB1005" s="31">
        <v>42345</v>
      </c>
      <c r="AC1005" s="36">
        <v>1479.65</v>
      </c>
      <c r="AD1005" s="8"/>
      <c r="AE1005" s="6"/>
      <c r="AF1005" s="52">
        <f t="shared" si="75"/>
        <v>62603991.500000007</v>
      </c>
      <c r="AG1005" s="25">
        <f t="shared" si="76"/>
        <v>73869340</v>
      </c>
      <c r="AH1005" s="52">
        <f t="shared" si="79"/>
        <v>62655779.250000007</v>
      </c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</row>
    <row r="1006" spans="1:44">
      <c r="A1006" s="6"/>
      <c r="B1006" s="6"/>
      <c r="C1006" s="6"/>
      <c r="D1006" s="6"/>
      <c r="E1006" s="6"/>
      <c r="F1006" s="6"/>
      <c r="G1006" s="11"/>
      <c r="H1006" s="6"/>
      <c r="I1006" s="6"/>
      <c r="J1006" s="6"/>
      <c r="K1006" s="7"/>
      <c r="L1006" s="21" t="str">
        <f>микс!$H$11</f>
        <v>продажа под заказ</v>
      </c>
      <c r="M1006" s="22"/>
      <c r="N1006" s="22"/>
      <c r="O1006" s="22" t="s">
        <v>145</v>
      </c>
      <c r="P1006" s="23" t="str">
        <f>микс!$H$46</f>
        <v>Электроника и бытовая техника</v>
      </c>
      <c r="Q1006" s="21" t="s">
        <v>125</v>
      </c>
      <c r="R1006" s="25">
        <v>1</v>
      </c>
      <c r="S1006" s="28"/>
      <c r="T1006" s="31">
        <v>42326</v>
      </c>
      <c r="U1006" s="33">
        <v>12173.04</v>
      </c>
      <c r="V1006" s="36">
        <f t="shared" si="77"/>
        <v>12173.04</v>
      </c>
      <c r="W1006" s="28"/>
      <c r="X1006" s="31">
        <v>42329</v>
      </c>
      <c r="Y1006" s="33">
        <v>10609</v>
      </c>
      <c r="Z1006" s="189">
        <f t="shared" si="78"/>
        <v>10609</v>
      </c>
      <c r="AA1006" s="190"/>
      <c r="AB1006" s="31">
        <v>42341</v>
      </c>
      <c r="AC1006" s="36">
        <v>12173.04</v>
      </c>
      <c r="AD1006" s="8"/>
      <c r="AE1006" s="6"/>
      <c r="AF1006" s="52">
        <f t="shared" si="75"/>
        <v>515236091.04000002</v>
      </c>
      <c r="AG1006" s="25">
        <f t="shared" si="76"/>
        <v>449068361</v>
      </c>
      <c r="AH1006" s="52">
        <f t="shared" si="79"/>
        <v>515418686.64000005</v>
      </c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</row>
    <row r="1007" spans="1:44">
      <c r="A1007" s="6"/>
      <c r="B1007" s="6"/>
      <c r="C1007" s="6"/>
      <c r="D1007" s="6"/>
      <c r="E1007" s="6"/>
      <c r="F1007" s="6"/>
      <c r="G1007" s="11"/>
      <c r="H1007" s="6"/>
      <c r="I1007" s="6"/>
      <c r="J1007" s="6"/>
      <c r="K1007" s="7"/>
      <c r="L1007" s="21" t="str">
        <f>микс!$H$10</f>
        <v>продажа со склада</v>
      </c>
      <c r="M1007" s="22"/>
      <c r="N1007" s="22"/>
      <c r="O1007" s="22" t="s">
        <v>145</v>
      </c>
      <c r="P1007" s="23" t="str">
        <f>микс!$H$46</f>
        <v>Электроника и бытовая техника</v>
      </c>
      <c r="Q1007" s="21" t="s">
        <v>126</v>
      </c>
      <c r="R1007" s="25">
        <v>1</v>
      </c>
      <c r="S1007" s="28"/>
      <c r="T1007" s="31">
        <v>42312</v>
      </c>
      <c r="U1007" s="33">
        <v>4663.0600000000004</v>
      </c>
      <c r="V1007" s="36">
        <f t="shared" si="77"/>
        <v>4663.0600000000004</v>
      </c>
      <c r="W1007" s="28"/>
      <c r="X1007" s="31">
        <v>42339</v>
      </c>
      <c r="Y1007" s="33">
        <v>4899</v>
      </c>
      <c r="Z1007" s="189">
        <f t="shared" si="78"/>
        <v>4899</v>
      </c>
      <c r="AA1007" s="190"/>
      <c r="AB1007" s="31">
        <v>42362</v>
      </c>
      <c r="AC1007" s="36">
        <v>4663.0600000000004</v>
      </c>
      <c r="AD1007" s="8"/>
      <c r="AE1007" s="6"/>
      <c r="AF1007" s="52">
        <f t="shared" si="75"/>
        <v>197303394.72000003</v>
      </c>
      <c r="AG1007" s="25">
        <f t="shared" si="76"/>
        <v>207418761</v>
      </c>
      <c r="AH1007" s="52">
        <f t="shared" si="79"/>
        <v>197536547.72000003</v>
      </c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</row>
    <row r="1008" spans="1:44">
      <c r="A1008" s="6"/>
      <c r="B1008" s="6"/>
      <c r="C1008" s="6"/>
      <c r="D1008" s="6"/>
      <c r="E1008" s="6"/>
      <c r="F1008" s="6"/>
      <c r="G1008" s="11"/>
      <c r="H1008" s="6"/>
      <c r="I1008" s="6"/>
      <c r="J1008" s="6"/>
      <c r="K1008" s="7"/>
      <c r="L1008" s="21" t="str">
        <f>микс!$H$10</f>
        <v>продажа со склада</v>
      </c>
      <c r="M1008" s="22"/>
      <c r="N1008" s="22"/>
      <c r="O1008" s="22" t="s">
        <v>145</v>
      </c>
      <c r="P1008" s="23" t="str">
        <f>микс!$H$46</f>
        <v>Электроника и бытовая техника</v>
      </c>
      <c r="Q1008" s="21" t="s">
        <v>126</v>
      </c>
      <c r="R1008" s="25">
        <v>1</v>
      </c>
      <c r="S1008" s="28"/>
      <c r="T1008" s="31">
        <v>42310</v>
      </c>
      <c r="U1008" s="33">
        <v>4663.0600000000004</v>
      </c>
      <c r="V1008" s="36">
        <f t="shared" si="77"/>
        <v>4663.0600000000004</v>
      </c>
      <c r="W1008" s="28"/>
      <c r="X1008" s="31">
        <v>42335</v>
      </c>
      <c r="Y1008" s="33">
        <v>4899</v>
      </c>
      <c r="Z1008" s="189">
        <f t="shared" si="78"/>
        <v>4899</v>
      </c>
      <c r="AA1008" s="190"/>
      <c r="AB1008" s="31">
        <v>42330</v>
      </c>
      <c r="AC1008" s="36">
        <v>4663.0600000000004</v>
      </c>
      <c r="AD1008" s="8"/>
      <c r="AE1008" s="6"/>
      <c r="AF1008" s="52">
        <f t="shared" si="75"/>
        <v>197294068.60000002</v>
      </c>
      <c r="AG1008" s="25">
        <f t="shared" si="76"/>
        <v>207399165</v>
      </c>
      <c r="AH1008" s="52">
        <f t="shared" si="79"/>
        <v>197387329.80000001</v>
      </c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</row>
    <row r="1009" spans="1:44">
      <c r="A1009" s="6"/>
      <c r="B1009" s="6"/>
      <c r="C1009" s="6"/>
      <c r="D1009" s="6"/>
      <c r="E1009" s="6"/>
      <c r="F1009" s="6"/>
      <c r="G1009" s="11"/>
      <c r="H1009" s="6"/>
      <c r="I1009" s="6"/>
      <c r="J1009" s="6"/>
      <c r="K1009" s="7"/>
      <c r="L1009" s="21" t="s">
        <v>35</v>
      </c>
      <c r="M1009" s="22"/>
      <c r="N1009" s="22"/>
      <c r="O1009" s="22" t="s">
        <v>145</v>
      </c>
      <c r="P1009" s="23" t="s">
        <v>155</v>
      </c>
      <c r="Q1009" s="21" t="s">
        <v>58</v>
      </c>
      <c r="R1009" s="25">
        <v>1</v>
      </c>
      <c r="S1009" s="28"/>
      <c r="T1009" s="31">
        <v>42295</v>
      </c>
      <c r="U1009" s="33">
        <v>3251.08</v>
      </c>
      <c r="V1009" s="36">
        <f t="shared" si="77"/>
        <v>3251.08</v>
      </c>
      <c r="W1009" s="28"/>
      <c r="X1009" s="31"/>
      <c r="Y1009" s="33"/>
      <c r="Z1009" s="189"/>
      <c r="AA1009" s="190"/>
      <c r="AB1009" s="31"/>
      <c r="AC1009" s="36"/>
      <c r="AD1009" s="8"/>
      <c r="AE1009" s="6"/>
      <c r="AF1009" s="52">
        <f t="shared" si="75"/>
        <v>137504428.59999999</v>
      </c>
      <c r="AG1009" s="25">
        <f t="shared" si="76"/>
        <v>0</v>
      </c>
      <c r="AH1009" s="52">
        <f t="shared" si="79"/>
        <v>0</v>
      </c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</row>
    <row r="1010" spans="1:44">
      <c r="A1010" s="6"/>
      <c r="B1010" s="6"/>
      <c r="C1010" s="6"/>
      <c r="D1010" s="6"/>
      <c r="E1010" s="6"/>
      <c r="F1010" s="6"/>
      <c r="G1010" s="11"/>
      <c r="H1010" s="6"/>
      <c r="I1010" s="6"/>
      <c r="J1010" s="6"/>
      <c r="K1010" s="7"/>
      <c r="L1010" s="21" t="s">
        <v>35</v>
      </c>
      <c r="M1010" s="22"/>
      <c r="N1010" s="22"/>
      <c r="O1010" s="22" t="s">
        <v>134</v>
      </c>
      <c r="P1010" s="23" t="s">
        <v>157</v>
      </c>
      <c r="Q1010" s="21" t="s">
        <v>59</v>
      </c>
      <c r="R1010" s="25">
        <v>1</v>
      </c>
      <c r="S1010" s="28"/>
      <c r="T1010" s="31">
        <v>42284</v>
      </c>
      <c r="U1010" s="33">
        <v>4006</v>
      </c>
      <c r="V1010" s="36">
        <f t="shared" si="77"/>
        <v>4006</v>
      </c>
      <c r="W1010" s="28"/>
      <c r="X1010" s="31"/>
      <c r="Y1010" s="33"/>
      <c r="Z1010" s="189"/>
      <c r="AA1010" s="190"/>
      <c r="AB1010" s="31">
        <v>42309</v>
      </c>
      <c r="AC1010" s="36">
        <v>4006</v>
      </c>
      <c r="AD1010" s="8"/>
      <c r="AE1010" s="6"/>
      <c r="AF1010" s="52">
        <f t="shared" si="75"/>
        <v>169389704</v>
      </c>
      <c r="AG1010" s="25">
        <f t="shared" si="76"/>
        <v>0</v>
      </c>
      <c r="AH1010" s="52">
        <f t="shared" si="79"/>
        <v>169489854</v>
      </c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</row>
    <row r="1011" spans="1:44">
      <c r="A1011" s="6"/>
      <c r="B1011" s="6"/>
      <c r="C1011" s="6"/>
      <c r="D1011" s="6"/>
      <c r="E1011" s="6"/>
      <c r="F1011" s="6"/>
      <c r="G1011" s="11"/>
      <c r="H1011" s="6"/>
      <c r="I1011" s="6"/>
      <c r="J1011" s="6"/>
      <c r="K1011" s="7"/>
      <c r="L1011" s="21" t="s">
        <v>35</v>
      </c>
      <c r="M1011" s="22"/>
      <c r="N1011" s="22"/>
      <c r="O1011" s="22" t="s">
        <v>134</v>
      </c>
      <c r="P1011" s="23" t="s">
        <v>157</v>
      </c>
      <c r="Q1011" s="21" t="s">
        <v>59</v>
      </c>
      <c r="R1011" s="25">
        <v>1</v>
      </c>
      <c r="S1011" s="28"/>
      <c r="T1011" s="31">
        <v>42288</v>
      </c>
      <c r="U1011" s="33">
        <v>3880.91</v>
      </c>
      <c r="V1011" s="36">
        <f t="shared" si="77"/>
        <v>3880.91</v>
      </c>
      <c r="W1011" s="28"/>
      <c r="X1011" s="31"/>
      <c r="Y1011" s="33"/>
      <c r="Z1011" s="189"/>
      <c r="AA1011" s="190"/>
      <c r="AB1011" s="31">
        <v>42298</v>
      </c>
      <c r="AC1011" s="36">
        <v>3880.91</v>
      </c>
      <c r="AD1011" s="8"/>
      <c r="AE1011" s="6"/>
      <c r="AF1011" s="52">
        <f t="shared" si="75"/>
        <v>164115922.07999998</v>
      </c>
      <c r="AG1011" s="25">
        <f t="shared" si="76"/>
        <v>0</v>
      </c>
      <c r="AH1011" s="52">
        <f t="shared" si="79"/>
        <v>164154731.18000001</v>
      </c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</row>
    <row r="1012" spans="1:44">
      <c r="A1012" s="6"/>
      <c r="B1012" s="6"/>
      <c r="C1012" s="6"/>
      <c r="D1012" s="6"/>
      <c r="E1012" s="6"/>
      <c r="F1012" s="6"/>
      <c r="G1012" s="11"/>
      <c r="H1012" s="6"/>
      <c r="I1012" s="6"/>
      <c r="J1012" s="6"/>
      <c r="K1012" s="7"/>
      <c r="L1012" s="21" t="s">
        <v>35</v>
      </c>
      <c r="M1012" s="22"/>
      <c r="N1012" s="22"/>
      <c r="O1012" s="22" t="s">
        <v>134</v>
      </c>
      <c r="P1012" s="23" t="s">
        <v>157</v>
      </c>
      <c r="Q1012" s="21" t="s">
        <v>59</v>
      </c>
      <c r="R1012" s="25">
        <v>1</v>
      </c>
      <c r="S1012" s="28"/>
      <c r="T1012" s="31">
        <v>42286</v>
      </c>
      <c r="U1012" s="33">
        <v>3880.91</v>
      </c>
      <c r="V1012" s="36">
        <f t="shared" si="77"/>
        <v>3880.91</v>
      </c>
      <c r="W1012" s="28"/>
      <c r="X1012" s="31"/>
      <c r="Y1012" s="33"/>
      <c r="Z1012" s="189"/>
      <c r="AA1012" s="190"/>
      <c r="AB1012" s="31">
        <v>42293</v>
      </c>
      <c r="AC1012" s="36">
        <v>3880.91</v>
      </c>
      <c r="AD1012" s="8"/>
      <c r="AE1012" s="6"/>
      <c r="AF1012" s="52">
        <f t="shared" si="75"/>
        <v>164108160.25999999</v>
      </c>
      <c r="AG1012" s="25">
        <f t="shared" si="76"/>
        <v>0</v>
      </c>
      <c r="AH1012" s="52">
        <f t="shared" si="79"/>
        <v>164135326.63</v>
      </c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</row>
    <row r="1013" spans="1:44">
      <c r="A1013" s="6"/>
      <c r="B1013" s="6"/>
      <c r="C1013" s="6"/>
      <c r="D1013" s="6"/>
      <c r="E1013" s="6"/>
      <c r="F1013" s="6"/>
      <c r="G1013" s="11"/>
      <c r="H1013" s="6"/>
      <c r="I1013" s="6"/>
      <c r="J1013" s="6"/>
      <c r="K1013" s="7"/>
      <c r="L1013" s="21" t="s">
        <v>35</v>
      </c>
      <c r="M1013" s="22"/>
      <c r="N1013" s="22"/>
      <c r="O1013" s="22" t="s">
        <v>134</v>
      </c>
      <c r="P1013" s="23" t="s">
        <v>157</v>
      </c>
      <c r="Q1013" s="21" t="s">
        <v>59</v>
      </c>
      <c r="R1013" s="25">
        <v>1</v>
      </c>
      <c r="S1013" s="28"/>
      <c r="T1013" s="31">
        <v>42235</v>
      </c>
      <c r="U1013" s="33">
        <v>3030.85</v>
      </c>
      <c r="V1013" s="36">
        <f t="shared" si="77"/>
        <v>3030.85</v>
      </c>
      <c r="W1013" s="28"/>
      <c r="X1013" s="31"/>
      <c r="Y1013" s="33"/>
      <c r="Z1013" s="189"/>
      <c r="AA1013" s="190"/>
      <c r="AB1013" s="31">
        <v>42257</v>
      </c>
      <c r="AC1013" s="36">
        <v>3030.85</v>
      </c>
      <c r="AD1013" s="8"/>
      <c r="AE1013" s="6"/>
      <c r="AF1013" s="52">
        <f t="shared" si="75"/>
        <v>128007949.75</v>
      </c>
      <c r="AG1013" s="25">
        <f t="shared" si="76"/>
        <v>0</v>
      </c>
      <c r="AH1013" s="52">
        <f t="shared" si="79"/>
        <v>128074628.45</v>
      </c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</row>
    <row r="1014" spans="1:44">
      <c r="A1014" s="6"/>
      <c r="B1014" s="6"/>
      <c r="C1014" s="6"/>
      <c r="D1014" s="6"/>
      <c r="E1014" s="6"/>
      <c r="F1014" s="6"/>
      <c r="G1014" s="11"/>
      <c r="H1014" s="6"/>
      <c r="I1014" s="6"/>
      <c r="J1014" s="6"/>
      <c r="K1014" s="7"/>
      <c r="L1014" s="21" t="s">
        <v>35</v>
      </c>
      <c r="M1014" s="22"/>
      <c r="N1014" s="22"/>
      <c r="O1014" s="22" t="s">
        <v>148</v>
      </c>
      <c r="P1014" s="23" t="s">
        <v>157</v>
      </c>
      <c r="Q1014" s="21" t="s">
        <v>60</v>
      </c>
      <c r="R1014" s="25">
        <v>1</v>
      </c>
      <c r="S1014" s="28"/>
      <c r="T1014" s="31">
        <v>42260</v>
      </c>
      <c r="U1014" s="33">
        <v>4661.7</v>
      </c>
      <c r="V1014" s="36">
        <f t="shared" si="77"/>
        <v>4661.7</v>
      </c>
      <c r="W1014" s="28"/>
      <c r="X1014" s="31"/>
      <c r="Y1014" s="33"/>
      <c r="Z1014" s="189"/>
      <c r="AA1014" s="190"/>
      <c r="AB1014" s="31"/>
      <c r="AC1014" s="36"/>
      <c r="AD1014" s="8"/>
      <c r="AE1014" s="6"/>
      <c r="AF1014" s="52">
        <f t="shared" si="75"/>
        <v>197003442</v>
      </c>
      <c r="AG1014" s="25">
        <f t="shared" si="76"/>
        <v>0</v>
      </c>
      <c r="AH1014" s="52">
        <f t="shared" si="79"/>
        <v>0</v>
      </c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</row>
    <row r="1015" spans="1:44">
      <c r="A1015" s="6"/>
      <c r="B1015" s="6"/>
      <c r="C1015" s="6"/>
      <c r="D1015" s="6"/>
      <c r="E1015" s="6"/>
      <c r="F1015" s="6"/>
      <c r="G1015" s="11"/>
      <c r="H1015" s="6"/>
      <c r="I1015" s="6"/>
      <c r="J1015" s="6"/>
      <c r="K1015" s="7"/>
      <c r="L1015" s="21" t="s">
        <v>35</v>
      </c>
      <c r="M1015" s="22"/>
      <c r="N1015" s="22"/>
      <c r="O1015" s="22" t="s">
        <v>148</v>
      </c>
      <c r="P1015" s="23" t="s">
        <v>157</v>
      </c>
      <c r="Q1015" s="21" t="s">
        <v>60</v>
      </c>
      <c r="R1015" s="25">
        <v>1</v>
      </c>
      <c r="S1015" s="28"/>
      <c r="T1015" s="31">
        <v>42258</v>
      </c>
      <c r="U1015" s="33">
        <v>4589</v>
      </c>
      <c r="V1015" s="36">
        <f t="shared" si="77"/>
        <v>4589</v>
      </c>
      <c r="W1015" s="28"/>
      <c r="X1015" s="31"/>
      <c r="Y1015" s="33"/>
      <c r="Z1015" s="189"/>
      <c r="AA1015" s="190"/>
      <c r="AB1015" s="31"/>
      <c r="AC1015" s="36"/>
      <c r="AD1015" s="8"/>
      <c r="AE1015" s="6"/>
      <c r="AF1015" s="52">
        <f t="shared" si="75"/>
        <v>193921962</v>
      </c>
      <c r="AG1015" s="25">
        <f t="shared" si="76"/>
        <v>0</v>
      </c>
      <c r="AH1015" s="52">
        <f t="shared" si="79"/>
        <v>0</v>
      </c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</row>
    <row r="1016" spans="1:44">
      <c r="A1016" s="6"/>
      <c r="B1016" s="6"/>
      <c r="C1016" s="6"/>
      <c r="D1016" s="6"/>
      <c r="E1016" s="6"/>
      <c r="F1016" s="6"/>
      <c r="G1016" s="11"/>
      <c r="H1016" s="6"/>
      <c r="I1016" s="6"/>
      <c r="J1016" s="6"/>
      <c r="K1016" s="7"/>
      <c r="L1016" s="21" t="s">
        <v>35</v>
      </c>
      <c r="M1016" s="22"/>
      <c r="N1016" s="22"/>
      <c r="O1016" s="22" t="s">
        <v>148</v>
      </c>
      <c r="P1016" s="23" t="s">
        <v>157</v>
      </c>
      <c r="Q1016" s="21" t="s">
        <v>60</v>
      </c>
      <c r="R1016" s="25">
        <v>1</v>
      </c>
      <c r="S1016" s="28"/>
      <c r="T1016" s="31">
        <v>42229</v>
      </c>
      <c r="U1016" s="33">
        <v>4103.78</v>
      </c>
      <c r="V1016" s="36">
        <f t="shared" si="77"/>
        <v>4103.78</v>
      </c>
      <c r="W1016" s="28"/>
      <c r="X1016" s="31"/>
      <c r="Y1016" s="33"/>
      <c r="Z1016" s="189"/>
      <c r="AA1016" s="190"/>
      <c r="AB1016" s="31">
        <v>42267</v>
      </c>
      <c r="AC1016" s="36">
        <v>4103.78</v>
      </c>
      <c r="AD1016" s="8"/>
      <c r="AE1016" s="6"/>
      <c r="AF1016" s="52">
        <f t="shared" si="75"/>
        <v>173298525.61999997</v>
      </c>
      <c r="AG1016" s="25">
        <f t="shared" si="76"/>
        <v>0</v>
      </c>
      <c r="AH1016" s="52">
        <f t="shared" si="79"/>
        <v>173454469.25999999</v>
      </c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</row>
    <row r="1017" spans="1:44">
      <c r="A1017" s="6"/>
      <c r="B1017" s="6"/>
      <c r="C1017" s="6"/>
      <c r="D1017" s="6"/>
      <c r="E1017" s="6"/>
      <c r="F1017" s="6"/>
      <c r="G1017" s="11"/>
      <c r="H1017" s="6"/>
      <c r="I1017" s="6"/>
      <c r="J1017" s="6"/>
      <c r="K1017" s="7"/>
      <c r="L1017" s="21" t="s">
        <v>35</v>
      </c>
      <c r="M1017" s="22"/>
      <c r="N1017" s="22"/>
      <c r="O1017" s="22" t="s">
        <v>148</v>
      </c>
      <c r="P1017" s="23" t="s">
        <v>157</v>
      </c>
      <c r="Q1017" s="21" t="s">
        <v>60</v>
      </c>
      <c r="R1017" s="25">
        <v>1</v>
      </c>
      <c r="S1017" s="28"/>
      <c r="T1017" s="31">
        <v>42228</v>
      </c>
      <c r="U1017" s="33">
        <v>4103.78</v>
      </c>
      <c r="V1017" s="36">
        <f t="shared" si="77"/>
        <v>4103.78</v>
      </c>
      <c r="W1017" s="28"/>
      <c r="X1017" s="31"/>
      <c r="Y1017" s="33"/>
      <c r="Z1017" s="189"/>
      <c r="AA1017" s="190"/>
      <c r="AB1017" s="31">
        <v>42240</v>
      </c>
      <c r="AC1017" s="36">
        <v>4103.78</v>
      </c>
      <c r="AD1017" s="8"/>
      <c r="AE1017" s="6"/>
      <c r="AF1017" s="52">
        <f t="shared" si="75"/>
        <v>173294421.84</v>
      </c>
      <c r="AG1017" s="25">
        <f t="shared" si="76"/>
        <v>0</v>
      </c>
      <c r="AH1017" s="52">
        <f t="shared" si="79"/>
        <v>173343667.19999999</v>
      </c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</row>
    <row r="1018" spans="1:44">
      <c r="A1018" s="6"/>
      <c r="B1018" s="6"/>
      <c r="C1018" s="6"/>
      <c r="D1018" s="6"/>
      <c r="E1018" s="6"/>
      <c r="F1018" s="6"/>
      <c r="G1018" s="11"/>
      <c r="H1018" s="6"/>
      <c r="I1018" s="6"/>
      <c r="J1018" s="6"/>
      <c r="K1018" s="7"/>
      <c r="L1018" s="21" t="s">
        <v>35</v>
      </c>
      <c r="M1018" s="22"/>
      <c r="N1018" s="22"/>
      <c r="O1018" s="22" t="s">
        <v>148</v>
      </c>
      <c r="P1018" s="23" t="s">
        <v>157</v>
      </c>
      <c r="Q1018" s="21" t="s">
        <v>60</v>
      </c>
      <c r="R1018" s="25">
        <v>1</v>
      </c>
      <c r="S1018" s="28"/>
      <c r="T1018" s="31">
        <v>42226</v>
      </c>
      <c r="U1018" s="33">
        <v>4103.7700000000004</v>
      </c>
      <c r="V1018" s="36">
        <f t="shared" si="77"/>
        <v>4103.7700000000004</v>
      </c>
      <c r="W1018" s="28"/>
      <c r="X1018" s="31"/>
      <c r="Y1018" s="33"/>
      <c r="Z1018" s="189"/>
      <c r="AA1018" s="190"/>
      <c r="AB1018" s="31">
        <v>42236</v>
      </c>
      <c r="AC1018" s="36">
        <v>4103.7700000000004</v>
      </c>
      <c r="AD1018" s="8"/>
      <c r="AE1018" s="6"/>
      <c r="AF1018" s="52">
        <f t="shared" si="75"/>
        <v>173285792.02000001</v>
      </c>
      <c r="AG1018" s="25">
        <f t="shared" si="76"/>
        <v>0</v>
      </c>
      <c r="AH1018" s="52">
        <f t="shared" si="79"/>
        <v>173326829.72000003</v>
      </c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</row>
    <row r="1019" spans="1:44">
      <c r="A1019" s="6"/>
      <c r="B1019" s="6"/>
      <c r="C1019" s="6"/>
      <c r="D1019" s="6"/>
      <c r="E1019" s="6"/>
      <c r="F1019" s="6"/>
      <c r="G1019" s="11"/>
      <c r="H1019" s="6"/>
      <c r="I1019" s="6"/>
      <c r="J1019" s="6"/>
      <c r="K1019" s="7"/>
      <c r="L1019" s="21" t="s">
        <v>35</v>
      </c>
      <c r="M1019" s="22"/>
      <c r="N1019" s="22"/>
      <c r="O1019" s="22" t="s">
        <v>148</v>
      </c>
      <c r="P1019" s="23" t="s">
        <v>157</v>
      </c>
      <c r="Q1019" s="21" t="s">
        <v>60</v>
      </c>
      <c r="R1019" s="25">
        <v>1</v>
      </c>
      <c r="S1019" s="28"/>
      <c r="T1019" s="31">
        <v>42231</v>
      </c>
      <c r="U1019" s="33">
        <v>4103.78</v>
      </c>
      <c r="V1019" s="36">
        <f t="shared" si="77"/>
        <v>4103.78</v>
      </c>
      <c r="W1019" s="28"/>
      <c r="X1019" s="31"/>
      <c r="Y1019" s="33"/>
      <c r="Z1019" s="189"/>
      <c r="AA1019" s="190"/>
      <c r="AB1019" s="31">
        <v>42251</v>
      </c>
      <c r="AC1019" s="36">
        <v>4103.78</v>
      </c>
      <c r="AD1019" s="8"/>
      <c r="AE1019" s="6"/>
      <c r="AF1019" s="52">
        <f t="shared" si="75"/>
        <v>173306733.17999998</v>
      </c>
      <c r="AG1019" s="25">
        <f t="shared" si="76"/>
        <v>0</v>
      </c>
      <c r="AH1019" s="52">
        <f t="shared" si="79"/>
        <v>173388808.78</v>
      </c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</row>
    <row r="1020" spans="1:44">
      <c r="A1020" s="6"/>
      <c r="B1020" s="6"/>
      <c r="C1020" s="6"/>
      <c r="D1020" s="6"/>
      <c r="E1020" s="6"/>
      <c r="F1020" s="6"/>
      <c r="G1020" s="11"/>
      <c r="H1020" s="6"/>
      <c r="I1020" s="6"/>
      <c r="J1020" s="6"/>
      <c r="K1020" s="7"/>
      <c r="L1020" s="21" t="s">
        <v>35</v>
      </c>
      <c r="M1020" s="22"/>
      <c r="N1020" s="22"/>
      <c r="O1020" s="22" t="s">
        <v>148</v>
      </c>
      <c r="P1020" s="23" t="s">
        <v>157</v>
      </c>
      <c r="Q1020" s="21" t="s">
        <v>60</v>
      </c>
      <c r="R1020" s="25">
        <v>1</v>
      </c>
      <c r="S1020" s="28"/>
      <c r="T1020" s="31">
        <v>42262</v>
      </c>
      <c r="U1020" s="33">
        <v>4661.7</v>
      </c>
      <c r="V1020" s="36">
        <f t="shared" ref="V1020:V1058" si="80">$R1020*U1020</f>
        <v>4661.7</v>
      </c>
      <c r="W1020" s="28"/>
      <c r="X1020" s="31"/>
      <c r="Y1020" s="33"/>
      <c r="Z1020" s="189"/>
      <c r="AA1020" s="190"/>
      <c r="AB1020" s="31"/>
      <c r="AC1020" s="36"/>
      <c r="AD1020" s="8"/>
      <c r="AE1020" s="6"/>
      <c r="AF1020" s="52">
        <f t="shared" si="75"/>
        <v>197012765.40000001</v>
      </c>
      <c r="AG1020" s="25">
        <f t="shared" si="76"/>
        <v>0</v>
      </c>
      <c r="AH1020" s="52">
        <f t="shared" si="79"/>
        <v>0</v>
      </c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</row>
    <row r="1021" spans="1:44">
      <c r="A1021" s="6"/>
      <c r="B1021" s="6"/>
      <c r="C1021" s="6"/>
      <c r="D1021" s="6"/>
      <c r="E1021" s="6"/>
      <c r="F1021" s="6"/>
      <c r="G1021" s="11"/>
      <c r="H1021" s="6"/>
      <c r="I1021" s="6"/>
      <c r="J1021" s="6"/>
      <c r="K1021" s="7"/>
      <c r="L1021" s="21" t="s">
        <v>35</v>
      </c>
      <c r="M1021" s="22"/>
      <c r="N1021" s="22"/>
      <c r="O1021" s="22" t="s">
        <v>148</v>
      </c>
      <c r="P1021" s="23" t="s">
        <v>157</v>
      </c>
      <c r="Q1021" s="21" t="s">
        <v>60</v>
      </c>
      <c r="R1021" s="25">
        <v>1</v>
      </c>
      <c r="S1021" s="28"/>
      <c r="T1021" s="31">
        <v>42260</v>
      </c>
      <c r="U1021" s="33">
        <v>4661.7</v>
      </c>
      <c r="V1021" s="36">
        <f t="shared" si="80"/>
        <v>4661.7</v>
      </c>
      <c r="W1021" s="28"/>
      <c r="X1021" s="31"/>
      <c r="Y1021" s="33"/>
      <c r="Z1021" s="189"/>
      <c r="AA1021" s="190"/>
      <c r="AB1021" s="31">
        <v>42290</v>
      </c>
      <c r="AC1021" s="36">
        <v>4661.7</v>
      </c>
      <c r="AD1021" s="8"/>
      <c r="AE1021" s="6"/>
      <c r="AF1021" s="52">
        <f t="shared" si="75"/>
        <v>197003442</v>
      </c>
      <c r="AG1021" s="25">
        <f t="shared" si="76"/>
        <v>0</v>
      </c>
      <c r="AH1021" s="52">
        <f t="shared" si="79"/>
        <v>197143293</v>
      </c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</row>
    <row r="1022" spans="1:44">
      <c r="A1022" s="6"/>
      <c r="B1022" s="6"/>
      <c r="C1022" s="6"/>
      <c r="D1022" s="6"/>
      <c r="E1022" s="6"/>
      <c r="F1022" s="6"/>
      <c r="G1022" s="11"/>
      <c r="H1022" s="6"/>
      <c r="I1022" s="6"/>
      <c r="J1022" s="6"/>
      <c r="K1022" s="7"/>
      <c r="L1022" s="21" t="s">
        <v>35</v>
      </c>
      <c r="M1022" s="22"/>
      <c r="N1022" s="22"/>
      <c r="O1022" s="22" t="s">
        <v>148</v>
      </c>
      <c r="P1022" s="23" t="s">
        <v>157</v>
      </c>
      <c r="Q1022" s="21" t="s">
        <v>60</v>
      </c>
      <c r="R1022" s="25">
        <v>1</v>
      </c>
      <c r="S1022" s="28"/>
      <c r="T1022" s="31">
        <v>42260</v>
      </c>
      <c r="U1022" s="33">
        <v>4661.7</v>
      </c>
      <c r="V1022" s="36">
        <f t="shared" si="80"/>
        <v>4661.7</v>
      </c>
      <c r="W1022" s="28"/>
      <c r="X1022" s="31"/>
      <c r="Y1022" s="33"/>
      <c r="Z1022" s="189"/>
      <c r="AA1022" s="190"/>
      <c r="AB1022" s="31">
        <v>42305</v>
      </c>
      <c r="AC1022" s="36">
        <v>4661.7</v>
      </c>
      <c r="AD1022" s="8"/>
      <c r="AE1022" s="6"/>
      <c r="AF1022" s="52">
        <f t="shared" si="75"/>
        <v>197003442</v>
      </c>
      <c r="AG1022" s="25">
        <f t="shared" si="76"/>
        <v>0</v>
      </c>
      <c r="AH1022" s="52">
        <f t="shared" si="79"/>
        <v>197213218.5</v>
      </c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</row>
    <row r="1023" spans="1:44">
      <c r="A1023" s="6"/>
      <c r="B1023" s="6"/>
      <c r="C1023" s="6"/>
      <c r="D1023" s="6"/>
      <c r="E1023" s="6"/>
      <c r="F1023" s="6"/>
      <c r="G1023" s="11"/>
      <c r="H1023" s="6"/>
      <c r="I1023" s="6"/>
      <c r="J1023" s="6"/>
      <c r="K1023" s="7"/>
      <c r="L1023" s="21" t="s">
        <v>35</v>
      </c>
      <c r="M1023" s="22"/>
      <c r="N1023" s="22"/>
      <c r="O1023" s="22" t="s">
        <v>134</v>
      </c>
      <c r="P1023" s="23" t="s">
        <v>157</v>
      </c>
      <c r="Q1023" s="21" t="s">
        <v>61</v>
      </c>
      <c r="R1023" s="25">
        <v>1</v>
      </c>
      <c r="S1023" s="28"/>
      <c r="T1023" s="31">
        <v>42265</v>
      </c>
      <c r="U1023" s="33">
        <v>3570</v>
      </c>
      <c r="V1023" s="36">
        <f t="shared" si="80"/>
        <v>3570</v>
      </c>
      <c r="W1023" s="28"/>
      <c r="X1023" s="31"/>
      <c r="Y1023" s="33"/>
      <c r="Z1023" s="189"/>
      <c r="AA1023" s="190"/>
      <c r="AB1023" s="31">
        <v>42325</v>
      </c>
      <c r="AC1023" s="36">
        <v>3570</v>
      </c>
      <c r="AD1023" s="8"/>
      <c r="AE1023" s="6"/>
      <c r="AF1023" s="52">
        <f t="shared" si="75"/>
        <v>150886050</v>
      </c>
      <c r="AG1023" s="25">
        <f t="shared" si="76"/>
        <v>0</v>
      </c>
      <c r="AH1023" s="52">
        <f t="shared" si="79"/>
        <v>151100250</v>
      </c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</row>
    <row r="1024" spans="1:44">
      <c r="A1024" s="6"/>
      <c r="B1024" s="6"/>
      <c r="C1024" s="6"/>
      <c r="D1024" s="6"/>
      <c r="E1024" s="6"/>
      <c r="F1024" s="6"/>
      <c r="G1024" s="11"/>
      <c r="H1024" s="6"/>
      <c r="I1024" s="6"/>
      <c r="J1024" s="6"/>
      <c r="K1024" s="7"/>
      <c r="L1024" s="21" t="s">
        <v>35</v>
      </c>
      <c r="M1024" s="22"/>
      <c r="N1024" s="22"/>
      <c r="O1024" s="22" t="s">
        <v>134</v>
      </c>
      <c r="P1024" s="23" t="s">
        <v>157</v>
      </c>
      <c r="Q1024" s="21" t="s">
        <v>61</v>
      </c>
      <c r="R1024" s="25">
        <v>1</v>
      </c>
      <c r="S1024" s="28"/>
      <c r="T1024" s="31">
        <v>42226</v>
      </c>
      <c r="U1024" s="33">
        <v>3423.03</v>
      </c>
      <c r="V1024" s="36">
        <f t="shared" si="80"/>
        <v>3423.03</v>
      </c>
      <c r="W1024" s="28"/>
      <c r="X1024" s="31"/>
      <c r="Y1024" s="33"/>
      <c r="Z1024" s="189"/>
      <c r="AA1024" s="190"/>
      <c r="AB1024" s="31">
        <v>42276</v>
      </c>
      <c r="AC1024" s="36">
        <v>3423.03</v>
      </c>
      <c r="AD1024" s="8"/>
      <c r="AE1024" s="6"/>
      <c r="AF1024" s="52">
        <f t="shared" si="75"/>
        <v>144540864.78</v>
      </c>
      <c r="AG1024" s="25">
        <f t="shared" si="76"/>
        <v>0</v>
      </c>
      <c r="AH1024" s="52">
        <f t="shared" si="79"/>
        <v>144712016.28</v>
      </c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</row>
    <row r="1025" spans="1:44">
      <c r="A1025" s="6"/>
      <c r="B1025" s="6"/>
      <c r="C1025" s="6"/>
      <c r="D1025" s="6"/>
      <c r="E1025" s="6"/>
      <c r="F1025" s="6"/>
      <c r="G1025" s="11"/>
      <c r="H1025" s="6"/>
      <c r="I1025" s="6"/>
      <c r="J1025" s="6"/>
      <c r="K1025" s="7"/>
      <c r="L1025" s="21" t="s">
        <v>35</v>
      </c>
      <c r="M1025" s="22"/>
      <c r="N1025" s="22"/>
      <c r="O1025" s="22" t="s">
        <v>137</v>
      </c>
      <c r="P1025" s="23" t="s">
        <v>155</v>
      </c>
      <c r="Q1025" s="21" t="s">
        <v>62</v>
      </c>
      <c r="R1025" s="25">
        <v>1</v>
      </c>
      <c r="S1025" s="28"/>
      <c r="T1025" s="31">
        <v>42122</v>
      </c>
      <c r="U1025" s="33">
        <v>7987.51</v>
      </c>
      <c r="V1025" s="36">
        <f t="shared" si="80"/>
        <v>7987.51</v>
      </c>
      <c r="W1025" s="28"/>
      <c r="X1025" s="31"/>
      <c r="Y1025" s="33"/>
      <c r="Z1025" s="189"/>
      <c r="AA1025" s="190"/>
      <c r="AB1025" s="31">
        <v>42182</v>
      </c>
      <c r="AC1025" s="36">
        <v>7987.51</v>
      </c>
      <c r="AD1025" s="8"/>
      <c r="AE1025" s="6"/>
      <c r="AF1025" s="52">
        <f t="shared" si="75"/>
        <v>336449896.22000003</v>
      </c>
      <c r="AG1025" s="25">
        <f t="shared" si="76"/>
        <v>0</v>
      </c>
      <c r="AH1025" s="52">
        <f t="shared" si="79"/>
        <v>336929146.81999999</v>
      </c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</row>
    <row r="1026" spans="1:44">
      <c r="A1026" s="6"/>
      <c r="B1026" s="6"/>
      <c r="C1026" s="6"/>
      <c r="D1026" s="6"/>
      <c r="E1026" s="6"/>
      <c r="F1026" s="6"/>
      <c r="G1026" s="11"/>
      <c r="H1026" s="6"/>
      <c r="I1026" s="6"/>
      <c r="J1026" s="6"/>
      <c r="K1026" s="7"/>
      <c r="L1026" s="21" t="s">
        <v>35</v>
      </c>
      <c r="M1026" s="22"/>
      <c r="N1026" s="22"/>
      <c r="O1026" s="22" t="s">
        <v>134</v>
      </c>
      <c r="P1026" s="23" t="s">
        <v>157</v>
      </c>
      <c r="Q1026" s="21" t="s">
        <v>63</v>
      </c>
      <c r="R1026" s="25">
        <v>1</v>
      </c>
      <c r="S1026" s="28"/>
      <c r="T1026" s="31">
        <v>42129</v>
      </c>
      <c r="U1026" s="33">
        <v>1940.23</v>
      </c>
      <c r="V1026" s="36">
        <f t="shared" si="80"/>
        <v>1940.23</v>
      </c>
      <c r="W1026" s="28"/>
      <c r="X1026" s="31"/>
      <c r="Y1026" s="33"/>
      <c r="Z1026" s="189"/>
      <c r="AA1026" s="190"/>
      <c r="AB1026" s="31">
        <v>42159</v>
      </c>
      <c r="AC1026" s="36">
        <v>1940.23</v>
      </c>
      <c r="AD1026" s="8"/>
      <c r="AE1026" s="6"/>
      <c r="AF1026" s="52">
        <f t="shared" si="75"/>
        <v>81739949.670000002</v>
      </c>
      <c r="AG1026" s="25">
        <f t="shared" si="76"/>
        <v>0</v>
      </c>
      <c r="AH1026" s="52">
        <f t="shared" si="79"/>
        <v>81798156.570000008</v>
      </c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</row>
    <row r="1027" spans="1:44">
      <c r="A1027" s="6"/>
      <c r="B1027" s="6"/>
      <c r="C1027" s="6"/>
      <c r="D1027" s="6"/>
      <c r="E1027" s="6"/>
      <c r="F1027" s="6"/>
      <c r="G1027" s="11"/>
      <c r="H1027" s="6"/>
      <c r="I1027" s="6"/>
      <c r="J1027" s="6"/>
      <c r="K1027" s="7"/>
      <c r="L1027" s="21" t="s">
        <v>35</v>
      </c>
      <c r="M1027" s="22"/>
      <c r="N1027" s="22"/>
      <c r="O1027" s="22" t="s">
        <v>148</v>
      </c>
      <c r="P1027" s="23" t="s">
        <v>157</v>
      </c>
      <c r="Q1027" s="21" t="s">
        <v>60</v>
      </c>
      <c r="R1027" s="25">
        <v>1</v>
      </c>
      <c r="S1027" s="28"/>
      <c r="T1027" s="31">
        <v>42131</v>
      </c>
      <c r="U1027" s="33">
        <v>4493.5</v>
      </c>
      <c r="V1027" s="36">
        <f t="shared" si="80"/>
        <v>4493.5</v>
      </c>
      <c r="W1027" s="28"/>
      <c r="X1027" s="31"/>
      <c r="Y1027" s="33"/>
      <c r="Z1027" s="189"/>
      <c r="AA1027" s="190"/>
      <c r="AB1027" s="31">
        <v>42151</v>
      </c>
      <c r="AC1027" s="36">
        <v>4493.5</v>
      </c>
      <c r="AD1027" s="8"/>
      <c r="AE1027" s="6"/>
      <c r="AF1027" s="52">
        <f t="shared" si="75"/>
        <v>189315648.5</v>
      </c>
      <c r="AG1027" s="25">
        <f t="shared" si="76"/>
        <v>0</v>
      </c>
      <c r="AH1027" s="52">
        <f t="shared" si="79"/>
        <v>189405518.5</v>
      </c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</row>
    <row r="1028" spans="1:44">
      <c r="A1028" s="6"/>
      <c r="B1028" s="6"/>
      <c r="C1028" s="6"/>
      <c r="D1028" s="6"/>
      <c r="E1028" s="6"/>
      <c r="F1028" s="6"/>
      <c r="G1028" s="11"/>
      <c r="H1028" s="6"/>
      <c r="I1028" s="6"/>
      <c r="J1028" s="6"/>
      <c r="K1028" s="7"/>
      <c r="L1028" s="21" t="s">
        <v>35</v>
      </c>
      <c r="M1028" s="22"/>
      <c r="N1028" s="22"/>
      <c r="O1028" s="22" t="s">
        <v>138</v>
      </c>
      <c r="P1028" s="23" t="s">
        <v>157</v>
      </c>
      <c r="Q1028" s="21" t="s">
        <v>60</v>
      </c>
      <c r="R1028" s="25">
        <v>1</v>
      </c>
      <c r="S1028" s="28"/>
      <c r="T1028" s="31">
        <v>42312</v>
      </c>
      <c r="U1028" s="33">
        <v>525</v>
      </c>
      <c r="V1028" s="36">
        <f t="shared" si="80"/>
        <v>525</v>
      </c>
      <c r="W1028" s="28"/>
      <c r="X1028" s="31"/>
      <c r="Y1028" s="33"/>
      <c r="Z1028" s="189"/>
      <c r="AA1028" s="190"/>
      <c r="AB1028" s="31"/>
      <c r="AC1028" s="36"/>
      <c r="AD1028" s="8"/>
      <c r="AE1028" s="6"/>
      <c r="AF1028" s="52">
        <f t="shared" si="75"/>
        <v>22213800</v>
      </c>
      <c r="AG1028" s="25">
        <f t="shared" si="76"/>
        <v>0</v>
      </c>
      <c r="AH1028" s="52">
        <f t="shared" si="79"/>
        <v>0</v>
      </c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</row>
    <row r="1029" spans="1:44">
      <c r="A1029" s="6"/>
      <c r="B1029" s="6"/>
      <c r="C1029" s="6"/>
      <c r="D1029" s="6"/>
      <c r="E1029" s="6"/>
      <c r="F1029" s="6"/>
      <c r="G1029" s="11"/>
      <c r="H1029" s="6"/>
      <c r="I1029" s="6"/>
      <c r="J1029" s="6"/>
      <c r="K1029" s="7"/>
      <c r="L1029" s="21" t="s">
        <v>35</v>
      </c>
      <c r="M1029" s="22"/>
      <c r="N1029" s="22"/>
      <c r="O1029" s="22" t="s">
        <v>134</v>
      </c>
      <c r="P1029" s="23" t="s">
        <v>157</v>
      </c>
      <c r="Q1029" s="21" t="s">
        <v>59</v>
      </c>
      <c r="R1029" s="25">
        <v>1</v>
      </c>
      <c r="S1029" s="28"/>
      <c r="T1029" s="31">
        <v>42316</v>
      </c>
      <c r="U1029" s="33">
        <v>4006</v>
      </c>
      <c r="V1029" s="36">
        <f t="shared" si="80"/>
        <v>4006</v>
      </c>
      <c r="W1029" s="28"/>
      <c r="X1029" s="31"/>
      <c r="Y1029" s="33"/>
      <c r="Z1029" s="189"/>
      <c r="AA1029" s="190"/>
      <c r="AB1029" s="31">
        <v>42326</v>
      </c>
      <c r="AC1029" s="36">
        <v>4006</v>
      </c>
      <c r="AD1029" s="8"/>
      <c r="AE1029" s="6"/>
      <c r="AF1029" s="52">
        <f t="shared" si="75"/>
        <v>169517896</v>
      </c>
      <c r="AG1029" s="25">
        <f t="shared" si="76"/>
        <v>0</v>
      </c>
      <c r="AH1029" s="52">
        <f t="shared" si="79"/>
        <v>169557956</v>
      </c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</row>
    <row r="1030" spans="1:44">
      <c r="A1030" s="6"/>
      <c r="B1030" s="6"/>
      <c r="C1030" s="6"/>
      <c r="D1030" s="6"/>
      <c r="E1030" s="6"/>
      <c r="F1030" s="6"/>
      <c r="G1030" s="11"/>
      <c r="H1030" s="6"/>
      <c r="I1030" s="6"/>
      <c r="J1030" s="6"/>
      <c r="K1030" s="7"/>
      <c r="L1030" s="21" t="s">
        <v>35</v>
      </c>
      <c r="M1030" s="22"/>
      <c r="N1030" s="22"/>
      <c r="O1030" s="22" t="s">
        <v>134</v>
      </c>
      <c r="P1030" s="23" t="s">
        <v>157</v>
      </c>
      <c r="Q1030" s="21" t="s">
        <v>59</v>
      </c>
      <c r="R1030" s="25">
        <v>1</v>
      </c>
      <c r="S1030" s="28"/>
      <c r="T1030" s="31">
        <v>42294</v>
      </c>
      <c r="U1030" s="33">
        <v>3794.5</v>
      </c>
      <c r="V1030" s="36">
        <f t="shared" si="80"/>
        <v>3794.5</v>
      </c>
      <c r="W1030" s="28"/>
      <c r="X1030" s="31"/>
      <c r="Y1030" s="33"/>
      <c r="Z1030" s="189"/>
      <c r="AA1030" s="190"/>
      <c r="AB1030" s="31">
        <v>42324</v>
      </c>
      <c r="AC1030" s="36">
        <v>3794.5</v>
      </c>
      <c r="AD1030" s="8"/>
      <c r="AE1030" s="6"/>
      <c r="AF1030" s="52">
        <f t="shared" si="75"/>
        <v>160484583</v>
      </c>
      <c r="AG1030" s="25">
        <f t="shared" si="76"/>
        <v>0</v>
      </c>
      <c r="AH1030" s="52">
        <f t="shared" si="79"/>
        <v>160598418</v>
      </c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</row>
    <row r="1031" spans="1:44">
      <c r="A1031" s="6"/>
      <c r="B1031" s="6"/>
      <c r="C1031" s="6"/>
      <c r="D1031" s="6"/>
      <c r="E1031" s="6"/>
      <c r="F1031" s="6"/>
      <c r="G1031" s="11"/>
      <c r="H1031" s="6"/>
      <c r="I1031" s="6"/>
      <c r="J1031" s="6"/>
      <c r="K1031" s="7"/>
      <c r="L1031" s="21" t="s">
        <v>35</v>
      </c>
      <c r="M1031" s="22"/>
      <c r="N1031" s="22"/>
      <c r="O1031" s="22" t="s">
        <v>148</v>
      </c>
      <c r="P1031" s="23" t="s">
        <v>157</v>
      </c>
      <c r="Q1031" s="21" t="s">
        <v>61</v>
      </c>
      <c r="R1031" s="25">
        <v>1</v>
      </c>
      <c r="S1031" s="28"/>
      <c r="T1031" s="31">
        <v>41975</v>
      </c>
      <c r="U1031" s="33">
        <v>2474.8000000000002</v>
      </c>
      <c r="V1031" s="36">
        <f t="shared" si="80"/>
        <v>2474.8000000000002</v>
      </c>
      <c r="W1031" s="28"/>
      <c r="X1031" s="31"/>
      <c r="Y1031" s="33"/>
      <c r="Z1031" s="189"/>
      <c r="AA1031" s="190"/>
      <c r="AB1031" s="31">
        <v>41996</v>
      </c>
      <c r="AC1031" s="36">
        <v>2474.8000000000002</v>
      </c>
      <c r="AD1031" s="8"/>
      <c r="AE1031" s="6"/>
      <c r="AF1031" s="52">
        <f t="shared" si="75"/>
        <v>103879730.00000001</v>
      </c>
      <c r="AG1031" s="25">
        <f t="shared" si="76"/>
        <v>0</v>
      </c>
      <c r="AH1031" s="52">
        <f t="shared" si="79"/>
        <v>103931700.80000001</v>
      </c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</row>
    <row r="1032" spans="1:44">
      <c r="A1032" s="6"/>
      <c r="B1032" s="6"/>
      <c r="C1032" s="6"/>
      <c r="D1032" s="6"/>
      <c r="E1032" s="6"/>
      <c r="F1032" s="6"/>
      <c r="G1032" s="11"/>
      <c r="H1032" s="6"/>
      <c r="I1032" s="6"/>
      <c r="J1032" s="6"/>
      <c r="K1032" s="7"/>
      <c r="L1032" s="21" t="s">
        <v>35</v>
      </c>
      <c r="M1032" s="22"/>
      <c r="N1032" s="22"/>
      <c r="O1032" s="22" t="s">
        <v>150</v>
      </c>
      <c r="P1032" s="23" t="s">
        <v>157</v>
      </c>
      <c r="Q1032" s="21" t="s">
        <v>61</v>
      </c>
      <c r="R1032" s="25">
        <v>1</v>
      </c>
      <c r="S1032" s="28"/>
      <c r="T1032" s="31">
        <v>41859</v>
      </c>
      <c r="U1032" s="33">
        <v>2652.44</v>
      </c>
      <c r="V1032" s="36">
        <f t="shared" si="80"/>
        <v>2652.44</v>
      </c>
      <c r="W1032" s="28"/>
      <c r="X1032" s="31"/>
      <c r="Y1032" s="33"/>
      <c r="Z1032" s="189"/>
      <c r="AA1032" s="190"/>
      <c r="AB1032" s="31">
        <v>41904</v>
      </c>
      <c r="AC1032" s="36">
        <v>2652.44</v>
      </c>
      <c r="AD1032" s="8"/>
      <c r="AE1032" s="6"/>
      <c r="AF1032" s="52">
        <f t="shared" si="75"/>
        <v>111028485.96000001</v>
      </c>
      <c r="AG1032" s="25">
        <f t="shared" si="76"/>
        <v>0</v>
      </c>
      <c r="AH1032" s="52">
        <f t="shared" si="79"/>
        <v>111147845.76000001</v>
      </c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</row>
    <row r="1033" spans="1:44">
      <c r="A1033" s="6"/>
      <c r="B1033" s="6"/>
      <c r="C1033" s="6"/>
      <c r="D1033" s="6"/>
      <c r="E1033" s="6"/>
      <c r="F1033" s="6"/>
      <c r="G1033" s="11"/>
      <c r="H1033" s="6"/>
      <c r="I1033" s="6"/>
      <c r="J1033" s="6"/>
      <c r="K1033" s="7"/>
      <c r="L1033" s="21" t="s">
        <v>35</v>
      </c>
      <c r="M1033" s="22"/>
      <c r="N1033" s="22"/>
      <c r="O1033" s="22" t="s">
        <v>150</v>
      </c>
      <c r="P1033" s="23" t="s">
        <v>157</v>
      </c>
      <c r="Q1033" s="21" t="s">
        <v>61</v>
      </c>
      <c r="R1033" s="25">
        <v>1</v>
      </c>
      <c r="S1033" s="28"/>
      <c r="T1033" s="31">
        <v>41878</v>
      </c>
      <c r="U1033" s="33">
        <v>1115.4000000000001</v>
      </c>
      <c r="V1033" s="36">
        <f t="shared" si="80"/>
        <v>1115.4000000000001</v>
      </c>
      <c r="W1033" s="28"/>
      <c r="X1033" s="31"/>
      <c r="Y1033" s="33"/>
      <c r="Z1033" s="189"/>
      <c r="AA1033" s="190"/>
      <c r="AB1033" s="31"/>
      <c r="AC1033" s="36"/>
      <c r="AD1033" s="8"/>
      <c r="AE1033" s="6"/>
      <c r="AF1033" s="52">
        <f t="shared" ref="AF1033:AF1096" si="81">T1033*V1033</f>
        <v>46710721.200000003</v>
      </c>
      <c r="AG1033" s="25">
        <f t="shared" ref="AG1033:AG1096" si="82">X1033*Z1033</f>
        <v>0</v>
      </c>
      <c r="AH1033" s="52">
        <f t="shared" si="79"/>
        <v>0</v>
      </c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</row>
    <row r="1034" spans="1:44">
      <c r="A1034" s="6"/>
      <c r="B1034" s="6"/>
      <c r="C1034" s="6"/>
      <c r="D1034" s="6"/>
      <c r="E1034" s="6"/>
      <c r="F1034" s="6"/>
      <c r="G1034" s="11"/>
      <c r="H1034" s="6"/>
      <c r="I1034" s="6"/>
      <c r="J1034" s="6"/>
      <c r="K1034" s="7"/>
      <c r="L1034" s="21" t="s">
        <v>35</v>
      </c>
      <c r="M1034" s="22"/>
      <c r="N1034" s="22"/>
      <c r="O1034" s="22" t="s">
        <v>138</v>
      </c>
      <c r="P1034" s="23" t="s">
        <v>157</v>
      </c>
      <c r="Q1034" s="21" t="s">
        <v>59</v>
      </c>
      <c r="R1034" s="25">
        <v>1</v>
      </c>
      <c r="S1034" s="28"/>
      <c r="T1034" s="31">
        <v>41847</v>
      </c>
      <c r="U1034" s="33">
        <v>6415</v>
      </c>
      <c r="V1034" s="36">
        <f t="shared" si="80"/>
        <v>6415</v>
      </c>
      <c r="W1034" s="28"/>
      <c r="X1034" s="31"/>
      <c r="Y1034" s="33"/>
      <c r="Z1034" s="189"/>
      <c r="AA1034" s="190"/>
      <c r="AB1034" s="31">
        <v>41862</v>
      </c>
      <c r="AC1034" s="36">
        <v>6415</v>
      </c>
      <c r="AD1034" s="8"/>
      <c r="AE1034" s="6"/>
      <c r="AF1034" s="52">
        <f t="shared" si="81"/>
        <v>268448505</v>
      </c>
      <c r="AG1034" s="25">
        <f t="shared" si="82"/>
        <v>0</v>
      </c>
      <c r="AH1034" s="52">
        <f t="shared" ref="AH1034:AH1097" si="83">AB1034*AC1034</f>
        <v>268544730</v>
      </c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</row>
    <row r="1035" spans="1:44">
      <c r="A1035" s="6"/>
      <c r="B1035" s="6"/>
      <c r="C1035" s="6"/>
      <c r="D1035" s="6"/>
      <c r="E1035" s="6"/>
      <c r="F1035" s="6"/>
      <c r="G1035" s="11"/>
      <c r="H1035" s="6"/>
      <c r="I1035" s="6"/>
      <c r="J1035" s="6"/>
      <c r="K1035" s="7"/>
      <c r="L1035" s="21" t="s">
        <v>35</v>
      </c>
      <c r="M1035" s="22"/>
      <c r="N1035" s="22"/>
      <c r="O1035" s="22" t="s">
        <v>150</v>
      </c>
      <c r="P1035" s="23" t="s">
        <v>157</v>
      </c>
      <c r="Q1035" s="21" t="s">
        <v>133</v>
      </c>
      <c r="R1035" s="25">
        <v>1</v>
      </c>
      <c r="S1035" s="28"/>
      <c r="T1035" s="31">
        <v>41834</v>
      </c>
      <c r="U1035" s="33">
        <v>428</v>
      </c>
      <c r="V1035" s="36">
        <f t="shared" si="80"/>
        <v>428</v>
      </c>
      <c r="W1035" s="28"/>
      <c r="X1035" s="31"/>
      <c r="Y1035" s="33"/>
      <c r="Z1035" s="189"/>
      <c r="AA1035" s="190"/>
      <c r="AB1035" s="31">
        <v>41856</v>
      </c>
      <c r="AC1035" s="36">
        <v>428</v>
      </c>
      <c r="AD1035" s="8"/>
      <c r="AE1035" s="6"/>
      <c r="AF1035" s="52">
        <f t="shared" si="81"/>
        <v>17904952</v>
      </c>
      <c r="AG1035" s="25">
        <f t="shared" si="82"/>
        <v>0</v>
      </c>
      <c r="AH1035" s="52">
        <f t="shared" si="83"/>
        <v>17914368</v>
      </c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</row>
    <row r="1036" spans="1:44">
      <c r="A1036" s="6"/>
      <c r="B1036" s="6"/>
      <c r="C1036" s="6"/>
      <c r="D1036" s="6"/>
      <c r="E1036" s="6"/>
      <c r="F1036" s="6"/>
      <c r="G1036" s="11"/>
      <c r="H1036" s="6"/>
      <c r="I1036" s="6"/>
      <c r="J1036" s="6"/>
      <c r="K1036" s="7"/>
      <c r="L1036" s="21" t="s">
        <v>35</v>
      </c>
      <c r="M1036" s="22"/>
      <c r="N1036" s="22"/>
      <c r="O1036" s="22" t="s">
        <v>134</v>
      </c>
      <c r="P1036" s="23" t="s">
        <v>157</v>
      </c>
      <c r="Q1036" s="21" t="s">
        <v>61</v>
      </c>
      <c r="R1036" s="25">
        <v>1</v>
      </c>
      <c r="S1036" s="28"/>
      <c r="T1036" s="31">
        <v>41870</v>
      </c>
      <c r="U1036" s="33">
        <v>3570</v>
      </c>
      <c r="V1036" s="36">
        <f t="shared" si="80"/>
        <v>3570</v>
      </c>
      <c r="W1036" s="28"/>
      <c r="X1036" s="31"/>
      <c r="Y1036" s="33"/>
      <c r="Z1036" s="189"/>
      <c r="AA1036" s="190"/>
      <c r="AB1036" s="31">
        <v>41930</v>
      </c>
      <c r="AC1036" s="36">
        <v>3570</v>
      </c>
      <c r="AD1036" s="8"/>
      <c r="AE1036" s="6"/>
      <c r="AF1036" s="52">
        <f t="shared" si="81"/>
        <v>149475900</v>
      </c>
      <c r="AG1036" s="25">
        <f t="shared" si="82"/>
        <v>0</v>
      </c>
      <c r="AH1036" s="52">
        <f t="shared" si="83"/>
        <v>149690100</v>
      </c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</row>
    <row r="1037" spans="1:44">
      <c r="A1037" s="6"/>
      <c r="B1037" s="6"/>
      <c r="C1037" s="6"/>
      <c r="D1037" s="6"/>
      <c r="E1037" s="6"/>
      <c r="F1037" s="6"/>
      <c r="G1037" s="11"/>
      <c r="H1037" s="6"/>
      <c r="I1037" s="6"/>
      <c r="J1037" s="6"/>
      <c r="K1037" s="7"/>
      <c r="L1037" s="21" t="s">
        <v>35</v>
      </c>
      <c r="M1037" s="22"/>
      <c r="N1037" s="22"/>
      <c r="O1037" s="22" t="s">
        <v>138</v>
      </c>
      <c r="P1037" s="23" t="s">
        <v>157</v>
      </c>
      <c r="Q1037" s="21" t="s">
        <v>59</v>
      </c>
      <c r="R1037" s="25">
        <v>1</v>
      </c>
      <c r="S1037" s="28"/>
      <c r="T1037" s="31">
        <v>41851</v>
      </c>
      <c r="U1037" s="33">
        <v>6415</v>
      </c>
      <c r="V1037" s="36">
        <f t="shared" si="80"/>
        <v>6415</v>
      </c>
      <c r="W1037" s="28"/>
      <c r="X1037" s="31"/>
      <c r="Y1037" s="33"/>
      <c r="Z1037" s="189"/>
      <c r="AA1037" s="190"/>
      <c r="AB1037" s="31"/>
      <c r="AC1037" s="36"/>
      <c r="AD1037" s="8"/>
      <c r="AE1037" s="6"/>
      <c r="AF1037" s="52">
        <f t="shared" si="81"/>
        <v>268474165</v>
      </c>
      <c r="AG1037" s="25">
        <f t="shared" si="82"/>
        <v>0</v>
      </c>
      <c r="AH1037" s="52">
        <f t="shared" si="83"/>
        <v>0</v>
      </c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</row>
    <row r="1038" spans="1:44">
      <c r="A1038" s="6"/>
      <c r="B1038" s="6"/>
      <c r="C1038" s="6"/>
      <c r="D1038" s="6"/>
      <c r="E1038" s="6"/>
      <c r="F1038" s="6"/>
      <c r="G1038" s="11"/>
      <c r="H1038" s="6"/>
      <c r="I1038" s="6"/>
      <c r="J1038" s="6"/>
      <c r="K1038" s="7"/>
      <c r="L1038" s="21" t="s">
        <v>35</v>
      </c>
      <c r="M1038" s="22"/>
      <c r="N1038" s="22"/>
      <c r="O1038" s="22" t="s">
        <v>138</v>
      </c>
      <c r="P1038" s="23" t="s">
        <v>157</v>
      </c>
      <c r="Q1038" s="21" t="s">
        <v>59</v>
      </c>
      <c r="R1038" s="25">
        <v>1</v>
      </c>
      <c r="S1038" s="28"/>
      <c r="T1038" s="31">
        <v>42233</v>
      </c>
      <c r="U1038" s="33">
        <v>6415</v>
      </c>
      <c r="V1038" s="36">
        <f t="shared" si="80"/>
        <v>6415</v>
      </c>
      <c r="W1038" s="28"/>
      <c r="X1038" s="31"/>
      <c r="Y1038" s="33"/>
      <c r="Z1038" s="189"/>
      <c r="AA1038" s="190"/>
      <c r="AB1038" s="31">
        <v>42273</v>
      </c>
      <c r="AC1038" s="36">
        <v>6415</v>
      </c>
      <c r="AD1038" s="8"/>
      <c r="AE1038" s="6"/>
      <c r="AF1038" s="52">
        <f t="shared" si="81"/>
        <v>270924695</v>
      </c>
      <c r="AG1038" s="25">
        <f t="shared" si="82"/>
        <v>0</v>
      </c>
      <c r="AH1038" s="52">
        <f t="shared" si="83"/>
        <v>271181295</v>
      </c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</row>
    <row r="1039" spans="1:44">
      <c r="A1039" s="6"/>
      <c r="B1039" s="6"/>
      <c r="C1039" s="6"/>
      <c r="D1039" s="6"/>
      <c r="E1039" s="6"/>
      <c r="F1039" s="6"/>
      <c r="G1039" s="11"/>
      <c r="H1039" s="6"/>
      <c r="I1039" s="6"/>
      <c r="J1039" s="6"/>
      <c r="K1039" s="7"/>
      <c r="L1039" s="21" t="s">
        <v>35</v>
      </c>
      <c r="M1039" s="22"/>
      <c r="N1039" s="22"/>
      <c r="O1039" s="22" t="s">
        <v>151</v>
      </c>
      <c r="P1039" s="23" t="s">
        <v>157</v>
      </c>
      <c r="Q1039" s="21" t="s">
        <v>133</v>
      </c>
      <c r="R1039" s="25">
        <v>1</v>
      </c>
      <c r="S1039" s="28"/>
      <c r="T1039" s="31">
        <v>42229</v>
      </c>
      <c r="U1039" s="33">
        <v>1103</v>
      </c>
      <c r="V1039" s="36">
        <f t="shared" si="80"/>
        <v>1103</v>
      </c>
      <c r="W1039" s="28"/>
      <c r="X1039" s="31"/>
      <c r="Y1039" s="33"/>
      <c r="Z1039" s="189"/>
      <c r="AA1039" s="190"/>
      <c r="AB1039" s="31">
        <v>42264</v>
      </c>
      <c r="AC1039" s="36">
        <v>1103</v>
      </c>
      <c r="AD1039" s="8"/>
      <c r="AE1039" s="6"/>
      <c r="AF1039" s="52">
        <f t="shared" si="81"/>
        <v>46578587</v>
      </c>
      <c r="AG1039" s="25">
        <f t="shared" si="82"/>
        <v>0</v>
      </c>
      <c r="AH1039" s="52">
        <f t="shared" si="83"/>
        <v>46617192</v>
      </c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</row>
    <row r="1040" spans="1:44">
      <c r="A1040" s="6"/>
      <c r="B1040" s="6"/>
      <c r="C1040" s="6"/>
      <c r="D1040" s="6"/>
      <c r="E1040" s="6"/>
      <c r="F1040" s="6"/>
      <c r="G1040" s="11"/>
      <c r="H1040" s="6"/>
      <c r="I1040" s="6"/>
      <c r="J1040" s="6"/>
      <c r="K1040" s="7"/>
      <c r="L1040" s="21" t="s">
        <v>35</v>
      </c>
      <c r="M1040" s="22"/>
      <c r="N1040" s="22"/>
      <c r="O1040" s="22" t="s">
        <v>136</v>
      </c>
      <c r="P1040" s="23" t="s">
        <v>156</v>
      </c>
      <c r="Q1040" s="21" t="s">
        <v>65</v>
      </c>
      <c r="R1040" s="25">
        <v>1</v>
      </c>
      <c r="S1040" s="28"/>
      <c r="T1040" s="31">
        <v>42232</v>
      </c>
      <c r="U1040" s="33">
        <v>452.16</v>
      </c>
      <c r="V1040" s="36">
        <f t="shared" si="80"/>
        <v>452.16</v>
      </c>
      <c r="W1040" s="28"/>
      <c r="X1040" s="31"/>
      <c r="Y1040" s="33"/>
      <c r="Z1040" s="189"/>
      <c r="AA1040" s="190"/>
      <c r="AB1040" s="31">
        <v>42247</v>
      </c>
      <c r="AC1040" s="36">
        <v>452.16</v>
      </c>
      <c r="AD1040" s="8"/>
      <c r="AE1040" s="6"/>
      <c r="AF1040" s="52">
        <f t="shared" si="81"/>
        <v>19095621.120000001</v>
      </c>
      <c r="AG1040" s="25">
        <f t="shared" si="82"/>
        <v>0</v>
      </c>
      <c r="AH1040" s="52">
        <f t="shared" si="83"/>
        <v>19102403.52</v>
      </c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</row>
    <row r="1041" spans="1:44">
      <c r="A1041" s="6"/>
      <c r="B1041" s="6"/>
      <c r="C1041" s="6"/>
      <c r="D1041" s="6"/>
      <c r="E1041" s="6"/>
      <c r="F1041" s="6"/>
      <c r="G1041" s="11"/>
      <c r="H1041" s="6"/>
      <c r="I1041" s="6"/>
      <c r="J1041" s="6"/>
      <c r="K1041" s="7"/>
      <c r="L1041" s="21" t="s">
        <v>35</v>
      </c>
      <c r="M1041" s="22"/>
      <c r="N1041" s="22"/>
      <c r="O1041" s="22" t="s">
        <v>128</v>
      </c>
      <c r="P1041" s="23" t="s">
        <v>158</v>
      </c>
      <c r="Q1041" s="21" t="s">
        <v>129</v>
      </c>
      <c r="R1041" s="25">
        <v>1</v>
      </c>
      <c r="S1041" s="28"/>
      <c r="T1041" s="31">
        <v>42236</v>
      </c>
      <c r="U1041" s="33">
        <v>4774</v>
      </c>
      <c r="V1041" s="36">
        <f t="shared" si="80"/>
        <v>4774</v>
      </c>
      <c r="W1041" s="28"/>
      <c r="X1041" s="31"/>
      <c r="Y1041" s="33"/>
      <c r="Z1041" s="189"/>
      <c r="AA1041" s="190"/>
      <c r="AB1041" s="31">
        <v>42286</v>
      </c>
      <c r="AC1041" s="36">
        <v>4774</v>
      </c>
      <c r="AD1041" s="8"/>
      <c r="AE1041" s="6"/>
      <c r="AF1041" s="52">
        <f t="shared" si="81"/>
        <v>201634664</v>
      </c>
      <c r="AG1041" s="25">
        <f t="shared" si="82"/>
        <v>0</v>
      </c>
      <c r="AH1041" s="52">
        <f t="shared" si="83"/>
        <v>201873364</v>
      </c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</row>
    <row r="1042" spans="1:44">
      <c r="A1042" s="6"/>
      <c r="B1042" s="6"/>
      <c r="C1042" s="6"/>
      <c r="D1042" s="6"/>
      <c r="E1042" s="6"/>
      <c r="F1042" s="6"/>
      <c r="G1042" s="11"/>
      <c r="H1042" s="6"/>
      <c r="I1042" s="6"/>
      <c r="J1042" s="6"/>
      <c r="K1042" s="7"/>
      <c r="L1042" s="21" t="s">
        <v>35</v>
      </c>
      <c r="M1042" s="22"/>
      <c r="N1042" s="22"/>
      <c r="O1042" s="22" t="s">
        <v>128</v>
      </c>
      <c r="P1042" s="23" t="s">
        <v>158</v>
      </c>
      <c r="Q1042" s="21" t="s">
        <v>131</v>
      </c>
      <c r="R1042" s="25">
        <v>1</v>
      </c>
      <c r="S1042" s="28"/>
      <c r="T1042" s="31">
        <v>42237</v>
      </c>
      <c r="U1042" s="33">
        <v>12395</v>
      </c>
      <c r="V1042" s="36">
        <f t="shared" si="80"/>
        <v>12395</v>
      </c>
      <c r="W1042" s="28"/>
      <c r="X1042" s="31"/>
      <c r="Y1042" s="33"/>
      <c r="Z1042" s="189"/>
      <c r="AA1042" s="190"/>
      <c r="AB1042" s="31">
        <v>42257</v>
      </c>
      <c r="AC1042" s="36">
        <v>12395</v>
      </c>
      <c r="AD1042" s="8"/>
      <c r="AE1042" s="6"/>
      <c r="AF1042" s="52">
        <f t="shared" si="81"/>
        <v>523527615</v>
      </c>
      <c r="AG1042" s="25">
        <f t="shared" si="82"/>
        <v>0</v>
      </c>
      <c r="AH1042" s="52">
        <f t="shared" si="83"/>
        <v>523775515</v>
      </c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</row>
    <row r="1043" spans="1:44">
      <c r="A1043" s="6"/>
      <c r="B1043" s="6"/>
      <c r="C1043" s="6"/>
      <c r="D1043" s="6"/>
      <c r="E1043" s="6"/>
      <c r="F1043" s="6"/>
      <c r="G1043" s="11"/>
      <c r="H1043" s="6"/>
      <c r="I1043" s="6"/>
      <c r="J1043" s="6"/>
      <c r="K1043" s="7"/>
      <c r="L1043" s="21" t="s">
        <v>35</v>
      </c>
      <c r="M1043" s="22"/>
      <c r="N1043" s="22"/>
      <c r="O1043" s="22" t="s">
        <v>138</v>
      </c>
      <c r="P1043" s="23" t="s">
        <v>157</v>
      </c>
      <c r="Q1043" s="21" t="s">
        <v>59</v>
      </c>
      <c r="R1043" s="25">
        <v>1</v>
      </c>
      <c r="S1043" s="28"/>
      <c r="T1043" s="31">
        <v>42198</v>
      </c>
      <c r="U1043" s="33">
        <v>12885</v>
      </c>
      <c r="V1043" s="36">
        <f t="shared" si="80"/>
        <v>12885</v>
      </c>
      <c r="W1043" s="28"/>
      <c r="X1043" s="31"/>
      <c r="Y1043" s="33"/>
      <c r="Z1043" s="189"/>
      <c r="AA1043" s="190"/>
      <c r="AB1043" s="31">
        <v>42228</v>
      </c>
      <c r="AC1043" s="36">
        <v>12885</v>
      </c>
      <c r="AD1043" s="8"/>
      <c r="AE1043" s="6"/>
      <c r="AF1043" s="52">
        <f t="shared" si="81"/>
        <v>543721230</v>
      </c>
      <c r="AG1043" s="25">
        <f t="shared" si="82"/>
        <v>0</v>
      </c>
      <c r="AH1043" s="52">
        <f t="shared" si="83"/>
        <v>544107780</v>
      </c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</row>
    <row r="1044" spans="1:44">
      <c r="A1044" s="6"/>
      <c r="B1044" s="6"/>
      <c r="C1044" s="6"/>
      <c r="D1044" s="6"/>
      <c r="E1044" s="6"/>
      <c r="F1044" s="6"/>
      <c r="G1044" s="11"/>
      <c r="H1044" s="6"/>
      <c r="I1044" s="6"/>
      <c r="J1044" s="6"/>
      <c r="K1044" s="7"/>
      <c r="L1044" s="21" t="s">
        <v>35</v>
      </c>
      <c r="M1044" s="22"/>
      <c r="N1044" s="22"/>
      <c r="O1044" s="22" t="s">
        <v>145</v>
      </c>
      <c r="P1044" s="23" t="s">
        <v>155</v>
      </c>
      <c r="Q1044" s="21" t="s">
        <v>67</v>
      </c>
      <c r="R1044" s="25">
        <v>1</v>
      </c>
      <c r="S1044" s="28"/>
      <c r="T1044" s="31">
        <v>42261</v>
      </c>
      <c r="U1044" s="33">
        <v>2934</v>
      </c>
      <c r="V1044" s="36">
        <f t="shared" si="80"/>
        <v>2934</v>
      </c>
      <c r="W1044" s="28"/>
      <c r="X1044" s="31"/>
      <c r="Y1044" s="33"/>
      <c r="Z1044" s="189"/>
      <c r="AA1044" s="190"/>
      <c r="AB1044" s="31">
        <v>42286</v>
      </c>
      <c r="AC1044" s="36">
        <v>2934</v>
      </c>
      <c r="AD1044" s="8"/>
      <c r="AE1044" s="6"/>
      <c r="AF1044" s="52">
        <f t="shared" si="81"/>
        <v>123993774</v>
      </c>
      <c r="AG1044" s="25">
        <f t="shared" si="82"/>
        <v>0</v>
      </c>
      <c r="AH1044" s="52">
        <f t="shared" si="83"/>
        <v>124067124</v>
      </c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</row>
    <row r="1045" spans="1:44">
      <c r="A1045" s="6"/>
      <c r="B1045" s="6"/>
      <c r="C1045" s="6"/>
      <c r="D1045" s="6"/>
      <c r="E1045" s="6"/>
      <c r="F1045" s="6"/>
      <c r="G1045" s="11"/>
      <c r="H1045" s="6"/>
      <c r="I1045" s="6"/>
      <c r="J1045" s="6"/>
      <c r="K1045" s="7"/>
      <c r="L1045" s="21" t="s">
        <v>35</v>
      </c>
      <c r="M1045" s="22"/>
      <c r="N1045" s="22"/>
      <c r="O1045" s="22" t="s">
        <v>138</v>
      </c>
      <c r="P1045" s="23" t="s">
        <v>157</v>
      </c>
      <c r="Q1045" s="21" t="s">
        <v>63</v>
      </c>
      <c r="R1045" s="25">
        <v>1</v>
      </c>
      <c r="S1045" s="28"/>
      <c r="T1045" s="31">
        <v>42258</v>
      </c>
      <c r="U1045" s="33">
        <v>2415</v>
      </c>
      <c r="V1045" s="36">
        <f t="shared" si="80"/>
        <v>2415</v>
      </c>
      <c r="W1045" s="28"/>
      <c r="X1045" s="31"/>
      <c r="Y1045" s="33"/>
      <c r="Z1045" s="189"/>
      <c r="AA1045" s="190"/>
      <c r="AB1045" s="31"/>
      <c r="AC1045" s="36"/>
      <c r="AD1045" s="8"/>
      <c r="AE1045" s="6"/>
      <c r="AF1045" s="52">
        <f t="shared" si="81"/>
        <v>102053070</v>
      </c>
      <c r="AG1045" s="25">
        <f t="shared" si="82"/>
        <v>0</v>
      </c>
      <c r="AH1045" s="52">
        <f t="shared" si="83"/>
        <v>0</v>
      </c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</row>
    <row r="1046" spans="1:44">
      <c r="A1046" s="6"/>
      <c r="B1046" s="6"/>
      <c r="C1046" s="6"/>
      <c r="D1046" s="6"/>
      <c r="E1046" s="6"/>
      <c r="F1046" s="6"/>
      <c r="G1046" s="11"/>
      <c r="H1046" s="6"/>
      <c r="I1046" s="6"/>
      <c r="J1046" s="6"/>
      <c r="K1046" s="7"/>
      <c r="L1046" s="21" t="s">
        <v>35</v>
      </c>
      <c r="M1046" s="22"/>
      <c r="N1046" s="22"/>
      <c r="O1046" s="22" t="s">
        <v>150</v>
      </c>
      <c r="P1046" s="23" t="s">
        <v>157</v>
      </c>
      <c r="Q1046" s="21" t="s">
        <v>63</v>
      </c>
      <c r="R1046" s="25">
        <v>1</v>
      </c>
      <c r="S1046" s="28"/>
      <c r="T1046" s="31">
        <v>42231</v>
      </c>
      <c r="U1046" s="33">
        <v>126.72</v>
      </c>
      <c r="V1046" s="36">
        <f t="shared" si="80"/>
        <v>126.72</v>
      </c>
      <c r="W1046" s="28"/>
      <c r="X1046" s="31"/>
      <c r="Y1046" s="33"/>
      <c r="Z1046" s="189"/>
      <c r="AA1046" s="190"/>
      <c r="AB1046" s="31"/>
      <c r="AC1046" s="36"/>
      <c r="AD1046" s="8"/>
      <c r="AE1046" s="6"/>
      <c r="AF1046" s="52">
        <f t="shared" si="81"/>
        <v>5351512.32</v>
      </c>
      <c r="AG1046" s="25">
        <f t="shared" si="82"/>
        <v>0</v>
      </c>
      <c r="AH1046" s="52">
        <f t="shared" si="83"/>
        <v>0</v>
      </c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</row>
    <row r="1047" spans="1:44">
      <c r="A1047" s="6"/>
      <c r="B1047" s="6"/>
      <c r="C1047" s="6"/>
      <c r="D1047" s="6"/>
      <c r="E1047" s="6"/>
      <c r="F1047" s="6"/>
      <c r="G1047" s="11"/>
      <c r="H1047" s="6"/>
      <c r="I1047" s="6"/>
      <c r="J1047" s="6"/>
      <c r="K1047" s="7"/>
      <c r="L1047" s="21" t="s">
        <v>35</v>
      </c>
      <c r="M1047" s="22"/>
      <c r="N1047" s="22"/>
      <c r="O1047" s="22" t="s">
        <v>150</v>
      </c>
      <c r="P1047" s="23" t="s">
        <v>157</v>
      </c>
      <c r="Q1047" s="21" t="s">
        <v>63</v>
      </c>
      <c r="R1047" s="25">
        <v>1</v>
      </c>
      <c r="S1047" s="28"/>
      <c r="T1047" s="31">
        <v>42211</v>
      </c>
      <c r="U1047" s="33">
        <v>992</v>
      </c>
      <c r="V1047" s="36">
        <f t="shared" si="80"/>
        <v>992</v>
      </c>
      <c r="W1047" s="28"/>
      <c r="X1047" s="31"/>
      <c r="Y1047" s="33"/>
      <c r="Z1047" s="189"/>
      <c r="AA1047" s="190"/>
      <c r="AB1047" s="31">
        <v>42233</v>
      </c>
      <c r="AC1047" s="36">
        <v>992</v>
      </c>
      <c r="AD1047" s="8"/>
      <c r="AE1047" s="6"/>
      <c r="AF1047" s="52">
        <f t="shared" si="81"/>
        <v>41873312</v>
      </c>
      <c r="AG1047" s="25">
        <f t="shared" si="82"/>
        <v>0</v>
      </c>
      <c r="AH1047" s="52">
        <f t="shared" si="83"/>
        <v>41895136</v>
      </c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</row>
    <row r="1048" spans="1:44">
      <c r="A1048" s="6"/>
      <c r="B1048" s="6"/>
      <c r="C1048" s="6"/>
      <c r="D1048" s="6"/>
      <c r="E1048" s="6"/>
      <c r="F1048" s="6"/>
      <c r="G1048" s="11"/>
      <c r="H1048" s="6"/>
      <c r="I1048" s="6"/>
      <c r="J1048" s="6"/>
      <c r="K1048" s="7"/>
      <c r="L1048" s="21" t="s">
        <v>35</v>
      </c>
      <c r="M1048" s="22"/>
      <c r="N1048" s="22"/>
      <c r="O1048" s="22" t="s">
        <v>144</v>
      </c>
      <c r="P1048" s="23" t="s">
        <v>156</v>
      </c>
      <c r="Q1048" s="21" t="s">
        <v>72</v>
      </c>
      <c r="R1048" s="25">
        <v>1</v>
      </c>
      <c r="S1048" s="28"/>
      <c r="T1048" s="31">
        <v>42240</v>
      </c>
      <c r="U1048" s="33">
        <v>1593.93</v>
      </c>
      <c r="V1048" s="36">
        <f t="shared" si="80"/>
        <v>1593.93</v>
      </c>
      <c r="W1048" s="28"/>
      <c r="X1048" s="31"/>
      <c r="Y1048" s="33"/>
      <c r="Z1048" s="189"/>
      <c r="AA1048" s="190"/>
      <c r="AB1048" s="31">
        <v>42272</v>
      </c>
      <c r="AC1048" s="36">
        <v>1593.93</v>
      </c>
      <c r="AD1048" s="8"/>
      <c r="AE1048" s="6"/>
      <c r="AF1048" s="52">
        <f t="shared" si="81"/>
        <v>67327603.200000003</v>
      </c>
      <c r="AG1048" s="25">
        <f t="shared" si="82"/>
        <v>0</v>
      </c>
      <c r="AH1048" s="52">
        <f t="shared" si="83"/>
        <v>67378608.960000008</v>
      </c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</row>
    <row r="1049" spans="1:44">
      <c r="A1049" s="6"/>
      <c r="B1049" s="6"/>
      <c r="C1049" s="6"/>
      <c r="D1049" s="6"/>
      <c r="E1049" s="6"/>
      <c r="F1049" s="6"/>
      <c r="G1049" s="11"/>
      <c r="H1049" s="6"/>
      <c r="I1049" s="6"/>
      <c r="J1049" s="6"/>
      <c r="K1049" s="7"/>
      <c r="L1049" s="21" t="s">
        <v>35</v>
      </c>
      <c r="M1049" s="22"/>
      <c r="N1049" s="22"/>
      <c r="O1049" s="22" t="s">
        <v>145</v>
      </c>
      <c r="P1049" s="23" t="s">
        <v>155</v>
      </c>
      <c r="Q1049" s="21" t="s">
        <v>58</v>
      </c>
      <c r="R1049" s="25">
        <v>1</v>
      </c>
      <c r="S1049" s="28"/>
      <c r="T1049" s="31">
        <v>42202</v>
      </c>
      <c r="U1049" s="33">
        <v>5220</v>
      </c>
      <c r="V1049" s="36">
        <f t="shared" si="80"/>
        <v>5220</v>
      </c>
      <c r="W1049" s="28"/>
      <c r="X1049" s="31"/>
      <c r="Y1049" s="33"/>
      <c r="Z1049" s="189"/>
      <c r="AA1049" s="190"/>
      <c r="AB1049" s="31">
        <v>42247</v>
      </c>
      <c r="AC1049" s="36">
        <v>5220</v>
      </c>
      <c r="AD1049" s="8"/>
      <c r="AE1049" s="6"/>
      <c r="AF1049" s="52">
        <f t="shared" si="81"/>
        <v>220294440</v>
      </c>
      <c r="AG1049" s="25">
        <f t="shared" si="82"/>
        <v>0</v>
      </c>
      <c r="AH1049" s="52">
        <f t="shared" si="83"/>
        <v>220529340</v>
      </c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</row>
    <row r="1050" spans="1:44">
      <c r="A1050" s="6"/>
      <c r="B1050" s="6"/>
      <c r="C1050" s="6"/>
      <c r="D1050" s="6"/>
      <c r="E1050" s="6"/>
      <c r="F1050" s="6"/>
      <c r="G1050" s="11"/>
      <c r="H1050" s="6"/>
      <c r="I1050" s="6"/>
      <c r="J1050" s="6"/>
      <c r="K1050" s="7"/>
      <c r="L1050" s="21" t="s">
        <v>35</v>
      </c>
      <c r="M1050" s="22"/>
      <c r="N1050" s="22"/>
      <c r="O1050" s="22" t="s">
        <v>145</v>
      </c>
      <c r="P1050" s="23" t="s">
        <v>155</v>
      </c>
      <c r="Q1050" s="21" t="s">
        <v>58</v>
      </c>
      <c r="R1050" s="25">
        <v>1</v>
      </c>
      <c r="S1050" s="28"/>
      <c r="T1050" s="31">
        <v>42243</v>
      </c>
      <c r="U1050" s="33">
        <v>6644</v>
      </c>
      <c r="V1050" s="36">
        <f t="shared" si="80"/>
        <v>6644</v>
      </c>
      <c r="W1050" s="28"/>
      <c r="X1050" s="31"/>
      <c r="Y1050" s="33"/>
      <c r="Z1050" s="189"/>
      <c r="AA1050" s="190"/>
      <c r="AB1050" s="31">
        <v>42281</v>
      </c>
      <c r="AC1050" s="36">
        <v>6644</v>
      </c>
      <c r="AD1050" s="8"/>
      <c r="AE1050" s="6"/>
      <c r="AF1050" s="52">
        <f t="shared" si="81"/>
        <v>280662492</v>
      </c>
      <c r="AG1050" s="25">
        <f t="shared" si="82"/>
        <v>0</v>
      </c>
      <c r="AH1050" s="52">
        <f t="shared" si="83"/>
        <v>280914964</v>
      </c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</row>
    <row r="1051" spans="1:44">
      <c r="A1051" s="6"/>
      <c r="B1051" s="6"/>
      <c r="C1051" s="6"/>
      <c r="D1051" s="6"/>
      <c r="E1051" s="6"/>
      <c r="F1051" s="6"/>
      <c r="G1051" s="11"/>
      <c r="H1051" s="6"/>
      <c r="I1051" s="6"/>
      <c r="J1051" s="6"/>
      <c r="K1051" s="7"/>
      <c r="L1051" s="21" t="s">
        <v>35</v>
      </c>
      <c r="M1051" s="22"/>
      <c r="N1051" s="22"/>
      <c r="O1051" s="22" t="s">
        <v>137</v>
      </c>
      <c r="P1051" s="23" t="s">
        <v>155</v>
      </c>
      <c r="Q1051" s="21" t="s">
        <v>74</v>
      </c>
      <c r="R1051" s="25">
        <v>1</v>
      </c>
      <c r="S1051" s="28"/>
      <c r="T1051" s="31">
        <v>42224</v>
      </c>
      <c r="U1051" s="33">
        <v>11783.96</v>
      </c>
      <c r="V1051" s="36">
        <f t="shared" si="80"/>
        <v>11783.96</v>
      </c>
      <c r="W1051" s="28"/>
      <c r="X1051" s="31"/>
      <c r="Y1051" s="33"/>
      <c r="Z1051" s="189"/>
      <c r="AA1051" s="190"/>
      <c r="AB1051" s="31">
        <v>42236</v>
      </c>
      <c r="AC1051" s="36">
        <v>11783.96</v>
      </c>
      <c r="AD1051" s="8"/>
      <c r="AE1051" s="6"/>
      <c r="AF1051" s="52">
        <f t="shared" si="81"/>
        <v>497565927.03999996</v>
      </c>
      <c r="AG1051" s="25">
        <f t="shared" si="82"/>
        <v>0</v>
      </c>
      <c r="AH1051" s="52">
        <f t="shared" si="83"/>
        <v>497707334.55999994</v>
      </c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</row>
    <row r="1052" spans="1:44">
      <c r="A1052" s="6"/>
      <c r="B1052" s="6"/>
      <c r="C1052" s="6"/>
      <c r="D1052" s="6"/>
      <c r="E1052" s="6"/>
      <c r="F1052" s="6"/>
      <c r="G1052" s="11"/>
      <c r="H1052" s="6"/>
      <c r="I1052" s="6"/>
      <c r="J1052" s="6"/>
      <c r="K1052" s="7"/>
      <c r="L1052" s="21" t="s">
        <v>35</v>
      </c>
      <c r="M1052" s="22"/>
      <c r="N1052" s="22"/>
      <c r="O1052" s="22" t="s">
        <v>148</v>
      </c>
      <c r="P1052" s="23" t="s">
        <v>157</v>
      </c>
      <c r="Q1052" s="21" t="s">
        <v>60</v>
      </c>
      <c r="R1052" s="25">
        <v>1</v>
      </c>
      <c r="S1052" s="28"/>
      <c r="T1052" s="31">
        <v>42228</v>
      </c>
      <c r="U1052" s="33">
        <v>2498.5</v>
      </c>
      <c r="V1052" s="36">
        <f t="shared" si="80"/>
        <v>2498.5</v>
      </c>
      <c r="W1052" s="28"/>
      <c r="X1052" s="31"/>
      <c r="Y1052" s="33"/>
      <c r="Z1052" s="189"/>
      <c r="AA1052" s="190"/>
      <c r="AB1052" s="31">
        <v>42238</v>
      </c>
      <c r="AC1052" s="36">
        <v>2498.5</v>
      </c>
      <c r="AD1052" s="8"/>
      <c r="AE1052" s="6"/>
      <c r="AF1052" s="52">
        <f t="shared" si="81"/>
        <v>105506658</v>
      </c>
      <c r="AG1052" s="25">
        <f t="shared" si="82"/>
        <v>0</v>
      </c>
      <c r="AH1052" s="52">
        <f t="shared" si="83"/>
        <v>105531643</v>
      </c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</row>
    <row r="1053" spans="1:44">
      <c r="A1053" s="6"/>
      <c r="B1053" s="6"/>
      <c r="C1053" s="6"/>
      <c r="D1053" s="6"/>
      <c r="E1053" s="6"/>
      <c r="F1053" s="6"/>
      <c r="G1053" s="11"/>
      <c r="H1053" s="6"/>
      <c r="I1053" s="6"/>
      <c r="J1053" s="6"/>
      <c r="K1053" s="7"/>
      <c r="L1053" s="21" t="s">
        <v>35</v>
      </c>
      <c r="M1053" s="22"/>
      <c r="N1053" s="22"/>
      <c r="O1053" s="22" t="s">
        <v>138</v>
      </c>
      <c r="P1053" s="23" t="s">
        <v>157</v>
      </c>
      <c r="Q1053" s="21" t="s">
        <v>59</v>
      </c>
      <c r="R1053" s="25">
        <v>1</v>
      </c>
      <c r="S1053" s="28"/>
      <c r="T1053" s="31">
        <v>42211</v>
      </c>
      <c r="U1053" s="33">
        <v>12885</v>
      </c>
      <c r="V1053" s="36">
        <f t="shared" si="80"/>
        <v>12885</v>
      </c>
      <c r="W1053" s="28"/>
      <c r="X1053" s="31"/>
      <c r="Y1053" s="33"/>
      <c r="Z1053" s="189"/>
      <c r="AA1053" s="190"/>
      <c r="AB1053" s="31">
        <v>42231</v>
      </c>
      <c r="AC1053" s="36">
        <v>12885</v>
      </c>
      <c r="AD1053" s="8"/>
      <c r="AE1053" s="6"/>
      <c r="AF1053" s="52">
        <f t="shared" si="81"/>
        <v>543888735</v>
      </c>
      <c r="AG1053" s="25">
        <f t="shared" si="82"/>
        <v>0</v>
      </c>
      <c r="AH1053" s="52">
        <f t="shared" si="83"/>
        <v>544146435</v>
      </c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</row>
    <row r="1054" spans="1:44">
      <c r="A1054" s="6"/>
      <c r="B1054" s="6"/>
      <c r="C1054" s="6"/>
      <c r="D1054" s="6"/>
      <c r="E1054" s="6"/>
      <c r="F1054" s="6"/>
      <c r="G1054" s="11"/>
      <c r="H1054" s="6"/>
      <c r="I1054" s="6"/>
      <c r="J1054" s="6"/>
      <c r="K1054" s="7"/>
      <c r="L1054" s="21" t="s">
        <v>35</v>
      </c>
      <c r="M1054" s="22"/>
      <c r="N1054" s="22"/>
      <c r="O1054" s="22" t="s">
        <v>146</v>
      </c>
      <c r="P1054" s="23" t="s">
        <v>157</v>
      </c>
      <c r="Q1054" s="21" t="s">
        <v>133</v>
      </c>
      <c r="R1054" s="25">
        <v>1</v>
      </c>
      <c r="S1054" s="28"/>
      <c r="T1054" s="31">
        <v>42238</v>
      </c>
      <c r="U1054" s="33">
        <v>1860.42</v>
      </c>
      <c r="V1054" s="36">
        <f t="shared" si="80"/>
        <v>1860.42</v>
      </c>
      <c r="W1054" s="28"/>
      <c r="X1054" s="31"/>
      <c r="Y1054" s="33"/>
      <c r="Z1054" s="189"/>
      <c r="AA1054" s="190"/>
      <c r="AB1054" s="31">
        <v>42268</v>
      </c>
      <c r="AC1054" s="36">
        <v>1860.42</v>
      </c>
      <c r="AD1054" s="8"/>
      <c r="AE1054" s="6"/>
      <c r="AF1054" s="52">
        <f t="shared" si="81"/>
        <v>78580419.960000008</v>
      </c>
      <c r="AG1054" s="25">
        <f t="shared" si="82"/>
        <v>0</v>
      </c>
      <c r="AH1054" s="52">
        <f t="shared" si="83"/>
        <v>78636232.560000002</v>
      </c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</row>
    <row r="1055" spans="1:44">
      <c r="A1055" s="6"/>
      <c r="B1055" s="6"/>
      <c r="C1055" s="6"/>
      <c r="D1055" s="6"/>
      <c r="E1055" s="6"/>
      <c r="F1055" s="6"/>
      <c r="G1055" s="11"/>
      <c r="H1055" s="6"/>
      <c r="I1055" s="6"/>
      <c r="J1055" s="6"/>
      <c r="K1055" s="7"/>
      <c r="L1055" s="21" t="s">
        <v>35</v>
      </c>
      <c r="M1055" s="22"/>
      <c r="N1055" s="22"/>
      <c r="O1055" s="22" t="s">
        <v>137</v>
      </c>
      <c r="P1055" s="23" t="s">
        <v>155</v>
      </c>
      <c r="Q1055" s="21" t="s">
        <v>77</v>
      </c>
      <c r="R1055" s="25">
        <v>1</v>
      </c>
      <c r="S1055" s="28"/>
      <c r="T1055" s="31">
        <v>42202</v>
      </c>
      <c r="U1055" s="33">
        <v>8930.35</v>
      </c>
      <c r="V1055" s="36">
        <f t="shared" si="80"/>
        <v>8930.35</v>
      </c>
      <c r="W1055" s="28"/>
      <c r="X1055" s="31"/>
      <c r="Y1055" s="33"/>
      <c r="Z1055" s="189"/>
      <c r="AA1055" s="190"/>
      <c r="AB1055" s="31">
        <v>42232</v>
      </c>
      <c r="AC1055" s="36">
        <v>8930.35</v>
      </c>
      <c r="AD1055" s="8"/>
      <c r="AE1055" s="6"/>
      <c r="AF1055" s="52">
        <f t="shared" si="81"/>
        <v>376878630.69999999</v>
      </c>
      <c r="AG1055" s="25">
        <f t="shared" si="82"/>
        <v>0</v>
      </c>
      <c r="AH1055" s="52">
        <f t="shared" si="83"/>
        <v>377146541.19999999</v>
      </c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</row>
    <row r="1056" spans="1:44">
      <c r="A1056" s="6"/>
      <c r="B1056" s="6"/>
      <c r="C1056" s="6"/>
      <c r="D1056" s="6"/>
      <c r="E1056" s="6"/>
      <c r="F1056" s="6"/>
      <c r="G1056" s="11"/>
      <c r="H1056" s="6"/>
      <c r="I1056" s="6"/>
      <c r="J1056" s="6"/>
      <c r="K1056" s="7"/>
      <c r="L1056" s="21" t="s">
        <v>35</v>
      </c>
      <c r="M1056" s="22"/>
      <c r="N1056" s="22"/>
      <c r="O1056" s="22" t="s">
        <v>144</v>
      </c>
      <c r="P1056" s="23" t="s">
        <v>156</v>
      </c>
      <c r="Q1056" s="21" t="s">
        <v>78</v>
      </c>
      <c r="R1056" s="25">
        <v>1</v>
      </c>
      <c r="S1056" s="28"/>
      <c r="T1056" s="31">
        <v>42168</v>
      </c>
      <c r="U1056" s="33">
        <v>932.4</v>
      </c>
      <c r="V1056" s="36">
        <f t="shared" si="80"/>
        <v>932.4</v>
      </c>
      <c r="W1056" s="28"/>
      <c r="X1056" s="31"/>
      <c r="Y1056" s="33"/>
      <c r="Z1056" s="189"/>
      <c r="AA1056" s="190"/>
      <c r="AB1056" s="31">
        <v>42213</v>
      </c>
      <c r="AC1056" s="36">
        <v>932.4</v>
      </c>
      <c r="AD1056" s="8"/>
      <c r="AE1056" s="6"/>
      <c r="AF1056" s="52">
        <f t="shared" si="81"/>
        <v>39317443.199999996</v>
      </c>
      <c r="AG1056" s="25">
        <f t="shared" si="82"/>
        <v>0</v>
      </c>
      <c r="AH1056" s="52">
        <f t="shared" si="83"/>
        <v>39359401.199999996</v>
      </c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</row>
    <row r="1057" spans="1:44">
      <c r="A1057" s="6"/>
      <c r="B1057" s="6"/>
      <c r="C1057" s="6"/>
      <c r="D1057" s="6"/>
      <c r="E1057" s="6"/>
      <c r="F1057" s="6"/>
      <c r="G1057" s="11"/>
      <c r="H1057" s="6"/>
      <c r="I1057" s="6"/>
      <c r="J1057" s="6"/>
      <c r="K1057" s="7"/>
      <c r="L1057" s="21" t="s">
        <v>35</v>
      </c>
      <c r="M1057" s="22"/>
      <c r="N1057" s="22"/>
      <c r="O1057" s="22" t="s">
        <v>144</v>
      </c>
      <c r="P1057" s="23" t="s">
        <v>156</v>
      </c>
      <c r="Q1057" s="21" t="s">
        <v>78</v>
      </c>
      <c r="R1057" s="25">
        <v>1</v>
      </c>
      <c r="S1057" s="28"/>
      <c r="T1057" s="31">
        <v>42207</v>
      </c>
      <c r="U1057" s="33">
        <v>932.4</v>
      </c>
      <c r="V1057" s="36">
        <f t="shared" si="80"/>
        <v>932.4</v>
      </c>
      <c r="W1057" s="28"/>
      <c r="X1057" s="31"/>
      <c r="Y1057" s="33"/>
      <c r="Z1057" s="189"/>
      <c r="AA1057" s="190"/>
      <c r="AB1057" s="31">
        <v>42267</v>
      </c>
      <c r="AC1057" s="36">
        <v>932.4</v>
      </c>
      <c r="AD1057" s="8"/>
      <c r="AE1057" s="6"/>
      <c r="AF1057" s="52">
        <f t="shared" si="81"/>
        <v>39353806.799999997</v>
      </c>
      <c r="AG1057" s="25">
        <f t="shared" si="82"/>
        <v>0</v>
      </c>
      <c r="AH1057" s="52">
        <f t="shared" si="83"/>
        <v>39409750.799999997</v>
      </c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</row>
    <row r="1058" spans="1:44">
      <c r="A1058" s="6"/>
      <c r="B1058" s="6"/>
      <c r="C1058" s="6"/>
      <c r="D1058" s="6"/>
      <c r="E1058" s="6"/>
      <c r="F1058" s="6"/>
      <c r="G1058" s="11"/>
      <c r="H1058" s="6"/>
      <c r="I1058" s="6"/>
      <c r="J1058" s="6"/>
      <c r="K1058" s="7"/>
      <c r="L1058" s="21" t="s">
        <v>35</v>
      </c>
      <c r="M1058" s="22"/>
      <c r="N1058" s="22"/>
      <c r="O1058" s="22" t="s">
        <v>146</v>
      </c>
      <c r="P1058" s="23" t="s">
        <v>157</v>
      </c>
      <c r="Q1058" s="21" t="s">
        <v>59</v>
      </c>
      <c r="R1058" s="25">
        <v>1</v>
      </c>
      <c r="S1058" s="28"/>
      <c r="T1058" s="31">
        <v>42202</v>
      </c>
      <c r="U1058" s="33">
        <v>6420</v>
      </c>
      <c r="V1058" s="36">
        <f t="shared" si="80"/>
        <v>6420</v>
      </c>
      <c r="W1058" s="28"/>
      <c r="X1058" s="31"/>
      <c r="Y1058" s="33"/>
      <c r="Z1058" s="189"/>
      <c r="AA1058" s="190"/>
      <c r="AB1058" s="31"/>
      <c r="AC1058" s="36"/>
      <c r="AD1058" s="8"/>
      <c r="AE1058" s="6"/>
      <c r="AF1058" s="52">
        <f t="shared" si="81"/>
        <v>270936840</v>
      </c>
      <c r="AG1058" s="25">
        <f t="shared" si="82"/>
        <v>0</v>
      </c>
      <c r="AH1058" s="52">
        <f t="shared" si="83"/>
        <v>0</v>
      </c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</row>
    <row r="1059" spans="1:44">
      <c r="A1059" s="6"/>
      <c r="B1059" s="6"/>
      <c r="C1059" s="6"/>
      <c r="D1059" s="6"/>
      <c r="E1059" s="6"/>
      <c r="F1059" s="6"/>
      <c r="G1059" s="11"/>
      <c r="H1059" s="6"/>
      <c r="I1059" s="6"/>
      <c r="J1059" s="6"/>
      <c r="K1059" s="7"/>
      <c r="L1059" s="21" t="s">
        <v>35</v>
      </c>
      <c r="M1059" s="22"/>
      <c r="N1059" s="22"/>
      <c r="O1059" s="22" t="s">
        <v>150</v>
      </c>
      <c r="P1059" s="23" t="s">
        <v>157</v>
      </c>
      <c r="Q1059" s="21" t="s">
        <v>133</v>
      </c>
      <c r="R1059" s="25">
        <v>1</v>
      </c>
      <c r="S1059" s="28"/>
      <c r="T1059" s="31">
        <v>42231</v>
      </c>
      <c r="U1059" s="33">
        <v>199.43</v>
      </c>
      <c r="V1059" s="36">
        <f t="shared" ref="V1059:V1095" si="84">$R1059*U1059</f>
        <v>199.43</v>
      </c>
      <c r="W1059" s="28"/>
      <c r="X1059" s="31"/>
      <c r="Y1059" s="33"/>
      <c r="Z1059" s="189"/>
      <c r="AA1059" s="190"/>
      <c r="AB1059" s="31">
        <v>42291</v>
      </c>
      <c r="AC1059" s="36">
        <v>199.43</v>
      </c>
      <c r="AD1059" s="8"/>
      <c r="AE1059" s="6"/>
      <c r="AF1059" s="52">
        <f t="shared" si="81"/>
        <v>8422128.3300000001</v>
      </c>
      <c r="AG1059" s="25">
        <f t="shared" si="82"/>
        <v>0</v>
      </c>
      <c r="AH1059" s="52">
        <f t="shared" si="83"/>
        <v>8434094.1300000008</v>
      </c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</row>
    <row r="1060" spans="1:44">
      <c r="A1060" s="6"/>
      <c r="B1060" s="6"/>
      <c r="C1060" s="6"/>
      <c r="D1060" s="6"/>
      <c r="E1060" s="6"/>
      <c r="F1060" s="6"/>
      <c r="G1060" s="11"/>
      <c r="H1060" s="6"/>
      <c r="I1060" s="6"/>
      <c r="J1060" s="6"/>
      <c r="K1060" s="7"/>
      <c r="L1060" s="21" t="s">
        <v>35</v>
      </c>
      <c r="M1060" s="22"/>
      <c r="N1060" s="22"/>
      <c r="O1060" s="22" t="s">
        <v>150</v>
      </c>
      <c r="P1060" s="23" t="s">
        <v>157</v>
      </c>
      <c r="Q1060" s="21" t="s">
        <v>133</v>
      </c>
      <c r="R1060" s="25">
        <v>1</v>
      </c>
      <c r="S1060" s="28"/>
      <c r="T1060" s="31">
        <v>42241</v>
      </c>
      <c r="U1060" s="33">
        <v>199.43</v>
      </c>
      <c r="V1060" s="36">
        <f t="shared" si="84"/>
        <v>199.43</v>
      </c>
      <c r="W1060" s="28"/>
      <c r="X1060" s="31"/>
      <c r="Y1060" s="33"/>
      <c r="Z1060" s="189"/>
      <c r="AA1060" s="190"/>
      <c r="AB1060" s="31">
        <v>42271</v>
      </c>
      <c r="AC1060" s="36">
        <v>199.43</v>
      </c>
      <c r="AD1060" s="8"/>
      <c r="AE1060" s="6"/>
      <c r="AF1060" s="52">
        <f t="shared" si="81"/>
        <v>8424122.6300000008</v>
      </c>
      <c r="AG1060" s="25">
        <f t="shared" si="82"/>
        <v>0</v>
      </c>
      <c r="AH1060" s="52">
        <f t="shared" si="83"/>
        <v>8430105.5300000012</v>
      </c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</row>
    <row r="1061" spans="1:44">
      <c r="A1061" s="6"/>
      <c r="B1061" s="6"/>
      <c r="C1061" s="6"/>
      <c r="D1061" s="6"/>
      <c r="E1061" s="6"/>
      <c r="F1061" s="6"/>
      <c r="G1061" s="11"/>
      <c r="H1061" s="6"/>
      <c r="I1061" s="6"/>
      <c r="J1061" s="6"/>
      <c r="K1061" s="7"/>
      <c r="L1061" s="21" t="s">
        <v>35</v>
      </c>
      <c r="M1061" s="22"/>
      <c r="N1061" s="22"/>
      <c r="O1061" s="22" t="s">
        <v>136</v>
      </c>
      <c r="P1061" s="23" t="s">
        <v>156</v>
      </c>
      <c r="Q1061" s="21" t="s">
        <v>71</v>
      </c>
      <c r="R1061" s="25">
        <v>1</v>
      </c>
      <c r="S1061" s="28"/>
      <c r="T1061" s="31">
        <v>42215</v>
      </c>
      <c r="U1061" s="33">
        <v>748</v>
      </c>
      <c r="V1061" s="36">
        <f t="shared" si="84"/>
        <v>748</v>
      </c>
      <c r="W1061" s="28"/>
      <c r="X1061" s="31"/>
      <c r="Y1061" s="33"/>
      <c r="Z1061" s="189"/>
      <c r="AA1061" s="190"/>
      <c r="AB1061" s="31"/>
      <c r="AC1061" s="36"/>
      <c r="AD1061" s="8"/>
      <c r="AE1061" s="6"/>
      <c r="AF1061" s="52">
        <f t="shared" si="81"/>
        <v>31576820</v>
      </c>
      <c r="AG1061" s="25">
        <f t="shared" si="82"/>
        <v>0</v>
      </c>
      <c r="AH1061" s="52">
        <f t="shared" si="83"/>
        <v>0</v>
      </c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</row>
    <row r="1062" spans="1:44">
      <c r="A1062" s="6"/>
      <c r="B1062" s="6"/>
      <c r="C1062" s="6"/>
      <c r="D1062" s="6"/>
      <c r="E1062" s="6"/>
      <c r="F1062" s="6"/>
      <c r="G1062" s="11"/>
      <c r="H1062" s="6"/>
      <c r="I1062" s="6"/>
      <c r="J1062" s="6"/>
      <c r="K1062" s="7"/>
      <c r="L1062" s="21" t="s">
        <v>35</v>
      </c>
      <c r="M1062" s="22"/>
      <c r="N1062" s="22"/>
      <c r="O1062" s="22" t="s">
        <v>136</v>
      </c>
      <c r="P1062" s="23" t="s">
        <v>156</v>
      </c>
      <c r="Q1062" s="21" t="s">
        <v>76</v>
      </c>
      <c r="R1062" s="25">
        <v>1</v>
      </c>
      <c r="S1062" s="28"/>
      <c r="T1062" s="31">
        <v>42217</v>
      </c>
      <c r="U1062" s="33">
        <v>476</v>
      </c>
      <c r="V1062" s="36">
        <f t="shared" si="84"/>
        <v>476</v>
      </c>
      <c r="W1062" s="28"/>
      <c r="X1062" s="31"/>
      <c r="Y1062" s="33"/>
      <c r="Z1062" s="189"/>
      <c r="AA1062" s="190"/>
      <c r="AB1062" s="31">
        <v>42227</v>
      </c>
      <c r="AC1062" s="36">
        <v>476</v>
      </c>
      <c r="AD1062" s="8"/>
      <c r="AE1062" s="6"/>
      <c r="AF1062" s="52">
        <f t="shared" si="81"/>
        <v>20095292</v>
      </c>
      <c r="AG1062" s="25">
        <f t="shared" si="82"/>
        <v>0</v>
      </c>
      <c r="AH1062" s="52">
        <f t="shared" si="83"/>
        <v>20100052</v>
      </c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</row>
    <row r="1063" spans="1:44">
      <c r="A1063" s="6"/>
      <c r="B1063" s="6"/>
      <c r="C1063" s="6"/>
      <c r="D1063" s="6"/>
      <c r="E1063" s="6"/>
      <c r="F1063" s="6"/>
      <c r="G1063" s="11"/>
      <c r="H1063" s="6"/>
      <c r="I1063" s="6"/>
      <c r="J1063" s="6"/>
      <c r="K1063" s="7"/>
      <c r="L1063" s="21" t="s">
        <v>35</v>
      </c>
      <c r="M1063" s="22"/>
      <c r="N1063" s="22"/>
      <c r="O1063" s="22" t="s">
        <v>128</v>
      </c>
      <c r="P1063" s="23" t="s">
        <v>158</v>
      </c>
      <c r="Q1063" s="21" t="s">
        <v>130</v>
      </c>
      <c r="R1063" s="25">
        <v>1</v>
      </c>
      <c r="S1063" s="28"/>
      <c r="T1063" s="31">
        <v>42186</v>
      </c>
      <c r="U1063" s="33">
        <v>6665</v>
      </c>
      <c r="V1063" s="36">
        <f t="shared" si="84"/>
        <v>6665</v>
      </c>
      <c r="W1063" s="28"/>
      <c r="X1063" s="31"/>
      <c r="Y1063" s="33"/>
      <c r="Z1063" s="189"/>
      <c r="AA1063" s="190"/>
      <c r="AB1063" s="31">
        <v>42196</v>
      </c>
      <c r="AC1063" s="36">
        <v>6665</v>
      </c>
      <c r="AD1063" s="8"/>
      <c r="AE1063" s="6"/>
      <c r="AF1063" s="52">
        <f t="shared" si="81"/>
        <v>281169690</v>
      </c>
      <c r="AG1063" s="25">
        <f t="shared" si="82"/>
        <v>0</v>
      </c>
      <c r="AH1063" s="52">
        <f t="shared" si="83"/>
        <v>281236340</v>
      </c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</row>
    <row r="1064" spans="1:44">
      <c r="A1064" s="6"/>
      <c r="B1064" s="6"/>
      <c r="C1064" s="6"/>
      <c r="D1064" s="6"/>
      <c r="E1064" s="6"/>
      <c r="F1064" s="6"/>
      <c r="G1064" s="11"/>
      <c r="H1064" s="6"/>
      <c r="I1064" s="6"/>
      <c r="J1064" s="6"/>
      <c r="K1064" s="7"/>
      <c r="L1064" s="21" t="s">
        <v>35</v>
      </c>
      <c r="M1064" s="22"/>
      <c r="N1064" s="22"/>
      <c r="O1064" s="22" t="s">
        <v>145</v>
      </c>
      <c r="P1064" s="23" t="s">
        <v>155</v>
      </c>
      <c r="Q1064" s="21" t="s">
        <v>58</v>
      </c>
      <c r="R1064" s="25">
        <v>1</v>
      </c>
      <c r="S1064" s="28"/>
      <c r="T1064" s="31">
        <v>42214</v>
      </c>
      <c r="U1064" s="33">
        <v>1665.46</v>
      </c>
      <c r="V1064" s="36">
        <f t="shared" si="84"/>
        <v>1665.46</v>
      </c>
      <c r="W1064" s="28"/>
      <c r="X1064" s="31"/>
      <c r="Y1064" s="33"/>
      <c r="Z1064" s="189"/>
      <c r="AA1064" s="190"/>
      <c r="AB1064" s="31">
        <v>42244</v>
      </c>
      <c r="AC1064" s="36">
        <v>1665.46</v>
      </c>
      <c r="AD1064" s="8"/>
      <c r="AE1064" s="6"/>
      <c r="AF1064" s="52">
        <f t="shared" si="81"/>
        <v>70305728.439999998</v>
      </c>
      <c r="AG1064" s="25">
        <f t="shared" si="82"/>
        <v>0</v>
      </c>
      <c r="AH1064" s="52">
        <f t="shared" si="83"/>
        <v>70355692.239999995</v>
      </c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</row>
    <row r="1065" spans="1:44">
      <c r="A1065" s="6"/>
      <c r="B1065" s="6"/>
      <c r="C1065" s="6"/>
      <c r="D1065" s="6"/>
      <c r="E1065" s="6"/>
      <c r="F1065" s="6"/>
      <c r="G1065" s="11"/>
      <c r="H1065" s="6"/>
      <c r="I1065" s="6"/>
      <c r="J1065" s="6"/>
      <c r="K1065" s="7"/>
      <c r="L1065" s="21" t="s">
        <v>35</v>
      </c>
      <c r="M1065" s="22"/>
      <c r="N1065" s="22"/>
      <c r="O1065" s="22" t="s">
        <v>145</v>
      </c>
      <c r="P1065" s="23" t="s">
        <v>155</v>
      </c>
      <c r="Q1065" s="21" t="s">
        <v>58</v>
      </c>
      <c r="R1065" s="25">
        <v>1</v>
      </c>
      <c r="S1065" s="28"/>
      <c r="T1065" s="31">
        <v>42198</v>
      </c>
      <c r="U1065" s="33">
        <v>1665.46</v>
      </c>
      <c r="V1065" s="36">
        <f t="shared" si="84"/>
        <v>1665.46</v>
      </c>
      <c r="W1065" s="28"/>
      <c r="X1065" s="31"/>
      <c r="Y1065" s="33"/>
      <c r="Z1065" s="189"/>
      <c r="AA1065" s="190"/>
      <c r="AB1065" s="31">
        <v>42219</v>
      </c>
      <c r="AC1065" s="36">
        <v>1665.46</v>
      </c>
      <c r="AD1065" s="8"/>
      <c r="AE1065" s="6"/>
      <c r="AF1065" s="52">
        <f t="shared" si="81"/>
        <v>70279081.079999998</v>
      </c>
      <c r="AG1065" s="25">
        <f t="shared" si="82"/>
        <v>0</v>
      </c>
      <c r="AH1065" s="52">
        <f t="shared" si="83"/>
        <v>70314055.739999995</v>
      </c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</row>
    <row r="1066" spans="1:44">
      <c r="A1066" s="6"/>
      <c r="B1066" s="6"/>
      <c r="C1066" s="6"/>
      <c r="D1066" s="6"/>
      <c r="E1066" s="6"/>
      <c r="F1066" s="6"/>
      <c r="G1066" s="11"/>
      <c r="H1066" s="6"/>
      <c r="I1066" s="6"/>
      <c r="J1066" s="6"/>
      <c r="K1066" s="7"/>
      <c r="L1066" s="21" t="s">
        <v>35</v>
      </c>
      <c r="M1066" s="22"/>
      <c r="N1066" s="22"/>
      <c r="O1066" s="22" t="s">
        <v>138</v>
      </c>
      <c r="P1066" s="23" t="s">
        <v>157</v>
      </c>
      <c r="Q1066" s="21" t="s">
        <v>60</v>
      </c>
      <c r="R1066" s="25">
        <v>1</v>
      </c>
      <c r="S1066" s="28"/>
      <c r="T1066" s="31">
        <v>42214</v>
      </c>
      <c r="U1066" s="33">
        <v>1124.99</v>
      </c>
      <c r="V1066" s="36">
        <f t="shared" si="84"/>
        <v>1124.99</v>
      </c>
      <c r="W1066" s="28"/>
      <c r="X1066" s="31"/>
      <c r="Y1066" s="33"/>
      <c r="Z1066" s="189"/>
      <c r="AA1066" s="190"/>
      <c r="AB1066" s="31">
        <v>42259</v>
      </c>
      <c r="AC1066" s="36">
        <v>1124.99</v>
      </c>
      <c r="AD1066" s="8"/>
      <c r="AE1066" s="6"/>
      <c r="AF1066" s="52">
        <f t="shared" si="81"/>
        <v>47490327.859999999</v>
      </c>
      <c r="AG1066" s="25">
        <f t="shared" si="82"/>
        <v>0</v>
      </c>
      <c r="AH1066" s="52">
        <f t="shared" si="83"/>
        <v>47540952.410000004</v>
      </c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</row>
    <row r="1067" spans="1:44">
      <c r="A1067" s="6"/>
      <c r="B1067" s="6"/>
      <c r="C1067" s="6"/>
      <c r="D1067" s="6"/>
      <c r="E1067" s="6"/>
      <c r="F1067" s="6"/>
      <c r="G1067" s="11"/>
      <c r="H1067" s="6"/>
      <c r="I1067" s="6"/>
      <c r="J1067" s="6"/>
      <c r="K1067" s="7"/>
      <c r="L1067" s="21" t="s">
        <v>35</v>
      </c>
      <c r="M1067" s="22"/>
      <c r="N1067" s="22"/>
      <c r="O1067" s="22" t="s">
        <v>138</v>
      </c>
      <c r="P1067" s="23" t="s">
        <v>157</v>
      </c>
      <c r="Q1067" s="21" t="s">
        <v>60</v>
      </c>
      <c r="R1067" s="25">
        <v>1</v>
      </c>
      <c r="S1067" s="28"/>
      <c r="T1067" s="31">
        <v>42166</v>
      </c>
      <c r="U1067" s="33">
        <v>1125</v>
      </c>
      <c r="V1067" s="36">
        <f t="shared" si="84"/>
        <v>1125</v>
      </c>
      <c r="W1067" s="28"/>
      <c r="X1067" s="31"/>
      <c r="Y1067" s="33"/>
      <c r="Z1067" s="189"/>
      <c r="AA1067" s="190"/>
      <c r="AB1067" s="31"/>
      <c r="AC1067" s="36"/>
      <c r="AD1067" s="8"/>
      <c r="AE1067" s="6"/>
      <c r="AF1067" s="52">
        <f t="shared" si="81"/>
        <v>47436750</v>
      </c>
      <c r="AG1067" s="25">
        <f t="shared" si="82"/>
        <v>0</v>
      </c>
      <c r="AH1067" s="52">
        <f t="shared" si="83"/>
        <v>0</v>
      </c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</row>
    <row r="1068" spans="1:44">
      <c r="A1068" s="6"/>
      <c r="B1068" s="6"/>
      <c r="C1068" s="6"/>
      <c r="D1068" s="6"/>
      <c r="E1068" s="6"/>
      <c r="F1068" s="6"/>
      <c r="G1068" s="11"/>
      <c r="H1068" s="6"/>
      <c r="I1068" s="6"/>
      <c r="J1068" s="6"/>
      <c r="K1068" s="7"/>
      <c r="L1068" s="21" t="s">
        <v>35</v>
      </c>
      <c r="M1068" s="22"/>
      <c r="N1068" s="22"/>
      <c r="O1068" s="22" t="s">
        <v>138</v>
      </c>
      <c r="P1068" s="23" t="s">
        <v>157</v>
      </c>
      <c r="Q1068" s="21" t="s">
        <v>60</v>
      </c>
      <c r="R1068" s="25">
        <v>1</v>
      </c>
      <c r="S1068" s="28"/>
      <c r="T1068" s="31">
        <v>42151</v>
      </c>
      <c r="U1068" s="33">
        <v>1125</v>
      </c>
      <c r="V1068" s="36">
        <f t="shared" si="84"/>
        <v>1125</v>
      </c>
      <c r="W1068" s="28"/>
      <c r="X1068" s="31"/>
      <c r="Y1068" s="33"/>
      <c r="Z1068" s="189"/>
      <c r="AA1068" s="190"/>
      <c r="AB1068" s="31">
        <v>42166</v>
      </c>
      <c r="AC1068" s="36">
        <v>1125</v>
      </c>
      <c r="AD1068" s="8"/>
      <c r="AE1068" s="6"/>
      <c r="AF1068" s="52">
        <f t="shared" si="81"/>
        <v>47419875</v>
      </c>
      <c r="AG1068" s="25">
        <f t="shared" si="82"/>
        <v>0</v>
      </c>
      <c r="AH1068" s="52">
        <f t="shared" si="83"/>
        <v>47436750</v>
      </c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</row>
    <row r="1069" spans="1:44">
      <c r="A1069" s="6"/>
      <c r="B1069" s="6"/>
      <c r="C1069" s="6"/>
      <c r="D1069" s="6"/>
      <c r="E1069" s="6"/>
      <c r="F1069" s="6"/>
      <c r="G1069" s="11"/>
      <c r="H1069" s="6"/>
      <c r="I1069" s="6"/>
      <c r="J1069" s="6"/>
      <c r="K1069" s="7"/>
      <c r="L1069" s="21" t="s">
        <v>35</v>
      </c>
      <c r="M1069" s="22"/>
      <c r="N1069" s="22"/>
      <c r="O1069" s="22" t="s">
        <v>138</v>
      </c>
      <c r="P1069" s="23" t="s">
        <v>157</v>
      </c>
      <c r="Q1069" s="21" t="s">
        <v>60</v>
      </c>
      <c r="R1069" s="25">
        <v>1</v>
      </c>
      <c r="S1069" s="28"/>
      <c r="T1069" s="31">
        <v>42162</v>
      </c>
      <c r="U1069" s="33">
        <v>3092.57</v>
      </c>
      <c r="V1069" s="36">
        <f t="shared" si="84"/>
        <v>3092.57</v>
      </c>
      <c r="W1069" s="28"/>
      <c r="X1069" s="31"/>
      <c r="Y1069" s="33"/>
      <c r="Z1069" s="189"/>
      <c r="AA1069" s="190"/>
      <c r="AB1069" s="31">
        <v>42184</v>
      </c>
      <c r="AC1069" s="36">
        <v>3092.57</v>
      </c>
      <c r="AD1069" s="8"/>
      <c r="AE1069" s="6"/>
      <c r="AF1069" s="52">
        <f t="shared" si="81"/>
        <v>130388936.34</v>
      </c>
      <c r="AG1069" s="25">
        <f t="shared" si="82"/>
        <v>0</v>
      </c>
      <c r="AH1069" s="52">
        <f t="shared" si="83"/>
        <v>130456972.88000001</v>
      </c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</row>
    <row r="1070" spans="1:44">
      <c r="A1070" s="6"/>
      <c r="B1070" s="6"/>
      <c r="C1070" s="6"/>
      <c r="D1070" s="6"/>
      <c r="E1070" s="6"/>
      <c r="F1070" s="6"/>
      <c r="G1070" s="11"/>
      <c r="H1070" s="6"/>
      <c r="I1070" s="6"/>
      <c r="J1070" s="6"/>
      <c r="K1070" s="7"/>
      <c r="L1070" s="21" t="s">
        <v>35</v>
      </c>
      <c r="M1070" s="22"/>
      <c r="N1070" s="22"/>
      <c r="O1070" s="22" t="s">
        <v>148</v>
      </c>
      <c r="P1070" s="23" t="s">
        <v>157</v>
      </c>
      <c r="Q1070" s="21" t="s">
        <v>60</v>
      </c>
      <c r="R1070" s="25">
        <v>1</v>
      </c>
      <c r="S1070" s="28"/>
      <c r="T1070" s="31">
        <v>42186</v>
      </c>
      <c r="U1070" s="33">
        <v>1668.92</v>
      </c>
      <c r="V1070" s="36">
        <f t="shared" si="84"/>
        <v>1668.92</v>
      </c>
      <c r="W1070" s="28"/>
      <c r="X1070" s="31"/>
      <c r="Y1070" s="33"/>
      <c r="Z1070" s="189"/>
      <c r="AA1070" s="190"/>
      <c r="AB1070" s="31">
        <v>42246</v>
      </c>
      <c r="AC1070" s="36">
        <v>1668.92</v>
      </c>
      <c r="AD1070" s="8"/>
      <c r="AE1070" s="6"/>
      <c r="AF1070" s="52">
        <f t="shared" si="81"/>
        <v>70405059.120000005</v>
      </c>
      <c r="AG1070" s="25">
        <f t="shared" si="82"/>
        <v>0</v>
      </c>
      <c r="AH1070" s="52">
        <f t="shared" si="83"/>
        <v>70505194.320000008</v>
      </c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</row>
    <row r="1071" spans="1:44">
      <c r="A1071" s="6"/>
      <c r="B1071" s="6"/>
      <c r="C1071" s="6"/>
      <c r="D1071" s="6"/>
      <c r="E1071" s="6"/>
      <c r="F1071" s="6"/>
      <c r="G1071" s="11"/>
      <c r="H1071" s="6"/>
      <c r="I1071" s="6"/>
      <c r="J1071" s="6"/>
      <c r="K1071" s="7"/>
      <c r="L1071" s="21" t="s">
        <v>35</v>
      </c>
      <c r="M1071" s="22"/>
      <c r="N1071" s="22"/>
      <c r="O1071" s="22" t="s">
        <v>148</v>
      </c>
      <c r="P1071" s="23" t="s">
        <v>157</v>
      </c>
      <c r="Q1071" s="21" t="s">
        <v>60</v>
      </c>
      <c r="R1071" s="25">
        <v>1</v>
      </c>
      <c r="S1071" s="28"/>
      <c r="T1071" s="31">
        <v>42149</v>
      </c>
      <c r="U1071" s="33">
        <v>1668.92</v>
      </c>
      <c r="V1071" s="36">
        <f t="shared" si="84"/>
        <v>1668.92</v>
      </c>
      <c r="W1071" s="28"/>
      <c r="X1071" s="31"/>
      <c r="Y1071" s="33"/>
      <c r="Z1071" s="189"/>
      <c r="AA1071" s="190"/>
      <c r="AB1071" s="31">
        <v>42154</v>
      </c>
      <c r="AC1071" s="36">
        <v>1668.92</v>
      </c>
      <c r="AD1071" s="8"/>
      <c r="AE1071" s="6"/>
      <c r="AF1071" s="52">
        <f t="shared" si="81"/>
        <v>70343309.079999998</v>
      </c>
      <c r="AG1071" s="25">
        <f t="shared" si="82"/>
        <v>0</v>
      </c>
      <c r="AH1071" s="52">
        <f t="shared" si="83"/>
        <v>70351653.680000007</v>
      </c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</row>
    <row r="1072" spans="1:44">
      <c r="A1072" s="6"/>
      <c r="B1072" s="6"/>
      <c r="C1072" s="6"/>
      <c r="D1072" s="6"/>
      <c r="E1072" s="6"/>
      <c r="F1072" s="6"/>
      <c r="G1072" s="11"/>
      <c r="H1072" s="6"/>
      <c r="I1072" s="6"/>
      <c r="J1072" s="6"/>
      <c r="K1072" s="7"/>
      <c r="L1072" s="21" t="s">
        <v>35</v>
      </c>
      <c r="M1072" s="22"/>
      <c r="N1072" s="22"/>
      <c r="O1072" s="22" t="s">
        <v>148</v>
      </c>
      <c r="P1072" s="23" t="s">
        <v>157</v>
      </c>
      <c r="Q1072" s="21" t="s">
        <v>60</v>
      </c>
      <c r="R1072" s="25">
        <v>1</v>
      </c>
      <c r="S1072" s="28"/>
      <c r="T1072" s="31">
        <v>42160</v>
      </c>
      <c r="U1072" s="33">
        <v>1668.92</v>
      </c>
      <c r="V1072" s="36">
        <f t="shared" si="84"/>
        <v>1668.92</v>
      </c>
      <c r="W1072" s="28"/>
      <c r="X1072" s="31"/>
      <c r="Y1072" s="33"/>
      <c r="Z1072" s="189"/>
      <c r="AA1072" s="190"/>
      <c r="AB1072" s="31">
        <v>42200</v>
      </c>
      <c r="AC1072" s="36">
        <v>1668.92</v>
      </c>
      <c r="AD1072" s="8"/>
      <c r="AE1072" s="6"/>
      <c r="AF1072" s="52">
        <f t="shared" si="81"/>
        <v>70361667.200000003</v>
      </c>
      <c r="AG1072" s="25">
        <f t="shared" si="82"/>
        <v>0</v>
      </c>
      <c r="AH1072" s="52">
        <f t="shared" si="83"/>
        <v>70428424</v>
      </c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</row>
    <row r="1073" spans="1:44">
      <c r="A1073" s="6"/>
      <c r="B1073" s="6"/>
      <c r="C1073" s="6"/>
      <c r="D1073" s="6"/>
      <c r="E1073" s="6"/>
      <c r="F1073" s="6"/>
      <c r="G1073" s="11"/>
      <c r="H1073" s="6"/>
      <c r="I1073" s="6"/>
      <c r="J1073" s="6"/>
      <c r="K1073" s="7"/>
      <c r="L1073" s="21" t="s">
        <v>35</v>
      </c>
      <c r="M1073" s="22"/>
      <c r="N1073" s="22"/>
      <c r="O1073" s="22" t="s">
        <v>151</v>
      </c>
      <c r="P1073" s="23" t="s">
        <v>157</v>
      </c>
      <c r="Q1073" s="21" t="s">
        <v>133</v>
      </c>
      <c r="R1073" s="25">
        <v>1</v>
      </c>
      <c r="S1073" s="28"/>
      <c r="T1073" s="31">
        <v>42152</v>
      </c>
      <c r="U1073" s="33">
        <v>1490</v>
      </c>
      <c r="V1073" s="36">
        <f t="shared" si="84"/>
        <v>1490</v>
      </c>
      <c r="W1073" s="28"/>
      <c r="X1073" s="31"/>
      <c r="Y1073" s="33"/>
      <c r="Z1073" s="189"/>
      <c r="AA1073" s="190"/>
      <c r="AB1073" s="31"/>
      <c r="AC1073" s="36"/>
      <c r="AD1073" s="8"/>
      <c r="AE1073" s="6"/>
      <c r="AF1073" s="52">
        <f t="shared" si="81"/>
        <v>62806480</v>
      </c>
      <c r="AG1073" s="25">
        <f t="shared" si="82"/>
        <v>0</v>
      </c>
      <c r="AH1073" s="52">
        <f t="shared" si="83"/>
        <v>0</v>
      </c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</row>
    <row r="1074" spans="1:44">
      <c r="A1074" s="6"/>
      <c r="B1074" s="6"/>
      <c r="C1074" s="6"/>
      <c r="D1074" s="6"/>
      <c r="E1074" s="6"/>
      <c r="F1074" s="6"/>
      <c r="G1074" s="11"/>
      <c r="H1074" s="6"/>
      <c r="I1074" s="6"/>
      <c r="J1074" s="6"/>
      <c r="K1074" s="7"/>
      <c r="L1074" s="21" t="s">
        <v>35</v>
      </c>
      <c r="M1074" s="22"/>
      <c r="N1074" s="22"/>
      <c r="O1074" s="22" t="s">
        <v>151</v>
      </c>
      <c r="P1074" s="23" t="s">
        <v>157</v>
      </c>
      <c r="Q1074" s="21" t="s">
        <v>133</v>
      </c>
      <c r="R1074" s="25">
        <v>1</v>
      </c>
      <c r="S1074" s="28"/>
      <c r="T1074" s="31">
        <v>42144</v>
      </c>
      <c r="U1074" s="33">
        <v>1366</v>
      </c>
      <c r="V1074" s="36">
        <f t="shared" si="84"/>
        <v>1366</v>
      </c>
      <c r="W1074" s="28"/>
      <c r="X1074" s="31"/>
      <c r="Y1074" s="33"/>
      <c r="Z1074" s="189"/>
      <c r="AA1074" s="190"/>
      <c r="AB1074" s="31">
        <v>42159</v>
      </c>
      <c r="AC1074" s="36">
        <v>1366</v>
      </c>
      <c r="AD1074" s="8"/>
      <c r="AE1074" s="6"/>
      <c r="AF1074" s="52">
        <f t="shared" si="81"/>
        <v>57568704</v>
      </c>
      <c r="AG1074" s="25">
        <f t="shared" si="82"/>
        <v>0</v>
      </c>
      <c r="AH1074" s="52">
        <f t="shared" si="83"/>
        <v>57589194</v>
      </c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</row>
    <row r="1075" spans="1:44">
      <c r="A1075" s="6"/>
      <c r="B1075" s="6"/>
      <c r="C1075" s="6"/>
      <c r="D1075" s="6"/>
      <c r="E1075" s="6"/>
      <c r="F1075" s="6"/>
      <c r="G1075" s="11"/>
      <c r="H1075" s="6"/>
      <c r="I1075" s="6"/>
      <c r="J1075" s="6"/>
      <c r="K1075" s="7"/>
      <c r="L1075" s="21" t="s">
        <v>35</v>
      </c>
      <c r="M1075" s="22"/>
      <c r="N1075" s="22"/>
      <c r="O1075" s="22" t="s">
        <v>136</v>
      </c>
      <c r="P1075" s="23" t="s">
        <v>156</v>
      </c>
      <c r="Q1075" s="21" t="s">
        <v>71</v>
      </c>
      <c r="R1075" s="25">
        <v>1</v>
      </c>
      <c r="S1075" s="28"/>
      <c r="T1075" s="31">
        <v>42114</v>
      </c>
      <c r="U1075" s="33">
        <v>761.88</v>
      </c>
      <c r="V1075" s="36">
        <f t="shared" si="84"/>
        <v>761.88</v>
      </c>
      <c r="W1075" s="28"/>
      <c r="X1075" s="31"/>
      <c r="Y1075" s="33"/>
      <c r="Z1075" s="189"/>
      <c r="AA1075" s="190"/>
      <c r="AB1075" s="31">
        <v>42164</v>
      </c>
      <c r="AC1075" s="36">
        <v>761.88</v>
      </c>
      <c r="AD1075" s="8"/>
      <c r="AE1075" s="6"/>
      <c r="AF1075" s="52">
        <f t="shared" si="81"/>
        <v>32085814.32</v>
      </c>
      <c r="AG1075" s="25">
        <f t="shared" si="82"/>
        <v>0</v>
      </c>
      <c r="AH1075" s="52">
        <f t="shared" si="83"/>
        <v>32123908.32</v>
      </c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</row>
    <row r="1076" spans="1:44">
      <c r="A1076" s="6"/>
      <c r="B1076" s="6"/>
      <c r="C1076" s="6"/>
      <c r="D1076" s="6"/>
      <c r="E1076" s="6"/>
      <c r="F1076" s="6"/>
      <c r="G1076" s="11"/>
      <c r="H1076" s="6"/>
      <c r="I1076" s="6"/>
      <c r="J1076" s="6"/>
      <c r="K1076" s="7"/>
      <c r="L1076" s="21" t="s">
        <v>35</v>
      </c>
      <c r="M1076" s="22"/>
      <c r="N1076" s="22"/>
      <c r="O1076" s="22" t="s">
        <v>136</v>
      </c>
      <c r="P1076" s="23" t="s">
        <v>156</v>
      </c>
      <c r="Q1076" s="21" t="s">
        <v>71</v>
      </c>
      <c r="R1076" s="25">
        <v>1</v>
      </c>
      <c r="S1076" s="28"/>
      <c r="T1076" s="31">
        <v>42155</v>
      </c>
      <c r="U1076" s="33">
        <v>761.88</v>
      </c>
      <c r="V1076" s="36">
        <f t="shared" si="84"/>
        <v>761.88</v>
      </c>
      <c r="W1076" s="28"/>
      <c r="X1076" s="31"/>
      <c r="Y1076" s="33"/>
      <c r="Z1076" s="189"/>
      <c r="AA1076" s="190"/>
      <c r="AB1076" s="31">
        <v>42175</v>
      </c>
      <c r="AC1076" s="36">
        <v>761.88</v>
      </c>
      <c r="AD1076" s="8"/>
      <c r="AE1076" s="6"/>
      <c r="AF1076" s="52">
        <f t="shared" si="81"/>
        <v>32117051.399999999</v>
      </c>
      <c r="AG1076" s="25">
        <f t="shared" si="82"/>
        <v>0</v>
      </c>
      <c r="AH1076" s="52">
        <f t="shared" si="83"/>
        <v>32132289</v>
      </c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</row>
    <row r="1077" spans="1:44">
      <c r="A1077" s="6"/>
      <c r="B1077" s="6"/>
      <c r="C1077" s="6"/>
      <c r="D1077" s="6"/>
      <c r="E1077" s="6"/>
      <c r="F1077" s="6"/>
      <c r="G1077" s="11"/>
      <c r="H1077" s="6"/>
      <c r="I1077" s="6"/>
      <c r="J1077" s="6"/>
      <c r="K1077" s="7"/>
      <c r="L1077" s="21" t="s">
        <v>35</v>
      </c>
      <c r="M1077" s="22"/>
      <c r="N1077" s="22"/>
      <c r="O1077" s="22" t="s">
        <v>134</v>
      </c>
      <c r="P1077" s="23" t="s">
        <v>157</v>
      </c>
      <c r="Q1077" s="21" t="s">
        <v>59</v>
      </c>
      <c r="R1077" s="25">
        <v>1</v>
      </c>
      <c r="S1077" s="28"/>
      <c r="T1077" s="31">
        <v>42151</v>
      </c>
      <c r="U1077" s="33">
        <v>3165.4</v>
      </c>
      <c r="V1077" s="36">
        <f t="shared" si="84"/>
        <v>3165.4</v>
      </c>
      <c r="W1077" s="28"/>
      <c r="X1077" s="31"/>
      <c r="Y1077" s="33"/>
      <c r="Z1077" s="189"/>
      <c r="AA1077" s="190"/>
      <c r="AB1077" s="31">
        <v>42181</v>
      </c>
      <c r="AC1077" s="36">
        <v>3165.4</v>
      </c>
      <c r="AD1077" s="8"/>
      <c r="AE1077" s="6"/>
      <c r="AF1077" s="52">
        <f t="shared" si="81"/>
        <v>133424775.40000001</v>
      </c>
      <c r="AG1077" s="25">
        <f t="shared" si="82"/>
        <v>0</v>
      </c>
      <c r="AH1077" s="52">
        <f t="shared" si="83"/>
        <v>133519737.40000001</v>
      </c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</row>
    <row r="1078" spans="1:44">
      <c r="A1078" s="6"/>
      <c r="B1078" s="6"/>
      <c r="C1078" s="6"/>
      <c r="D1078" s="6"/>
      <c r="E1078" s="6"/>
      <c r="F1078" s="6"/>
      <c r="G1078" s="11"/>
      <c r="H1078" s="6"/>
      <c r="I1078" s="6"/>
      <c r="J1078" s="6"/>
      <c r="K1078" s="7"/>
      <c r="L1078" s="21" t="s">
        <v>35</v>
      </c>
      <c r="M1078" s="22"/>
      <c r="N1078" s="22"/>
      <c r="O1078" s="22" t="s">
        <v>134</v>
      </c>
      <c r="P1078" s="23" t="s">
        <v>157</v>
      </c>
      <c r="Q1078" s="21" t="s">
        <v>59</v>
      </c>
      <c r="R1078" s="25">
        <v>1</v>
      </c>
      <c r="S1078" s="28"/>
      <c r="T1078" s="31">
        <v>42158</v>
      </c>
      <c r="U1078" s="33">
        <v>3799.6</v>
      </c>
      <c r="V1078" s="36">
        <f t="shared" si="84"/>
        <v>3799.6</v>
      </c>
      <c r="W1078" s="28"/>
      <c r="X1078" s="31"/>
      <c r="Y1078" s="33"/>
      <c r="Z1078" s="189"/>
      <c r="AA1078" s="190"/>
      <c r="AB1078" s="31">
        <v>42183</v>
      </c>
      <c r="AC1078" s="36">
        <v>3799.6</v>
      </c>
      <c r="AD1078" s="8"/>
      <c r="AE1078" s="6"/>
      <c r="AF1078" s="52">
        <f t="shared" si="81"/>
        <v>160183536.79999998</v>
      </c>
      <c r="AG1078" s="25">
        <f t="shared" si="82"/>
        <v>0</v>
      </c>
      <c r="AH1078" s="52">
        <f t="shared" si="83"/>
        <v>160278526.79999998</v>
      </c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</row>
    <row r="1079" spans="1:44">
      <c r="A1079" s="6"/>
      <c r="B1079" s="6"/>
      <c r="C1079" s="6"/>
      <c r="D1079" s="6"/>
      <c r="E1079" s="6"/>
      <c r="F1079" s="6"/>
      <c r="G1079" s="11"/>
      <c r="H1079" s="6"/>
      <c r="I1079" s="6"/>
      <c r="J1079" s="6"/>
      <c r="K1079" s="7"/>
      <c r="L1079" s="21" t="s">
        <v>35</v>
      </c>
      <c r="M1079" s="22"/>
      <c r="N1079" s="22"/>
      <c r="O1079" s="22" t="s">
        <v>134</v>
      </c>
      <c r="P1079" s="23" t="s">
        <v>157</v>
      </c>
      <c r="Q1079" s="21" t="s">
        <v>59</v>
      </c>
      <c r="R1079" s="25">
        <v>1</v>
      </c>
      <c r="S1079" s="28"/>
      <c r="T1079" s="31">
        <v>42151</v>
      </c>
      <c r="U1079" s="33">
        <v>3799.6</v>
      </c>
      <c r="V1079" s="36">
        <f t="shared" si="84"/>
        <v>3799.6</v>
      </c>
      <c r="W1079" s="28"/>
      <c r="X1079" s="31"/>
      <c r="Y1079" s="33"/>
      <c r="Z1079" s="189"/>
      <c r="AA1079" s="190"/>
      <c r="AB1079" s="31">
        <v>42161</v>
      </c>
      <c r="AC1079" s="36">
        <v>3799.6</v>
      </c>
      <c r="AD1079" s="8"/>
      <c r="AE1079" s="6"/>
      <c r="AF1079" s="52">
        <f t="shared" si="81"/>
        <v>160156939.59999999</v>
      </c>
      <c r="AG1079" s="25">
        <f t="shared" si="82"/>
        <v>0</v>
      </c>
      <c r="AH1079" s="52">
        <f t="shared" si="83"/>
        <v>160194935.59999999</v>
      </c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</row>
    <row r="1080" spans="1:44">
      <c r="A1080" s="6"/>
      <c r="B1080" s="6"/>
      <c r="C1080" s="6"/>
      <c r="D1080" s="6"/>
      <c r="E1080" s="6"/>
      <c r="F1080" s="6"/>
      <c r="G1080" s="11"/>
      <c r="H1080" s="6"/>
      <c r="I1080" s="6"/>
      <c r="J1080" s="6"/>
      <c r="K1080" s="7"/>
      <c r="L1080" s="21" t="s">
        <v>35</v>
      </c>
      <c r="M1080" s="22"/>
      <c r="N1080" s="22"/>
      <c r="O1080" s="22" t="s">
        <v>144</v>
      </c>
      <c r="P1080" s="23" t="s">
        <v>156</v>
      </c>
      <c r="Q1080" s="21" t="s">
        <v>70</v>
      </c>
      <c r="R1080" s="25">
        <v>1</v>
      </c>
      <c r="S1080" s="28"/>
      <c r="T1080" s="31">
        <v>42158</v>
      </c>
      <c r="U1080" s="33">
        <v>225.4</v>
      </c>
      <c r="V1080" s="36">
        <f t="shared" si="84"/>
        <v>225.4</v>
      </c>
      <c r="W1080" s="28"/>
      <c r="X1080" s="31"/>
      <c r="Y1080" s="33"/>
      <c r="Z1080" s="189"/>
      <c r="AA1080" s="190"/>
      <c r="AB1080" s="31"/>
      <c r="AC1080" s="36"/>
      <c r="AD1080" s="8"/>
      <c r="AE1080" s="6"/>
      <c r="AF1080" s="52">
        <f t="shared" si="81"/>
        <v>9502413.2000000011</v>
      </c>
      <c r="AG1080" s="25">
        <f t="shared" si="82"/>
        <v>0</v>
      </c>
      <c r="AH1080" s="52">
        <f t="shared" si="83"/>
        <v>0</v>
      </c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</row>
    <row r="1081" spans="1:44">
      <c r="A1081" s="6"/>
      <c r="B1081" s="6"/>
      <c r="C1081" s="6"/>
      <c r="D1081" s="6"/>
      <c r="E1081" s="6"/>
      <c r="F1081" s="6"/>
      <c r="G1081" s="11"/>
      <c r="H1081" s="6"/>
      <c r="I1081" s="6"/>
      <c r="J1081" s="6"/>
      <c r="K1081" s="7"/>
      <c r="L1081" s="21" t="s">
        <v>35</v>
      </c>
      <c r="M1081" s="22"/>
      <c r="N1081" s="22"/>
      <c r="O1081" s="22" t="s">
        <v>128</v>
      </c>
      <c r="P1081" s="23" t="s">
        <v>158</v>
      </c>
      <c r="Q1081" s="21" t="s">
        <v>129</v>
      </c>
      <c r="R1081" s="25">
        <v>1</v>
      </c>
      <c r="S1081" s="28"/>
      <c r="T1081" s="31">
        <v>42122</v>
      </c>
      <c r="U1081" s="33">
        <v>1200</v>
      </c>
      <c r="V1081" s="36">
        <f t="shared" si="84"/>
        <v>1200</v>
      </c>
      <c r="W1081" s="28"/>
      <c r="X1081" s="31"/>
      <c r="Y1081" s="33"/>
      <c r="Z1081" s="189"/>
      <c r="AA1081" s="190"/>
      <c r="AB1081" s="31">
        <v>42144</v>
      </c>
      <c r="AC1081" s="36">
        <v>1200</v>
      </c>
      <c r="AD1081" s="8"/>
      <c r="AE1081" s="6"/>
      <c r="AF1081" s="52">
        <f t="shared" si="81"/>
        <v>50546400</v>
      </c>
      <c r="AG1081" s="25">
        <f t="shared" si="82"/>
        <v>0</v>
      </c>
      <c r="AH1081" s="52">
        <f t="shared" si="83"/>
        <v>50572800</v>
      </c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</row>
    <row r="1082" spans="1:44">
      <c r="A1082" s="6"/>
      <c r="B1082" s="6"/>
      <c r="C1082" s="6"/>
      <c r="D1082" s="6"/>
      <c r="E1082" s="6"/>
      <c r="F1082" s="6"/>
      <c r="G1082" s="11"/>
      <c r="H1082" s="6"/>
      <c r="I1082" s="6"/>
      <c r="J1082" s="6"/>
      <c r="K1082" s="7"/>
      <c r="L1082" s="21" t="s">
        <v>35</v>
      </c>
      <c r="M1082" s="22"/>
      <c r="N1082" s="22"/>
      <c r="O1082" s="22" t="s">
        <v>128</v>
      </c>
      <c r="P1082" s="23" t="s">
        <v>158</v>
      </c>
      <c r="Q1082" s="21" t="s">
        <v>129</v>
      </c>
      <c r="R1082" s="25">
        <v>5</v>
      </c>
      <c r="S1082" s="28"/>
      <c r="T1082" s="31">
        <v>42121</v>
      </c>
      <c r="U1082" s="33">
        <v>1200</v>
      </c>
      <c r="V1082" s="36">
        <f t="shared" si="84"/>
        <v>6000</v>
      </c>
      <c r="W1082" s="28"/>
      <c r="X1082" s="31"/>
      <c r="Y1082" s="33"/>
      <c r="Z1082" s="189"/>
      <c r="AA1082" s="190"/>
      <c r="AB1082" s="31">
        <v>42153</v>
      </c>
      <c r="AC1082" s="36">
        <v>6000</v>
      </c>
      <c r="AD1082" s="8"/>
      <c r="AE1082" s="6"/>
      <c r="AF1082" s="52">
        <f t="shared" si="81"/>
        <v>252726000</v>
      </c>
      <c r="AG1082" s="25">
        <f t="shared" si="82"/>
        <v>0</v>
      </c>
      <c r="AH1082" s="52">
        <f t="shared" si="83"/>
        <v>252918000</v>
      </c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</row>
    <row r="1083" spans="1:44">
      <c r="A1083" s="6"/>
      <c r="B1083" s="6"/>
      <c r="C1083" s="6"/>
      <c r="D1083" s="6"/>
      <c r="E1083" s="6"/>
      <c r="F1083" s="6"/>
      <c r="G1083" s="11"/>
      <c r="H1083" s="6"/>
      <c r="I1083" s="6"/>
      <c r="J1083" s="6"/>
      <c r="K1083" s="7"/>
      <c r="L1083" s="21" t="s">
        <v>35</v>
      </c>
      <c r="M1083" s="22"/>
      <c r="N1083" s="22"/>
      <c r="O1083" s="22" t="s">
        <v>134</v>
      </c>
      <c r="P1083" s="23" t="s">
        <v>157</v>
      </c>
      <c r="Q1083" s="21" t="s">
        <v>59</v>
      </c>
      <c r="R1083" s="25">
        <v>1</v>
      </c>
      <c r="S1083" s="28"/>
      <c r="T1083" s="31">
        <v>42120</v>
      </c>
      <c r="U1083" s="33">
        <v>3732.38</v>
      </c>
      <c r="V1083" s="36">
        <f t="shared" si="84"/>
        <v>3732.38</v>
      </c>
      <c r="W1083" s="28"/>
      <c r="X1083" s="31"/>
      <c r="Y1083" s="33"/>
      <c r="Z1083" s="189"/>
      <c r="AA1083" s="190"/>
      <c r="AB1083" s="31"/>
      <c r="AC1083" s="36"/>
      <c r="AD1083" s="8"/>
      <c r="AE1083" s="6"/>
      <c r="AF1083" s="52">
        <f t="shared" si="81"/>
        <v>157207845.59999999</v>
      </c>
      <c r="AG1083" s="25">
        <f t="shared" si="82"/>
        <v>0</v>
      </c>
      <c r="AH1083" s="52">
        <f t="shared" si="83"/>
        <v>0</v>
      </c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</row>
    <row r="1084" spans="1:44">
      <c r="A1084" s="6"/>
      <c r="B1084" s="6"/>
      <c r="C1084" s="6"/>
      <c r="D1084" s="6"/>
      <c r="E1084" s="6"/>
      <c r="F1084" s="6"/>
      <c r="G1084" s="11"/>
      <c r="H1084" s="6"/>
      <c r="I1084" s="6"/>
      <c r="J1084" s="6"/>
      <c r="K1084" s="7"/>
      <c r="L1084" s="21" t="s">
        <v>35</v>
      </c>
      <c r="M1084" s="22"/>
      <c r="N1084" s="22"/>
      <c r="O1084" s="22" t="s">
        <v>134</v>
      </c>
      <c r="P1084" s="23" t="s">
        <v>157</v>
      </c>
      <c r="Q1084" s="21" t="s">
        <v>59</v>
      </c>
      <c r="R1084" s="25">
        <v>1</v>
      </c>
      <c r="S1084" s="28"/>
      <c r="T1084" s="31">
        <v>42139</v>
      </c>
      <c r="U1084" s="33">
        <v>3732.38</v>
      </c>
      <c r="V1084" s="36">
        <f t="shared" si="84"/>
        <v>3732.38</v>
      </c>
      <c r="W1084" s="28"/>
      <c r="X1084" s="31"/>
      <c r="Y1084" s="33"/>
      <c r="Z1084" s="189"/>
      <c r="AA1084" s="190"/>
      <c r="AB1084" s="31">
        <v>42177</v>
      </c>
      <c r="AC1084" s="36">
        <v>3732.38</v>
      </c>
      <c r="AD1084" s="8"/>
      <c r="AE1084" s="6"/>
      <c r="AF1084" s="52">
        <f t="shared" si="81"/>
        <v>157278760.81999999</v>
      </c>
      <c r="AG1084" s="25">
        <f t="shared" si="82"/>
        <v>0</v>
      </c>
      <c r="AH1084" s="52">
        <f t="shared" si="83"/>
        <v>157420591.25999999</v>
      </c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</row>
    <row r="1085" spans="1:44">
      <c r="A1085" s="6"/>
      <c r="B1085" s="6"/>
      <c r="C1085" s="6"/>
      <c r="D1085" s="6"/>
      <c r="E1085" s="6"/>
      <c r="F1085" s="6"/>
      <c r="G1085" s="11"/>
      <c r="H1085" s="6"/>
      <c r="I1085" s="6"/>
      <c r="J1085" s="6"/>
      <c r="K1085" s="7"/>
      <c r="L1085" s="21" t="s">
        <v>35</v>
      </c>
      <c r="M1085" s="22"/>
      <c r="N1085" s="22"/>
      <c r="O1085" s="22" t="s">
        <v>128</v>
      </c>
      <c r="P1085" s="23" t="s">
        <v>158</v>
      </c>
      <c r="Q1085" s="21" t="s">
        <v>129</v>
      </c>
      <c r="R1085" s="25">
        <v>1</v>
      </c>
      <c r="S1085" s="28"/>
      <c r="T1085" s="31">
        <v>42153</v>
      </c>
      <c r="U1085" s="33">
        <v>1369.79</v>
      </c>
      <c r="V1085" s="36">
        <f t="shared" si="84"/>
        <v>1369.79</v>
      </c>
      <c r="W1085" s="28"/>
      <c r="X1085" s="31"/>
      <c r="Y1085" s="33"/>
      <c r="Z1085" s="189"/>
      <c r="AA1085" s="190"/>
      <c r="AB1085" s="31">
        <v>42165</v>
      </c>
      <c r="AC1085" s="36">
        <v>1369.79</v>
      </c>
      <c r="AD1085" s="8"/>
      <c r="AE1085" s="6"/>
      <c r="AF1085" s="52">
        <f t="shared" si="81"/>
        <v>57740757.869999997</v>
      </c>
      <c r="AG1085" s="25">
        <f t="shared" si="82"/>
        <v>0</v>
      </c>
      <c r="AH1085" s="52">
        <f t="shared" si="83"/>
        <v>57757195.350000001</v>
      </c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</row>
    <row r="1086" spans="1:44">
      <c r="A1086" s="6"/>
      <c r="B1086" s="6"/>
      <c r="C1086" s="6"/>
      <c r="D1086" s="6"/>
      <c r="E1086" s="6"/>
      <c r="F1086" s="6"/>
      <c r="G1086" s="11"/>
      <c r="H1086" s="6"/>
      <c r="I1086" s="6"/>
      <c r="J1086" s="6"/>
      <c r="K1086" s="7"/>
      <c r="L1086" s="21" t="s">
        <v>35</v>
      </c>
      <c r="M1086" s="22"/>
      <c r="N1086" s="22"/>
      <c r="O1086" s="22" t="s">
        <v>128</v>
      </c>
      <c r="P1086" s="23" t="s">
        <v>158</v>
      </c>
      <c r="Q1086" s="21" t="s">
        <v>129</v>
      </c>
      <c r="R1086" s="25">
        <v>10</v>
      </c>
      <c r="S1086" s="28"/>
      <c r="T1086" s="31">
        <v>42157</v>
      </c>
      <c r="U1086" s="33">
        <v>1369.79</v>
      </c>
      <c r="V1086" s="36">
        <f t="shared" si="84"/>
        <v>13697.9</v>
      </c>
      <c r="W1086" s="28"/>
      <c r="X1086" s="31"/>
      <c r="Y1086" s="33"/>
      <c r="Z1086" s="189"/>
      <c r="AA1086" s="190"/>
      <c r="AB1086" s="31">
        <v>42167</v>
      </c>
      <c r="AC1086" s="36">
        <v>13697.9</v>
      </c>
      <c r="AD1086" s="8"/>
      <c r="AE1086" s="6"/>
      <c r="AF1086" s="52">
        <f t="shared" si="81"/>
        <v>577462370.29999995</v>
      </c>
      <c r="AG1086" s="25">
        <f t="shared" si="82"/>
        <v>0</v>
      </c>
      <c r="AH1086" s="52">
        <f t="shared" si="83"/>
        <v>577599349.29999995</v>
      </c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</row>
    <row r="1087" spans="1:44">
      <c r="A1087" s="6"/>
      <c r="B1087" s="6"/>
      <c r="C1087" s="6"/>
      <c r="D1087" s="6"/>
      <c r="E1087" s="6"/>
      <c r="F1087" s="6"/>
      <c r="G1087" s="11"/>
      <c r="H1087" s="6"/>
      <c r="I1087" s="6"/>
      <c r="J1087" s="6"/>
      <c r="K1087" s="7"/>
      <c r="L1087" s="21" t="s">
        <v>35</v>
      </c>
      <c r="M1087" s="22"/>
      <c r="N1087" s="22"/>
      <c r="O1087" s="22" t="s">
        <v>128</v>
      </c>
      <c r="P1087" s="23" t="s">
        <v>158</v>
      </c>
      <c r="Q1087" s="21" t="s">
        <v>129</v>
      </c>
      <c r="R1087" s="25">
        <v>3</v>
      </c>
      <c r="S1087" s="28"/>
      <c r="T1087" s="31">
        <v>42153</v>
      </c>
      <c r="U1087" s="33">
        <v>1369.79</v>
      </c>
      <c r="V1087" s="36">
        <f t="shared" si="84"/>
        <v>4109.37</v>
      </c>
      <c r="W1087" s="28"/>
      <c r="X1087" s="31"/>
      <c r="Y1087" s="33"/>
      <c r="Z1087" s="189"/>
      <c r="AA1087" s="190"/>
      <c r="AB1087" s="31">
        <v>42173</v>
      </c>
      <c r="AC1087" s="36">
        <v>4109.37</v>
      </c>
      <c r="AD1087" s="8"/>
      <c r="AE1087" s="6"/>
      <c r="AF1087" s="52">
        <f t="shared" si="81"/>
        <v>173222273.60999998</v>
      </c>
      <c r="AG1087" s="25">
        <f t="shared" si="82"/>
        <v>0</v>
      </c>
      <c r="AH1087" s="52">
        <f t="shared" si="83"/>
        <v>173304461.00999999</v>
      </c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</row>
    <row r="1088" spans="1:44">
      <c r="A1088" s="6"/>
      <c r="B1088" s="6"/>
      <c r="C1088" s="6"/>
      <c r="D1088" s="6"/>
      <c r="E1088" s="6"/>
      <c r="F1088" s="6"/>
      <c r="G1088" s="11"/>
      <c r="H1088" s="6"/>
      <c r="I1088" s="6"/>
      <c r="J1088" s="6"/>
      <c r="K1088" s="7"/>
      <c r="L1088" s="21" t="s">
        <v>35</v>
      </c>
      <c r="M1088" s="22"/>
      <c r="N1088" s="22"/>
      <c r="O1088" s="22" t="s">
        <v>148</v>
      </c>
      <c r="P1088" s="23" t="s">
        <v>157</v>
      </c>
      <c r="Q1088" s="21" t="s">
        <v>73</v>
      </c>
      <c r="R1088" s="25">
        <v>3</v>
      </c>
      <c r="S1088" s="28"/>
      <c r="T1088" s="31">
        <v>42148</v>
      </c>
      <c r="U1088" s="33">
        <v>5292</v>
      </c>
      <c r="V1088" s="36">
        <f t="shared" si="84"/>
        <v>15876</v>
      </c>
      <c r="W1088" s="28"/>
      <c r="X1088" s="31"/>
      <c r="Y1088" s="33"/>
      <c r="Z1088" s="189"/>
      <c r="AA1088" s="190"/>
      <c r="AB1088" s="31">
        <v>42178</v>
      </c>
      <c r="AC1088" s="36">
        <v>15876</v>
      </c>
      <c r="AD1088" s="8"/>
      <c r="AE1088" s="6"/>
      <c r="AF1088" s="52">
        <f t="shared" si="81"/>
        <v>669141648</v>
      </c>
      <c r="AG1088" s="25">
        <f t="shared" si="82"/>
        <v>0</v>
      </c>
      <c r="AH1088" s="52">
        <f t="shared" si="83"/>
        <v>669617928</v>
      </c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</row>
    <row r="1089" spans="1:44">
      <c r="A1089" s="6"/>
      <c r="B1089" s="6"/>
      <c r="C1089" s="6"/>
      <c r="D1089" s="6"/>
      <c r="E1089" s="6"/>
      <c r="F1089" s="6"/>
      <c r="G1089" s="11"/>
      <c r="H1089" s="6"/>
      <c r="I1089" s="6"/>
      <c r="J1089" s="6"/>
      <c r="K1089" s="7"/>
      <c r="L1089" s="21" t="s">
        <v>35</v>
      </c>
      <c r="M1089" s="22"/>
      <c r="N1089" s="22"/>
      <c r="O1089" s="22" t="s">
        <v>146</v>
      </c>
      <c r="P1089" s="23" t="s">
        <v>157</v>
      </c>
      <c r="Q1089" s="21" t="s">
        <v>133</v>
      </c>
      <c r="R1089" s="25">
        <v>1</v>
      </c>
      <c r="S1089" s="28"/>
      <c r="T1089" s="31">
        <v>42132</v>
      </c>
      <c r="U1089" s="33">
        <v>1860.42</v>
      </c>
      <c r="V1089" s="36">
        <f t="shared" si="84"/>
        <v>1860.42</v>
      </c>
      <c r="W1089" s="28"/>
      <c r="X1089" s="31"/>
      <c r="Y1089" s="33"/>
      <c r="Z1089" s="189"/>
      <c r="AA1089" s="190"/>
      <c r="AB1089" s="31">
        <v>42162</v>
      </c>
      <c r="AC1089" s="36">
        <v>1860.42</v>
      </c>
      <c r="AD1089" s="8"/>
      <c r="AE1089" s="6"/>
      <c r="AF1089" s="52">
        <f t="shared" si="81"/>
        <v>78383215.439999998</v>
      </c>
      <c r="AG1089" s="25">
        <f t="shared" si="82"/>
        <v>0</v>
      </c>
      <c r="AH1089" s="52">
        <f t="shared" si="83"/>
        <v>78439028.040000007</v>
      </c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</row>
    <row r="1090" spans="1:44">
      <c r="A1090" s="6"/>
      <c r="B1090" s="6"/>
      <c r="C1090" s="6"/>
      <c r="D1090" s="6"/>
      <c r="E1090" s="6"/>
      <c r="F1090" s="6"/>
      <c r="G1090" s="11"/>
      <c r="H1090" s="6"/>
      <c r="I1090" s="6"/>
      <c r="J1090" s="6"/>
      <c r="K1090" s="7"/>
      <c r="L1090" s="21" t="s">
        <v>35</v>
      </c>
      <c r="M1090" s="22"/>
      <c r="N1090" s="22"/>
      <c r="O1090" s="22" t="s">
        <v>146</v>
      </c>
      <c r="P1090" s="23" t="s">
        <v>157</v>
      </c>
      <c r="Q1090" s="21" t="s">
        <v>59</v>
      </c>
      <c r="R1090" s="25">
        <v>2</v>
      </c>
      <c r="S1090" s="28"/>
      <c r="T1090" s="31">
        <v>42148</v>
      </c>
      <c r="U1090" s="33">
        <v>3450</v>
      </c>
      <c r="V1090" s="36">
        <f t="shared" si="84"/>
        <v>6900</v>
      </c>
      <c r="W1090" s="28"/>
      <c r="X1090" s="31"/>
      <c r="Y1090" s="33"/>
      <c r="Z1090" s="189"/>
      <c r="AA1090" s="190"/>
      <c r="AB1090" s="31">
        <v>42193</v>
      </c>
      <c r="AC1090" s="36">
        <v>6900</v>
      </c>
      <c r="AD1090" s="8"/>
      <c r="AE1090" s="6"/>
      <c r="AF1090" s="52">
        <f t="shared" si="81"/>
        <v>290821200</v>
      </c>
      <c r="AG1090" s="25">
        <f t="shared" si="82"/>
        <v>0</v>
      </c>
      <c r="AH1090" s="52">
        <f t="shared" si="83"/>
        <v>291131700</v>
      </c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</row>
    <row r="1091" spans="1:44">
      <c r="A1091" s="6"/>
      <c r="B1091" s="6"/>
      <c r="C1091" s="6"/>
      <c r="D1091" s="6"/>
      <c r="E1091" s="6"/>
      <c r="F1091" s="6"/>
      <c r="G1091" s="11"/>
      <c r="H1091" s="6"/>
      <c r="I1091" s="6"/>
      <c r="J1091" s="6"/>
      <c r="K1091" s="7"/>
      <c r="L1091" s="21" t="s">
        <v>35</v>
      </c>
      <c r="M1091" s="22"/>
      <c r="N1091" s="22"/>
      <c r="O1091" s="22" t="s">
        <v>148</v>
      </c>
      <c r="P1091" s="23" t="s">
        <v>157</v>
      </c>
      <c r="Q1091" s="21" t="s">
        <v>60</v>
      </c>
      <c r="R1091" s="25">
        <v>1</v>
      </c>
      <c r="S1091" s="28"/>
      <c r="T1091" s="31">
        <v>42140</v>
      </c>
      <c r="U1091" s="33">
        <v>3214.4</v>
      </c>
      <c r="V1091" s="36">
        <f t="shared" si="84"/>
        <v>3214.4</v>
      </c>
      <c r="W1091" s="28"/>
      <c r="X1091" s="31"/>
      <c r="Y1091" s="33"/>
      <c r="Z1091" s="189"/>
      <c r="AA1091" s="190"/>
      <c r="AB1091" s="31">
        <v>42200</v>
      </c>
      <c r="AC1091" s="36">
        <v>3214.4</v>
      </c>
      <c r="AD1091" s="8"/>
      <c r="AE1091" s="6"/>
      <c r="AF1091" s="52">
        <f t="shared" si="81"/>
        <v>135454816</v>
      </c>
      <c r="AG1091" s="25">
        <f t="shared" si="82"/>
        <v>0</v>
      </c>
      <c r="AH1091" s="52">
        <f t="shared" si="83"/>
        <v>135647680</v>
      </c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</row>
    <row r="1092" spans="1:44">
      <c r="A1092" s="6"/>
      <c r="B1092" s="6"/>
      <c r="C1092" s="6"/>
      <c r="D1092" s="6"/>
      <c r="E1092" s="6"/>
      <c r="F1092" s="6"/>
      <c r="G1092" s="11"/>
      <c r="H1092" s="6"/>
      <c r="I1092" s="6"/>
      <c r="J1092" s="6"/>
      <c r="K1092" s="7"/>
      <c r="L1092" s="21" t="s">
        <v>35</v>
      </c>
      <c r="M1092" s="22"/>
      <c r="N1092" s="22"/>
      <c r="O1092" s="22" t="s">
        <v>148</v>
      </c>
      <c r="P1092" s="23" t="s">
        <v>157</v>
      </c>
      <c r="Q1092" s="21" t="s">
        <v>133</v>
      </c>
      <c r="R1092" s="25">
        <v>1</v>
      </c>
      <c r="S1092" s="28"/>
      <c r="T1092" s="31">
        <v>42118</v>
      </c>
      <c r="U1092" s="33">
        <v>427</v>
      </c>
      <c r="V1092" s="36">
        <f t="shared" si="84"/>
        <v>427</v>
      </c>
      <c r="W1092" s="28"/>
      <c r="X1092" s="31"/>
      <c r="Y1092" s="33"/>
      <c r="Z1092" s="189"/>
      <c r="AA1092" s="190"/>
      <c r="AB1092" s="31">
        <v>42168</v>
      </c>
      <c r="AC1092" s="36">
        <v>427</v>
      </c>
      <c r="AD1092" s="8"/>
      <c r="AE1092" s="6"/>
      <c r="AF1092" s="52">
        <f t="shared" si="81"/>
        <v>17984386</v>
      </c>
      <c r="AG1092" s="25">
        <f t="shared" si="82"/>
        <v>0</v>
      </c>
      <c r="AH1092" s="52">
        <f t="shared" si="83"/>
        <v>18005736</v>
      </c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</row>
    <row r="1093" spans="1:44">
      <c r="A1093" s="6"/>
      <c r="B1093" s="6"/>
      <c r="C1093" s="6"/>
      <c r="D1093" s="6"/>
      <c r="E1093" s="6"/>
      <c r="F1093" s="6"/>
      <c r="G1093" s="11"/>
      <c r="H1093" s="6"/>
      <c r="I1093" s="6"/>
      <c r="J1093" s="6"/>
      <c r="K1093" s="7"/>
      <c r="L1093" s="21" t="s">
        <v>35</v>
      </c>
      <c r="M1093" s="22"/>
      <c r="N1093" s="22"/>
      <c r="O1093" s="22" t="s">
        <v>150</v>
      </c>
      <c r="P1093" s="23" t="s">
        <v>157</v>
      </c>
      <c r="Q1093" s="21" t="s">
        <v>133</v>
      </c>
      <c r="R1093" s="25">
        <v>1</v>
      </c>
      <c r="S1093" s="28"/>
      <c r="T1093" s="31">
        <v>42239</v>
      </c>
      <c r="U1093" s="33">
        <v>750.42</v>
      </c>
      <c r="V1093" s="36">
        <f t="shared" si="84"/>
        <v>750.42</v>
      </c>
      <c r="W1093" s="28"/>
      <c r="X1093" s="31"/>
      <c r="Y1093" s="33"/>
      <c r="Z1093" s="189"/>
      <c r="AA1093" s="190"/>
      <c r="AB1093" s="31"/>
      <c r="AC1093" s="36"/>
      <c r="AD1093" s="8"/>
      <c r="AE1093" s="6"/>
      <c r="AF1093" s="52">
        <f t="shared" si="81"/>
        <v>31696990.379999999</v>
      </c>
      <c r="AG1093" s="25">
        <f t="shared" si="82"/>
        <v>0</v>
      </c>
      <c r="AH1093" s="52">
        <f t="shared" si="83"/>
        <v>0</v>
      </c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</row>
    <row r="1094" spans="1:44">
      <c r="A1094" s="6"/>
      <c r="B1094" s="6"/>
      <c r="C1094" s="6"/>
      <c r="D1094" s="6"/>
      <c r="E1094" s="6"/>
      <c r="F1094" s="6"/>
      <c r="G1094" s="11"/>
      <c r="H1094" s="6"/>
      <c r="I1094" s="6"/>
      <c r="J1094" s="6"/>
      <c r="K1094" s="7"/>
      <c r="L1094" s="21" t="s">
        <v>35</v>
      </c>
      <c r="M1094" s="22"/>
      <c r="N1094" s="22"/>
      <c r="O1094" s="22" t="s">
        <v>149</v>
      </c>
      <c r="P1094" s="23" t="s">
        <v>155</v>
      </c>
      <c r="Q1094" s="21" t="s">
        <v>64</v>
      </c>
      <c r="R1094" s="25">
        <v>1</v>
      </c>
      <c r="S1094" s="28"/>
      <c r="T1094" s="31">
        <v>42222</v>
      </c>
      <c r="U1094" s="33">
        <v>111.55</v>
      </c>
      <c r="V1094" s="36">
        <f t="shared" si="84"/>
        <v>111.55</v>
      </c>
      <c r="W1094" s="28"/>
      <c r="X1094" s="31"/>
      <c r="Y1094" s="33"/>
      <c r="Z1094" s="189"/>
      <c r="AA1094" s="190"/>
      <c r="AB1094" s="31">
        <v>42252</v>
      </c>
      <c r="AC1094" s="36">
        <v>111.55</v>
      </c>
      <c r="AD1094" s="8"/>
      <c r="AE1094" s="6"/>
      <c r="AF1094" s="52">
        <f t="shared" si="81"/>
        <v>4709864.0999999996</v>
      </c>
      <c r="AG1094" s="25">
        <f t="shared" si="82"/>
        <v>0</v>
      </c>
      <c r="AH1094" s="52">
        <f t="shared" si="83"/>
        <v>4713210.5999999996</v>
      </c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</row>
    <row r="1095" spans="1:44">
      <c r="A1095" s="6"/>
      <c r="B1095" s="6"/>
      <c r="C1095" s="6"/>
      <c r="D1095" s="6"/>
      <c r="E1095" s="6"/>
      <c r="F1095" s="6"/>
      <c r="G1095" s="11"/>
      <c r="H1095" s="6"/>
      <c r="I1095" s="6"/>
      <c r="J1095" s="6"/>
      <c r="K1095" s="7"/>
      <c r="L1095" s="21" t="s">
        <v>35</v>
      </c>
      <c r="M1095" s="22"/>
      <c r="N1095" s="22"/>
      <c r="O1095" s="22" t="s">
        <v>149</v>
      </c>
      <c r="P1095" s="23" t="s">
        <v>155</v>
      </c>
      <c r="Q1095" s="21" t="s">
        <v>64</v>
      </c>
      <c r="R1095" s="25">
        <v>5</v>
      </c>
      <c r="S1095" s="28"/>
      <c r="T1095" s="31">
        <v>42241</v>
      </c>
      <c r="U1095" s="33">
        <v>111.55</v>
      </c>
      <c r="V1095" s="36">
        <f t="shared" si="84"/>
        <v>557.75</v>
      </c>
      <c r="W1095" s="28"/>
      <c r="X1095" s="31"/>
      <c r="Y1095" s="33"/>
      <c r="Z1095" s="189"/>
      <c r="AA1095" s="190"/>
      <c r="AB1095" s="31">
        <v>42261</v>
      </c>
      <c r="AC1095" s="36">
        <v>557.75</v>
      </c>
      <c r="AD1095" s="8"/>
      <c r="AE1095" s="6"/>
      <c r="AF1095" s="52">
        <f t="shared" si="81"/>
        <v>23559917.75</v>
      </c>
      <c r="AG1095" s="25">
        <f t="shared" si="82"/>
        <v>0</v>
      </c>
      <c r="AH1095" s="52">
        <f t="shared" si="83"/>
        <v>23571072.75</v>
      </c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</row>
    <row r="1096" spans="1:44">
      <c r="A1096" s="6"/>
      <c r="B1096" s="6"/>
      <c r="C1096" s="6"/>
      <c r="D1096" s="6"/>
      <c r="E1096" s="6"/>
      <c r="F1096" s="6"/>
      <c r="G1096" s="11"/>
      <c r="H1096" s="6"/>
      <c r="I1096" s="6"/>
      <c r="J1096" s="6"/>
      <c r="K1096" s="7"/>
      <c r="L1096" s="21" t="s">
        <v>35</v>
      </c>
      <c r="M1096" s="22"/>
      <c r="N1096" s="22"/>
      <c r="O1096" s="22" t="s">
        <v>149</v>
      </c>
      <c r="P1096" s="23" t="s">
        <v>155</v>
      </c>
      <c r="Q1096" s="21" t="s">
        <v>64</v>
      </c>
      <c r="R1096" s="25">
        <v>2</v>
      </c>
      <c r="S1096" s="28"/>
      <c r="T1096" s="31">
        <v>42235</v>
      </c>
      <c r="U1096" s="33">
        <v>111.55</v>
      </c>
      <c r="V1096" s="36">
        <f t="shared" ref="V1096:V1129" si="85">$R1096*U1096</f>
        <v>223.1</v>
      </c>
      <c r="W1096" s="28"/>
      <c r="X1096" s="31"/>
      <c r="Y1096" s="33"/>
      <c r="Z1096" s="189"/>
      <c r="AA1096" s="190"/>
      <c r="AB1096" s="31">
        <v>42245</v>
      </c>
      <c r="AC1096" s="36">
        <v>223.1</v>
      </c>
      <c r="AD1096" s="8"/>
      <c r="AE1096" s="6"/>
      <c r="AF1096" s="52">
        <f t="shared" si="81"/>
        <v>9422628.5</v>
      </c>
      <c r="AG1096" s="25">
        <f t="shared" si="82"/>
        <v>0</v>
      </c>
      <c r="AH1096" s="52">
        <f t="shared" si="83"/>
        <v>9424859.5</v>
      </c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</row>
    <row r="1097" spans="1:44">
      <c r="A1097" s="6"/>
      <c r="B1097" s="6"/>
      <c r="C1097" s="6"/>
      <c r="D1097" s="6"/>
      <c r="E1097" s="6"/>
      <c r="F1097" s="6"/>
      <c r="G1097" s="11"/>
      <c r="H1097" s="6"/>
      <c r="I1097" s="6"/>
      <c r="J1097" s="6"/>
      <c r="K1097" s="7"/>
      <c r="L1097" s="21" t="s">
        <v>35</v>
      </c>
      <c r="M1097" s="22"/>
      <c r="N1097" s="22"/>
      <c r="O1097" s="22" t="s">
        <v>144</v>
      </c>
      <c r="P1097" s="23" t="s">
        <v>156</v>
      </c>
      <c r="Q1097" s="21" t="s">
        <v>89</v>
      </c>
      <c r="R1097" s="25">
        <v>1</v>
      </c>
      <c r="S1097" s="28"/>
      <c r="T1097" s="31">
        <v>42237</v>
      </c>
      <c r="U1097" s="33">
        <v>594</v>
      </c>
      <c r="V1097" s="36">
        <f t="shared" si="85"/>
        <v>594</v>
      </c>
      <c r="W1097" s="28"/>
      <c r="X1097" s="31"/>
      <c r="Y1097" s="33"/>
      <c r="Z1097" s="189"/>
      <c r="AA1097" s="190"/>
      <c r="AB1097" s="31">
        <v>42247</v>
      </c>
      <c r="AC1097" s="36">
        <v>594</v>
      </c>
      <c r="AD1097" s="8"/>
      <c r="AE1097" s="6"/>
      <c r="AF1097" s="52">
        <f t="shared" ref="AF1097:AF1160" si="86">T1097*V1097</f>
        <v>25088778</v>
      </c>
      <c r="AG1097" s="25">
        <f t="shared" ref="AG1097:AG1160" si="87">X1097*Z1097</f>
        <v>0</v>
      </c>
      <c r="AH1097" s="52">
        <f t="shared" si="83"/>
        <v>25094718</v>
      </c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</row>
    <row r="1098" spans="1:44">
      <c r="A1098" s="6"/>
      <c r="B1098" s="6"/>
      <c r="C1098" s="6"/>
      <c r="D1098" s="6"/>
      <c r="E1098" s="6"/>
      <c r="F1098" s="6"/>
      <c r="G1098" s="11"/>
      <c r="H1098" s="6"/>
      <c r="I1098" s="6"/>
      <c r="J1098" s="6"/>
      <c r="K1098" s="7"/>
      <c r="L1098" s="21" t="s">
        <v>35</v>
      </c>
      <c r="M1098" s="22"/>
      <c r="N1098" s="22"/>
      <c r="O1098" s="22" t="s">
        <v>144</v>
      </c>
      <c r="P1098" s="23" t="s">
        <v>156</v>
      </c>
      <c r="Q1098" s="21" t="s">
        <v>83</v>
      </c>
      <c r="R1098" s="25">
        <v>1</v>
      </c>
      <c r="S1098" s="28"/>
      <c r="T1098" s="31">
        <v>42208</v>
      </c>
      <c r="U1098" s="33">
        <v>2822.4</v>
      </c>
      <c r="V1098" s="36">
        <f t="shared" si="85"/>
        <v>2822.4</v>
      </c>
      <c r="W1098" s="28"/>
      <c r="X1098" s="31"/>
      <c r="Y1098" s="33"/>
      <c r="Z1098" s="189"/>
      <c r="AA1098" s="190"/>
      <c r="AB1098" s="31">
        <v>42238</v>
      </c>
      <c r="AC1098" s="36">
        <v>2822.4</v>
      </c>
      <c r="AD1098" s="8"/>
      <c r="AE1098" s="6"/>
      <c r="AF1098" s="52">
        <f t="shared" si="86"/>
        <v>119127859.2</v>
      </c>
      <c r="AG1098" s="25">
        <f t="shared" si="87"/>
        <v>0</v>
      </c>
      <c r="AH1098" s="52">
        <f t="shared" ref="AH1098:AH1161" si="88">AB1098*AC1098</f>
        <v>119212531.2</v>
      </c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</row>
    <row r="1099" spans="1:44">
      <c r="A1099" s="6"/>
      <c r="B1099" s="6"/>
      <c r="C1099" s="6"/>
      <c r="D1099" s="6"/>
      <c r="E1099" s="6"/>
      <c r="F1099" s="6"/>
      <c r="G1099" s="11"/>
      <c r="H1099" s="6"/>
      <c r="I1099" s="6"/>
      <c r="J1099" s="6"/>
      <c r="K1099" s="7"/>
      <c r="L1099" s="21" t="s">
        <v>35</v>
      </c>
      <c r="M1099" s="22"/>
      <c r="N1099" s="22"/>
      <c r="O1099" s="22" t="s">
        <v>140</v>
      </c>
      <c r="P1099" s="23" t="s">
        <v>157</v>
      </c>
      <c r="Q1099" s="21" t="s">
        <v>133</v>
      </c>
      <c r="R1099" s="25">
        <v>1</v>
      </c>
      <c r="S1099" s="28"/>
      <c r="T1099" s="31">
        <v>42236</v>
      </c>
      <c r="U1099" s="33">
        <v>247.06</v>
      </c>
      <c r="V1099" s="36">
        <f t="shared" si="85"/>
        <v>247.06</v>
      </c>
      <c r="W1099" s="28"/>
      <c r="X1099" s="31"/>
      <c r="Y1099" s="33"/>
      <c r="Z1099" s="189"/>
      <c r="AA1099" s="190"/>
      <c r="AB1099" s="31">
        <v>42257</v>
      </c>
      <c r="AC1099" s="36">
        <v>247.06</v>
      </c>
      <c r="AD1099" s="8"/>
      <c r="AE1099" s="6"/>
      <c r="AF1099" s="52">
        <f t="shared" si="86"/>
        <v>10434826.16</v>
      </c>
      <c r="AG1099" s="25">
        <f t="shared" si="87"/>
        <v>0</v>
      </c>
      <c r="AH1099" s="52">
        <f t="shared" si="88"/>
        <v>10440014.42</v>
      </c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</row>
    <row r="1100" spans="1:44">
      <c r="A1100" s="6"/>
      <c r="B1100" s="6"/>
      <c r="C1100" s="6"/>
      <c r="D1100" s="6"/>
      <c r="E1100" s="6"/>
      <c r="F1100" s="6"/>
      <c r="G1100" s="11"/>
      <c r="H1100" s="6"/>
      <c r="I1100" s="6"/>
      <c r="J1100" s="6"/>
      <c r="K1100" s="7"/>
      <c r="L1100" s="21" t="s">
        <v>35</v>
      </c>
      <c r="M1100" s="22"/>
      <c r="N1100" s="22"/>
      <c r="O1100" s="22" t="s">
        <v>135</v>
      </c>
      <c r="P1100" s="23" t="s">
        <v>157</v>
      </c>
      <c r="Q1100" s="21" t="s">
        <v>133</v>
      </c>
      <c r="R1100" s="25">
        <v>1</v>
      </c>
      <c r="S1100" s="28"/>
      <c r="T1100" s="31">
        <v>42262</v>
      </c>
      <c r="U1100" s="33">
        <v>590.13</v>
      </c>
      <c r="V1100" s="36">
        <f t="shared" si="85"/>
        <v>590.13</v>
      </c>
      <c r="W1100" s="28"/>
      <c r="X1100" s="31"/>
      <c r="Y1100" s="33"/>
      <c r="Z1100" s="189"/>
      <c r="AA1100" s="190"/>
      <c r="AB1100" s="31">
        <v>42307</v>
      </c>
      <c r="AC1100" s="36">
        <v>590.13</v>
      </c>
      <c r="AD1100" s="8"/>
      <c r="AE1100" s="6"/>
      <c r="AF1100" s="52">
        <f t="shared" si="86"/>
        <v>24940074.059999999</v>
      </c>
      <c r="AG1100" s="25">
        <f t="shared" si="87"/>
        <v>0</v>
      </c>
      <c r="AH1100" s="52">
        <f t="shared" si="88"/>
        <v>24966629.91</v>
      </c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</row>
    <row r="1101" spans="1:44">
      <c r="A1101" s="6"/>
      <c r="B1101" s="6"/>
      <c r="C1101" s="6"/>
      <c r="D1101" s="6"/>
      <c r="E1101" s="6"/>
      <c r="F1101" s="6"/>
      <c r="G1101" s="11"/>
      <c r="H1101" s="6"/>
      <c r="I1101" s="6"/>
      <c r="J1101" s="6"/>
      <c r="K1101" s="7"/>
      <c r="L1101" s="21" t="s">
        <v>35</v>
      </c>
      <c r="M1101" s="22"/>
      <c r="N1101" s="22"/>
      <c r="O1101" s="22" t="s">
        <v>128</v>
      </c>
      <c r="P1101" s="23" t="s">
        <v>158</v>
      </c>
      <c r="Q1101" s="21" t="s">
        <v>94</v>
      </c>
      <c r="R1101" s="25">
        <v>1</v>
      </c>
      <c r="S1101" s="28"/>
      <c r="T1101" s="31">
        <v>42240</v>
      </c>
      <c r="U1101" s="33">
        <v>16189.59</v>
      </c>
      <c r="V1101" s="36">
        <f t="shared" si="85"/>
        <v>16189.59</v>
      </c>
      <c r="W1101" s="28"/>
      <c r="X1101" s="31"/>
      <c r="Y1101" s="33"/>
      <c r="Z1101" s="189"/>
      <c r="AA1101" s="190"/>
      <c r="AB1101" s="31">
        <v>42270</v>
      </c>
      <c r="AC1101" s="36">
        <v>16189.59</v>
      </c>
      <c r="AD1101" s="8"/>
      <c r="AE1101" s="6"/>
      <c r="AF1101" s="52">
        <f t="shared" si="86"/>
        <v>683848281.60000002</v>
      </c>
      <c r="AG1101" s="25">
        <f t="shared" si="87"/>
        <v>0</v>
      </c>
      <c r="AH1101" s="52">
        <f t="shared" si="88"/>
        <v>684333969.29999995</v>
      </c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</row>
    <row r="1102" spans="1:44">
      <c r="A1102" s="6"/>
      <c r="B1102" s="6"/>
      <c r="C1102" s="6"/>
      <c r="D1102" s="6"/>
      <c r="E1102" s="6"/>
      <c r="F1102" s="6"/>
      <c r="G1102" s="11"/>
      <c r="H1102" s="6"/>
      <c r="I1102" s="6"/>
      <c r="J1102" s="6"/>
      <c r="K1102" s="7"/>
      <c r="L1102" s="21" t="s">
        <v>35</v>
      </c>
      <c r="M1102" s="22"/>
      <c r="N1102" s="22"/>
      <c r="O1102" s="22" t="s">
        <v>128</v>
      </c>
      <c r="P1102" s="23" t="s">
        <v>158</v>
      </c>
      <c r="Q1102" s="21" t="s">
        <v>94</v>
      </c>
      <c r="R1102" s="25">
        <v>1</v>
      </c>
      <c r="S1102" s="28"/>
      <c r="T1102" s="31">
        <v>42253</v>
      </c>
      <c r="U1102" s="33">
        <v>16189.59</v>
      </c>
      <c r="V1102" s="36">
        <f t="shared" si="85"/>
        <v>16189.59</v>
      </c>
      <c r="W1102" s="28"/>
      <c r="X1102" s="31"/>
      <c r="Y1102" s="33"/>
      <c r="Z1102" s="189"/>
      <c r="AA1102" s="190"/>
      <c r="AB1102" s="31">
        <v>42268</v>
      </c>
      <c r="AC1102" s="36">
        <v>16189.59</v>
      </c>
      <c r="AD1102" s="8"/>
      <c r="AE1102" s="6"/>
      <c r="AF1102" s="52">
        <f t="shared" si="86"/>
        <v>684058746.26999998</v>
      </c>
      <c r="AG1102" s="25">
        <f t="shared" si="87"/>
        <v>0</v>
      </c>
      <c r="AH1102" s="52">
        <f t="shared" si="88"/>
        <v>684301590.12</v>
      </c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</row>
    <row r="1103" spans="1:44">
      <c r="A1103" s="6"/>
      <c r="B1103" s="6"/>
      <c r="C1103" s="6"/>
      <c r="D1103" s="6"/>
      <c r="E1103" s="6"/>
      <c r="F1103" s="6"/>
      <c r="G1103" s="11"/>
      <c r="H1103" s="6"/>
      <c r="I1103" s="6"/>
      <c r="J1103" s="6"/>
      <c r="K1103" s="7"/>
      <c r="L1103" s="21" t="s">
        <v>35</v>
      </c>
      <c r="M1103" s="22"/>
      <c r="N1103" s="22"/>
      <c r="O1103" s="22" t="s">
        <v>149</v>
      </c>
      <c r="P1103" s="23" t="s">
        <v>155</v>
      </c>
      <c r="Q1103" s="21" t="s">
        <v>96</v>
      </c>
      <c r="R1103" s="25">
        <v>1</v>
      </c>
      <c r="S1103" s="28"/>
      <c r="T1103" s="31">
        <v>42263</v>
      </c>
      <c r="U1103" s="33">
        <v>4117.05</v>
      </c>
      <c r="V1103" s="36">
        <f t="shared" si="85"/>
        <v>4117.05</v>
      </c>
      <c r="W1103" s="28"/>
      <c r="X1103" s="31"/>
      <c r="Y1103" s="33"/>
      <c r="Z1103" s="189"/>
      <c r="AA1103" s="190"/>
      <c r="AB1103" s="31"/>
      <c r="AC1103" s="36"/>
      <c r="AD1103" s="8"/>
      <c r="AE1103" s="6"/>
      <c r="AF1103" s="52">
        <f t="shared" si="86"/>
        <v>173998884.15000001</v>
      </c>
      <c r="AG1103" s="25">
        <f t="shared" si="87"/>
        <v>0</v>
      </c>
      <c r="AH1103" s="52">
        <f t="shared" si="88"/>
        <v>0</v>
      </c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</row>
    <row r="1104" spans="1:44">
      <c r="A1104" s="6"/>
      <c r="B1104" s="6"/>
      <c r="C1104" s="6"/>
      <c r="D1104" s="6"/>
      <c r="E1104" s="6"/>
      <c r="F1104" s="6"/>
      <c r="G1104" s="11"/>
      <c r="H1104" s="6"/>
      <c r="I1104" s="6"/>
      <c r="J1104" s="6"/>
      <c r="K1104" s="7"/>
      <c r="L1104" s="21" t="s">
        <v>35</v>
      </c>
      <c r="M1104" s="22"/>
      <c r="N1104" s="22"/>
      <c r="O1104" s="22" t="s">
        <v>140</v>
      </c>
      <c r="P1104" s="23" t="s">
        <v>157</v>
      </c>
      <c r="Q1104" s="21" t="s">
        <v>133</v>
      </c>
      <c r="R1104" s="25">
        <v>1</v>
      </c>
      <c r="S1104" s="28"/>
      <c r="T1104" s="31">
        <v>42258</v>
      </c>
      <c r="U1104" s="33">
        <v>2236.15</v>
      </c>
      <c r="V1104" s="36">
        <f t="shared" si="85"/>
        <v>2236.15</v>
      </c>
      <c r="W1104" s="28"/>
      <c r="X1104" s="31"/>
      <c r="Y1104" s="33"/>
      <c r="Z1104" s="189"/>
      <c r="AA1104" s="190"/>
      <c r="AB1104" s="31">
        <v>42318</v>
      </c>
      <c r="AC1104" s="36">
        <v>2236.15</v>
      </c>
      <c r="AD1104" s="8"/>
      <c r="AE1104" s="6"/>
      <c r="AF1104" s="52">
        <f t="shared" si="86"/>
        <v>94495226.700000003</v>
      </c>
      <c r="AG1104" s="25">
        <f t="shared" si="87"/>
        <v>0</v>
      </c>
      <c r="AH1104" s="52">
        <f t="shared" si="88"/>
        <v>94629395.700000003</v>
      </c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</row>
    <row r="1105" spans="1:44">
      <c r="A1105" s="6"/>
      <c r="B1105" s="6"/>
      <c r="C1105" s="6"/>
      <c r="D1105" s="6"/>
      <c r="E1105" s="6"/>
      <c r="F1105" s="6"/>
      <c r="G1105" s="11"/>
      <c r="H1105" s="6"/>
      <c r="I1105" s="6"/>
      <c r="J1105" s="6"/>
      <c r="K1105" s="7"/>
      <c r="L1105" s="21" t="s">
        <v>35</v>
      </c>
      <c r="M1105" s="22"/>
      <c r="N1105" s="22"/>
      <c r="O1105" s="22" t="s">
        <v>139</v>
      </c>
      <c r="P1105" s="23" t="s">
        <v>157</v>
      </c>
      <c r="Q1105" s="21" t="s">
        <v>133</v>
      </c>
      <c r="R1105" s="25">
        <v>1</v>
      </c>
      <c r="S1105" s="28"/>
      <c r="T1105" s="31">
        <v>42223</v>
      </c>
      <c r="U1105" s="33">
        <v>1710.79</v>
      </c>
      <c r="V1105" s="36">
        <f t="shared" si="85"/>
        <v>1710.79</v>
      </c>
      <c r="W1105" s="28"/>
      <c r="X1105" s="31"/>
      <c r="Y1105" s="33"/>
      <c r="Z1105" s="189"/>
      <c r="AA1105" s="190"/>
      <c r="AB1105" s="31">
        <v>42228</v>
      </c>
      <c r="AC1105" s="36">
        <v>1710.79</v>
      </c>
      <c r="AD1105" s="8"/>
      <c r="AE1105" s="6"/>
      <c r="AF1105" s="52">
        <f t="shared" si="86"/>
        <v>72234686.170000002</v>
      </c>
      <c r="AG1105" s="25">
        <f t="shared" si="87"/>
        <v>0</v>
      </c>
      <c r="AH1105" s="52">
        <f t="shared" si="88"/>
        <v>72243240.120000005</v>
      </c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</row>
    <row r="1106" spans="1:44">
      <c r="A1106" s="6"/>
      <c r="B1106" s="6"/>
      <c r="C1106" s="6"/>
      <c r="D1106" s="6"/>
      <c r="E1106" s="6"/>
      <c r="F1106" s="6"/>
      <c r="G1106" s="11"/>
      <c r="H1106" s="6"/>
      <c r="I1106" s="6"/>
      <c r="J1106" s="6"/>
      <c r="K1106" s="7"/>
      <c r="L1106" s="21" t="s">
        <v>35</v>
      </c>
      <c r="M1106" s="22"/>
      <c r="N1106" s="22"/>
      <c r="O1106" s="22" t="s">
        <v>139</v>
      </c>
      <c r="P1106" s="23" t="s">
        <v>157</v>
      </c>
      <c r="Q1106" s="21" t="s">
        <v>133</v>
      </c>
      <c r="R1106" s="25">
        <v>1</v>
      </c>
      <c r="S1106" s="28"/>
      <c r="T1106" s="31">
        <v>42221</v>
      </c>
      <c r="U1106" s="33">
        <v>603.07000000000005</v>
      </c>
      <c r="V1106" s="36">
        <f t="shared" si="85"/>
        <v>603.07000000000005</v>
      </c>
      <c r="W1106" s="28"/>
      <c r="X1106" s="31"/>
      <c r="Y1106" s="33"/>
      <c r="Z1106" s="189"/>
      <c r="AA1106" s="190"/>
      <c r="AB1106" s="31">
        <v>42261</v>
      </c>
      <c r="AC1106" s="36">
        <v>603.07000000000005</v>
      </c>
      <c r="AD1106" s="8"/>
      <c r="AE1106" s="6"/>
      <c r="AF1106" s="52">
        <f t="shared" si="86"/>
        <v>25462218.470000003</v>
      </c>
      <c r="AG1106" s="25">
        <f t="shared" si="87"/>
        <v>0</v>
      </c>
      <c r="AH1106" s="52">
        <f t="shared" si="88"/>
        <v>25486341.270000003</v>
      </c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</row>
    <row r="1107" spans="1:44">
      <c r="A1107" s="6"/>
      <c r="B1107" s="6"/>
      <c r="C1107" s="6"/>
      <c r="D1107" s="6"/>
      <c r="E1107" s="6"/>
      <c r="F1107" s="6"/>
      <c r="G1107" s="11"/>
      <c r="H1107" s="6"/>
      <c r="I1107" s="6"/>
      <c r="J1107" s="6"/>
      <c r="K1107" s="7"/>
      <c r="L1107" s="21" t="s">
        <v>35</v>
      </c>
      <c r="M1107" s="22"/>
      <c r="N1107" s="22"/>
      <c r="O1107" s="22" t="s">
        <v>148</v>
      </c>
      <c r="P1107" s="23" t="s">
        <v>157</v>
      </c>
      <c r="Q1107" s="21" t="s">
        <v>60</v>
      </c>
      <c r="R1107" s="25">
        <v>1</v>
      </c>
      <c r="S1107" s="28"/>
      <c r="T1107" s="31">
        <v>41954</v>
      </c>
      <c r="U1107" s="33">
        <v>2505.44</v>
      </c>
      <c r="V1107" s="36">
        <f t="shared" si="85"/>
        <v>2505.44</v>
      </c>
      <c r="W1107" s="28"/>
      <c r="X1107" s="31"/>
      <c r="Y1107" s="33"/>
      <c r="Z1107" s="189"/>
      <c r="AA1107" s="190"/>
      <c r="AB1107" s="31">
        <v>41989</v>
      </c>
      <c r="AC1107" s="36">
        <v>2505.44</v>
      </c>
      <c r="AD1107" s="8"/>
      <c r="AE1107" s="6"/>
      <c r="AF1107" s="52">
        <f t="shared" si="86"/>
        <v>105113229.76000001</v>
      </c>
      <c r="AG1107" s="25">
        <f t="shared" si="87"/>
        <v>0</v>
      </c>
      <c r="AH1107" s="52">
        <f t="shared" si="88"/>
        <v>105200920.16</v>
      </c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</row>
    <row r="1108" spans="1:44">
      <c r="A1108" s="6"/>
      <c r="B1108" s="6"/>
      <c r="C1108" s="6"/>
      <c r="D1108" s="6"/>
      <c r="E1108" s="6"/>
      <c r="F1108" s="6"/>
      <c r="G1108" s="11"/>
      <c r="H1108" s="6"/>
      <c r="I1108" s="6"/>
      <c r="J1108" s="6"/>
      <c r="K1108" s="7"/>
      <c r="L1108" s="21" t="s">
        <v>35</v>
      </c>
      <c r="M1108" s="22"/>
      <c r="N1108" s="22"/>
      <c r="O1108" s="22" t="s">
        <v>148</v>
      </c>
      <c r="P1108" s="23" t="s">
        <v>157</v>
      </c>
      <c r="Q1108" s="21" t="s">
        <v>133</v>
      </c>
      <c r="R1108" s="25">
        <v>1</v>
      </c>
      <c r="S1108" s="28"/>
      <c r="T1108" s="31">
        <v>41960</v>
      </c>
      <c r="U1108" s="33">
        <v>2742.85</v>
      </c>
      <c r="V1108" s="36">
        <f t="shared" si="85"/>
        <v>2742.85</v>
      </c>
      <c r="W1108" s="28"/>
      <c r="X1108" s="31"/>
      <c r="Y1108" s="33"/>
      <c r="Z1108" s="189"/>
      <c r="AA1108" s="190"/>
      <c r="AB1108" s="31">
        <v>41975</v>
      </c>
      <c r="AC1108" s="36">
        <v>2742.85</v>
      </c>
      <c r="AD1108" s="8"/>
      <c r="AE1108" s="6"/>
      <c r="AF1108" s="52">
        <f t="shared" si="86"/>
        <v>115089986</v>
      </c>
      <c r="AG1108" s="25">
        <f t="shared" si="87"/>
        <v>0</v>
      </c>
      <c r="AH1108" s="52">
        <f t="shared" si="88"/>
        <v>115131128.75</v>
      </c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</row>
    <row r="1109" spans="1:44">
      <c r="A1109" s="6"/>
      <c r="B1109" s="6"/>
      <c r="C1109" s="6"/>
      <c r="D1109" s="6"/>
      <c r="E1109" s="6"/>
      <c r="F1109" s="6"/>
      <c r="G1109" s="11"/>
      <c r="H1109" s="6"/>
      <c r="I1109" s="6"/>
      <c r="J1109" s="6"/>
      <c r="K1109" s="7"/>
      <c r="L1109" s="21" t="s">
        <v>35</v>
      </c>
      <c r="M1109" s="22"/>
      <c r="N1109" s="22"/>
      <c r="O1109" s="22" t="s">
        <v>138</v>
      </c>
      <c r="P1109" s="23" t="s">
        <v>157</v>
      </c>
      <c r="Q1109" s="21" t="s">
        <v>92</v>
      </c>
      <c r="R1109" s="25">
        <v>1</v>
      </c>
      <c r="S1109" s="28"/>
      <c r="T1109" s="31">
        <v>41935</v>
      </c>
      <c r="U1109" s="33">
        <v>533.24</v>
      </c>
      <c r="V1109" s="36">
        <f t="shared" si="85"/>
        <v>533.24</v>
      </c>
      <c r="W1109" s="28"/>
      <c r="X1109" s="31"/>
      <c r="Y1109" s="33"/>
      <c r="Z1109" s="189"/>
      <c r="AA1109" s="190"/>
      <c r="AB1109" s="31">
        <v>41985</v>
      </c>
      <c r="AC1109" s="36">
        <v>533.24</v>
      </c>
      <c r="AD1109" s="8"/>
      <c r="AE1109" s="6"/>
      <c r="AF1109" s="52">
        <f t="shared" si="86"/>
        <v>22361419.400000002</v>
      </c>
      <c r="AG1109" s="25">
        <f t="shared" si="87"/>
        <v>0</v>
      </c>
      <c r="AH1109" s="52">
        <f t="shared" si="88"/>
        <v>22388081.400000002</v>
      </c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</row>
    <row r="1110" spans="1:44">
      <c r="A1110" s="6"/>
      <c r="B1110" s="6"/>
      <c r="C1110" s="6"/>
      <c r="D1110" s="6"/>
      <c r="E1110" s="6"/>
      <c r="F1110" s="6"/>
      <c r="G1110" s="11"/>
      <c r="H1110" s="6"/>
      <c r="I1110" s="6"/>
      <c r="J1110" s="6"/>
      <c r="K1110" s="7"/>
      <c r="L1110" s="21" t="s">
        <v>35</v>
      </c>
      <c r="M1110" s="22"/>
      <c r="N1110" s="22"/>
      <c r="O1110" s="22" t="s">
        <v>146</v>
      </c>
      <c r="P1110" s="23" t="s">
        <v>157</v>
      </c>
      <c r="Q1110" s="21" t="s">
        <v>92</v>
      </c>
      <c r="R1110" s="25">
        <v>1</v>
      </c>
      <c r="S1110" s="28"/>
      <c r="T1110" s="31">
        <v>41960</v>
      </c>
      <c r="U1110" s="33">
        <v>1318.8</v>
      </c>
      <c r="V1110" s="36">
        <f t="shared" si="85"/>
        <v>1318.8</v>
      </c>
      <c r="W1110" s="28"/>
      <c r="X1110" s="31"/>
      <c r="Y1110" s="33"/>
      <c r="Z1110" s="189"/>
      <c r="AA1110" s="190"/>
      <c r="AB1110" s="31">
        <v>41980</v>
      </c>
      <c r="AC1110" s="36">
        <v>1318.8</v>
      </c>
      <c r="AD1110" s="8"/>
      <c r="AE1110" s="6"/>
      <c r="AF1110" s="52">
        <f t="shared" si="86"/>
        <v>55336848</v>
      </c>
      <c r="AG1110" s="25">
        <f t="shared" si="87"/>
        <v>0</v>
      </c>
      <c r="AH1110" s="52">
        <f t="shared" si="88"/>
        <v>55363224</v>
      </c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</row>
    <row r="1111" spans="1:44">
      <c r="A1111" s="6"/>
      <c r="B1111" s="6"/>
      <c r="C1111" s="6"/>
      <c r="D1111" s="6"/>
      <c r="E1111" s="6"/>
      <c r="F1111" s="6"/>
      <c r="G1111" s="11"/>
      <c r="H1111" s="6"/>
      <c r="I1111" s="6"/>
      <c r="J1111" s="6"/>
      <c r="K1111" s="7"/>
      <c r="L1111" s="21" t="s">
        <v>35</v>
      </c>
      <c r="M1111" s="22"/>
      <c r="N1111" s="22"/>
      <c r="O1111" s="22" t="s">
        <v>146</v>
      </c>
      <c r="P1111" s="23" t="s">
        <v>157</v>
      </c>
      <c r="Q1111" s="21" t="s">
        <v>92</v>
      </c>
      <c r="R1111" s="25">
        <v>1</v>
      </c>
      <c r="S1111" s="28"/>
      <c r="T1111" s="31">
        <v>41949</v>
      </c>
      <c r="U1111" s="33">
        <v>1318.79</v>
      </c>
      <c r="V1111" s="36">
        <f t="shared" si="85"/>
        <v>1318.79</v>
      </c>
      <c r="W1111" s="28"/>
      <c r="X1111" s="31"/>
      <c r="Y1111" s="33"/>
      <c r="Z1111" s="189"/>
      <c r="AA1111" s="190"/>
      <c r="AB1111" s="31">
        <v>41979</v>
      </c>
      <c r="AC1111" s="36">
        <v>1318.79</v>
      </c>
      <c r="AD1111" s="8"/>
      <c r="AE1111" s="6"/>
      <c r="AF1111" s="52">
        <f t="shared" si="86"/>
        <v>55321921.710000001</v>
      </c>
      <c r="AG1111" s="25">
        <f t="shared" si="87"/>
        <v>0</v>
      </c>
      <c r="AH1111" s="52">
        <f t="shared" si="88"/>
        <v>55361485.409999996</v>
      </c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</row>
    <row r="1112" spans="1:44">
      <c r="A1112" s="6"/>
      <c r="B1112" s="6"/>
      <c r="C1112" s="6"/>
      <c r="D1112" s="6"/>
      <c r="E1112" s="6"/>
      <c r="F1112" s="6"/>
      <c r="G1112" s="11"/>
      <c r="H1112" s="6"/>
      <c r="I1112" s="6"/>
      <c r="J1112" s="6"/>
      <c r="K1112" s="7"/>
      <c r="L1112" s="21" t="s">
        <v>35</v>
      </c>
      <c r="M1112" s="22"/>
      <c r="N1112" s="22"/>
      <c r="O1112" s="22" t="s">
        <v>143</v>
      </c>
      <c r="P1112" s="23" t="s">
        <v>160</v>
      </c>
      <c r="Q1112" s="21" t="s">
        <v>132</v>
      </c>
      <c r="R1112" s="25">
        <v>1</v>
      </c>
      <c r="S1112" s="28"/>
      <c r="T1112" s="31">
        <v>41940</v>
      </c>
      <c r="U1112" s="33">
        <v>473.88</v>
      </c>
      <c r="V1112" s="36">
        <f t="shared" si="85"/>
        <v>473.88</v>
      </c>
      <c r="W1112" s="28"/>
      <c r="X1112" s="31"/>
      <c r="Y1112" s="33"/>
      <c r="Z1112" s="189"/>
      <c r="AA1112" s="190"/>
      <c r="AB1112" s="31">
        <v>41965</v>
      </c>
      <c r="AC1112" s="36">
        <v>473.88</v>
      </c>
      <c r="AD1112" s="8"/>
      <c r="AE1112" s="6"/>
      <c r="AF1112" s="52">
        <f t="shared" si="86"/>
        <v>19874527.199999999</v>
      </c>
      <c r="AG1112" s="25">
        <f t="shared" si="87"/>
        <v>0</v>
      </c>
      <c r="AH1112" s="52">
        <f t="shared" si="88"/>
        <v>19886374.199999999</v>
      </c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</row>
    <row r="1113" spans="1:44">
      <c r="A1113" s="6"/>
      <c r="B1113" s="6"/>
      <c r="C1113" s="6"/>
      <c r="D1113" s="6"/>
      <c r="E1113" s="6"/>
      <c r="F1113" s="6"/>
      <c r="G1113" s="11"/>
      <c r="H1113" s="6"/>
      <c r="I1113" s="6"/>
      <c r="J1113" s="6"/>
      <c r="K1113" s="7"/>
      <c r="L1113" s="21" t="s">
        <v>35</v>
      </c>
      <c r="M1113" s="22"/>
      <c r="N1113" s="22"/>
      <c r="O1113" s="22" t="s">
        <v>143</v>
      </c>
      <c r="P1113" s="23" t="s">
        <v>160</v>
      </c>
      <c r="Q1113" s="21" t="s">
        <v>132</v>
      </c>
      <c r="R1113" s="25">
        <v>1</v>
      </c>
      <c r="S1113" s="28"/>
      <c r="T1113" s="31">
        <v>41940</v>
      </c>
      <c r="U1113" s="33">
        <v>473.88</v>
      </c>
      <c r="V1113" s="36">
        <f t="shared" si="85"/>
        <v>473.88</v>
      </c>
      <c r="W1113" s="28"/>
      <c r="X1113" s="31"/>
      <c r="Y1113" s="33"/>
      <c r="Z1113" s="189"/>
      <c r="AA1113" s="190"/>
      <c r="AB1113" s="31"/>
      <c r="AC1113" s="36"/>
      <c r="AD1113" s="8"/>
      <c r="AE1113" s="6"/>
      <c r="AF1113" s="52">
        <f t="shared" si="86"/>
        <v>19874527.199999999</v>
      </c>
      <c r="AG1113" s="25">
        <f t="shared" si="87"/>
        <v>0</v>
      </c>
      <c r="AH1113" s="52">
        <f t="shared" si="88"/>
        <v>0</v>
      </c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</row>
    <row r="1114" spans="1:44">
      <c r="A1114" s="6"/>
      <c r="B1114" s="6"/>
      <c r="C1114" s="6"/>
      <c r="D1114" s="6"/>
      <c r="E1114" s="6"/>
      <c r="F1114" s="6"/>
      <c r="G1114" s="11"/>
      <c r="H1114" s="6"/>
      <c r="I1114" s="6"/>
      <c r="J1114" s="6"/>
      <c r="K1114" s="7"/>
      <c r="L1114" s="21" t="s">
        <v>35</v>
      </c>
      <c r="M1114" s="22"/>
      <c r="N1114" s="22"/>
      <c r="O1114" s="22" t="s">
        <v>138</v>
      </c>
      <c r="P1114" s="23" t="s">
        <v>157</v>
      </c>
      <c r="Q1114" s="21" t="s">
        <v>92</v>
      </c>
      <c r="R1114" s="25">
        <v>7</v>
      </c>
      <c r="S1114" s="28"/>
      <c r="T1114" s="31">
        <v>42266</v>
      </c>
      <c r="U1114" s="33">
        <v>697</v>
      </c>
      <c r="V1114" s="36">
        <f t="shared" si="85"/>
        <v>4879</v>
      </c>
      <c r="W1114" s="28"/>
      <c r="X1114" s="31"/>
      <c r="Y1114" s="33"/>
      <c r="Z1114" s="189"/>
      <c r="AA1114" s="190"/>
      <c r="AB1114" s="31">
        <v>42273</v>
      </c>
      <c r="AC1114" s="36">
        <v>4879</v>
      </c>
      <c r="AD1114" s="8"/>
      <c r="AE1114" s="6"/>
      <c r="AF1114" s="52">
        <f t="shared" si="86"/>
        <v>206215814</v>
      </c>
      <c r="AG1114" s="25">
        <f t="shared" si="87"/>
        <v>0</v>
      </c>
      <c r="AH1114" s="52">
        <f t="shared" si="88"/>
        <v>206249967</v>
      </c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</row>
    <row r="1115" spans="1:44">
      <c r="A1115" s="6"/>
      <c r="B1115" s="6"/>
      <c r="C1115" s="6"/>
      <c r="D1115" s="6"/>
      <c r="E1115" s="6"/>
      <c r="F1115" s="6"/>
      <c r="G1115" s="11"/>
      <c r="H1115" s="6"/>
      <c r="I1115" s="6"/>
      <c r="J1115" s="6"/>
      <c r="K1115" s="7"/>
      <c r="L1115" s="21" t="s">
        <v>35</v>
      </c>
      <c r="M1115" s="22"/>
      <c r="N1115" s="22"/>
      <c r="O1115" s="22" t="s">
        <v>144</v>
      </c>
      <c r="P1115" s="23" t="s">
        <v>156</v>
      </c>
      <c r="Q1115" s="21" t="s">
        <v>89</v>
      </c>
      <c r="R1115" s="25">
        <v>1</v>
      </c>
      <c r="S1115" s="28"/>
      <c r="T1115" s="31">
        <v>42300</v>
      </c>
      <c r="U1115" s="33">
        <v>594</v>
      </c>
      <c r="V1115" s="36">
        <f t="shared" si="85"/>
        <v>594</v>
      </c>
      <c r="W1115" s="28"/>
      <c r="X1115" s="31"/>
      <c r="Y1115" s="33"/>
      <c r="Z1115" s="189"/>
      <c r="AA1115" s="190"/>
      <c r="AB1115" s="31">
        <v>42322</v>
      </c>
      <c r="AC1115" s="36">
        <v>594</v>
      </c>
      <c r="AD1115" s="8"/>
      <c r="AE1115" s="6"/>
      <c r="AF1115" s="52">
        <f t="shared" si="86"/>
        <v>25126200</v>
      </c>
      <c r="AG1115" s="25">
        <f t="shared" si="87"/>
        <v>0</v>
      </c>
      <c r="AH1115" s="52">
        <f t="shared" si="88"/>
        <v>25139268</v>
      </c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</row>
    <row r="1116" spans="1:44">
      <c r="A1116" s="6"/>
      <c r="B1116" s="6"/>
      <c r="C1116" s="6"/>
      <c r="D1116" s="6"/>
      <c r="E1116" s="6"/>
      <c r="F1116" s="6"/>
      <c r="G1116" s="11"/>
      <c r="H1116" s="6"/>
      <c r="I1116" s="6"/>
      <c r="J1116" s="6"/>
      <c r="K1116" s="7"/>
      <c r="L1116" s="21" t="s">
        <v>35</v>
      </c>
      <c r="M1116" s="22"/>
      <c r="N1116" s="22"/>
      <c r="O1116" s="22" t="s">
        <v>136</v>
      </c>
      <c r="P1116" s="23" t="s">
        <v>156</v>
      </c>
      <c r="Q1116" s="21" t="s">
        <v>82</v>
      </c>
      <c r="R1116" s="25">
        <v>1</v>
      </c>
      <c r="S1116" s="28"/>
      <c r="T1116" s="31">
        <v>41893</v>
      </c>
      <c r="U1116" s="33">
        <v>518.4</v>
      </c>
      <c r="V1116" s="36">
        <f t="shared" si="85"/>
        <v>518.4</v>
      </c>
      <c r="W1116" s="28"/>
      <c r="X1116" s="31"/>
      <c r="Y1116" s="33"/>
      <c r="Z1116" s="189"/>
      <c r="AA1116" s="190"/>
      <c r="AB1116" s="31">
        <v>41925</v>
      </c>
      <c r="AC1116" s="36">
        <v>518.4</v>
      </c>
      <c r="AD1116" s="8"/>
      <c r="AE1116" s="6"/>
      <c r="AF1116" s="52">
        <f t="shared" si="86"/>
        <v>21717331.199999999</v>
      </c>
      <c r="AG1116" s="25">
        <f t="shared" si="87"/>
        <v>0</v>
      </c>
      <c r="AH1116" s="52">
        <f t="shared" si="88"/>
        <v>21733920</v>
      </c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</row>
    <row r="1117" spans="1:44">
      <c r="A1117" s="6"/>
      <c r="B1117" s="6"/>
      <c r="C1117" s="6"/>
      <c r="D1117" s="6"/>
      <c r="E1117" s="6"/>
      <c r="F1117" s="6"/>
      <c r="G1117" s="11"/>
      <c r="H1117" s="6"/>
      <c r="I1117" s="6"/>
      <c r="J1117" s="6"/>
      <c r="K1117" s="7"/>
      <c r="L1117" s="21" t="s">
        <v>35</v>
      </c>
      <c r="M1117" s="22"/>
      <c r="N1117" s="22"/>
      <c r="O1117" s="22" t="s">
        <v>138</v>
      </c>
      <c r="P1117" s="23" t="s">
        <v>157</v>
      </c>
      <c r="Q1117" s="21" t="s">
        <v>73</v>
      </c>
      <c r="R1117" s="25">
        <v>1</v>
      </c>
      <c r="S1117" s="28"/>
      <c r="T1117" s="31">
        <v>42265</v>
      </c>
      <c r="U1117" s="33">
        <v>3871.65</v>
      </c>
      <c r="V1117" s="36">
        <f t="shared" si="85"/>
        <v>3871.65</v>
      </c>
      <c r="W1117" s="28"/>
      <c r="X1117" s="31"/>
      <c r="Y1117" s="33"/>
      <c r="Z1117" s="189"/>
      <c r="AA1117" s="190"/>
      <c r="AB1117" s="31">
        <v>42310</v>
      </c>
      <c r="AC1117" s="36">
        <v>3871.65</v>
      </c>
      <c r="AD1117" s="8"/>
      <c r="AE1117" s="6"/>
      <c r="AF1117" s="52">
        <f t="shared" si="86"/>
        <v>163635287.25</v>
      </c>
      <c r="AG1117" s="25">
        <f t="shared" si="87"/>
        <v>0</v>
      </c>
      <c r="AH1117" s="52">
        <f t="shared" si="88"/>
        <v>163809511.5</v>
      </c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</row>
    <row r="1118" spans="1:44">
      <c r="A1118" s="6"/>
      <c r="B1118" s="6"/>
      <c r="C1118" s="6"/>
      <c r="D1118" s="6"/>
      <c r="E1118" s="6"/>
      <c r="F1118" s="6"/>
      <c r="G1118" s="11"/>
      <c r="H1118" s="6"/>
      <c r="I1118" s="6"/>
      <c r="J1118" s="6"/>
      <c r="K1118" s="7"/>
      <c r="L1118" s="21" t="s">
        <v>35</v>
      </c>
      <c r="M1118" s="22"/>
      <c r="N1118" s="22"/>
      <c r="O1118" s="22" t="s">
        <v>138</v>
      </c>
      <c r="P1118" s="23" t="s">
        <v>157</v>
      </c>
      <c r="Q1118" s="21" t="s">
        <v>60</v>
      </c>
      <c r="R1118" s="25">
        <v>1</v>
      </c>
      <c r="S1118" s="28"/>
      <c r="T1118" s="31">
        <v>42301</v>
      </c>
      <c r="U1118" s="33">
        <v>1749.88</v>
      </c>
      <c r="V1118" s="36">
        <f t="shared" si="85"/>
        <v>1749.88</v>
      </c>
      <c r="W1118" s="28"/>
      <c r="X1118" s="31"/>
      <c r="Y1118" s="33"/>
      <c r="Z1118" s="189"/>
      <c r="AA1118" s="190"/>
      <c r="AB1118" s="31">
        <v>42339</v>
      </c>
      <c r="AC1118" s="36">
        <v>1749.88</v>
      </c>
      <c r="AD1118" s="8"/>
      <c r="AE1118" s="6"/>
      <c r="AF1118" s="52">
        <f t="shared" si="86"/>
        <v>74021673.88000001</v>
      </c>
      <c r="AG1118" s="25">
        <f t="shared" si="87"/>
        <v>0</v>
      </c>
      <c r="AH1118" s="52">
        <f t="shared" si="88"/>
        <v>74088169.320000008</v>
      </c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</row>
    <row r="1119" spans="1:44">
      <c r="A1119" s="6"/>
      <c r="B1119" s="6"/>
      <c r="C1119" s="6"/>
      <c r="D1119" s="6"/>
      <c r="E1119" s="6"/>
      <c r="F1119" s="6"/>
      <c r="G1119" s="11"/>
      <c r="H1119" s="6"/>
      <c r="I1119" s="6"/>
      <c r="J1119" s="6"/>
      <c r="K1119" s="7"/>
      <c r="L1119" s="21" t="s">
        <v>35</v>
      </c>
      <c r="M1119" s="22"/>
      <c r="N1119" s="22"/>
      <c r="O1119" s="22" t="s">
        <v>137</v>
      </c>
      <c r="P1119" s="23" t="s">
        <v>155</v>
      </c>
      <c r="Q1119" s="21" t="s">
        <v>100</v>
      </c>
      <c r="R1119" s="25">
        <v>1</v>
      </c>
      <c r="S1119" s="28"/>
      <c r="T1119" s="31">
        <v>42136</v>
      </c>
      <c r="U1119" s="33">
        <v>1045</v>
      </c>
      <c r="V1119" s="36">
        <f t="shared" si="85"/>
        <v>1045</v>
      </c>
      <c r="W1119" s="28"/>
      <c r="X1119" s="31"/>
      <c r="Y1119" s="33"/>
      <c r="Z1119" s="189"/>
      <c r="AA1119" s="190"/>
      <c r="AB1119" s="31">
        <v>42148</v>
      </c>
      <c r="AC1119" s="36">
        <v>1045</v>
      </c>
      <c r="AD1119" s="8"/>
      <c r="AE1119" s="6"/>
      <c r="AF1119" s="52">
        <f t="shared" si="86"/>
        <v>44032120</v>
      </c>
      <c r="AG1119" s="25">
        <f t="shared" si="87"/>
        <v>0</v>
      </c>
      <c r="AH1119" s="52">
        <f t="shared" si="88"/>
        <v>44044660</v>
      </c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</row>
    <row r="1120" spans="1:44">
      <c r="A1120" s="6"/>
      <c r="B1120" s="6"/>
      <c r="C1120" s="6"/>
      <c r="D1120" s="6"/>
      <c r="E1120" s="6"/>
      <c r="F1120" s="6"/>
      <c r="G1120" s="11"/>
      <c r="H1120" s="6"/>
      <c r="I1120" s="6"/>
      <c r="J1120" s="6"/>
      <c r="K1120" s="7"/>
      <c r="L1120" s="21" t="s">
        <v>35</v>
      </c>
      <c r="M1120" s="22"/>
      <c r="N1120" s="22"/>
      <c r="O1120" s="22" t="s">
        <v>143</v>
      </c>
      <c r="P1120" s="23" t="s">
        <v>160</v>
      </c>
      <c r="Q1120" s="21" t="s">
        <v>101</v>
      </c>
      <c r="R1120" s="25">
        <v>1</v>
      </c>
      <c r="S1120" s="28"/>
      <c r="T1120" s="31">
        <v>42301</v>
      </c>
      <c r="U1120" s="33">
        <v>4991.2</v>
      </c>
      <c r="V1120" s="36">
        <f t="shared" si="85"/>
        <v>4991.2</v>
      </c>
      <c r="W1120" s="28"/>
      <c r="X1120" s="31"/>
      <c r="Y1120" s="33"/>
      <c r="Z1120" s="189"/>
      <c r="AA1120" s="190"/>
      <c r="AB1120" s="31">
        <v>42311</v>
      </c>
      <c r="AC1120" s="36">
        <v>4991.2</v>
      </c>
      <c r="AD1120" s="8"/>
      <c r="AE1120" s="6"/>
      <c r="AF1120" s="52">
        <f t="shared" si="86"/>
        <v>211132751.19999999</v>
      </c>
      <c r="AG1120" s="25">
        <f t="shared" si="87"/>
        <v>0</v>
      </c>
      <c r="AH1120" s="52">
        <f t="shared" si="88"/>
        <v>211182663.19999999</v>
      </c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</row>
    <row r="1121" spans="1:44">
      <c r="A1121" s="6"/>
      <c r="B1121" s="6"/>
      <c r="C1121" s="6"/>
      <c r="D1121" s="6"/>
      <c r="E1121" s="6"/>
      <c r="F1121" s="6"/>
      <c r="G1121" s="11"/>
      <c r="H1121" s="6"/>
      <c r="I1121" s="6"/>
      <c r="J1121" s="6"/>
      <c r="K1121" s="7"/>
      <c r="L1121" s="21" t="s">
        <v>35</v>
      </c>
      <c r="M1121" s="22"/>
      <c r="N1121" s="22"/>
      <c r="O1121" s="22" t="s">
        <v>138</v>
      </c>
      <c r="P1121" s="23" t="s">
        <v>157</v>
      </c>
      <c r="Q1121" s="21" t="s">
        <v>59</v>
      </c>
      <c r="R1121" s="25">
        <v>1</v>
      </c>
      <c r="S1121" s="28"/>
      <c r="T1121" s="31">
        <v>42270</v>
      </c>
      <c r="U1121" s="33">
        <v>12885</v>
      </c>
      <c r="V1121" s="36">
        <f t="shared" si="85"/>
        <v>12885</v>
      </c>
      <c r="W1121" s="28"/>
      <c r="X1121" s="31"/>
      <c r="Y1121" s="33"/>
      <c r="Z1121" s="189"/>
      <c r="AA1121" s="190"/>
      <c r="AB1121" s="31"/>
      <c r="AC1121" s="36"/>
      <c r="AD1121" s="8"/>
      <c r="AE1121" s="6"/>
      <c r="AF1121" s="52">
        <f t="shared" si="86"/>
        <v>544648950</v>
      </c>
      <c r="AG1121" s="25">
        <f t="shared" si="87"/>
        <v>0</v>
      </c>
      <c r="AH1121" s="52">
        <f t="shared" si="88"/>
        <v>0</v>
      </c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</row>
    <row r="1122" spans="1:44">
      <c r="A1122" s="6"/>
      <c r="B1122" s="6"/>
      <c r="C1122" s="6"/>
      <c r="D1122" s="6"/>
      <c r="E1122" s="6"/>
      <c r="F1122" s="6"/>
      <c r="G1122" s="11"/>
      <c r="H1122" s="6"/>
      <c r="I1122" s="6"/>
      <c r="J1122" s="6"/>
      <c r="K1122" s="7"/>
      <c r="L1122" s="21" t="s">
        <v>35</v>
      </c>
      <c r="M1122" s="22"/>
      <c r="N1122" s="22"/>
      <c r="O1122" s="22" t="s">
        <v>138</v>
      </c>
      <c r="P1122" s="23" t="s">
        <v>157</v>
      </c>
      <c r="Q1122" s="21" t="s">
        <v>59</v>
      </c>
      <c r="R1122" s="25">
        <v>1</v>
      </c>
      <c r="S1122" s="28"/>
      <c r="T1122" s="31">
        <v>42269</v>
      </c>
      <c r="U1122" s="33">
        <v>12885</v>
      </c>
      <c r="V1122" s="36">
        <f t="shared" si="85"/>
        <v>12885</v>
      </c>
      <c r="W1122" s="28"/>
      <c r="X1122" s="31"/>
      <c r="Y1122" s="33"/>
      <c r="Z1122" s="189"/>
      <c r="AA1122" s="190"/>
      <c r="AB1122" s="31">
        <v>42299</v>
      </c>
      <c r="AC1122" s="36">
        <v>12885</v>
      </c>
      <c r="AD1122" s="8"/>
      <c r="AE1122" s="6"/>
      <c r="AF1122" s="52">
        <f t="shared" si="86"/>
        <v>544636065</v>
      </c>
      <c r="AG1122" s="25">
        <f t="shared" si="87"/>
        <v>0</v>
      </c>
      <c r="AH1122" s="52">
        <f t="shared" si="88"/>
        <v>545022615</v>
      </c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</row>
    <row r="1123" spans="1:44">
      <c r="A1123" s="6"/>
      <c r="B1123" s="6"/>
      <c r="C1123" s="6"/>
      <c r="D1123" s="6"/>
      <c r="E1123" s="6"/>
      <c r="F1123" s="6"/>
      <c r="G1123" s="11"/>
      <c r="H1123" s="6"/>
      <c r="I1123" s="6"/>
      <c r="J1123" s="6"/>
      <c r="K1123" s="7"/>
      <c r="L1123" s="21" t="s">
        <v>35</v>
      </c>
      <c r="M1123" s="22"/>
      <c r="N1123" s="22"/>
      <c r="O1123" s="22" t="s">
        <v>138</v>
      </c>
      <c r="P1123" s="23" t="s">
        <v>157</v>
      </c>
      <c r="Q1123" s="21" t="s">
        <v>60</v>
      </c>
      <c r="R1123" s="25">
        <v>1</v>
      </c>
      <c r="S1123" s="28"/>
      <c r="T1123" s="31">
        <v>42271</v>
      </c>
      <c r="U1123" s="33">
        <v>3172.82</v>
      </c>
      <c r="V1123" s="36">
        <f t="shared" si="85"/>
        <v>3172.82</v>
      </c>
      <c r="W1123" s="28"/>
      <c r="X1123" s="31"/>
      <c r="Y1123" s="33"/>
      <c r="Z1123" s="189"/>
      <c r="AA1123" s="190"/>
      <c r="AB1123" s="31">
        <v>42301</v>
      </c>
      <c r="AC1123" s="36">
        <v>3172.82</v>
      </c>
      <c r="AD1123" s="8"/>
      <c r="AE1123" s="6"/>
      <c r="AF1123" s="52">
        <f t="shared" si="86"/>
        <v>134118274.22000001</v>
      </c>
      <c r="AG1123" s="25">
        <f t="shared" si="87"/>
        <v>0</v>
      </c>
      <c r="AH1123" s="52">
        <f t="shared" si="88"/>
        <v>134213458.82000001</v>
      </c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</row>
    <row r="1124" spans="1:44">
      <c r="A1124" s="6"/>
      <c r="B1124" s="6"/>
      <c r="C1124" s="6"/>
      <c r="D1124" s="6"/>
      <c r="E1124" s="6"/>
      <c r="F1124" s="6"/>
      <c r="G1124" s="11"/>
      <c r="H1124" s="6"/>
      <c r="I1124" s="6"/>
      <c r="J1124" s="6"/>
      <c r="K1124" s="7"/>
      <c r="L1124" s="21" t="s">
        <v>35</v>
      </c>
      <c r="M1124" s="22"/>
      <c r="N1124" s="22"/>
      <c r="O1124" s="22" t="s">
        <v>138</v>
      </c>
      <c r="P1124" s="23" t="s">
        <v>157</v>
      </c>
      <c r="Q1124" s="21" t="s">
        <v>60</v>
      </c>
      <c r="R1124" s="25">
        <v>4</v>
      </c>
      <c r="S1124" s="28"/>
      <c r="T1124" s="31">
        <v>42290</v>
      </c>
      <c r="U1124" s="33">
        <v>3172.82</v>
      </c>
      <c r="V1124" s="36">
        <f t="shared" si="85"/>
        <v>12691.28</v>
      </c>
      <c r="W1124" s="28"/>
      <c r="X1124" s="31"/>
      <c r="Y1124" s="33"/>
      <c r="Z1124" s="189"/>
      <c r="AA1124" s="190"/>
      <c r="AB1124" s="31">
        <v>42335</v>
      </c>
      <c r="AC1124" s="36">
        <v>12691.28</v>
      </c>
      <c r="AD1124" s="8"/>
      <c r="AE1124" s="6"/>
      <c r="AF1124" s="52">
        <f t="shared" si="86"/>
        <v>536714231.20000005</v>
      </c>
      <c r="AG1124" s="25">
        <f t="shared" si="87"/>
        <v>0</v>
      </c>
      <c r="AH1124" s="52">
        <f t="shared" si="88"/>
        <v>537285338.80000007</v>
      </c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</row>
    <row r="1125" spans="1:44">
      <c r="A1125" s="6"/>
      <c r="B1125" s="6"/>
      <c r="C1125" s="6"/>
      <c r="D1125" s="6"/>
      <c r="E1125" s="6"/>
      <c r="F1125" s="6"/>
      <c r="G1125" s="11"/>
      <c r="H1125" s="6"/>
      <c r="I1125" s="6"/>
      <c r="J1125" s="6"/>
      <c r="K1125" s="7"/>
      <c r="L1125" s="21" t="s">
        <v>35</v>
      </c>
      <c r="M1125" s="22"/>
      <c r="N1125" s="22"/>
      <c r="O1125" s="22" t="s">
        <v>140</v>
      </c>
      <c r="P1125" s="23" t="s">
        <v>157</v>
      </c>
      <c r="Q1125" s="21" t="s">
        <v>133</v>
      </c>
      <c r="R1125" s="25">
        <v>1</v>
      </c>
      <c r="S1125" s="28"/>
      <c r="T1125" s="31">
        <v>42263</v>
      </c>
      <c r="U1125" s="33">
        <v>356.42</v>
      </c>
      <c r="V1125" s="36">
        <f t="shared" si="85"/>
        <v>356.42</v>
      </c>
      <c r="W1125" s="28"/>
      <c r="X1125" s="31"/>
      <c r="Y1125" s="33"/>
      <c r="Z1125" s="189"/>
      <c r="AA1125" s="190"/>
      <c r="AB1125" s="31">
        <v>42323</v>
      </c>
      <c r="AC1125" s="36">
        <v>356.42</v>
      </c>
      <c r="AD1125" s="8"/>
      <c r="AE1125" s="6"/>
      <c r="AF1125" s="52">
        <f t="shared" si="86"/>
        <v>15063378.460000001</v>
      </c>
      <c r="AG1125" s="25">
        <f t="shared" si="87"/>
        <v>0</v>
      </c>
      <c r="AH1125" s="52">
        <f t="shared" si="88"/>
        <v>15084763.66</v>
      </c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</row>
    <row r="1126" spans="1:44">
      <c r="A1126" s="6"/>
      <c r="B1126" s="6"/>
      <c r="C1126" s="6"/>
      <c r="D1126" s="6"/>
      <c r="E1126" s="6"/>
      <c r="F1126" s="6"/>
      <c r="G1126" s="11"/>
      <c r="H1126" s="6"/>
      <c r="I1126" s="6"/>
      <c r="J1126" s="6"/>
      <c r="K1126" s="7"/>
      <c r="L1126" s="21" t="s">
        <v>35</v>
      </c>
      <c r="M1126" s="22"/>
      <c r="N1126" s="22"/>
      <c r="O1126" s="22" t="s">
        <v>146</v>
      </c>
      <c r="P1126" s="23" t="s">
        <v>157</v>
      </c>
      <c r="Q1126" s="21" t="s">
        <v>103</v>
      </c>
      <c r="R1126" s="25">
        <v>1</v>
      </c>
      <c r="S1126" s="28"/>
      <c r="T1126" s="31">
        <v>42267</v>
      </c>
      <c r="U1126" s="33">
        <v>705.85</v>
      </c>
      <c r="V1126" s="36">
        <f t="shared" si="85"/>
        <v>705.85</v>
      </c>
      <c r="W1126" s="28"/>
      <c r="X1126" s="31"/>
      <c r="Y1126" s="33"/>
      <c r="Z1126" s="189"/>
      <c r="AA1126" s="190"/>
      <c r="AB1126" s="31">
        <v>42317</v>
      </c>
      <c r="AC1126" s="36">
        <v>705.85</v>
      </c>
      <c r="AD1126" s="8"/>
      <c r="AE1126" s="6"/>
      <c r="AF1126" s="52">
        <f t="shared" si="86"/>
        <v>29834161.949999999</v>
      </c>
      <c r="AG1126" s="25">
        <f t="shared" si="87"/>
        <v>0</v>
      </c>
      <c r="AH1126" s="52">
        <f t="shared" si="88"/>
        <v>29869454.449999999</v>
      </c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</row>
    <row r="1127" spans="1:44">
      <c r="A1127" s="6"/>
      <c r="B1127" s="6"/>
      <c r="C1127" s="6"/>
      <c r="D1127" s="6"/>
      <c r="E1127" s="6"/>
      <c r="F1127" s="6"/>
      <c r="G1127" s="11"/>
      <c r="H1127" s="6"/>
      <c r="I1127" s="6"/>
      <c r="J1127" s="6"/>
      <c r="K1127" s="7"/>
      <c r="L1127" s="21" t="s">
        <v>35</v>
      </c>
      <c r="M1127" s="22"/>
      <c r="N1127" s="22"/>
      <c r="O1127" s="22" t="s">
        <v>136</v>
      </c>
      <c r="P1127" s="23" t="s">
        <v>156</v>
      </c>
      <c r="Q1127" s="21" t="s">
        <v>78</v>
      </c>
      <c r="R1127" s="25">
        <v>1</v>
      </c>
      <c r="S1127" s="28"/>
      <c r="T1127" s="31">
        <v>42272</v>
      </c>
      <c r="U1127" s="33">
        <v>1156.32</v>
      </c>
      <c r="V1127" s="36">
        <f t="shared" si="85"/>
        <v>1156.32</v>
      </c>
      <c r="W1127" s="28"/>
      <c r="X1127" s="31"/>
      <c r="Y1127" s="33"/>
      <c r="Z1127" s="189"/>
      <c r="AA1127" s="190"/>
      <c r="AB1127" s="31">
        <v>42332</v>
      </c>
      <c r="AC1127" s="36">
        <v>1156.32</v>
      </c>
      <c r="AD1127" s="8"/>
      <c r="AE1127" s="6"/>
      <c r="AF1127" s="52">
        <f t="shared" si="86"/>
        <v>48879959.039999999</v>
      </c>
      <c r="AG1127" s="25">
        <f t="shared" si="87"/>
        <v>0</v>
      </c>
      <c r="AH1127" s="52">
        <f t="shared" si="88"/>
        <v>48949338.239999995</v>
      </c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</row>
    <row r="1128" spans="1:44">
      <c r="A1128" s="6"/>
      <c r="B1128" s="6"/>
      <c r="C1128" s="6"/>
      <c r="D1128" s="6"/>
      <c r="E1128" s="6"/>
      <c r="F1128" s="6"/>
      <c r="G1128" s="11"/>
      <c r="H1128" s="6"/>
      <c r="I1128" s="6"/>
      <c r="J1128" s="6"/>
      <c r="K1128" s="7"/>
      <c r="L1128" s="21" t="s">
        <v>35</v>
      </c>
      <c r="M1128" s="22"/>
      <c r="N1128" s="22"/>
      <c r="O1128" s="22" t="s">
        <v>138</v>
      </c>
      <c r="P1128" s="23" t="s">
        <v>157</v>
      </c>
      <c r="Q1128" s="21" t="s">
        <v>106</v>
      </c>
      <c r="R1128" s="25">
        <v>1</v>
      </c>
      <c r="S1128" s="28"/>
      <c r="T1128" s="31">
        <v>42260</v>
      </c>
      <c r="U1128" s="33">
        <v>1570</v>
      </c>
      <c r="V1128" s="36">
        <f t="shared" si="85"/>
        <v>1570</v>
      </c>
      <c r="W1128" s="28"/>
      <c r="X1128" s="31"/>
      <c r="Y1128" s="33"/>
      <c r="Z1128" s="189"/>
      <c r="AA1128" s="190"/>
      <c r="AB1128" s="31">
        <v>42290</v>
      </c>
      <c r="AC1128" s="36">
        <v>1570</v>
      </c>
      <c r="AD1128" s="8"/>
      <c r="AE1128" s="6"/>
      <c r="AF1128" s="52">
        <f t="shared" si="86"/>
        <v>66348200</v>
      </c>
      <c r="AG1128" s="25">
        <f t="shared" si="87"/>
        <v>0</v>
      </c>
      <c r="AH1128" s="52">
        <f t="shared" si="88"/>
        <v>66395300</v>
      </c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</row>
    <row r="1129" spans="1:44">
      <c r="A1129" s="6"/>
      <c r="B1129" s="6"/>
      <c r="C1129" s="6"/>
      <c r="D1129" s="6"/>
      <c r="E1129" s="6"/>
      <c r="F1129" s="6"/>
      <c r="G1129" s="11"/>
      <c r="H1129" s="6"/>
      <c r="I1129" s="6"/>
      <c r="J1129" s="6"/>
      <c r="K1129" s="7"/>
      <c r="L1129" s="21" t="s">
        <v>35</v>
      </c>
      <c r="M1129" s="22"/>
      <c r="N1129" s="22"/>
      <c r="O1129" s="22" t="s">
        <v>138</v>
      </c>
      <c r="P1129" s="23" t="s">
        <v>157</v>
      </c>
      <c r="Q1129" s="21" t="s">
        <v>106</v>
      </c>
      <c r="R1129" s="25">
        <v>1</v>
      </c>
      <c r="S1129" s="28"/>
      <c r="T1129" s="31">
        <v>42256</v>
      </c>
      <c r="U1129" s="33">
        <v>1570</v>
      </c>
      <c r="V1129" s="36">
        <f t="shared" si="85"/>
        <v>1570</v>
      </c>
      <c r="W1129" s="28"/>
      <c r="X1129" s="31"/>
      <c r="Y1129" s="33"/>
      <c r="Z1129" s="189"/>
      <c r="AA1129" s="190"/>
      <c r="AB1129" s="31">
        <v>42276</v>
      </c>
      <c r="AC1129" s="36">
        <v>1570</v>
      </c>
      <c r="AD1129" s="8"/>
      <c r="AE1129" s="6"/>
      <c r="AF1129" s="52">
        <f t="shared" si="86"/>
        <v>66341920</v>
      </c>
      <c r="AG1129" s="25">
        <f t="shared" si="87"/>
        <v>0</v>
      </c>
      <c r="AH1129" s="52">
        <f t="shared" si="88"/>
        <v>66373320</v>
      </c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</row>
    <row r="1130" spans="1:44">
      <c r="A1130" s="6"/>
      <c r="B1130" s="6"/>
      <c r="C1130" s="6"/>
      <c r="D1130" s="6"/>
      <c r="E1130" s="6"/>
      <c r="F1130" s="6"/>
      <c r="G1130" s="11"/>
      <c r="H1130" s="6"/>
      <c r="I1130" s="6"/>
      <c r="J1130" s="6"/>
      <c r="K1130" s="7"/>
      <c r="L1130" s="21" t="s">
        <v>35</v>
      </c>
      <c r="M1130" s="22"/>
      <c r="N1130" s="22"/>
      <c r="O1130" s="22" t="s">
        <v>138</v>
      </c>
      <c r="P1130" s="23" t="s">
        <v>157</v>
      </c>
      <c r="Q1130" s="21" t="s">
        <v>59</v>
      </c>
      <c r="R1130" s="25">
        <v>1</v>
      </c>
      <c r="S1130" s="28"/>
      <c r="T1130" s="31">
        <v>42260</v>
      </c>
      <c r="U1130" s="33">
        <v>1162</v>
      </c>
      <c r="V1130" s="36">
        <f t="shared" ref="V1130:V1170" si="89">$R1130*U1130</f>
        <v>1162</v>
      </c>
      <c r="W1130" s="28"/>
      <c r="X1130" s="31"/>
      <c r="Y1130" s="33"/>
      <c r="Z1130" s="189"/>
      <c r="AA1130" s="190"/>
      <c r="AB1130" s="31"/>
      <c r="AC1130" s="36"/>
      <c r="AD1130" s="8"/>
      <c r="AE1130" s="6"/>
      <c r="AF1130" s="52">
        <f t="shared" si="86"/>
        <v>49106120</v>
      </c>
      <c r="AG1130" s="25">
        <f t="shared" si="87"/>
        <v>0</v>
      </c>
      <c r="AH1130" s="52">
        <f t="shared" si="88"/>
        <v>0</v>
      </c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</row>
    <row r="1131" spans="1:44">
      <c r="A1131" s="6"/>
      <c r="B1131" s="6"/>
      <c r="C1131" s="6"/>
      <c r="D1131" s="6"/>
      <c r="E1131" s="6"/>
      <c r="F1131" s="6"/>
      <c r="G1131" s="11"/>
      <c r="H1131" s="6"/>
      <c r="I1131" s="6"/>
      <c r="J1131" s="6"/>
      <c r="K1131" s="7"/>
      <c r="L1131" s="21" t="s">
        <v>35</v>
      </c>
      <c r="M1131" s="22"/>
      <c r="N1131" s="22"/>
      <c r="O1131" s="22" t="s">
        <v>148</v>
      </c>
      <c r="P1131" s="23" t="s">
        <v>157</v>
      </c>
      <c r="Q1131" s="21" t="s">
        <v>59</v>
      </c>
      <c r="R1131" s="25">
        <v>1</v>
      </c>
      <c r="S1131" s="28"/>
      <c r="T1131" s="31">
        <v>42284</v>
      </c>
      <c r="U1131" s="33">
        <v>1282.48</v>
      </c>
      <c r="V1131" s="36">
        <f t="shared" si="89"/>
        <v>1282.48</v>
      </c>
      <c r="W1131" s="28"/>
      <c r="X1131" s="31"/>
      <c r="Y1131" s="33"/>
      <c r="Z1131" s="189"/>
      <c r="AA1131" s="190"/>
      <c r="AB1131" s="31">
        <v>42294</v>
      </c>
      <c r="AC1131" s="36">
        <v>1282.48</v>
      </c>
      <c r="AD1131" s="8"/>
      <c r="AE1131" s="6"/>
      <c r="AF1131" s="52">
        <f t="shared" si="86"/>
        <v>54228384.32</v>
      </c>
      <c r="AG1131" s="25">
        <f t="shared" si="87"/>
        <v>0</v>
      </c>
      <c r="AH1131" s="52">
        <f t="shared" si="88"/>
        <v>54241209.119999997</v>
      </c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</row>
    <row r="1132" spans="1:44">
      <c r="A1132" s="6"/>
      <c r="B1132" s="6"/>
      <c r="C1132" s="6"/>
      <c r="D1132" s="6"/>
      <c r="E1132" s="6"/>
      <c r="F1132" s="6"/>
      <c r="G1132" s="11"/>
      <c r="H1132" s="6"/>
      <c r="I1132" s="6"/>
      <c r="J1132" s="6"/>
      <c r="K1132" s="7"/>
      <c r="L1132" s="21" t="s">
        <v>35</v>
      </c>
      <c r="M1132" s="22"/>
      <c r="N1132" s="22"/>
      <c r="O1132" s="22" t="s">
        <v>148</v>
      </c>
      <c r="P1132" s="23" t="s">
        <v>157</v>
      </c>
      <c r="Q1132" s="21" t="s">
        <v>59</v>
      </c>
      <c r="R1132" s="25">
        <v>1</v>
      </c>
      <c r="S1132" s="28"/>
      <c r="T1132" s="31">
        <v>42285</v>
      </c>
      <c r="U1132" s="33">
        <v>1282.47</v>
      </c>
      <c r="V1132" s="36">
        <f t="shared" si="89"/>
        <v>1282.47</v>
      </c>
      <c r="W1132" s="28"/>
      <c r="X1132" s="31"/>
      <c r="Y1132" s="33"/>
      <c r="Z1132" s="189"/>
      <c r="AA1132" s="190"/>
      <c r="AB1132" s="31">
        <v>42315</v>
      </c>
      <c r="AC1132" s="36">
        <v>1282.47</v>
      </c>
      <c r="AD1132" s="8"/>
      <c r="AE1132" s="6"/>
      <c r="AF1132" s="52">
        <f t="shared" si="86"/>
        <v>54229243.950000003</v>
      </c>
      <c r="AG1132" s="25">
        <f t="shared" si="87"/>
        <v>0</v>
      </c>
      <c r="AH1132" s="52">
        <f t="shared" si="88"/>
        <v>54267718.050000004</v>
      </c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</row>
    <row r="1133" spans="1:44">
      <c r="A1133" s="6"/>
      <c r="B1133" s="6"/>
      <c r="C1133" s="6"/>
      <c r="D1133" s="6"/>
      <c r="E1133" s="6"/>
      <c r="F1133" s="6"/>
      <c r="G1133" s="11"/>
      <c r="H1133" s="6"/>
      <c r="I1133" s="6"/>
      <c r="J1133" s="6"/>
      <c r="K1133" s="7"/>
      <c r="L1133" s="21" t="s">
        <v>35</v>
      </c>
      <c r="M1133" s="22"/>
      <c r="N1133" s="22"/>
      <c r="O1133" s="22" t="s">
        <v>143</v>
      </c>
      <c r="P1133" s="23" t="s">
        <v>160</v>
      </c>
      <c r="Q1133" s="21" t="s">
        <v>132</v>
      </c>
      <c r="R1133" s="25">
        <v>1</v>
      </c>
      <c r="S1133" s="28"/>
      <c r="T1133" s="31">
        <v>42270</v>
      </c>
      <c r="U1133" s="33">
        <v>473.88</v>
      </c>
      <c r="V1133" s="36">
        <f t="shared" si="89"/>
        <v>473.88</v>
      </c>
      <c r="W1133" s="28"/>
      <c r="X1133" s="31"/>
      <c r="Y1133" s="33"/>
      <c r="Z1133" s="189"/>
      <c r="AA1133" s="190"/>
      <c r="AB1133" s="31"/>
      <c r="AC1133" s="36"/>
      <c r="AD1133" s="8"/>
      <c r="AE1133" s="6"/>
      <c r="AF1133" s="52">
        <f t="shared" si="86"/>
        <v>20030907.600000001</v>
      </c>
      <c r="AG1133" s="25">
        <f t="shared" si="87"/>
        <v>0</v>
      </c>
      <c r="AH1133" s="52">
        <f t="shared" si="88"/>
        <v>0</v>
      </c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</row>
    <row r="1134" spans="1:44">
      <c r="A1134" s="6"/>
      <c r="B1134" s="6"/>
      <c r="C1134" s="6"/>
      <c r="D1134" s="6"/>
      <c r="E1134" s="6"/>
      <c r="F1134" s="6"/>
      <c r="G1134" s="11"/>
      <c r="H1134" s="6"/>
      <c r="I1134" s="6"/>
      <c r="J1134" s="6"/>
      <c r="K1134" s="7"/>
      <c r="L1134" s="21" t="s">
        <v>35</v>
      </c>
      <c r="M1134" s="22"/>
      <c r="N1134" s="22"/>
      <c r="O1134" s="22" t="s">
        <v>143</v>
      </c>
      <c r="P1134" s="23" t="s">
        <v>160</v>
      </c>
      <c r="Q1134" s="21" t="s">
        <v>132</v>
      </c>
      <c r="R1134" s="25">
        <v>1</v>
      </c>
      <c r="S1134" s="28"/>
      <c r="T1134" s="31">
        <v>42292</v>
      </c>
      <c r="U1134" s="33">
        <v>473.88</v>
      </c>
      <c r="V1134" s="36">
        <f t="shared" si="89"/>
        <v>473.88</v>
      </c>
      <c r="W1134" s="28"/>
      <c r="X1134" s="31"/>
      <c r="Y1134" s="33"/>
      <c r="Z1134" s="189"/>
      <c r="AA1134" s="190"/>
      <c r="AB1134" s="31">
        <v>42337</v>
      </c>
      <c r="AC1134" s="36">
        <v>473.88</v>
      </c>
      <c r="AD1134" s="8"/>
      <c r="AE1134" s="6"/>
      <c r="AF1134" s="52">
        <f t="shared" si="86"/>
        <v>20041332.960000001</v>
      </c>
      <c r="AG1134" s="25">
        <f t="shared" si="87"/>
        <v>0</v>
      </c>
      <c r="AH1134" s="52">
        <f t="shared" si="88"/>
        <v>20062657.559999999</v>
      </c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</row>
    <row r="1135" spans="1:44">
      <c r="A1135" s="6"/>
      <c r="B1135" s="6"/>
      <c r="C1135" s="6"/>
      <c r="D1135" s="6"/>
      <c r="E1135" s="6"/>
      <c r="F1135" s="6"/>
      <c r="G1135" s="11"/>
      <c r="H1135" s="6"/>
      <c r="I1135" s="6"/>
      <c r="J1135" s="6"/>
      <c r="K1135" s="7"/>
      <c r="L1135" s="21" t="s">
        <v>35</v>
      </c>
      <c r="M1135" s="22"/>
      <c r="N1135" s="22"/>
      <c r="O1135" s="22" t="s">
        <v>143</v>
      </c>
      <c r="P1135" s="23" t="s">
        <v>160</v>
      </c>
      <c r="Q1135" s="21" t="s">
        <v>107</v>
      </c>
      <c r="R1135" s="25">
        <v>1</v>
      </c>
      <c r="S1135" s="28"/>
      <c r="T1135" s="31">
        <v>42286</v>
      </c>
      <c r="U1135" s="33">
        <v>2355.33</v>
      </c>
      <c r="V1135" s="36">
        <f t="shared" si="89"/>
        <v>2355.33</v>
      </c>
      <c r="W1135" s="28"/>
      <c r="X1135" s="31"/>
      <c r="Y1135" s="33"/>
      <c r="Z1135" s="189"/>
      <c r="AA1135" s="190"/>
      <c r="AB1135" s="31">
        <v>42316</v>
      </c>
      <c r="AC1135" s="36">
        <v>2355.33</v>
      </c>
      <c r="AD1135" s="8"/>
      <c r="AE1135" s="6"/>
      <c r="AF1135" s="52">
        <f t="shared" si="86"/>
        <v>99597484.379999995</v>
      </c>
      <c r="AG1135" s="25">
        <f t="shared" si="87"/>
        <v>0</v>
      </c>
      <c r="AH1135" s="52">
        <f t="shared" si="88"/>
        <v>99668144.280000001</v>
      </c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</row>
    <row r="1136" spans="1:44">
      <c r="A1136" s="6"/>
      <c r="B1136" s="6"/>
      <c r="C1136" s="6"/>
      <c r="D1136" s="6"/>
      <c r="E1136" s="6"/>
      <c r="F1136" s="6"/>
      <c r="G1136" s="11"/>
      <c r="H1136" s="6"/>
      <c r="I1136" s="6"/>
      <c r="J1136" s="6"/>
      <c r="K1136" s="7"/>
      <c r="L1136" s="21" t="s">
        <v>35</v>
      </c>
      <c r="M1136" s="22"/>
      <c r="N1136" s="22"/>
      <c r="O1136" s="22" t="s">
        <v>148</v>
      </c>
      <c r="P1136" s="23" t="s">
        <v>157</v>
      </c>
      <c r="Q1136" s="21" t="s">
        <v>59</v>
      </c>
      <c r="R1136" s="25">
        <v>1</v>
      </c>
      <c r="S1136" s="28"/>
      <c r="T1136" s="31">
        <v>42253</v>
      </c>
      <c r="U1136" s="33">
        <v>7999</v>
      </c>
      <c r="V1136" s="36">
        <f t="shared" si="89"/>
        <v>7999</v>
      </c>
      <c r="W1136" s="28"/>
      <c r="X1136" s="31"/>
      <c r="Y1136" s="33"/>
      <c r="Z1136" s="189"/>
      <c r="AA1136" s="190"/>
      <c r="AB1136" s="31">
        <v>42268</v>
      </c>
      <c r="AC1136" s="36">
        <v>7999</v>
      </c>
      <c r="AD1136" s="8"/>
      <c r="AE1136" s="6"/>
      <c r="AF1136" s="52">
        <f t="shared" si="86"/>
        <v>337981747</v>
      </c>
      <c r="AG1136" s="25">
        <f t="shared" si="87"/>
        <v>0</v>
      </c>
      <c r="AH1136" s="52">
        <f t="shared" si="88"/>
        <v>338101732</v>
      </c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</row>
    <row r="1137" spans="1:44">
      <c r="A1137" s="6"/>
      <c r="B1137" s="6"/>
      <c r="C1137" s="6"/>
      <c r="D1137" s="6"/>
      <c r="E1137" s="6"/>
      <c r="F1137" s="6"/>
      <c r="G1137" s="11"/>
      <c r="H1137" s="6"/>
      <c r="I1137" s="6"/>
      <c r="J1137" s="6"/>
      <c r="K1137" s="7"/>
      <c r="L1137" s="21" t="s">
        <v>35</v>
      </c>
      <c r="M1137" s="22"/>
      <c r="N1137" s="22"/>
      <c r="O1137" s="22" t="s">
        <v>143</v>
      </c>
      <c r="P1137" s="23" t="s">
        <v>160</v>
      </c>
      <c r="Q1137" s="21" t="s">
        <v>101</v>
      </c>
      <c r="R1137" s="25">
        <v>1</v>
      </c>
      <c r="S1137" s="28"/>
      <c r="T1137" s="31">
        <v>42256</v>
      </c>
      <c r="U1137" s="33">
        <v>5656</v>
      </c>
      <c r="V1137" s="36">
        <f t="shared" si="89"/>
        <v>5656</v>
      </c>
      <c r="W1137" s="28"/>
      <c r="X1137" s="31"/>
      <c r="Y1137" s="33"/>
      <c r="Z1137" s="189"/>
      <c r="AA1137" s="190"/>
      <c r="AB1137" s="31">
        <v>42278</v>
      </c>
      <c r="AC1137" s="36">
        <v>5656</v>
      </c>
      <c r="AD1137" s="8"/>
      <c r="AE1137" s="6"/>
      <c r="AF1137" s="52">
        <f t="shared" si="86"/>
        <v>238999936</v>
      </c>
      <c r="AG1137" s="25">
        <f t="shared" si="87"/>
        <v>0</v>
      </c>
      <c r="AH1137" s="52">
        <f t="shared" si="88"/>
        <v>239124368</v>
      </c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</row>
    <row r="1138" spans="1:44">
      <c r="A1138" s="6"/>
      <c r="B1138" s="6"/>
      <c r="C1138" s="6"/>
      <c r="D1138" s="6"/>
      <c r="E1138" s="6"/>
      <c r="F1138" s="6"/>
      <c r="G1138" s="11"/>
      <c r="H1138" s="6"/>
      <c r="I1138" s="6"/>
      <c r="J1138" s="6"/>
      <c r="K1138" s="7"/>
      <c r="L1138" s="21" t="s">
        <v>35</v>
      </c>
      <c r="M1138" s="22"/>
      <c r="N1138" s="22"/>
      <c r="O1138" s="22" t="s">
        <v>143</v>
      </c>
      <c r="P1138" s="23" t="s">
        <v>160</v>
      </c>
      <c r="Q1138" s="21" t="s">
        <v>101</v>
      </c>
      <c r="R1138" s="25">
        <v>1</v>
      </c>
      <c r="S1138" s="28"/>
      <c r="T1138" s="31">
        <v>42268</v>
      </c>
      <c r="U1138" s="33">
        <v>5656</v>
      </c>
      <c r="V1138" s="36">
        <f t="shared" si="89"/>
        <v>5656</v>
      </c>
      <c r="W1138" s="28"/>
      <c r="X1138" s="31"/>
      <c r="Y1138" s="33"/>
      <c r="Z1138" s="189"/>
      <c r="AA1138" s="190"/>
      <c r="AB1138" s="31">
        <v>42328</v>
      </c>
      <c r="AC1138" s="36">
        <v>5656</v>
      </c>
      <c r="AD1138" s="8"/>
      <c r="AE1138" s="6"/>
      <c r="AF1138" s="52">
        <f t="shared" si="86"/>
        <v>239067808</v>
      </c>
      <c r="AG1138" s="25">
        <f t="shared" si="87"/>
        <v>0</v>
      </c>
      <c r="AH1138" s="52">
        <f t="shared" si="88"/>
        <v>239407168</v>
      </c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</row>
    <row r="1139" spans="1:44">
      <c r="A1139" s="6"/>
      <c r="B1139" s="6"/>
      <c r="C1139" s="6"/>
      <c r="D1139" s="6"/>
      <c r="E1139" s="6"/>
      <c r="F1139" s="6"/>
      <c r="G1139" s="11"/>
      <c r="H1139" s="6"/>
      <c r="I1139" s="6"/>
      <c r="J1139" s="6"/>
      <c r="K1139" s="7"/>
      <c r="L1139" s="21" t="s">
        <v>35</v>
      </c>
      <c r="M1139" s="22"/>
      <c r="N1139" s="22"/>
      <c r="O1139" s="22" t="s">
        <v>140</v>
      </c>
      <c r="P1139" s="23" t="s">
        <v>157</v>
      </c>
      <c r="Q1139" s="21" t="s">
        <v>102</v>
      </c>
      <c r="R1139" s="25">
        <v>1</v>
      </c>
      <c r="S1139" s="28"/>
      <c r="T1139" s="31">
        <v>42254</v>
      </c>
      <c r="U1139" s="33">
        <v>15198</v>
      </c>
      <c r="V1139" s="36">
        <f t="shared" si="89"/>
        <v>15198</v>
      </c>
      <c r="W1139" s="28"/>
      <c r="X1139" s="31"/>
      <c r="Y1139" s="33"/>
      <c r="Z1139" s="189"/>
      <c r="AA1139" s="190"/>
      <c r="AB1139" s="31">
        <v>42259</v>
      </c>
      <c r="AC1139" s="36">
        <v>15198</v>
      </c>
      <c r="AD1139" s="8"/>
      <c r="AE1139" s="6"/>
      <c r="AF1139" s="52">
        <f t="shared" si="86"/>
        <v>642176292</v>
      </c>
      <c r="AG1139" s="25">
        <f t="shared" si="87"/>
        <v>0</v>
      </c>
      <c r="AH1139" s="52">
        <f t="shared" si="88"/>
        <v>642252282</v>
      </c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</row>
    <row r="1140" spans="1:44">
      <c r="A1140" s="6"/>
      <c r="B1140" s="6"/>
      <c r="C1140" s="6"/>
      <c r="D1140" s="6"/>
      <c r="E1140" s="6"/>
      <c r="F1140" s="6"/>
      <c r="G1140" s="11"/>
      <c r="H1140" s="6"/>
      <c r="I1140" s="6"/>
      <c r="J1140" s="6"/>
      <c r="K1140" s="7"/>
      <c r="L1140" s="21" t="s">
        <v>35</v>
      </c>
      <c r="M1140" s="22"/>
      <c r="N1140" s="22"/>
      <c r="O1140" s="22" t="s">
        <v>138</v>
      </c>
      <c r="P1140" s="23" t="s">
        <v>157</v>
      </c>
      <c r="Q1140" s="21" t="s">
        <v>59</v>
      </c>
      <c r="R1140" s="25">
        <v>1</v>
      </c>
      <c r="S1140" s="28"/>
      <c r="T1140" s="31">
        <v>42290</v>
      </c>
      <c r="U1140" s="33">
        <v>3450</v>
      </c>
      <c r="V1140" s="36">
        <f t="shared" si="89"/>
        <v>3450</v>
      </c>
      <c r="W1140" s="28"/>
      <c r="X1140" s="31"/>
      <c r="Y1140" s="33"/>
      <c r="Z1140" s="189"/>
      <c r="AA1140" s="190"/>
      <c r="AB1140" s="31">
        <v>42330</v>
      </c>
      <c r="AC1140" s="36">
        <v>3450</v>
      </c>
      <c r="AD1140" s="8"/>
      <c r="AE1140" s="6"/>
      <c r="AF1140" s="52">
        <f t="shared" si="86"/>
        <v>145900500</v>
      </c>
      <c r="AG1140" s="25">
        <f t="shared" si="87"/>
        <v>0</v>
      </c>
      <c r="AH1140" s="52">
        <f t="shared" si="88"/>
        <v>146038500</v>
      </c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</row>
    <row r="1141" spans="1:44">
      <c r="A1141" s="6"/>
      <c r="B1141" s="6"/>
      <c r="C1141" s="6"/>
      <c r="D1141" s="6"/>
      <c r="E1141" s="6"/>
      <c r="F1141" s="6"/>
      <c r="G1141" s="11"/>
      <c r="H1141" s="6"/>
      <c r="I1141" s="6"/>
      <c r="J1141" s="6"/>
      <c r="K1141" s="7"/>
      <c r="L1141" s="21" t="s">
        <v>35</v>
      </c>
      <c r="M1141" s="22"/>
      <c r="N1141" s="22"/>
      <c r="O1141" s="22" t="s">
        <v>138</v>
      </c>
      <c r="P1141" s="23" t="s">
        <v>157</v>
      </c>
      <c r="Q1141" s="21" t="s">
        <v>108</v>
      </c>
      <c r="R1141" s="25">
        <v>1</v>
      </c>
      <c r="S1141" s="28"/>
      <c r="T1141" s="31">
        <v>42250</v>
      </c>
      <c r="U1141" s="33">
        <v>3546.06</v>
      </c>
      <c r="V1141" s="36">
        <f t="shared" si="89"/>
        <v>3546.06</v>
      </c>
      <c r="W1141" s="28"/>
      <c r="X1141" s="31"/>
      <c r="Y1141" s="33"/>
      <c r="Z1141" s="189"/>
      <c r="AA1141" s="190"/>
      <c r="AB1141" s="31">
        <v>42285</v>
      </c>
      <c r="AC1141" s="36">
        <v>3546.06</v>
      </c>
      <c r="AD1141" s="8"/>
      <c r="AE1141" s="6"/>
      <c r="AF1141" s="52">
        <f t="shared" si="86"/>
        <v>149821035</v>
      </c>
      <c r="AG1141" s="25">
        <f t="shared" si="87"/>
        <v>0</v>
      </c>
      <c r="AH1141" s="52">
        <f t="shared" si="88"/>
        <v>149945147.09999999</v>
      </c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</row>
    <row r="1142" spans="1:44">
      <c r="A1142" s="6"/>
      <c r="B1142" s="6"/>
      <c r="C1142" s="6"/>
      <c r="D1142" s="6"/>
      <c r="E1142" s="6"/>
      <c r="F1142" s="6"/>
      <c r="G1142" s="11"/>
      <c r="H1142" s="6"/>
      <c r="I1142" s="6"/>
      <c r="J1142" s="6"/>
      <c r="K1142" s="7"/>
      <c r="L1142" s="21" t="s">
        <v>35</v>
      </c>
      <c r="M1142" s="22"/>
      <c r="N1142" s="22"/>
      <c r="O1142" s="22" t="s">
        <v>138</v>
      </c>
      <c r="P1142" s="23" t="s">
        <v>157</v>
      </c>
      <c r="Q1142" s="21" t="s">
        <v>108</v>
      </c>
      <c r="R1142" s="25">
        <v>1</v>
      </c>
      <c r="S1142" s="28"/>
      <c r="T1142" s="31">
        <v>42283</v>
      </c>
      <c r="U1142" s="33">
        <v>3546.07</v>
      </c>
      <c r="V1142" s="36">
        <f t="shared" si="89"/>
        <v>3546.07</v>
      </c>
      <c r="W1142" s="28"/>
      <c r="X1142" s="31"/>
      <c r="Y1142" s="33"/>
      <c r="Z1142" s="189"/>
      <c r="AA1142" s="190"/>
      <c r="AB1142" s="31">
        <v>42298</v>
      </c>
      <c r="AC1142" s="36">
        <v>3546.07</v>
      </c>
      <c r="AD1142" s="8"/>
      <c r="AE1142" s="6"/>
      <c r="AF1142" s="52">
        <f t="shared" si="86"/>
        <v>149938477.81</v>
      </c>
      <c r="AG1142" s="25">
        <f t="shared" si="87"/>
        <v>0</v>
      </c>
      <c r="AH1142" s="52">
        <f t="shared" si="88"/>
        <v>149991668.86000001</v>
      </c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</row>
    <row r="1143" spans="1:44">
      <c r="A1143" s="6"/>
      <c r="B1143" s="6"/>
      <c r="C1143" s="6"/>
      <c r="D1143" s="6"/>
      <c r="E1143" s="6"/>
      <c r="F1143" s="6"/>
      <c r="G1143" s="11"/>
      <c r="H1143" s="6"/>
      <c r="I1143" s="6"/>
      <c r="J1143" s="6"/>
      <c r="K1143" s="7"/>
      <c r="L1143" s="21" t="s">
        <v>35</v>
      </c>
      <c r="M1143" s="22"/>
      <c r="N1143" s="22"/>
      <c r="O1143" s="22" t="s">
        <v>148</v>
      </c>
      <c r="P1143" s="23" t="s">
        <v>157</v>
      </c>
      <c r="Q1143" s="21" t="s">
        <v>92</v>
      </c>
      <c r="R1143" s="25">
        <v>1</v>
      </c>
      <c r="S1143" s="28"/>
      <c r="T1143" s="31">
        <v>42273</v>
      </c>
      <c r="U1143" s="33">
        <v>533.24</v>
      </c>
      <c r="V1143" s="36">
        <f t="shared" si="89"/>
        <v>533.24</v>
      </c>
      <c r="W1143" s="28"/>
      <c r="X1143" s="31"/>
      <c r="Y1143" s="33"/>
      <c r="Z1143" s="189"/>
      <c r="AA1143" s="190"/>
      <c r="AB1143" s="31"/>
      <c r="AC1143" s="36"/>
      <c r="AD1143" s="8"/>
      <c r="AE1143" s="6"/>
      <c r="AF1143" s="52">
        <f t="shared" si="86"/>
        <v>22541654.52</v>
      </c>
      <c r="AG1143" s="25">
        <f t="shared" si="87"/>
        <v>0</v>
      </c>
      <c r="AH1143" s="52">
        <f t="shared" si="88"/>
        <v>0</v>
      </c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</row>
    <row r="1144" spans="1:44">
      <c r="A1144" s="6"/>
      <c r="B1144" s="6"/>
      <c r="C1144" s="6"/>
      <c r="D1144" s="6"/>
      <c r="E1144" s="6"/>
      <c r="F1144" s="6"/>
      <c r="G1144" s="11"/>
      <c r="H1144" s="6"/>
      <c r="I1144" s="6"/>
      <c r="J1144" s="6"/>
      <c r="K1144" s="7"/>
      <c r="L1144" s="21" t="s">
        <v>35</v>
      </c>
      <c r="M1144" s="22"/>
      <c r="N1144" s="22"/>
      <c r="O1144" s="22" t="s">
        <v>142</v>
      </c>
      <c r="P1144" s="23" t="s">
        <v>160</v>
      </c>
      <c r="Q1144" s="21" t="s">
        <v>66</v>
      </c>
      <c r="R1144" s="25">
        <v>1</v>
      </c>
      <c r="S1144" s="28"/>
      <c r="T1144" s="31">
        <v>42280</v>
      </c>
      <c r="U1144" s="33">
        <v>1666.46</v>
      </c>
      <c r="V1144" s="36">
        <f t="shared" si="89"/>
        <v>1666.46</v>
      </c>
      <c r="W1144" s="28"/>
      <c r="X1144" s="31"/>
      <c r="Y1144" s="33"/>
      <c r="Z1144" s="189"/>
      <c r="AA1144" s="190"/>
      <c r="AB1144" s="31">
        <v>42300</v>
      </c>
      <c r="AC1144" s="36">
        <v>1666.46</v>
      </c>
      <c r="AD1144" s="8"/>
      <c r="AE1144" s="6"/>
      <c r="AF1144" s="52">
        <f t="shared" si="86"/>
        <v>70457928.799999997</v>
      </c>
      <c r="AG1144" s="25">
        <f t="shared" si="87"/>
        <v>0</v>
      </c>
      <c r="AH1144" s="52">
        <f t="shared" si="88"/>
        <v>70491258</v>
      </c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</row>
    <row r="1145" spans="1:44">
      <c r="A1145" s="6"/>
      <c r="B1145" s="6"/>
      <c r="C1145" s="6"/>
      <c r="D1145" s="6"/>
      <c r="E1145" s="6"/>
      <c r="F1145" s="6"/>
      <c r="G1145" s="11"/>
      <c r="H1145" s="6"/>
      <c r="I1145" s="6"/>
      <c r="J1145" s="6"/>
      <c r="K1145" s="7"/>
      <c r="L1145" s="21" t="s">
        <v>35</v>
      </c>
      <c r="M1145" s="22"/>
      <c r="N1145" s="22"/>
      <c r="O1145" s="22" t="s">
        <v>138</v>
      </c>
      <c r="P1145" s="23" t="s">
        <v>157</v>
      </c>
      <c r="Q1145" s="21" t="s">
        <v>102</v>
      </c>
      <c r="R1145" s="25">
        <v>1</v>
      </c>
      <c r="S1145" s="28"/>
      <c r="T1145" s="31">
        <v>42278</v>
      </c>
      <c r="U1145" s="33">
        <v>1961</v>
      </c>
      <c r="V1145" s="36">
        <f t="shared" si="89"/>
        <v>1961</v>
      </c>
      <c r="W1145" s="28"/>
      <c r="X1145" s="31"/>
      <c r="Y1145" s="33"/>
      <c r="Z1145" s="189"/>
      <c r="AA1145" s="190"/>
      <c r="AB1145" s="31">
        <v>42308</v>
      </c>
      <c r="AC1145" s="36">
        <v>1961</v>
      </c>
      <c r="AD1145" s="8"/>
      <c r="AE1145" s="6"/>
      <c r="AF1145" s="52">
        <f t="shared" si="86"/>
        <v>82907158</v>
      </c>
      <c r="AG1145" s="25">
        <f t="shared" si="87"/>
        <v>0</v>
      </c>
      <c r="AH1145" s="52">
        <f t="shared" si="88"/>
        <v>82965988</v>
      </c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</row>
    <row r="1146" spans="1:44">
      <c r="A1146" s="6"/>
      <c r="B1146" s="6"/>
      <c r="C1146" s="6"/>
      <c r="D1146" s="6"/>
      <c r="E1146" s="6"/>
      <c r="F1146" s="6"/>
      <c r="G1146" s="11"/>
      <c r="H1146" s="6"/>
      <c r="I1146" s="6"/>
      <c r="J1146" s="6"/>
      <c r="K1146" s="7"/>
      <c r="L1146" s="21" t="s">
        <v>35</v>
      </c>
      <c r="M1146" s="22"/>
      <c r="N1146" s="22"/>
      <c r="O1146" s="22" t="s">
        <v>143</v>
      </c>
      <c r="P1146" s="23" t="s">
        <v>160</v>
      </c>
      <c r="Q1146" s="21" t="s">
        <v>101</v>
      </c>
      <c r="R1146" s="25">
        <v>1</v>
      </c>
      <c r="S1146" s="28"/>
      <c r="T1146" s="31">
        <v>42267</v>
      </c>
      <c r="U1146" s="33">
        <v>5656</v>
      </c>
      <c r="V1146" s="36">
        <f t="shared" si="89"/>
        <v>5656</v>
      </c>
      <c r="W1146" s="28"/>
      <c r="X1146" s="31"/>
      <c r="Y1146" s="33"/>
      <c r="Z1146" s="189"/>
      <c r="AA1146" s="190"/>
      <c r="AB1146" s="31">
        <v>42292</v>
      </c>
      <c r="AC1146" s="36">
        <v>5656</v>
      </c>
      <c r="AD1146" s="8"/>
      <c r="AE1146" s="6"/>
      <c r="AF1146" s="52">
        <f t="shared" si="86"/>
        <v>239062152</v>
      </c>
      <c r="AG1146" s="25">
        <f t="shared" si="87"/>
        <v>0</v>
      </c>
      <c r="AH1146" s="52">
        <f t="shared" si="88"/>
        <v>239203552</v>
      </c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</row>
    <row r="1147" spans="1:44">
      <c r="A1147" s="6"/>
      <c r="B1147" s="6"/>
      <c r="C1147" s="6"/>
      <c r="D1147" s="6"/>
      <c r="E1147" s="6"/>
      <c r="F1147" s="6"/>
      <c r="G1147" s="11"/>
      <c r="H1147" s="6"/>
      <c r="I1147" s="6"/>
      <c r="J1147" s="6"/>
      <c r="K1147" s="7"/>
      <c r="L1147" s="21" t="s">
        <v>35</v>
      </c>
      <c r="M1147" s="22"/>
      <c r="N1147" s="22"/>
      <c r="O1147" s="22" t="s">
        <v>144</v>
      </c>
      <c r="P1147" s="23" t="s">
        <v>156</v>
      </c>
      <c r="Q1147" s="21" t="s">
        <v>83</v>
      </c>
      <c r="R1147" s="25">
        <v>1</v>
      </c>
      <c r="S1147" s="28"/>
      <c r="T1147" s="31">
        <v>42263</v>
      </c>
      <c r="U1147" s="33">
        <v>1524.97</v>
      </c>
      <c r="V1147" s="36">
        <f t="shared" si="89"/>
        <v>1524.97</v>
      </c>
      <c r="W1147" s="28"/>
      <c r="X1147" s="31"/>
      <c r="Y1147" s="33"/>
      <c r="Z1147" s="189"/>
      <c r="AA1147" s="190"/>
      <c r="AB1147" s="31">
        <v>42273</v>
      </c>
      <c r="AC1147" s="36">
        <v>1524.97</v>
      </c>
      <c r="AD1147" s="8"/>
      <c r="AE1147" s="6"/>
      <c r="AF1147" s="52">
        <f t="shared" si="86"/>
        <v>64449807.109999999</v>
      </c>
      <c r="AG1147" s="25">
        <f t="shared" si="87"/>
        <v>0</v>
      </c>
      <c r="AH1147" s="52">
        <f t="shared" si="88"/>
        <v>64465056.810000002</v>
      </c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</row>
    <row r="1148" spans="1:44">
      <c r="A1148" s="6"/>
      <c r="B1148" s="6"/>
      <c r="C1148" s="6"/>
      <c r="D1148" s="6"/>
      <c r="E1148" s="6"/>
      <c r="F1148" s="6"/>
      <c r="G1148" s="11"/>
      <c r="H1148" s="6"/>
      <c r="I1148" s="6"/>
      <c r="J1148" s="6"/>
      <c r="K1148" s="7"/>
      <c r="L1148" s="21" t="s">
        <v>35</v>
      </c>
      <c r="M1148" s="22"/>
      <c r="N1148" s="22"/>
      <c r="O1148" s="22" t="s">
        <v>144</v>
      </c>
      <c r="P1148" s="23" t="s">
        <v>156</v>
      </c>
      <c r="Q1148" s="21" t="s">
        <v>83</v>
      </c>
      <c r="R1148" s="25">
        <v>1</v>
      </c>
      <c r="S1148" s="28"/>
      <c r="T1148" s="31">
        <v>42259</v>
      </c>
      <c r="U1148" s="33">
        <v>1506.89</v>
      </c>
      <c r="V1148" s="36">
        <f t="shared" si="89"/>
        <v>1506.89</v>
      </c>
      <c r="W1148" s="28"/>
      <c r="X1148" s="31"/>
      <c r="Y1148" s="33"/>
      <c r="Z1148" s="189"/>
      <c r="AA1148" s="190"/>
      <c r="AB1148" s="31">
        <v>42266</v>
      </c>
      <c r="AC1148" s="36">
        <v>1506.89</v>
      </c>
      <c r="AD1148" s="8"/>
      <c r="AE1148" s="6"/>
      <c r="AF1148" s="52">
        <f t="shared" si="86"/>
        <v>63679664.510000005</v>
      </c>
      <c r="AG1148" s="25">
        <f t="shared" si="87"/>
        <v>0</v>
      </c>
      <c r="AH1148" s="52">
        <f t="shared" si="88"/>
        <v>63690212.740000002</v>
      </c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</row>
    <row r="1149" spans="1:44">
      <c r="A1149" s="6"/>
      <c r="B1149" s="6"/>
      <c r="C1149" s="6"/>
      <c r="D1149" s="6"/>
      <c r="E1149" s="6"/>
      <c r="F1149" s="6"/>
      <c r="G1149" s="11"/>
      <c r="H1149" s="6"/>
      <c r="I1149" s="6"/>
      <c r="J1149" s="6"/>
      <c r="K1149" s="7"/>
      <c r="L1149" s="21" t="s">
        <v>35</v>
      </c>
      <c r="M1149" s="22"/>
      <c r="N1149" s="22"/>
      <c r="O1149" s="22" t="s">
        <v>138</v>
      </c>
      <c r="P1149" s="23" t="s">
        <v>157</v>
      </c>
      <c r="Q1149" s="21" t="s">
        <v>111</v>
      </c>
      <c r="R1149" s="25">
        <v>1</v>
      </c>
      <c r="S1149" s="28"/>
      <c r="T1149" s="31">
        <v>42275</v>
      </c>
      <c r="U1149" s="33">
        <v>9848.2999999999993</v>
      </c>
      <c r="V1149" s="36">
        <f t="shared" si="89"/>
        <v>9848.2999999999993</v>
      </c>
      <c r="W1149" s="28"/>
      <c r="X1149" s="31"/>
      <c r="Y1149" s="33"/>
      <c r="Z1149" s="189"/>
      <c r="AA1149" s="190"/>
      <c r="AB1149" s="31">
        <v>42297</v>
      </c>
      <c r="AC1149" s="36">
        <v>9848.2999999999993</v>
      </c>
      <c r="AD1149" s="8"/>
      <c r="AE1149" s="6"/>
      <c r="AF1149" s="52">
        <f t="shared" si="86"/>
        <v>416336882.49999994</v>
      </c>
      <c r="AG1149" s="25">
        <f t="shared" si="87"/>
        <v>0</v>
      </c>
      <c r="AH1149" s="52">
        <f t="shared" si="88"/>
        <v>416553545.09999996</v>
      </c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</row>
    <row r="1150" spans="1:44">
      <c r="A1150" s="6"/>
      <c r="B1150" s="6"/>
      <c r="C1150" s="6"/>
      <c r="D1150" s="6"/>
      <c r="E1150" s="6"/>
      <c r="F1150" s="6"/>
      <c r="G1150" s="11"/>
      <c r="H1150" s="6"/>
      <c r="I1150" s="6"/>
      <c r="J1150" s="6"/>
      <c r="K1150" s="7"/>
      <c r="L1150" s="21" t="s">
        <v>35</v>
      </c>
      <c r="M1150" s="22"/>
      <c r="N1150" s="22"/>
      <c r="O1150" s="22" t="s">
        <v>143</v>
      </c>
      <c r="P1150" s="23" t="s">
        <v>160</v>
      </c>
      <c r="Q1150" s="21" t="s">
        <v>112</v>
      </c>
      <c r="R1150" s="25">
        <v>1</v>
      </c>
      <c r="S1150" s="28"/>
      <c r="T1150" s="31">
        <v>42252</v>
      </c>
      <c r="U1150" s="33">
        <v>1424</v>
      </c>
      <c r="V1150" s="36">
        <f t="shared" si="89"/>
        <v>1424</v>
      </c>
      <c r="W1150" s="28"/>
      <c r="X1150" s="31"/>
      <c r="Y1150" s="33"/>
      <c r="Z1150" s="189"/>
      <c r="AA1150" s="190"/>
      <c r="AB1150" s="31"/>
      <c r="AC1150" s="36"/>
      <c r="AD1150" s="8"/>
      <c r="AE1150" s="6"/>
      <c r="AF1150" s="52">
        <f t="shared" si="86"/>
        <v>60166848</v>
      </c>
      <c r="AG1150" s="25">
        <f t="shared" si="87"/>
        <v>0</v>
      </c>
      <c r="AH1150" s="52">
        <f t="shared" si="88"/>
        <v>0</v>
      </c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</row>
    <row r="1151" spans="1:44">
      <c r="A1151" s="6"/>
      <c r="B1151" s="6"/>
      <c r="C1151" s="6"/>
      <c r="D1151" s="6"/>
      <c r="E1151" s="6"/>
      <c r="F1151" s="6"/>
      <c r="G1151" s="11"/>
      <c r="H1151" s="6"/>
      <c r="I1151" s="6"/>
      <c r="J1151" s="6"/>
      <c r="K1151" s="7"/>
      <c r="L1151" s="21" t="s">
        <v>35</v>
      </c>
      <c r="M1151" s="22"/>
      <c r="N1151" s="22"/>
      <c r="O1151" s="22" t="s">
        <v>143</v>
      </c>
      <c r="P1151" s="23" t="s">
        <v>160</v>
      </c>
      <c r="Q1151" s="21" t="s">
        <v>112</v>
      </c>
      <c r="R1151" s="25">
        <v>1</v>
      </c>
      <c r="S1151" s="28"/>
      <c r="T1151" s="31">
        <v>42257</v>
      </c>
      <c r="U1151" s="33">
        <v>1424</v>
      </c>
      <c r="V1151" s="36">
        <f t="shared" si="89"/>
        <v>1424</v>
      </c>
      <c r="W1151" s="28"/>
      <c r="X1151" s="31"/>
      <c r="Y1151" s="33"/>
      <c r="Z1151" s="189"/>
      <c r="AA1151" s="190"/>
      <c r="AB1151" s="31">
        <v>42302</v>
      </c>
      <c r="AC1151" s="36">
        <v>1424</v>
      </c>
      <c r="AD1151" s="8"/>
      <c r="AE1151" s="6"/>
      <c r="AF1151" s="52">
        <f t="shared" si="86"/>
        <v>60173968</v>
      </c>
      <c r="AG1151" s="25">
        <f t="shared" si="87"/>
        <v>0</v>
      </c>
      <c r="AH1151" s="52">
        <f t="shared" si="88"/>
        <v>60238048</v>
      </c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</row>
    <row r="1152" spans="1:44">
      <c r="A1152" s="6"/>
      <c r="B1152" s="6"/>
      <c r="C1152" s="6"/>
      <c r="D1152" s="6"/>
      <c r="E1152" s="6"/>
      <c r="F1152" s="6"/>
      <c r="G1152" s="11"/>
      <c r="H1152" s="6"/>
      <c r="I1152" s="6"/>
      <c r="J1152" s="6"/>
      <c r="K1152" s="7"/>
      <c r="L1152" s="21" t="s">
        <v>35</v>
      </c>
      <c r="M1152" s="22"/>
      <c r="N1152" s="22"/>
      <c r="O1152" s="22" t="s">
        <v>138</v>
      </c>
      <c r="P1152" s="23" t="s">
        <v>157</v>
      </c>
      <c r="Q1152" s="21" t="s">
        <v>106</v>
      </c>
      <c r="R1152" s="25">
        <v>1</v>
      </c>
      <c r="S1152" s="28"/>
      <c r="T1152" s="31">
        <v>42286</v>
      </c>
      <c r="U1152" s="33">
        <v>1930</v>
      </c>
      <c r="V1152" s="36">
        <f t="shared" si="89"/>
        <v>1930</v>
      </c>
      <c r="W1152" s="28"/>
      <c r="X1152" s="31"/>
      <c r="Y1152" s="33"/>
      <c r="Z1152" s="189"/>
      <c r="AA1152" s="190"/>
      <c r="AB1152" s="31">
        <v>42324</v>
      </c>
      <c r="AC1152" s="36">
        <v>1930</v>
      </c>
      <c r="AD1152" s="8"/>
      <c r="AE1152" s="6"/>
      <c r="AF1152" s="52">
        <f t="shared" si="86"/>
        <v>81611980</v>
      </c>
      <c r="AG1152" s="25">
        <f t="shared" si="87"/>
        <v>0</v>
      </c>
      <c r="AH1152" s="52">
        <f t="shared" si="88"/>
        <v>81685320</v>
      </c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</row>
    <row r="1153" spans="1:44">
      <c r="A1153" s="6"/>
      <c r="B1153" s="6"/>
      <c r="C1153" s="6"/>
      <c r="D1153" s="6"/>
      <c r="E1153" s="6"/>
      <c r="F1153" s="6"/>
      <c r="G1153" s="11"/>
      <c r="H1153" s="6"/>
      <c r="I1153" s="6"/>
      <c r="J1153" s="6"/>
      <c r="K1153" s="7"/>
      <c r="L1153" s="21" t="s">
        <v>35</v>
      </c>
      <c r="M1153" s="22"/>
      <c r="N1153" s="22"/>
      <c r="O1153" s="22" t="s">
        <v>138</v>
      </c>
      <c r="P1153" s="23" t="s">
        <v>157</v>
      </c>
      <c r="Q1153" s="21" t="s">
        <v>133</v>
      </c>
      <c r="R1153" s="25">
        <v>1</v>
      </c>
      <c r="S1153" s="28"/>
      <c r="T1153" s="31">
        <v>42271</v>
      </c>
      <c r="U1153" s="33">
        <v>1159</v>
      </c>
      <c r="V1153" s="36">
        <f t="shared" si="89"/>
        <v>1159</v>
      </c>
      <c r="W1153" s="28"/>
      <c r="X1153" s="31"/>
      <c r="Y1153" s="33"/>
      <c r="Z1153" s="189"/>
      <c r="AA1153" s="190"/>
      <c r="AB1153" s="31">
        <v>42283</v>
      </c>
      <c r="AC1153" s="36">
        <v>1159</v>
      </c>
      <c r="AD1153" s="8"/>
      <c r="AE1153" s="6"/>
      <c r="AF1153" s="52">
        <f t="shared" si="86"/>
        <v>48992089</v>
      </c>
      <c r="AG1153" s="25">
        <f t="shared" si="87"/>
        <v>0</v>
      </c>
      <c r="AH1153" s="52">
        <f t="shared" si="88"/>
        <v>49005997</v>
      </c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</row>
    <row r="1154" spans="1:44">
      <c r="A1154" s="6"/>
      <c r="B1154" s="6"/>
      <c r="C1154" s="6"/>
      <c r="D1154" s="6"/>
      <c r="E1154" s="6"/>
      <c r="F1154" s="6"/>
      <c r="G1154" s="11"/>
      <c r="H1154" s="6"/>
      <c r="I1154" s="6"/>
      <c r="J1154" s="6"/>
      <c r="K1154" s="7"/>
      <c r="L1154" s="21" t="s">
        <v>35</v>
      </c>
      <c r="M1154" s="22"/>
      <c r="N1154" s="22"/>
      <c r="O1154" s="22" t="s">
        <v>148</v>
      </c>
      <c r="P1154" s="23" t="s">
        <v>157</v>
      </c>
      <c r="Q1154" s="21" t="s">
        <v>133</v>
      </c>
      <c r="R1154" s="25">
        <v>1</v>
      </c>
      <c r="S1154" s="28"/>
      <c r="T1154" s="31">
        <v>42275</v>
      </c>
      <c r="U1154" s="33">
        <v>1159</v>
      </c>
      <c r="V1154" s="36">
        <f t="shared" si="89"/>
        <v>1159</v>
      </c>
      <c r="W1154" s="28"/>
      <c r="X1154" s="31"/>
      <c r="Y1154" s="33"/>
      <c r="Z1154" s="189"/>
      <c r="AA1154" s="190"/>
      <c r="AB1154" s="31">
        <v>42285</v>
      </c>
      <c r="AC1154" s="36">
        <v>1159</v>
      </c>
      <c r="AD1154" s="8"/>
      <c r="AE1154" s="6"/>
      <c r="AF1154" s="52">
        <f t="shared" si="86"/>
        <v>48996725</v>
      </c>
      <c r="AG1154" s="25">
        <f t="shared" si="87"/>
        <v>0</v>
      </c>
      <c r="AH1154" s="52">
        <f t="shared" si="88"/>
        <v>49008315</v>
      </c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</row>
    <row r="1155" spans="1:44">
      <c r="A1155" s="6"/>
      <c r="B1155" s="6"/>
      <c r="C1155" s="6"/>
      <c r="D1155" s="6"/>
      <c r="E1155" s="6"/>
      <c r="F1155" s="6"/>
      <c r="G1155" s="11"/>
      <c r="H1155" s="6"/>
      <c r="I1155" s="6"/>
      <c r="J1155" s="6"/>
      <c r="K1155" s="7"/>
      <c r="L1155" s="21" t="s">
        <v>35</v>
      </c>
      <c r="M1155" s="22"/>
      <c r="N1155" s="22"/>
      <c r="O1155" s="22" t="s">
        <v>148</v>
      </c>
      <c r="P1155" s="23" t="s">
        <v>157</v>
      </c>
      <c r="Q1155" s="21" t="s">
        <v>133</v>
      </c>
      <c r="R1155" s="25">
        <v>1</v>
      </c>
      <c r="S1155" s="28"/>
      <c r="T1155" s="31">
        <v>42286</v>
      </c>
      <c r="U1155" s="33">
        <v>1282.47</v>
      </c>
      <c r="V1155" s="36">
        <f t="shared" si="89"/>
        <v>1282.47</v>
      </c>
      <c r="W1155" s="28"/>
      <c r="X1155" s="31"/>
      <c r="Y1155" s="33"/>
      <c r="Z1155" s="189"/>
      <c r="AA1155" s="190"/>
      <c r="AB1155" s="31">
        <v>42306</v>
      </c>
      <c r="AC1155" s="36">
        <v>1282.47</v>
      </c>
      <c r="AD1155" s="8"/>
      <c r="AE1155" s="6"/>
      <c r="AF1155" s="52">
        <f t="shared" si="86"/>
        <v>54230526.420000002</v>
      </c>
      <c r="AG1155" s="25">
        <f t="shared" si="87"/>
        <v>0</v>
      </c>
      <c r="AH1155" s="52">
        <f t="shared" si="88"/>
        <v>54256175.82</v>
      </c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</row>
    <row r="1156" spans="1:44">
      <c r="A1156" s="6"/>
      <c r="B1156" s="6"/>
      <c r="C1156" s="6"/>
      <c r="D1156" s="6"/>
      <c r="E1156" s="6"/>
      <c r="F1156" s="6"/>
      <c r="G1156" s="11"/>
      <c r="H1156" s="6"/>
      <c r="I1156" s="6"/>
      <c r="J1156" s="6"/>
      <c r="K1156" s="7"/>
      <c r="L1156" s="21" t="s">
        <v>35</v>
      </c>
      <c r="M1156" s="22"/>
      <c r="N1156" s="22"/>
      <c r="O1156" s="22" t="s">
        <v>148</v>
      </c>
      <c r="P1156" s="23" t="s">
        <v>157</v>
      </c>
      <c r="Q1156" s="21" t="s">
        <v>133</v>
      </c>
      <c r="R1156" s="25">
        <v>1</v>
      </c>
      <c r="S1156" s="28"/>
      <c r="T1156" s="31">
        <v>42287</v>
      </c>
      <c r="U1156" s="33">
        <v>1282.47</v>
      </c>
      <c r="V1156" s="36">
        <f t="shared" si="89"/>
        <v>1282.47</v>
      </c>
      <c r="W1156" s="28"/>
      <c r="X1156" s="31"/>
      <c r="Y1156" s="33"/>
      <c r="Z1156" s="189"/>
      <c r="AA1156" s="190"/>
      <c r="AB1156" s="31"/>
      <c r="AC1156" s="36"/>
      <c r="AD1156" s="8"/>
      <c r="AE1156" s="6"/>
      <c r="AF1156" s="52">
        <f t="shared" si="86"/>
        <v>54231808.890000001</v>
      </c>
      <c r="AG1156" s="25">
        <f t="shared" si="87"/>
        <v>0</v>
      </c>
      <c r="AH1156" s="52">
        <f t="shared" si="88"/>
        <v>0</v>
      </c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</row>
    <row r="1157" spans="1:44">
      <c r="A1157" s="6"/>
      <c r="B1157" s="6"/>
      <c r="C1157" s="6"/>
      <c r="D1157" s="6"/>
      <c r="E1157" s="6"/>
      <c r="F1157" s="6"/>
      <c r="G1157" s="11"/>
      <c r="H1157" s="6"/>
      <c r="I1157" s="6"/>
      <c r="J1157" s="6"/>
      <c r="K1157" s="7"/>
      <c r="L1157" s="21" t="s">
        <v>35</v>
      </c>
      <c r="M1157" s="22"/>
      <c r="N1157" s="22"/>
      <c r="O1157" s="22" t="s">
        <v>148</v>
      </c>
      <c r="P1157" s="23" t="s">
        <v>157</v>
      </c>
      <c r="Q1157" s="21" t="s">
        <v>133</v>
      </c>
      <c r="R1157" s="25">
        <v>1</v>
      </c>
      <c r="S1157" s="28"/>
      <c r="T1157" s="31">
        <v>42287</v>
      </c>
      <c r="U1157" s="33">
        <v>1282.47</v>
      </c>
      <c r="V1157" s="36">
        <f t="shared" si="89"/>
        <v>1282.47</v>
      </c>
      <c r="W1157" s="28"/>
      <c r="X1157" s="31"/>
      <c r="Y1157" s="33"/>
      <c r="Z1157" s="189"/>
      <c r="AA1157" s="190"/>
      <c r="AB1157" s="31">
        <v>42317</v>
      </c>
      <c r="AC1157" s="36">
        <v>1282.47</v>
      </c>
      <c r="AD1157" s="8"/>
      <c r="AE1157" s="6"/>
      <c r="AF1157" s="52">
        <f t="shared" si="86"/>
        <v>54231808.890000001</v>
      </c>
      <c r="AG1157" s="25">
        <f t="shared" si="87"/>
        <v>0</v>
      </c>
      <c r="AH1157" s="52">
        <f t="shared" si="88"/>
        <v>54270282.990000002</v>
      </c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</row>
    <row r="1158" spans="1:44">
      <c r="A1158" s="6"/>
      <c r="B1158" s="6"/>
      <c r="C1158" s="6"/>
      <c r="D1158" s="6"/>
      <c r="E1158" s="6"/>
      <c r="F1158" s="6"/>
      <c r="G1158" s="11"/>
      <c r="H1158" s="6"/>
      <c r="I1158" s="6"/>
      <c r="J1158" s="6"/>
      <c r="K1158" s="7"/>
      <c r="L1158" s="21" t="s">
        <v>35</v>
      </c>
      <c r="M1158" s="22"/>
      <c r="N1158" s="22"/>
      <c r="O1158" s="22" t="s">
        <v>148</v>
      </c>
      <c r="P1158" s="23" t="s">
        <v>157</v>
      </c>
      <c r="Q1158" s="21" t="s">
        <v>59</v>
      </c>
      <c r="R1158" s="25">
        <v>1</v>
      </c>
      <c r="S1158" s="28"/>
      <c r="T1158" s="31">
        <v>42248</v>
      </c>
      <c r="U1158" s="33">
        <v>2880</v>
      </c>
      <c r="V1158" s="36">
        <f t="shared" si="89"/>
        <v>2880</v>
      </c>
      <c r="W1158" s="28"/>
      <c r="X1158" s="31"/>
      <c r="Y1158" s="33"/>
      <c r="Z1158" s="189"/>
      <c r="AA1158" s="190"/>
      <c r="AB1158" s="31">
        <v>42293</v>
      </c>
      <c r="AC1158" s="36">
        <v>2880</v>
      </c>
      <c r="AD1158" s="8"/>
      <c r="AE1158" s="6"/>
      <c r="AF1158" s="52">
        <f t="shared" si="86"/>
        <v>121674240</v>
      </c>
      <c r="AG1158" s="25">
        <f t="shared" si="87"/>
        <v>0</v>
      </c>
      <c r="AH1158" s="52">
        <f t="shared" si="88"/>
        <v>121803840</v>
      </c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</row>
    <row r="1159" spans="1:44">
      <c r="A1159" s="6"/>
      <c r="B1159" s="6"/>
      <c r="C1159" s="6"/>
      <c r="D1159" s="6"/>
      <c r="E1159" s="6"/>
      <c r="F1159" s="6"/>
      <c r="G1159" s="11"/>
      <c r="H1159" s="6"/>
      <c r="I1159" s="6"/>
      <c r="J1159" s="6"/>
      <c r="K1159" s="7"/>
      <c r="L1159" s="21" t="s">
        <v>35</v>
      </c>
      <c r="M1159" s="22"/>
      <c r="N1159" s="22"/>
      <c r="O1159" s="22" t="s">
        <v>144</v>
      </c>
      <c r="P1159" s="23" t="s">
        <v>156</v>
      </c>
      <c r="Q1159" s="21" t="s">
        <v>80</v>
      </c>
      <c r="R1159" s="25">
        <v>1</v>
      </c>
      <c r="S1159" s="28"/>
      <c r="T1159" s="31">
        <v>42258</v>
      </c>
      <c r="U1159" s="33">
        <v>1967.76</v>
      </c>
      <c r="V1159" s="36">
        <f t="shared" si="89"/>
        <v>1967.76</v>
      </c>
      <c r="W1159" s="28"/>
      <c r="X1159" s="31"/>
      <c r="Y1159" s="33"/>
      <c r="Z1159" s="189"/>
      <c r="AA1159" s="190"/>
      <c r="AB1159" s="31">
        <v>42318</v>
      </c>
      <c r="AC1159" s="36">
        <v>1967.76</v>
      </c>
      <c r="AD1159" s="8"/>
      <c r="AE1159" s="6"/>
      <c r="AF1159" s="52">
        <f t="shared" si="86"/>
        <v>83153602.079999998</v>
      </c>
      <c r="AG1159" s="25">
        <f t="shared" si="87"/>
        <v>0</v>
      </c>
      <c r="AH1159" s="52">
        <f t="shared" si="88"/>
        <v>83271667.679999992</v>
      </c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</row>
    <row r="1160" spans="1:44">
      <c r="A1160" s="6"/>
      <c r="B1160" s="6"/>
      <c r="C1160" s="6"/>
      <c r="D1160" s="6"/>
      <c r="E1160" s="6"/>
      <c r="F1160" s="6"/>
      <c r="G1160" s="11"/>
      <c r="H1160" s="6"/>
      <c r="I1160" s="6"/>
      <c r="J1160" s="6"/>
      <c r="K1160" s="7"/>
      <c r="L1160" s="21" t="s">
        <v>35</v>
      </c>
      <c r="M1160" s="22"/>
      <c r="N1160" s="22"/>
      <c r="O1160" s="22" t="s">
        <v>144</v>
      </c>
      <c r="P1160" s="23" t="s">
        <v>156</v>
      </c>
      <c r="Q1160" s="21" t="s">
        <v>80</v>
      </c>
      <c r="R1160" s="25">
        <v>1</v>
      </c>
      <c r="S1160" s="28"/>
      <c r="T1160" s="31">
        <v>42259</v>
      </c>
      <c r="U1160" s="33">
        <v>1967.76</v>
      </c>
      <c r="V1160" s="36">
        <f t="shared" si="89"/>
        <v>1967.76</v>
      </c>
      <c r="W1160" s="28"/>
      <c r="X1160" s="31"/>
      <c r="Y1160" s="33"/>
      <c r="Z1160" s="189"/>
      <c r="AA1160" s="190"/>
      <c r="AB1160" s="31">
        <v>42309</v>
      </c>
      <c r="AC1160" s="36">
        <v>1967.76</v>
      </c>
      <c r="AD1160" s="8"/>
      <c r="AE1160" s="6"/>
      <c r="AF1160" s="52">
        <f t="shared" si="86"/>
        <v>83155569.840000004</v>
      </c>
      <c r="AG1160" s="25">
        <f t="shared" si="87"/>
        <v>0</v>
      </c>
      <c r="AH1160" s="52">
        <f t="shared" si="88"/>
        <v>83253957.840000004</v>
      </c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</row>
    <row r="1161" spans="1:44">
      <c r="A1161" s="6"/>
      <c r="B1161" s="6"/>
      <c r="C1161" s="6"/>
      <c r="D1161" s="6"/>
      <c r="E1161" s="6"/>
      <c r="F1161" s="6"/>
      <c r="G1161" s="11"/>
      <c r="H1161" s="6"/>
      <c r="I1161" s="6"/>
      <c r="J1161" s="6"/>
      <c r="K1161" s="7"/>
      <c r="L1161" s="21" t="s">
        <v>35</v>
      </c>
      <c r="M1161" s="22"/>
      <c r="N1161" s="22"/>
      <c r="O1161" s="22" t="s">
        <v>135</v>
      </c>
      <c r="P1161" s="23" t="s">
        <v>157</v>
      </c>
      <c r="Q1161" s="21" t="s">
        <v>105</v>
      </c>
      <c r="R1161" s="25">
        <v>1</v>
      </c>
      <c r="S1161" s="28"/>
      <c r="T1161" s="31">
        <v>42250</v>
      </c>
      <c r="U1161" s="33">
        <v>602.59</v>
      </c>
      <c r="V1161" s="36">
        <f t="shared" si="89"/>
        <v>602.59</v>
      </c>
      <c r="W1161" s="28"/>
      <c r="X1161" s="31"/>
      <c r="Y1161" s="33"/>
      <c r="Z1161" s="189"/>
      <c r="AA1161" s="190"/>
      <c r="AB1161" s="31"/>
      <c r="AC1161" s="36"/>
      <c r="AD1161" s="8"/>
      <c r="AE1161" s="6"/>
      <c r="AF1161" s="52">
        <f t="shared" ref="AF1161:AF1224" si="90">T1161*V1161</f>
        <v>25459427.5</v>
      </c>
      <c r="AG1161" s="25">
        <f t="shared" ref="AG1161:AG1224" si="91">X1161*Z1161</f>
        <v>0</v>
      </c>
      <c r="AH1161" s="52">
        <f t="shared" si="88"/>
        <v>0</v>
      </c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</row>
    <row r="1162" spans="1:44">
      <c r="A1162" s="6"/>
      <c r="B1162" s="6"/>
      <c r="C1162" s="6"/>
      <c r="D1162" s="6"/>
      <c r="E1162" s="6"/>
      <c r="F1162" s="6"/>
      <c r="G1162" s="11"/>
      <c r="H1162" s="6"/>
      <c r="I1162" s="6"/>
      <c r="J1162" s="6"/>
      <c r="K1162" s="7"/>
      <c r="L1162" s="21" t="s">
        <v>35</v>
      </c>
      <c r="M1162" s="22"/>
      <c r="N1162" s="22"/>
      <c r="O1162" s="22" t="s">
        <v>144</v>
      </c>
      <c r="P1162" s="23" t="s">
        <v>156</v>
      </c>
      <c r="Q1162" s="21" t="s">
        <v>116</v>
      </c>
      <c r="R1162" s="25">
        <v>1</v>
      </c>
      <c r="S1162" s="28"/>
      <c r="T1162" s="31">
        <v>42084</v>
      </c>
      <c r="U1162" s="33">
        <v>3861.36</v>
      </c>
      <c r="V1162" s="36">
        <f t="shared" si="89"/>
        <v>3861.36</v>
      </c>
      <c r="W1162" s="28"/>
      <c r="X1162" s="31"/>
      <c r="Y1162" s="33"/>
      <c r="Z1162" s="189"/>
      <c r="AA1162" s="190"/>
      <c r="AB1162" s="31">
        <v>42114</v>
      </c>
      <c r="AC1162" s="36">
        <v>3861.36</v>
      </c>
      <c r="AD1162" s="8"/>
      <c r="AE1162" s="6"/>
      <c r="AF1162" s="52">
        <f t="shared" si="90"/>
        <v>162501474.24000001</v>
      </c>
      <c r="AG1162" s="25">
        <f t="shared" si="91"/>
        <v>0</v>
      </c>
      <c r="AH1162" s="52">
        <f t="shared" ref="AH1162:AH1225" si="92">AB1162*AC1162</f>
        <v>162617315.03999999</v>
      </c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</row>
    <row r="1163" spans="1:44">
      <c r="A1163" s="6"/>
      <c r="B1163" s="6"/>
      <c r="C1163" s="6"/>
      <c r="D1163" s="6"/>
      <c r="E1163" s="6"/>
      <c r="F1163" s="6"/>
      <c r="G1163" s="11"/>
      <c r="H1163" s="6"/>
      <c r="I1163" s="6"/>
      <c r="J1163" s="6"/>
      <c r="K1163" s="7"/>
      <c r="L1163" s="21" t="s">
        <v>35</v>
      </c>
      <c r="M1163" s="22"/>
      <c r="N1163" s="22"/>
      <c r="O1163" s="22" t="s">
        <v>144</v>
      </c>
      <c r="P1163" s="23" t="s">
        <v>156</v>
      </c>
      <c r="Q1163" s="21" t="s">
        <v>83</v>
      </c>
      <c r="R1163" s="25">
        <v>1</v>
      </c>
      <c r="S1163" s="28"/>
      <c r="T1163" s="31">
        <v>42048</v>
      </c>
      <c r="U1163" s="33">
        <v>1731.72</v>
      </c>
      <c r="V1163" s="36">
        <f t="shared" si="89"/>
        <v>1731.72</v>
      </c>
      <c r="W1163" s="28"/>
      <c r="X1163" s="31"/>
      <c r="Y1163" s="33"/>
      <c r="Z1163" s="189"/>
      <c r="AA1163" s="190"/>
      <c r="AB1163" s="31">
        <v>42068</v>
      </c>
      <c r="AC1163" s="36">
        <v>1731.72</v>
      </c>
      <c r="AD1163" s="8"/>
      <c r="AE1163" s="6"/>
      <c r="AF1163" s="52">
        <f t="shared" si="90"/>
        <v>72815362.560000002</v>
      </c>
      <c r="AG1163" s="25">
        <f t="shared" si="91"/>
        <v>0</v>
      </c>
      <c r="AH1163" s="52">
        <f t="shared" si="92"/>
        <v>72849996.960000008</v>
      </c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</row>
    <row r="1164" spans="1:44">
      <c r="A1164" s="6"/>
      <c r="B1164" s="6"/>
      <c r="C1164" s="6"/>
      <c r="D1164" s="6"/>
      <c r="E1164" s="6"/>
      <c r="F1164" s="6"/>
      <c r="G1164" s="11"/>
      <c r="H1164" s="6"/>
      <c r="I1164" s="6"/>
      <c r="J1164" s="6"/>
      <c r="K1164" s="7"/>
      <c r="L1164" s="21" t="s">
        <v>35</v>
      </c>
      <c r="M1164" s="22"/>
      <c r="N1164" s="22"/>
      <c r="O1164" s="22" t="s">
        <v>138</v>
      </c>
      <c r="P1164" s="23" t="s">
        <v>157</v>
      </c>
      <c r="Q1164" s="21" t="s">
        <v>63</v>
      </c>
      <c r="R1164" s="25">
        <v>1</v>
      </c>
      <c r="S1164" s="28"/>
      <c r="T1164" s="31">
        <v>42050</v>
      </c>
      <c r="U1164" s="33">
        <v>3339.15</v>
      </c>
      <c r="V1164" s="36">
        <f t="shared" si="89"/>
        <v>3339.15</v>
      </c>
      <c r="W1164" s="28"/>
      <c r="X1164" s="31"/>
      <c r="Y1164" s="33"/>
      <c r="Z1164" s="189"/>
      <c r="AA1164" s="190"/>
      <c r="AB1164" s="31"/>
      <c r="AC1164" s="36"/>
      <c r="AD1164" s="8"/>
      <c r="AE1164" s="6"/>
      <c r="AF1164" s="52">
        <f t="shared" si="90"/>
        <v>140411257.5</v>
      </c>
      <c r="AG1164" s="25">
        <f t="shared" si="91"/>
        <v>0</v>
      </c>
      <c r="AH1164" s="52">
        <f t="shared" si="92"/>
        <v>0</v>
      </c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</row>
    <row r="1165" spans="1:44">
      <c r="A1165" s="6"/>
      <c r="B1165" s="6"/>
      <c r="C1165" s="6"/>
      <c r="D1165" s="6"/>
      <c r="E1165" s="6"/>
      <c r="F1165" s="6"/>
      <c r="G1165" s="11"/>
      <c r="H1165" s="6"/>
      <c r="I1165" s="6"/>
      <c r="J1165" s="6"/>
      <c r="K1165" s="7"/>
      <c r="L1165" s="21" t="s">
        <v>35</v>
      </c>
      <c r="M1165" s="22"/>
      <c r="N1165" s="22"/>
      <c r="O1165" s="22" t="s">
        <v>140</v>
      </c>
      <c r="P1165" s="23" t="s">
        <v>157</v>
      </c>
      <c r="Q1165" s="21" t="s">
        <v>117</v>
      </c>
      <c r="R1165" s="25">
        <v>1</v>
      </c>
      <c r="S1165" s="28"/>
      <c r="T1165" s="31">
        <v>42079</v>
      </c>
      <c r="U1165" s="33">
        <v>3817.5</v>
      </c>
      <c r="V1165" s="36">
        <f t="shared" si="89"/>
        <v>3817.5</v>
      </c>
      <c r="W1165" s="28"/>
      <c r="X1165" s="31"/>
      <c r="Y1165" s="33"/>
      <c r="Z1165" s="189"/>
      <c r="AA1165" s="190"/>
      <c r="AB1165" s="31">
        <v>42089</v>
      </c>
      <c r="AC1165" s="36">
        <v>3817.5</v>
      </c>
      <c r="AD1165" s="8"/>
      <c r="AE1165" s="6"/>
      <c r="AF1165" s="52">
        <f t="shared" si="90"/>
        <v>160636582.5</v>
      </c>
      <c r="AG1165" s="25">
        <f t="shared" si="91"/>
        <v>0</v>
      </c>
      <c r="AH1165" s="52">
        <f t="shared" si="92"/>
        <v>160674757.5</v>
      </c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</row>
    <row r="1166" spans="1:44">
      <c r="A1166" s="6"/>
      <c r="B1166" s="6"/>
      <c r="C1166" s="6"/>
      <c r="D1166" s="6"/>
      <c r="E1166" s="6"/>
      <c r="F1166" s="6"/>
      <c r="G1166" s="11"/>
      <c r="H1166" s="6"/>
      <c r="I1166" s="6"/>
      <c r="J1166" s="6"/>
      <c r="K1166" s="7"/>
      <c r="L1166" s="21" t="s">
        <v>35</v>
      </c>
      <c r="M1166" s="22"/>
      <c r="N1166" s="22"/>
      <c r="O1166" s="22" t="s">
        <v>140</v>
      </c>
      <c r="P1166" s="23" t="s">
        <v>157</v>
      </c>
      <c r="Q1166" s="21" t="s">
        <v>109</v>
      </c>
      <c r="R1166" s="25">
        <v>1</v>
      </c>
      <c r="S1166" s="28"/>
      <c r="T1166" s="31">
        <v>42082</v>
      </c>
      <c r="U1166" s="33">
        <v>12605.88</v>
      </c>
      <c r="V1166" s="36">
        <f t="shared" si="89"/>
        <v>12605.88</v>
      </c>
      <c r="W1166" s="28"/>
      <c r="X1166" s="31"/>
      <c r="Y1166" s="33"/>
      <c r="Z1166" s="189"/>
      <c r="AA1166" s="190"/>
      <c r="AB1166" s="31">
        <v>42112</v>
      </c>
      <c r="AC1166" s="36">
        <v>12605.88</v>
      </c>
      <c r="AD1166" s="8"/>
      <c r="AE1166" s="6"/>
      <c r="AF1166" s="52">
        <f t="shared" si="90"/>
        <v>530480642.15999997</v>
      </c>
      <c r="AG1166" s="25">
        <f t="shared" si="91"/>
        <v>0</v>
      </c>
      <c r="AH1166" s="52">
        <f t="shared" si="92"/>
        <v>530858818.55999994</v>
      </c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</row>
    <row r="1167" spans="1:44">
      <c r="A1167" s="6"/>
      <c r="B1167" s="6"/>
      <c r="C1167" s="6"/>
      <c r="D1167" s="6"/>
      <c r="E1167" s="6"/>
      <c r="F1167" s="6"/>
      <c r="G1167" s="11"/>
      <c r="H1167" s="6"/>
      <c r="I1167" s="6"/>
      <c r="J1167" s="6"/>
      <c r="K1167" s="7"/>
      <c r="L1167" s="21" t="s">
        <v>35</v>
      </c>
      <c r="M1167" s="22"/>
      <c r="N1167" s="22"/>
      <c r="O1167" s="22" t="s">
        <v>146</v>
      </c>
      <c r="P1167" s="23" t="s">
        <v>157</v>
      </c>
      <c r="Q1167" s="21" t="s">
        <v>61</v>
      </c>
      <c r="R1167" s="25">
        <v>1</v>
      </c>
      <c r="S1167" s="28"/>
      <c r="T1167" s="31">
        <v>42082</v>
      </c>
      <c r="U1167" s="33">
        <v>2474.8000000000002</v>
      </c>
      <c r="V1167" s="36">
        <f t="shared" si="89"/>
        <v>2474.8000000000002</v>
      </c>
      <c r="W1167" s="28"/>
      <c r="X1167" s="31"/>
      <c r="Y1167" s="33"/>
      <c r="Z1167" s="189"/>
      <c r="AA1167" s="190"/>
      <c r="AB1167" s="31">
        <v>42103</v>
      </c>
      <c r="AC1167" s="36">
        <v>2474.8000000000002</v>
      </c>
      <c r="AD1167" s="8"/>
      <c r="AE1167" s="6"/>
      <c r="AF1167" s="52">
        <f t="shared" si="90"/>
        <v>104144533.60000001</v>
      </c>
      <c r="AG1167" s="25">
        <f t="shared" si="91"/>
        <v>0</v>
      </c>
      <c r="AH1167" s="52">
        <f t="shared" si="92"/>
        <v>104196504.40000001</v>
      </c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</row>
    <row r="1168" spans="1:44">
      <c r="A1168" s="6"/>
      <c r="B1168" s="6"/>
      <c r="C1168" s="6"/>
      <c r="D1168" s="6"/>
      <c r="E1168" s="6"/>
      <c r="F1168" s="6"/>
      <c r="G1168" s="11"/>
      <c r="H1168" s="6"/>
      <c r="I1168" s="6"/>
      <c r="J1168" s="6"/>
      <c r="K1168" s="7"/>
      <c r="L1168" s="21" t="s">
        <v>35</v>
      </c>
      <c r="M1168" s="22"/>
      <c r="N1168" s="22"/>
      <c r="O1168" s="22" t="s">
        <v>138</v>
      </c>
      <c r="P1168" s="23" t="s">
        <v>157</v>
      </c>
      <c r="Q1168" s="21" t="s">
        <v>59</v>
      </c>
      <c r="R1168" s="25">
        <v>1</v>
      </c>
      <c r="S1168" s="28"/>
      <c r="T1168" s="31">
        <v>42067</v>
      </c>
      <c r="U1168" s="33">
        <v>3026.67</v>
      </c>
      <c r="V1168" s="36">
        <f t="shared" si="89"/>
        <v>3026.67</v>
      </c>
      <c r="W1168" s="28"/>
      <c r="X1168" s="31"/>
      <c r="Y1168" s="33"/>
      <c r="Z1168" s="189"/>
      <c r="AA1168" s="190"/>
      <c r="AB1168" s="31">
        <v>42112</v>
      </c>
      <c r="AC1168" s="36">
        <v>3026.67</v>
      </c>
      <c r="AD1168" s="8"/>
      <c r="AE1168" s="6"/>
      <c r="AF1168" s="52">
        <f t="shared" si="90"/>
        <v>127322926.89</v>
      </c>
      <c r="AG1168" s="25">
        <f t="shared" si="91"/>
        <v>0</v>
      </c>
      <c r="AH1168" s="52">
        <f t="shared" si="92"/>
        <v>127459127.04000001</v>
      </c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</row>
    <row r="1169" spans="1:44">
      <c r="A1169" s="6"/>
      <c r="B1169" s="6"/>
      <c r="C1169" s="6"/>
      <c r="D1169" s="6"/>
      <c r="E1169" s="6"/>
      <c r="F1169" s="6"/>
      <c r="G1169" s="11"/>
      <c r="H1169" s="6"/>
      <c r="I1169" s="6"/>
      <c r="J1169" s="6"/>
      <c r="K1169" s="7"/>
      <c r="L1169" s="21" t="s">
        <v>35</v>
      </c>
      <c r="M1169" s="22"/>
      <c r="N1169" s="22"/>
      <c r="O1169" s="22" t="s">
        <v>138</v>
      </c>
      <c r="P1169" s="23" t="s">
        <v>157</v>
      </c>
      <c r="Q1169" s="21" t="s">
        <v>118</v>
      </c>
      <c r="R1169" s="25">
        <v>1</v>
      </c>
      <c r="S1169" s="28"/>
      <c r="T1169" s="31">
        <v>42057</v>
      </c>
      <c r="U1169" s="33">
        <v>3919</v>
      </c>
      <c r="V1169" s="36">
        <f t="shared" si="89"/>
        <v>3919</v>
      </c>
      <c r="W1169" s="28"/>
      <c r="X1169" s="31"/>
      <c r="Y1169" s="33"/>
      <c r="Z1169" s="189"/>
      <c r="AA1169" s="190"/>
      <c r="AB1169" s="31">
        <v>42087</v>
      </c>
      <c r="AC1169" s="36">
        <v>3919</v>
      </c>
      <c r="AD1169" s="8"/>
      <c r="AE1169" s="6"/>
      <c r="AF1169" s="52">
        <f t="shared" si="90"/>
        <v>164821383</v>
      </c>
      <c r="AG1169" s="25">
        <f t="shared" si="91"/>
        <v>0</v>
      </c>
      <c r="AH1169" s="52">
        <f t="shared" si="92"/>
        <v>164938953</v>
      </c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</row>
    <row r="1170" spans="1:44">
      <c r="A1170" s="6"/>
      <c r="B1170" s="6"/>
      <c r="C1170" s="6"/>
      <c r="D1170" s="6"/>
      <c r="E1170" s="6"/>
      <c r="F1170" s="6"/>
      <c r="G1170" s="11"/>
      <c r="H1170" s="6"/>
      <c r="I1170" s="6"/>
      <c r="J1170" s="6"/>
      <c r="K1170" s="7"/>
      <c r="L1170" s="21" t="s">
        <v>35</v>
      </c>
      <c r="M1170" s="22"/>
      <c r="N1170" s="22"/>
      <c r="O1170" s="22" t="s">
        <v>138</v>
      </c>
      <c r="P1170" s="23" t="s">
        <v>157</v>
      </c>
      <c r="Q1170" s="21" t="s">
        <v>118</v>
      </c>
      <c r="R1170" s="25">
        <v>1</v>
      </c>
      <c r="S1170" s="28"/>
      <c r="T1170" s="31">
        <v>42064</v>
      </c>
      <c r="U1170" s="33">
        <v>3919</v>
      </c>
      <c r="V1170" s="36">
        <f t="shared" si="89"/>
        <v>3919</v>
      </c>
      <c r="W1170" s="28"/>
      <c r="X1170" s="31"/>
      <c r="Y1170" s="33"/>
      <c r="Z1170" s="189"/>
      <c r="AA1170" s="190"/>
      <c r="AB1170" s="31">
        <v>42079</v>
      </c>
      <c r="AC1170" s="36">
        <v>3919</v>
      </c>
      <c r="AD1170" s="8"/>
      <c r="AE1170" s="6"/>
      <c r="AF1170" s="52">
        <f t="shared" si="90"/>
        <v>164848816</v>
      </c>
      <c r="AG1170" s="25">
        <f t="shared" si="91"/>
        <v>0</v>
      </c>
      <c r="AH1170" s="52">
        <f t="shared" si="92"/>
        <v>164907601</v>
      </c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</row>
    <row r="1171" spans="1:44">
      <c r="A1171" s="6"/>
      <c r="B1171" s="6"/>
      <c r="C1171" s="6"/>
      <c r="D1171" s="6"/>
      <c r="E1171" s="6"/>
      <c r="F1171" s="6"/>
      <c r="G1171" s="11"/>
      <c r="H1171" s="6"/>
      <c r="I1171" s="6"/>
      <c r="J1171" s="6"/>
      <c r="K1171" s="7"/>
      <c r="L1171" s="21" t="s">
        <v>35</v>
      </c>
      <c r="M1171" s="22"/>
      <c r="N1171" s="22"/>
      <c r="O1171" s="22" t="s">
        <v>138</v>
      </c>
      <c r="P1171" s="23" t="s">
        <v>157</v>
      </c>
      <c r="Q1171" s="21" t="s">
        <v>59</v>
      </c>
      <c r="R1171" s="25">
        <v>1</v>
      </c>
      <c r="S1171" s="28"/>
      <c r="T1171" s="31">
        <v>42069</v>
      </c>
      <c r="U1171" s="33">
        <v>2920</v>
      </c>
      <c r="V1171" s="36">
        <f t="shared" ref="V1171:V1207" si="93">$R1171*U1171</f>
        <v>2920</v>
      </c>
      <c r="W1171" s="28"/>
      <c r="X1171" s="31"/>
      <c r="Y1171" s="33"/>
      <c r="Z1171" s="189"/>
      <c r="AA1171" s="190"/>
      <c r="AB1171" s="31"/>
      <c r="AC1171" s="36"/>
      <c r="AD1171" s="8"/>
      <c r="AE1171" s="6"/>
      <c r="AF1171" s="52">
        <f t="shared" si="90"/>
        <v>122841480</v>
      </c>
      <c r="AG1171" s="25">
        <f t="shared" si="91"/>
        <v>0</v>
      </c>
      <c r="AH1171" s="52">
        <f t="shared" si="92"/>
        <v>0</v>
      </c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</row>
    <row r="1172" spans="1:44">
      <c r="A1172" s="6"/>
      <c r="B1172" s="6"/>
      <c r="C1172" s="6"/>
      <c r="D1172" s="6"/>
      <c r="E1172" s="6"/>
      <c r="F1172" s="6"/>
      <c r="G1172" s="11"/>
      <c r="H1172" s="6"/>
      <c r="I1172" s="6"/>
      <c r="J1172" s="6"/>
      <c r="K1172" s="7"/>
      <c r="L1172" s="21" t="s">
        <v>35</v>
      </c>
      <c r="M1172" s="22"/>
      <c r="N1172" s="22"/>
      <c r="O1172" s="22" t="s">
        <v>138</v>
      </c>
      <c r="P1172" s="23" t="s">
        <v>157</v>
      </c>
      <c r="Q1172" s="21" t="s">
        <v>59</v>
      </c>
      <c r="R1172" s="25">
        <v>1</v>
      </c>
      <c r="S1172" s="28"/>
      <c r="T1172" s="31">
        <v>42055</v>
      </c>
      <c r="U1172" s="33">
        <v>3900</v>
      </c>
      <c r="V1172" s="36">
        <f t="shared" si="93"/>
        <v>3900</v>
      </c>
      <c r="W1172" s="28"/>
      <c r="X1172" s="31"/>
      <c r="Y1172" s="33"/>
      <c r="Z1172" s="189"/>
      <c r="AA1172" s="190"/>
      <c r="AB1172" s="31">
        <v>42115</v>
      </c>
      <c r="AC1172" s="36">
        <v>3900</v>
      </c>
      <c r="AD1172" s="8"/>
      <c r="AE1172" s="6"/>
      <c r="AF1172" s="52">
        <f t="shared" si="90"/>
        <v>164014500</v>
      </c>
      <c r="AG1172" s="25">
        <f t="shared" si="91"/>
        <v>0</v>
      </c>
      <c r="AH1172" s="52">
        <f t="shared" si="92"/>
        <v>164248500</v>
      </c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</row>
    <row r="1173" spans="1:44">
      <c r="A1173" s="6"/>
      <c r="B1173" s="6"/>
      <c r="C1173" s="6"/>
      <c r="D1173" s="6"/>
      <c r="E1173" s="6"/>
      <c r="F1173" s="6"/>
      <c r="G1173" s="11"/>
      <c r="H1173" s="6"/>
      <c r="I1173" s="6"/>
      <c r="J1173" s="6"/>
      <c r="K1173" s="7"/>
      <c r="L1173" s="21" t="s">
        <v>35</v>
      </c>
      <c r="M1173" s="22"/>
      <c r="N1173" s="22"/>
      <c r="O1173" s="22" t="s">
        <v>138</v>
      </c>
      <c r="P1173" s="23" t="s">
        <v>157</v>
      </c>
      <c r="Q1173" s="21" t="s">
        <v>59</v>
      </c>
      <c r="R1173" s="25">
        <v>1</v>
      </c>
      <c r="S1173" s="28"/>
      <c r="T1173" s="31">
        <v>42052</v>
      </c>
      <c r="U1173" s="33">
        <v>2880</v>
      </c>
      <c r="V1173" s="36">
        <f t="shared" si="93"/>
        <v>2880</v>
      </c>
      <c r="W1173" s="28"/>
      <c r="X1173" s="31"/>
      <c r="Y1173" s="33"/>
      <c r="Z1173" s="189"/>
      <c r="AA1173" s="190"/>
      <c r="AB1173" s="31">
        <v>42057</v>
      </c>
      <c r="AC1173" s="36">
        <v>2880</v>
      </c>
      <c r="AD1173" s="8"/>
      <c r="AE1173" s="6"/>
      <c r="AF1173" s="52">
        <f t="shared" si="90"/>
        <v>121109760</v>
      </c>
      <c r="AG1173" s="25">
        <f t="shared" si="91"/>
        <v>0</v>
      </c>
      <c r="AH1173" s="52">
        <f t="shared" si="92"/>
        <v>121124160</v>
      </c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</row>
    <row r="1174" spans="1:44">
      <c r="A1174" s="6"/>
      <c r="B1174" s="6"/>
      <c r="C1174" s="6"/>
      <c r="D1174" s="6"/>
      <c r="E1174" s="6"/>
      <c r="F1174" s="6"/>
      <c r="G1174" s="11"/>
      <c r="H1174" s="6"/>
      <c r="I1174" s="6"/>
      <c r="J1174" s="6"/>
      <c r="K1174" s="7"/>
      <c r="L1174" s="21" t="s">
        <v>35</v>
      </c>
      <c r="M1174" s="22"/>
      <c r="N1174" s="22"/>
      <c r="O1174" s="22" t="s">
        <v>135</v>
      </c>
      <c r="P1174" s="23" t="s">
        <v>157</v>
      </c>
      <c r="Q1174" s="21" t="s">
        <v>108</v>
      </c>
      <c r="R1174" s="25">
        <v>1</v>
      </c>
      <c r="S1174" s="28"/>
      <c r="T1174" s="31">
        <v>42070</v>
      </c>
      <c r="U1174" s="33">
        <v>1716.44</v>
      </c>
      <c r="V1174" s="36">
        <f t="shared" si="93"/>
        <v>1716.44</v>
      </c>
      <c r="W1174" s="28"/>
      <c r="X1174" s="31"/>
      <c r="Y1174" s="33"/>
      <c r="Z1174" s="189"/>
      <c r="AA1174" s="190"/>
      <c r="AB1174" s="31">
        <v>42110</v>
      </c>
      <c r="AC1174" s="36">
        <v>1716.44</v>
      </c>
      <c r="AD1174" s="8"/>
      <c r="AE1174" s="6"/>
      <c r="AF1174" s="52">
        <f t="shared" si="90"/>
        <v>72210630.799999997</v>
      </c>
      <c r="AG1174" s="25">
        <f t="shared" si="91"/>
        <v>0</v>
      </c>
      <c r="AH1174" s="52">
        <f t="shared" si="92"/>
        <v>72279288.400000006</v>
      </c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</row>
    <row r="1175" spans="1:44">
      <c r="A1175" s="6"/>
      <c r="B1175" s="6"/>
      <c r="C1175" s="6"/>
      <c r="D1175" s="6"/>
      <c r="E1175" s="6"/>
      <c r="F1175" s="6"/>
      <c r="G1175" s="11"/>
      <c r="H1175" s="6"/>
      <c r="I1175" s="6"/>
      <c r="J1175" s="6"/>
      <c r="K1175" s="7"/>
      <c r="L1175" s="21" t="s">
        <v>35</v>
      </c>
      <c r="M1175" s="22"/>
      <c r="N1175" s="22"/>
      <c r="O1175" s="22" t="s">
        <v>135</v>
      </c>
      <c r="P1175" s="23" t="s">
        <v>157</v>
      </c>
      <c r="Q1175" s="21" t="s">
        <v>108</v>
      </c>
      <c r="R1175" s="25">
        <v>1</v>
      </c>
      <c r="S1175" s="28"/>
      <c r="T1175" s="31">
        <v>42075</v>
      </c>
      <c r="U1175" s="33">
        <v>1716.44</v>
      </c>
      <c r="V1175" s="36">
        <f t="shared" si="93"/>
        <v>1716.44</v>
      </c>
      <c r="W1175" s="28"/>
      <c r="X1175" s="31"/>
      <c r="Y1175" s="33"/>
      <c r="Z1175" s="189"/>
      <c r="AA1175" s="190"/>
      <c r="AB1175" s="31">
        <v>42110</v>
      </c>
      <c r="AC1175" s="36">
        <v>1716.44</v>
      </c>
      <c r="AD1175" s="8"/>
      <c r="AE1175" s="6"/>
      <c r="AF1175" s="52">
        <f t="shared" si="90"/>
        <v>72219213</v>
      </c>
      <c r="AG1175" s="25">
        <f t="shared" si="91"/>
        <v>0</v>
      </c>
      <c r="AH1175" s="52">
        <f t="shared" si="92"/>
        <v>72279288.400000006</v>
      </c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</row>
    <row r="1176" spans="1:44">
      <c r="A1176" s="6"/>
      <c r="B1176" s="6"/>
      <c r="C1176" s="6"/>
      <c r="D1176" s="6"/>
      <c r="E1176" s="6"/>
      <c r="F1176" s="6"/>
      <c r="G1176" s="11"/>
      <c r="H1176" s="6"/>
      <c r="I1176" s="6"/>
      <c r="J1176" s="6"/>
      <c r="K1176" s="7"/>
      <c r="L1176" s="21" t="s">
        <v>35</v>
      </c>
      <c r="M1176" s="22"/>
      <c r="N1176" s="22"/>
      <c r="O1176" s="22" t="s">
        <v>135</v>
      </c>
      <c r="P1176" s="23" t="s">
        <v>157</v>
      </c>
      <c r="Q1176" s="21" t="s">
        <v>105</v>
      </c>
      <c r="R1176" s="25">
        <v>1</v>
      </c>
      <c r="S1176" s="28"/>
      <c r="T1176" s="31">
        <v>42065</v>
      </c>
      <c r="U1176" s="33">
        <v>400.4</v>
      </c>
      <c r="V1176" s="36">
        <f t="shared" si="93"/>
        <v>400.4</v>
      </c>
      <c r="W1176" s="28"/>
      <c r="X1176" s="31"/>
      <c r="Y1176" s="33"/>
      <c r="Z1176" s="189"/>
      <c r="AA1176" s="190"/>
      <c r="AB1176" s="31">
        <v>42080</v>
      </c>
      <c r="AC1176" s="36">
        <v>400.4</v>
      </c>
      <c r="AD1176" s="8"/>
      <c r="AE1176" s="6"/>
      <c r="AF1176" s="52">
        <f t="shared" si="90"/>
        <v>16842826</v>
      </c>
      <c r="AG1176" s="25">
        <f t="shared" si="91"/>
        <v>0</v>
      </c>
      <c r="AH1176" s="52">
        <f t="shared" si="92"/>
        <v>16848832</v>
      </c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</row>
    <row r="1177" spans="1:44">
      <c r="A1177" s="6"/>
      <c r="B1177" s="6"/>
      <c r="C1177" s="6"/>
      <c r="D1177" s="6"/>
      <c r="E1177" s="6"/>
      <c r="F1177" s="6"/>
      <c r="G1177" s="11"/>
      <c r="H1177" s="6"/>
      <c r="I1177" s="6"/>
      <c r="J1177" s="6"/>
      <c r="K1177" s="7"/>
      <c r="L1177" s="21" t="s">
        <v>35</v>
      </c>
      <c r="M1177" s="22"/>
      <c r="N1177" s="22"/>
      <c r="O1177" s="22" t="s">
        <v>135</v>
      </c>
      <c r="P1177" s="23" t="s">
        <v>157</v>
      </c>
      <c r="Q1177" s="21" t="s">
        <v>105</v>
      </c>
      <c r="R1177" s="25">
        <v>2</v>
      </c>
      <c r="S1177" s="28"/>
      <c r="T1177" s="31">
        <v>42065</v>
      </c>
      <c r="U1177" s="33">
        <v>400.4</v>
      </c>
      <c r="V1177" s="36">
        <f t="shared" si="93"/>
        <v>800.8</v>
      </c>
      <c r="W1177" s="28"/>
      <c r="X1177" s="31"/>
      <c r="Y1177" s="33"/>
      <c r="Z1177" s="189"/>
      <c r="AA1177" s="190"/>
      <c r="AB1177" s="31">
        <v>42115</v>
      </c>
      <c r="AC1177" s="36">
        <v>800.8</v>
      </c>
      <c r="AD1177" s="8"/>
      <c r="AE1177" s="6"/>
      <c r="AF1177" s="52">
        <f t="shared" si="90"/>
        <v>33685652</v>
      </c>
      <c r="AG1177" s="25">
        <f t="shared" si="91"/>
        <v>0</v>
      </c>
      <c r="AH1177" s="52">
        <f t="shared" si="92"/>
        <v>33725692</v>
      </c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</row>
    <row r="1178" spans="1:44">
      <c r="A1178" s="6"/>
      <c r="B1178" s="6"/>
      <c r="C1178" s="6"/>
      <c r="D1178" s="6"/>
      <c r="E1178" s="6"/>
      <c r="F1178" s="6"/>
      <c r="G1178" s="11"/>
      <c r="H1178" s="6"/>
      <c r="I1178" s="6"/>
      <c r="J1178" s="6"/>
      <c r="K1178" s="7"/>
      <c r="L1178" s="21" t="s">
        <v>35</v>
      </c>
      <c r="M1178" s="22"/>
      <c r="N1178" s="22"/>
      <c r="O1178" s="22" t="s">
        <v>135</v>
      </c>
      <c r="P1178" s="23" t="s">
        <v>157</v>
      </c>
      <c r="Q1178" s="21" t="s">
        <v>105</v>
      </c>
      <c r="R1178" s="25">
        <v>1</v>
      </c>
      <c r="S1178" s="28"/>
      <c r="T1178" s="31">
        <v>42084</v>
      </c>
      <c r="U1178" s="33">
        <v>1455.51</v>
      </c>
      <c r="V1178" s="36">
        <f t="shared" si="93"/>
        <v>1455.51</v>
      </c>
      <c r="W1178" s="28"/>
      <c r="X1178" s="31"/>
      <c r="Y1178" s="33"/>
      <c r="Z1178" s="189"/>
      <c r="AA1178" s="190"/>
      <c r="AB1178" s="31">
        <v>42104</v>
      </c>
      <c r="AC1178" s="36">
        <v>1455.51</v>
      </c>
      <c r="AD1178" s="8"/>
      <c r="AE1178" s="6"/>
      <c r="AF1178" s="52">
        <f t="shared" si="90"/>
        <v>61253682.839999996</v>
      </c>
      <c r="AG1178" s="25">
        <f t="shared" si="91"/>
        <v>0</v>
      </c>
      <c r="AH1178" s="52">
        <f t="shared" si="92"/>
        <v>61282793.039999999</v>
      </c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</row>
    <row r="1179" spans="1:44">
      <c r="A1179" s="6"/>
      <c r="B1179" s="6"/>
      <c r="C1179" s="6"/>
      <c r="D1179" s="6"/>
      <c r="E1179" s="6"/>
      <c r="F1179" s="6"/>
      <c r="G1179" s="11"/>
      <c r="H1179" s="6"/>
      <c r="I1179" s="6"/>
      <c r="J1179" s="6"/>
      <c r="K1179" s="7"/>
      <c r="L1179" s="21" t="s">
        <v>35</v>
      </c>
      <c r="M1179" s="22"/>
      <c r="N1179" s="22"/>
      <c r="O1179" s="22" t="s">
        <v>144</v>
      </c>
      <c r="P1179" s="23" t="s">
        <v>156</v>
      </c>
      <c r="Q1179" s="21" t="s">
        <v>83</v>
      </c>
      <c r="R1179" s="25">
        <v>1</v>
      </c>
      <c r="S1179" s="28"/>
      <c r="T1179" s="31">
        <v>42151</v>
      </c>
      <c r="U1179" s="33">
        <v>4415.37</v>
      </c>
      <c r="V1179" s="36">
        <f t="shared" si="93"/>
        <v>4415.37</v>
      </c>
      <c r="W1179" s="28"/>
      <c r="X1179" s="31"/>
      <c r="Y1179" s="33"/>
      <c r="Z1179" s="189"/>
      <c r="AA1179" s="190"/>
      <c r="AB1179" s="31">
        <v>42181</v>
      </c>
      <c r="AC1179" s="36">
        <v>4415.37</v>
      </c>
      <c r="AD1179" s="8"/>
      <c r="AE1179" s="6"/>
      <c r="AF1179" s="52">
        <f t="shared" si="90"/>
        <v>186112260.87</v>
      </c>
      <c r="AG1179" s="25">
        <f t="shared" si="91"/>
        <v>0</v>
      </c>
      <c r="AH1179" s="52">
        <f t="shared" si="92"/>
        <v>186244721.97</v>
      </c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</row>
    <row r="1180" spans="1:44">
      <c r="A1180" s="6"/>
      <c r="B1180" s="6"/>
      <c r="C1180" s="6"/>
      <c r="D1180" s="6"/>
      <c r="E1180" s="6"/>
      <c r="F1180" s="6"/>
      <c r="G1180" s="11"/>
      <c r="H1180" s="6"/>
      <c r="I1180" s="6"/>
      <c r="J1180" s="6"/>
      <c r="K1180" s="7"/>
      <c r="L1180" s="21" t="s">
        <v>35</v>
      </c>
      <c r="M1180" s="22"/>
      <c r="N1180" s="22"/>
      <c r="O1180" s="22" t="s">
        <v>144</v>
      </c>
      <c r="P1180" s="23" t="s">
        <v>156</v>
      </c>
      <c r="Q1180" s="21" t="s">
        <v>83</v>
      </c>
      <c r="R1180" s="25">
        <v>1</v>
      </c>
      <c r="S1180" s="28"/>
      <c r="T1180" s="31">
        <v>42151</v>
      </c>
      <c r="U1180" s="33">
        <v>2319.5500000000002</v>
      </c>
      <c r="V1180" s="36">
        <f t="shared" si="93"/>
        <v>2319.5500000000002</v>
      </c>
      <c r="W1180" s="28"/>
      <c r="X1180" s="31"/>
      <c r="Y1180" s="33"/>
      <c r="Z1180" s="189"/>
      <c r="AA1180" s="190"/>
      <c r="AB1180" s="31">
        <v>42176</v>
      </c>
      <c r="AC1180" s="36">
        <v>2319.5500000000002</v>
      </c>
      <c r="AD1180" s="8"/>
      <c r="AE1180" s="6"/>
      <c r="AF1180" s="52">
        <f t="shared" si="90"/>
        <v>97771352.050000012</v>
      </c>
      <c r="AG1180" s="25">
        <f t="shared" si="91"/>
        <v>0</v>
      </c>
      <c r="AH1180" s="52">
        <f t="shared" si="92"/>
        <v>97829340.800000012</v>
      </c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</row>
    <row r="1181" spans="1:44">
      <c r="A1181" s="6"/>
      <c r="B1181" s="6"/>
      <c r="C1181" s="6"/>
      <c r="D1181" s="6"/>
      <c r="E1181" s="6"/>
      <c r="F1181" s="6"/>
      <c r="G1181" s="11"/>
      <c r="H1181" s="6"/>
      <c r="I1181" s="6"/>
      <c r="J1181" s="6"/>
      <c r="K1181" s="7"/>
      <c r="L1181" s="21" t="s">
        <v>35</v>
      </c>
      <c r="M1181" s="22"/>
      <c r="N1181" s="22"/>
      <c r="O1181" s="22" t="s">
        <v>144</v>
      </c>
      <c r="P1181" s="23" t="s">
        <v>156</v>
      </c>
      <c r="Q1181" s="21" t="s">
        <v>83</v>
      </c>
      <c r="R1181" s="25">
        <v>1</v>
      </c>
      <c r="S1181" s="28"/>
      <c r="T1181" s="31">
        <v>42185</v>
      </c>
      <c r="U1181" s="33">
        <v>2500.56</v>
      </c>
      <c r="V1181" s="36">
        <f t="shared" si="93"/>
        <v>2500.56</v>
      </c>
      <c r="W1181" s="28"/>
      <c r="X1181" s="31"/>
      <c r="Y1181" s="33"/>
      <c r="Z1181" s="189"/>
      <c r="AA1181" s="190"/>
      <c r="AB1181" s="31"/>
      <c r="AC1181" s="36"/>
      <c r="AD1181" s="8"/>
      <c r="AE1181" s="6"/>
      <c r="AF1181" s="52">
        <f t="shared" si="90"/>
        <v>105486123.59999999</v>
      </c>
      <c r="AG1181" s="25">
        <f t="shared" si="91"/>
        <v>0</v>
      </c>
      <c r="AH1181" s="52">
        <f t="shared" si="92"/>
        <v>0</v>
      </c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</row>
    <row r="1182" spans="1:44">
      <c r="A1182" s="6"/>
      <c r="B1182" s="6"/>
      <c r="C1182" s="6"/>
      <c r="D1182" s="6"/>
      <c r="E1182" s="6"/>
      <c r="F1182" s="6"/>
      <c r="G1182" s="11"/>
      <c r="H1182" s="6"/>
      <c r="I1182" s="6"/>
      <c r="J1182" s="6"/>
      <c r="K1182" s="7"/>
      <c r="L1182" s="21" t="s">
        <v>35</v>
      </c>
      <c r="M1182" s="22"/>
      <c r="N1182" s="22"/>
      <c r="O1182" s="22" t="s">
        <v>146</v>
      </c>
      <c r="P1182" s="23" t="s">
        <v>157</v>
      </c>
      <c r="Q1182" s="21" t="s">
        <v>115</v>
      </c>
      <c r="R1182" s="25">
        <v>1</v>
      </c>
      <c r="S1182" s="28"/>
      <c r="T1182" s="31">
        <v>42184</v>
      </c>
      <c r="U1182" s="33">
        <v>1806.42</v>
      </c>
      <c r="V1182" s="36">
        <f t="shared" si="93"/>
        <v>1806.42</v>
      </c>
      <c r="W1182" s="28"/>
      <c r="X1182" s="31"/>
      <c r="Y1182" s="33"/>
      <c r="Z1182" s="189"/>
      <c r="AA1182" s="190"/>
      <c r="AB1182" s="31">
        <v>42191</v>
      </c>
      <c r="AC1182" s="36">
        <v>1806.42</v>
      </c>
      <c r="AD1182" s="8"/>
      <c r="AE1182" s="6"/>
      <c r="AF1182" s="52">
        <f t="shared" si="90"/>
        <v>76202021.280000001</v>
      </c>
      <c r="AG1182" s="25">
        <f t="shared" si="91"/>
        <v>0</v>
      </c>
      <c r="AH1182" s="52">
        <f t="shared" si="92"/>
        <v>76214666.219999999</v>
      </c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</row>
    <row r="1183" spans="1:44">
      <c r="A1183" s="6"/>
      <c r="B1183" s="6"/>
      <c r="C1183" s="6"/>
      <c r="D1183" s="6"/>
      <c r="E1183" s="6"/>
      <c r="F1183" s="6"/>
      <c r="G1183" s="11"/>
      <c r="H1183" s="6"/>
      <c r="I1183" s="6"/>
      <c r="J1183" s="6"/>
      <c r="K1183" s="7"/>
      <c r="L1183" s="21" t="s">
        <v>35</v>
      </c>
      <c r="M1183" s="22"/>
      <c r="N1183" s="22"/>
      <c r="O1183" s="22" t="s">
        <v>146</v>
      </c>
      <c r="P1183" s="23" t="s">
        <v>157</v>
      </c>
      <c r="Q1183" s="21" t="s">
        <v>115</v>
      </c>
      <c r="R1183" s="25">
        <v>1</v>
      </c>
      <c r="S1183" s="28"/>
      <c r="T1183" s="31">
        <v>42158</v>
      </c>
      <c r="U1183" s="33">
        <v>1806.42</v>
      </c>
      <c r="V1183" s="36">
        <f t="shared" si="93"/>
        <v>1806.42</v>
      </c>
      <c r="W1183" s="28"/>
      <c r="X1183" s="31"/>
      <c r="Y1183" s="33"/>
      <c r="Z1183" s="189"/>
      <c r="AA1183" s="190"/>
      <c r="AB1183" s="31">
        <v>42180</v>
      </c>
      <c r="AC1183" s="36">
        <v>1806.42</v>
      </c>
      <c r="AD1183" s="8"/>
      <c r="AE1183" s="6"/>
      <c r="AF1183" s="52">
        <f t="shared" si="90"/>
        <v>76155054.359999999</v>
      </c>
      <c r="AG1183" s="25">
        <f t="shared" si="91"/>
        <v>0</v>
      </c>
      <c r="AH1183" s="52">
        <f t="shared" si="92"/>
        <v>76194795.600000009</v>
      </c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</row>
    <row r="1184" spans="1:44">
      <c r="A1184" s="6"/>
      <c r="B1184" s="6"/>
      <c r="C1184" s="6"/>
      <c r="D1184" s="6"/>
      <c r="E1184" s="6"/>
      <c r="F1184" s="6"/>
      <c r="G1184" s="11"/>
      <c r="H1184" s="6"/>
      <c r="I1184" s="6"/>
      <c r="J1184" s="6"/>
      <c r="K1184" s="7"/>
      <c r="L1184" s="21" t="s">
        <v>35</v>
      </c>
      <c r="M1184" s="22"/>
      <c r="N1184" s="22"/>
      <c r="O1184" s="22" t="s">
        <v>146</v>
      </c>
      <c r="P1184" s="23" t="s">
        <v>157</v>
      </c>
      <c r="Q1184" s="21" t="s">
        <v>115</v>
      </c>
      <c r="R1184" s="25">
        <v>1</v>
      </c>
      <c r="S1184" s="28"/>
      <c r="T1184" s="31">
        <v>42151</v>
      </c>
      <c r="U1184" s="33">
        <v>1806.42</v>
      </c>
      <c r="V1184" s="36">
        <f t="shared" si="93"/>
        <v>1806.42</v>
      </c>
      <c r="W1184" s="28"/>
      <c r="X1184" s="31"/>
      <c r="Y1184" s="33"/>
      <c r="Z1184" s="189"/>
      <c r="AA1184" s="190"/>
      <c r="AB1184" s="31">
        <v>42183</v>
      </c>
      <c r="AC1184" s="36">
        <v>1806.42</v>
      </c>
      <c r="AD1184" s="8"/>
      <c r="AE1184" s="6"/>
      <c r="AF1184" s="52">
        <f t="shared" si="90"/>
        <v>76142409.420000002</v>
      </c>
      <c r="AG1184" s="25">
        <f t="shared" si="91"/>
        <v>0</v>
      </c>
      <c r="AH1184" s="52">
        <f t="shared" si="92"/>
        <v>76200214.859999999</v>
      </c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</row>
    <row r="1185" spans="1:44">
      <c r="A1185" s="6"/>
      <c r="B1185" s="6"/>
      <c r="C1185" s="6"/>
      <c r="D1185" s="6"/>
      <c r="E1185" s="6"/>
      <c r="F1185" s="6"/>
      <c r="G1185" s="11"/>
      <c r="H1185" s="6"/>
      <c r="I1185" s="6"/>
      <c r="J1185" s="6"/>
      <c r="K1185" s="7"/>
      <c r="L1185" s="21" t="s">
        <v>35</v>
      </c>
      <c r="M1185" s="22"/>
      <c r="N1185" s="22"/>
      <c r="O1185" s="22" t="s">
        <v>147</v>
      </c>
      <c r="P1185" s="23" t="s">
        <v>156</v>
      </c>
      <c r="Q1185" s="21" t="s">
        <v>83</v>
      </c>
      <c r="R1185" s="25">
        <v>1</v>
      </c>
      <c r="S1185" s="28"/>
      <c r="T1185" s="31">
        <v>42155</v>
      </c>
      <c r="U1185" s="33">
        <v>2268.5</v>
      </c>
      <c r="V1185" s="36">
        <f t="shared" si="93"/>
        <v>2268.5</v>
      </c>
      <c r="W1185" s="28"/>
      <c r="X1185" s="31"/>
      <c r="Y1185" s="33"/>
      <c r="Z1185" s="189"/>
      <c r="AA1185" s="190"/>
      <c r="AB1185" s="31">
        <v>42200</v>
      </c>
      <c r="AC1185" s="36">
        <v>2268.5</v>
      </c>
      <c r="AD1185" s="8"/>
      <c r="AE1185" s="6"/>
      <c r="AF1185" s="52">
        <f t="shared" si="90"/>
        <v>95628617.5</v>
      </c>
      <c r="AG1185" s="25">
        <f t="shared" si="91"/>
        <v>0</v>
      </c>
      <c r="AH1185" s="52">
        <f t="shared" si="92"/>
        <v>95730700</v>
      </c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</row>
    <row r="1186" spans="1:44">
      <c r="A1186" s="6"/>
      <c r="B1186" s="6"/>
      <c r="C1186" s="6"/>
      <c r="D1186" s="6"/>
      <c r="E1186" s="6"/>
      <c r="F1186" s="6"/>
      <c r="G1186" s="11"/>
      <c r="H1186" s="6"/>
      <c r="I1186" s="6"/>
      <c r="J1186" s="6"/>
      <c r="K1186" s="7"/>
      <c r="L1186" s="21" t="s">
        <v>35</v>
      </c>
      <c r="M1186" s="22"/>
      <c r="N1186" s="22"/>
      <c r="O1186" s="22" t="s">
        <v>147</v>
      </c>
      <c r="P1186" s="23" t="s">
        <v>156</v>
      </c>
      <c r="Q1186" s="21" t="s">
        <v>83</v>
      </c>
      <c r="R1186" s="25">
        <v>1</v>
      </c>
      <c r="S1186" s="28"/>
      <c r="T1186" s="31">
        <v>42183</v>
      </c>
      <c r="U1186" s="33">
        <v>2268.5</v>
      </c>
      <c r="V1186" s="36">
        <f t="shared" si="93"/>
        <v>2268.5</v>
      </c>
      <c r="W1186" s="28"/>
      <c r="X1186" s="31"/>
      <c r="Y1186" s="33"/>
      <c r="Z1186" s="189"/>
      <c r="AA1186" s="190"/>
      <c r="AB1186" s="31">
        <v>42221</v>
      </c>
      <c r="AC1186" s="36">
        <v>2268.5</v>
      </c>
      <c r="AD1186" s="8"/>
      <c r="AE1186" s="6"/>
      <c r="AF1186" s="52">
        <f t="shared" si="90"/>
        <v>95692135.5</v>
      </c>
      <c r="AG1186" s="25">
        <f t="shared" si="91"/>
        <v>0</v>
      </c>
      <c r="AH1186" s="52">
        <f t="shared" si="92"/>
        <v>95778338.5</v>
      </c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</row>
    <row r="1187" spans="1:44">
      <c r="A1187" s="6"/>
      <c r="B1187" s="6"/>
      <c r="C1187" s="6"/>
      <c r="D1187" s="6"/>
      <c r="E1187" s="6"/>
      <c r="F1187" s="6"/>
      <c r="G1187" s="11"/>
      <c r="H1187" s="6"/>
      <c r="I1187" s="6"/>
      <c r="J1187" s="6"/>
      <c r="K1187" s="7"/>
      <c r="L1187" s="21" t="s">
        <v>35</v>
      </c>
      <c r="M1187" s="22"/>
      <c r="N1187" s="22"/>
      <c r="O1187" s="22" t="s">
        <v>138</v>
      </c>
      <c r="P1187" s="23" t="s">
        <v>157</v>
      </c>
      <c r="Q1187" s="21" t="s">
        <v>106</v>
      </c>
      <c r="R1187" s="25">
        <v>1</v>
      </c>
      <c r="S1187" s="28"/>
      <c r="T1187" s="31">
        <v>42159</v>
      </c>
      <c r="U1187" s="33">
        <v>1240</v>
      </c>
      <c r="V1187" s="36">
        <f t="shared" si="93"/>
        <v>1240</v>
      </c>
      <c r="W1187" s="28"/>
      <c r="X1187" s="31"/>
      <c r="Y1187" s="33"/>
      <c r="Z1187" s="189"/>
      <c r="AA1187" s="190"/>
      <c r="AB1187" s="31">
        <v>42171</v>
      </c>
      <c r="AC1187" s="36">
        <v>1240</v>
      </c>
      <c r="AD1187" s="8"/>
      <c r="AE1187" s="6"/>
      <c r="AF1187" s="52">
        <f t="shared" si="90"/>
        <v>52277160</v>
      </c>
      <c r="AG1187" s="25">
        <f t="shared" si="91"/>
        <v>0</v>
      </c>
      <c r="AH1187" s="52">
        <f t="shared" si="92"/>
        <v>52292040</v>
      </c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</row>
    <row r="1188" spans="1:44">
      <c r="A1188" s="6"/>
      <c r="B1188" s="6"/>
      <c r="C1188" s="6"/>
      <c r="D1188" s="6"/>
      <c r="E1188" s="6"/>
      <c r="F1188" s="6"/>
      <c r="G1188" s="11"/>
      <c r="H1188" s="6"/>
      <c r="I1188" s="6"/>
      <c r="J1188" s="6"/>
      <c r="K1188" s="7"/>
      <c r="L1188" s="21" t="s">
        <v>35</v>
      </c>
      <c r="M1188" s="22"/>
      <c r="N1188" s="22"/>
      <c r="O1188" s="22" t="s">
        <v>135</v>
      </c>
      <c r="P1188" s="23" t="s">
        <v>157</v>
      </c>
      <c r="Q1188" s="21" t="s">
        <v>133</v>
      </c>
      <c r="R1188" s="25">
        <v>1</v>
      </c>
      <c r="S1188" s="28"/>
      <c r="T1188" s="31">
        <v>42158</v>
      </c>
      <c r="U1188" s="33">
        <v>415.5</v>
      </c>
      <c r="V1188" s="36">
        <f t="shared" si="93"/>
        <v>415.5</v>
      </c>
      <c r="W1188" s="28"/>
      <c r="X1188" s="31"/>
      <c r="Y1188" s="33"/>
      <c r="Z1188" s="189"/>
      <c r="AA1188" s="190"/>
      <c r="AB1188" s="31">
        <v>42168</v>
      </c>
      <c r="AC1188" s="36">
        <v>415.5</v>
      </c>
      <c r="AD1188" s="8"/>
      <c r="AE1188" s="6"/>
      <c r="AF1188" s="52">
        <f t="shared" si="90"/>
        <v>17516649</v>
      </c>
      <c r="AG1188" s="25">
        <f t="shared" si="91"/>
        <v>0</v>
      </c>
      <c r="AH1188" s="52">
        <f>AB1188*AC1188</f>
        <v>17520804</v>
      </c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</row>
    <row r="1189" spans="1:44">
      <c r="A1189" s="6"/>
      <c r="B1189" s="6"/>
      <c r="C1189" s="6"/>
      <c r="D1189" s="6"/>
      <c r="E1189" s="6"/>
      <c r="F1189" s="6"/>
      <c r="G1189" s="11"/>
      <c r="H1189" s="6"/>
      <c r="I1189" s="6"/>
      <c r="J1189" s="6"/>
      <c r="K1189" s="7"/>
      <c r="L1189" s="21" t="s">
        <v>35</v>
      </c>
      <c r="M1189" s="22"/>
      <c r="N1189" s="22"/>
      <c r="O1189" s="22" t="s">
        <v>135</v>
      </c>
      <c r="P1189" s="23" t="s">
        <v>157</v>
      </c>
      <c r="Q1189" s="21" t="s">
        <v>133</v>
      </c>
      <c r="R1189" s="25">
        <v>1</v>
      </c>
      <c r="S1189" s="28"/>
      <c r="T1189" s="31">
        <v>42155</v>
      </c>
      <c r="U1189" s="33">
        <v>415.5</v>
      </c>
      <c r="V1189" s="36">
        <f t="shared" si="93"/>
        <v>415.5</v>
      </c>
      <c r="W1189" s="28"/>
      <c r="X1189" s="31"/>
      <c r="Y1189" s="33"/>
      <c r="Z1189" s="189"/>
      <c r="AA1189" s="190"/>
      <c r="AB1189" s="31">
        <v>42175</v>
      </c>
      <c r="AC1189" s="36">
        <v>415.5</v>
      </c>
      <c r="AD1189" s="8"/>
      <c r="AE1189" s="6"/>
      <c r="AF1189" s="52">
        <f t="shared" si="90"/>
        <v>17515402.5</v>
      </c>
      <c r="AG1189" s="25">
        <f t="shared" si="91"/>
        <v>0</v>
      </c>
      <c r="AH1189" s="52">
        <f t="shared" si="92"/>
        <v>17523712.5</v>
      </c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</row>
    <row r="1190" spans="1:44">
      <c r="A1190" s="6"/>
      <c r="B1190" s="6"/>
      <c r="C1190" s="6"/>
      <c r="D1190" s="6"/>
      <c r="E1190" s="6"/>
      <c r="F1190" s="6"/>
      <c r="G1190" s="11"/>
      <c r="H1190" s="6"/>
      <c r="I1190" s="6"/>
      <c r="J1190" s="6"/>
      <c r="K1190" s="7"/>
      <c r="L1190" s="21" t="s">
        <v>35</v>
      </c>
      <c r="M1190" s="22"/>
      <c r="N1190" s="22"/>
      <c r="O1190" s="22" t="s">
        <v>144</v>
      </c>
      <c r="P1190" s="23" t="s">
        <v>156</v>
      </c>
      <c r="Q1190" s="21" t="s">
        <v>116</v>
      </c>
      <c r="R1190" s="25">
        <v>1</v>
      </c>
      <c r="S1190" s="28"/>
      <c r="T1190" s="31">
        <v>42238</v>
      </c>
      <c r="U1190" s="33">
        <v>1596.63</v>
      </c>
      <c r="V1190" s="36">
        <f t="shared" si="93"/>
        <v>1596.63</v>
      </c>
      <c r="W1190" s="28"/>
      <c r="X1190" s="31"/>
      <c r="Y1190" s="33"/>
      <c r="Z1190" s="189"/>
      <c r="AA1190" s="190"/>
      <c r="AB1190" s="31"/>
      <c r="AC1190" s="36"/>
      <c r="AD1190" s="8"/>
      <c r="AE1190" s="6"/>
      <c r="AF1190" s="52">
        <f t="shared" si="90"/>
        <v>67438457.939999998</v>
      </c>
      <c r="AG1190" s="25">
        <f t="shared" si="91"/>
        <v>0</v>
      </c>
      <c r="AH1190" s="52">
        <f t="shared" si="92"/>
        <v>0</v>
      </c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</row>
    <row r="1191" spans="1:44">
      <c r="A1191" s="6"/>
      <c r="B1191" s="6"/>
      <c r="C1191" s="6"/>
      <c r="D1191" s="6"/>
      <c r="E1191" s="6"/>
      <c r="F1191" s="6"/>
      <c r="G1191" s="11"/>
      <c r="H1191" s="6"/>
      <c r="I1191" s="6"/>
      <c r="J1191" s="6"/>
      <c r="K1191" s="7"/>
      <c r="L1191" s="21" t="s">
        <v>35</v>
      </c>
      <c r="M1191" s="22"/>
      <c r="N1191" s="22"/>
      <c r="O1191" s="22" t="s">
        <v>144</v>
      </c>
      <c r="P1191" s="23" t="s">
        <v>156</v>
      </c>
      <c r="Q1191" s="21" t="s">
        <v>116</v>
      </c>
      <c r="R1191" s="25">
        <v>1</v>
      </c>
      <c r="S1191" s="28"/>
      <c r="T1191" s="31">
        <v>42237</v>
      </c>
      <c r="U1191" s="33">
        <v>1561.68</v>
      </c>
      <c r="V1191" s="36">
        <f t="shared" si="93"/>
        <v>1561.68</v>
      </c>
      <c r="W1191" s="28"/>
      <c r="X1191" s="31"/>
      <c r="Y1191" s="33"/>
      <c r="Z1191" s="189"/>
      <c r="AA1191" s="190"/>
      <c r="AB1191" s="31">
        <v>42267</v>
      </c>
      <c r="AC1191" s="36">
        <v>1561.68</v>
      </c>
      <c r="AD1191" s="8"/>
      <c r="AE1191" s="6"/>
      <c r="AF1191" s="52">
        <f t="shared" si="90"/>
        <v>65960678.160000004</v>
      </c>
      <c r="AG1191" s="25">
        <f t="shared" si="91"/>
        <v>0</v>
      </c>
      <c r="AH1191" s="52">
        <f t="shared" si="92"/>
        <v>66007528.560000002</v>
      </c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</row>
    <row r="1192" spans="1:44">
      <c r="A1192" s="6"/>
      <c r="B1192" s="6"/>
      <c r="C1192" s="6"/>
      <c r="D1192" s="6"/>
      <c r="E1192" s="6"/>
      <c r="F1192" s="6"/>
      <c r="G1192" s="11"/>
      <c r="H1192" s="6"/>
      <c r="I1192" s="6"/>
      <c r="J1192" s="6"/>
      <c r="K1192" s="7"/>
      <c r="L1192" s="21" t="s">
        <v>35</v>
      </c>
      <c r="M1192" s="22"/>
      <c r="N1192" s="22"/>
      <c r="O1192" s="22" t="s">
        <v>144</v>
      </c>
      <c r="P1192" s="23" t="s">
        <v>156</v>
      </c>
      <c r="Q1192" s="21" t="s">
        <v>116</v>
      </c>
      <c r="R1192" s="25">
        <v>1</v>
      </c>
      <c r="S1192" s="28"/>
      <c r="T1192" s="31">
        <v>42235</v>
      </c>
      <c r="U1192" s="33">
        <v>1528.08</v>
      </c>
      <c r="V1192" s="36">
        <f t="shared" si="93"/>
        <v>1528.08</v>
      </c>
      <c r="W1192" s="28"/>
      <c r="X1192" s="31"/>
      <c r="Y1192" s="33"/>
      <c r="Z1192" s="189"/>
      <c r="AA1192" s="190"/>
      <c r="AB1192" s="31">
        <v>42280</v>
      </c>
      <c r="AC1192" s="36">
        <v>1528.08</v>
      </c>
      <c r="AD1192" s="8"/>
      <c r="AE1192" s="6"/>
      <c r="AF1192" s="52">
        <f t="shared" si="90"/>
        <v>64538458.799999997</v>
      </c>
      <c r="AG1192" s="25">
        <f t="shared" si="91"/>
        <v>0</v>
      </c>
      <c r="AH1192" s="52">
        <f t="shared" si="92"/>
        <v>64607222.399999999</v>
      </c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</row>
    <row r="1193" spans="1:44">
      <c r="A1193" s="6"/>
      <c r="B1193" s="6"/>
      <c r="C1193" s="6"/>
      <c r="D1193" s="6"/>
      <c r="E1193" s="6"/>
      <c r="F1193" s="6"/>
      <c r="G1193" s="11"/>
      <c r="H1193" s="6"/>
      <c r="I1193" s="6"/>
      <c r="J1193" s="6"/>
      <c r="K1193" s="7"/>
      <c r="L1193" s="21" t="s">
        <v>35</v>
      </c>
      <c r="M1193" s="22"/>
      <c r="N1193" s="22"/>
      <c r="O1193" s="22" t="s">
        <v>144</v>
      </c>
      <c r="P1193" s="23" t="s">
        <v>156</v>
      </c>
      <c r="Q1193" s="21" t="s">
        <v>116</v>
      </c>
      <c r="R1193" s="25">
        <v>1</v>
      </c>
      <c r="S1193" s="28"/>
      <c r="T1193" s="31">
        <v>42236</v>
      </c>
      <c r="U1193" s="33">
        <v>1561.68</v>
      </c>
      <c r="V1193" s="36">
        <f t="shared" si="93"/>
        <v>1561.68</v>
      </c>
      <c r="W1193" s="28"/>
      <c r="X1193" s="31"/>
      <c r="Y1193" s="33"/>
      <c r="Z1193" s="189"/>
      <c r="AA1193" s="190"/>
      <c r="AB1193" s="31">
        <v>42296</v>
      </c>
      <c r="AC1193" s="36">
        <v>1561.68</v>
      </c>
      <c r="AD1193" s="8"/>
      <c r="AE1193" s="6"/>
      <c r="AF1193" s="52">
        <f t="shared" si="90"/>
        <v>65959116.480000004</v>
      </c>
      <c r="AG1193" s="25">
        <f t="shared" si="91"/>
        <v>0</v>
      </c>
      <c r="AH1193" s="52">
        <f t="shared" si="92"/>
        <v>66052817.280000001</v>
      </c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</row>
    <row r="1194" spans="1:44">
      <c r="A1194" s="6"/>
      <c r="B1194" s="6"/>
      <c r="C1194" s="6"/>
      <c r="D1194" s="6"/>
      <c r="E1194" s="6"/>
      <c r="F1194" s="6"/>
      <c r="G1194" s="11"/>
      <c r="H1194" s="6"/>
      <c r="I1194" s="6"/>
      <c r="J1194" s="6"/>
      <c r="K1194" s="7"/>
      <c r="L1194" s="21" t="s">
        <v>35</v>
      </c>
      <c r="M1194" s="22"/>
      <c r="N1194" s="22"/>
      <c r="O1194" s="22" t="s">
        <v>144</v>
      </c>
      <c r="P1194" s="23" t="s">
        <v>156</v>
      </c>
      <c r="Q1194" s="21" t="s">
        <v>116</v>
      </c>
      <c r="R1194" s="25">
        <v>1</v>
      </c>
      <c r="S1194" s="28"/>
      <c r="T1194" s="31">
        <v>42225</v>
      </c>
      <c r="U1194" s="33">
        <v>1561.68</v>
      </c>
      <c r="V1194" s="36">
        <f t="shared" si="93"/>
        <v>1561.68</v>
      </c>
      <c r="W1194" s="28"/>
      <c r="X1194" s="31"/>
      <c r="Y1194" s="33"/>
      <c r="Z1194" s="189"/>
      <c r="AA1194" s="190"/>
      <c r="AB1194" s="31">
        <v>42275</v>
      </c>
      <c r="AC1194" s="36">
        <v>1561.68</v>
      </c>
      <c r="AD1194" s="8"/>
      <c r="AE1194" s="6"/>
      <c r="AF1194" s="52">
        <f t="shared" si="90"/>
        <v>65941938</v>
      </c>
      <c r="AG1194" s="25">
        <f t="shared" si="91"/>
        <v>0</v>
      </c>
      <c r="AH1194" s="52">
        <f t="shared" si="92"/>
        <v>66020022</v>
      </c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</row>
    <row r="1195" spans="1:44">
      <c r="A1195" s="6"/>
      <c r="B1195" s="6"/>
      <c r="C1195" s="6"/>
      <c r="D1195" s="6"/>
      <c r="E1195" s="6"/>
      <c r="F1195" s="6"/>
      <c r="G1195" s="11"/>
      <c r="H1195" s="6"/>
      <c r="I1195" s="6"/>
      <c r="J1195" s="6"/>
      <c r="K1195" s="7"/>
      <c r="L1195" s="21" t="s">
        <v>35</v>
      </c>
      <c r="M1195" s="22"/>
      <c r="N1195" s="22"/>
      <c r="O1195" s="22" t="s">
        <v>144</v>
      </c>
      <c r="P1195" s="23" t="s">
        <v>156</v>
      </c>
      <c r="Q1195" s="21" t="s">
        <v>116</v>
      </c>
      <c r="R1195" s="25">
        <v>1</v>
      </c>
      <c r="S1195" s="28"/>
      <c r="T1195" s="31">
        <v>42231</v>
      </c>
      <c r="U1195" s="33">
        <v>1561.68</v>
      </c>
      <c r="V1195" s="36">
        <f t="shared" si="93"/>
        <v>1561.68</v>
      </c>
      <c r="W1195" s="28"/>
      <c r="X1195" s="31"/>
      <c r="Y1195" s="33"/>
      <c r="Z1195" s="189"/>
      <c r="AA1195" s="190"/>
      <c r="AB1195" s="31"/>
      <c r="AC1195" s="36"/>
      <c r="AD1195" s="8"/>
      <c r="AE1195" s="6"/>
      <c r="AF1195" s="52">
        <f t="shared" si="90"/>
        <v>65951308.080000006</v>
      </c>
      <c r="AG1195" s="25">
        <f t="shared" si="91"/>
        <v>0</v>
      </c>
      <c r="AH1195" s="52">
        <f t="shared" si="92"/>
        <v>0</v>
      </c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</row>
    <row r="1196" spans="1:44">
      <c r="A1196" s="6"/>
      <c r="B1196" s="6"/>
      <c r="C1196" s="6"/>
      <c r="D1196" s="6"/>
      <c r="E1196" s="6"/>
      <c r="F1196" s="6"/>
      <c r="G1196" s="11"/>
      <c r="H1196" s="6"/>
      <c r="I1196" s="6"/>
      <c r="J1196" s="6"/>
      <c r="K1196" s="7"/>
      <c r="L1196" s="21" t="s">
        <v>35</v>
      </c>
      <c r="M1196" s="22"/>
      <c r="N1196" s="22"/>
      <c r="O1196" s="22" t="s">
        <v>138</v>
      </c>
      <c r="P1196" s="23" t="s">
        <v>157</v>
      </c>
      <c r="Q1196" s="21" t="s">
        <v>59</v>
      </c>
      <c r="R1196" s="25">
        <v>1</v>
      </c>
      <c r="S1196" s="28"/>
      <c r="T1196" s="31">
        <v>42227</v>
      </c>
      <c r="U1196" s="33">
        <v>2990</v>
      </c>
      <c r="V1196" s="36">
        <f t="shared" si="93"/>
        <v>2990</v>
      </c>
      <c r="W1196" s="28"/>
      <c r="X1196" s="31"/>
      <c r="Y1196" s="33"/>
      <c r="Z1196" s="189"/>
      <c r="AA1196" s="190"/>
      <c r="AB1196" s="31">
        <v>42257</v>
      </c>
      <c r="AC1196" s="36">
        <v>2990</v>
      </c>
      <c r="AD1196" s="8"/>
      <c r="AE1196" s="6"/>
      <c r="AF1196" s="52">
        <f t="shared" si="90"/>
        <v>126258730</v>
      </c>
      <c r="AG1196" s="25">
        <f t="shared" si="91"/>
        <v>0</v>
      </c>
      <c r="AH1196" s="52">
        <f t="shared" si="92"/>
        <v>126348430</v>
      </c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</row>
    <row r="1197" spans="1:44">
      <c r="A1197" s="6"/>
      <c r="B1197" s="6"/>
      <c r="C1197" s="6"/>
      <c r="D1197" s="6"/>
      <c r="E1197" s="6"/>
      <c r="F1197" s="6"/>
      <c r="G1197" s="11"/>
      <c r="H1197" s="6"/>
      <c r="I1197" s="6"/>
      <c r="J1197" s="6"/>
      <c r="K1197" s="7"/>
      <c r="L1197" s="21" t="s">
        <v>35</v>
      </c>
      <c r="M1197" s="22"/>
      <c r="N1197" s="22"/>
      <c r="O1197" s="22" t="s">
        <v>138</v>
      </c>
      <c r="P1197" s="23" t="s">
        <v>157</v>
      </c>
      <c r="Q1197" s="21" t="s">
        <v>63</v>
      </c>
      <c r="R1197" s="25">
        <v>1</v>
      </c>
      <c r="S1197" s="28"/>
      <c r="T1197" s="31">
        <v>42260</v>
      </c>
      <c r="U1197" s="33">
        <v>3485</v>
      </c>
      <c r="V1197" s="36">
        <f t="shared" si="93"/>
        <v>3485</v>
      </c>
      <c r="W1197" s="28"/>
      <c r="X1197" s="31"/>
      <c r="Y1197" s="33"/>
      <c r="Z1197" s="189"/>
      <c r="AA1197" s="190"/>
      <c r="AB1197" s="31">
        <v>42280</v>
      </c>
      <c r="AC1197" s="36">
        <v>3485</v>
      </c>
      <c r="AD1197" s="8"/>
      <c r="AE1197" s="6"/>
      <c r="AF1197" s="52">
        <f t="shared" si="90"/>
        <v>147276100</v>
      </c>
      <c r="AG1197" s="25">
        <f t="shared" si="91"/>
        <v>0</v>
      </c>
      <c r="AH1197" s="52">
        <f t="shared" si="92"/>
        <v>147345800</v>
      </c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</row>
    <row r="1198" spans="1:44">
      <c r="A1198" s="6"/>
      <c r="B1198" s="6"/>
      <c r="C1198" s="6"/>
      <c r="D1198" s="6"/>
      <c r="E1198" s="6"/>
      <c r="F1198" s="6"/>
      <c r="G1198" s="11"/>
      <c r="H1198" s="6"/>
      <c r="I1198" s="6"/>
      <c r="J1198" s="6"/>
      <c r="K1198" s="7"/>
      <c r="L1198" s="21" t="s">
        <v>35</v>
      </c>
      <c r="M1198" s="22"/>
      <c r="N1198" s="22"/>
      <c r="O1198" s="22" t="s">
        <v>138</v>
      </c>
      <c r="P1198" s="23" t="s">
        <v>157</v>
      </c>
      <c r="Q1198" s="21" t="s">
        <v>106</v>
      </c>
      <c r="R1198" s="25">
        <v>1</v>
      </c>
      <c r="S1198" s="28"/>
      <c r="T1198" s="31">
        <v>42238</v>
      </c>
      <c r="U1198" s="33">
        <v>1240</v>
      </c>
      <c r="V1198" s="36">
        <f t="shared" si="93"/>
        <v>1240</v>
      </c>
      <c r="W1198" s="28"/>
      <c r="X1198" s="31"/>
      <c r="Y1198" s="33"/>
      <c r="Z1198" s="189"/>
      <c r="AA1198" s="190"/>
      <c r="AB1198" s="31">
        <v>42248</v>
      </c>
      <c r="AC1198" s="36">
        <v>1240</v>
      </c>
      <c r="AD1198" s="8"/>
      <c r="AE1198" s="6"/>
      <c r="AF1198" s="52">
        <f t="shared" si="90"/>
        <v>52375120</v>
      </c>
      <c r="AG1198" s="25">
        <f t="shared" si="91"/>
        <v>0</v>
      </c>
      <c r="AH1198" s="52">
        <f t="shared" si="92"/>
        <v>52387520</v>
      </c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</row>
    <row r="1199" spans="1:44">
      <c r="A1199" s="6"/>
      <c r="B1199" s="6"/>
      <c r="C1199" s="6"/>
      <c r="D1199" s="6"/>
      <c r="E1199" s="6"/>
      <c r="F1199" s="6"/>
      <c r="G1199" s="11"/>
      <c r="H1199" s="6"/>
      <c r="I1199" s="6"/>
      <c r="J1199" s="6"/>
      <c r="K1199" s="7"/>
      <c r="L1199" s="21" t="s">
        <v>35</v>
      </c>
      <c r="M1199" s="22"/>
      <c r="N1199" s="22"/>
      <c r="O1199" s="22" t="s">
        <v>144</v>
      </c>
      <c r="P1199" s="23" t="s">
        <v>156</v>
      </c>
      <c r="Q1199" s="21" t="s">
        <v>121</v>
      </c>
      <c r="R1199" s="25">
        <v>1</v>
      </c>
      <c r="S1199" s="28"/>
      <c r="T1199" s="31">
        <v>42232</v>
      </c>
      <c r="U1199" s="33">
        <v>4307.37</v>
      </c>
      <c r="V1199" s="36">
        <f t="shared" si="93"/>
        <v>4307.37</v>
      </c>
      <c r="W1199" s="28"/>
      <c r="X1199" s="31"/>
      <c r="Y1199" s="33"/>
      <c r="Z1199" s="189"/>
      <c r="AA1199" s="190"/>
      <c r="AB1199" s="31">
        <v>42242</v>
      </c>
      <c r="AC1199" s="36">
        <v>4307.37</v>
      </c>
      <c r="AD1199" s="8"/>
      <c r="AE1199" s="6"/>
      <c r="AF1199" s="52">
        <f t="shared" si="90"/>
        <v>181908849.84</v>
      </c>
      <c r="AG1199" s="25">
        <f t="shared" si="91"/>
        <v>0</v>
      </c>
      <c r="AH1199" s="52">
        <f t="shared" si="92"/>
        <v>181951923.53999999</v>
      </c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</row>
    <row r="1200" spans="1:44">
      <c r="A1200" s="6"/>
      <c r="B1200" s="6"/>
      <c r="C1200" s="6"/>
      <c r="D1200" s="6"/>
      <c r="E1200" s="6"/>
      <c r="F1200" s="6"/>
      <c r="G1200" s="11"/>
      <c r="H1200" s="6"/>
      <c r="I1200" s="6"/>
      <c r="J1200" s="6"/>
      <c r="K1200" s="7"/>
      <c r="L1200" s="21" t="s">
        <v>35</v>
      </c>
      <c r="M1200" s="22"/>
      <c r="N1200" s="22"/>
      <c r="O1200" s="22" t="s">
        <v>144</v>
      </c>
      <c r="P1200" s="23" t="s">
        <v>156</v>
      </c>
      <c r="Q1200" s="21" t="s">
        <v>121</v>
      </c>
      <c r="R1200" s="25">
        <v>1</v>
      </c>
      <c r="S1200" s="28"/>
      <c r="T1200" s="31">
        <v>42233</v>
      </c>
      <c r="U1200" s="33">
        <v>4307.38</v>
      </c>
      <c r="V1200" s="36">
        <f t="shared" si="93"/>
        <v>4307.38</v>
      </c>
      <c r="W1200" s="28"/>
      <c r="X1200" s="31"/>
      <c r="Y1200" s="33"/>
      <c r="Z1200" s="189"/>
      <c r="AA1200" s="190"/>
      <c r="AB1200" s="31">
        <v>42263</v>
      </c>
      <c r="AC1200" s="36">
        <v>4307.38</v>
      </c>
      <c r="AD1200" s="8"/>
      <c r="AE1200" s="6"/>
      <c r="AF1200" s="52">
        <f t="shared" si="90"/>
        <v>181913579.53999999</v>
      </c>
      <c r="AG1200" s="25">
        <f t="shared" si="91"/>
        <v>0</v>
      </c>
      <c r="AH1200" s="52">
        <f t="shared" si="92"/>
        <v>182042800.94</v>
      </c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</row>
    <row r="1201" spans="1:44">
      <c r="A1201" s="6"/>
      <c r="B1201" s="6"/>
      <c r="C1201" s="6"/>
      <c r="D1201" s="6"/>
      <c r="E1201" s="6"/>
      <c r="F1201" s="6"/>
      <c r="G1201" s="11"/>
      <c r="H1201" s="6"/>
      <c r="I1201" s="6"/>
      <c r="J1201" s="6"/>
      <c r="K1201" s="7"/>
      <c r="L1201" s="21" t="s">
        <v>35</v>
      </c>
      <c r="M1201" s="22"/>
      <c r="N1201" s="22"/>
      <c r="O1201" s="22" t="s">
        <v>144</v>
      </c>
      <c r="P1201" s="23" t="s">
        <v>156</v>
      </c>
      <c r="Q1201" s="21" t="s">
        <v>121</v>
      </c>
      <c r="R1201" s="25">
        <v>1</v>
      </c>
      <c r="S1201" s="28"/>
      <c r="T1201" s="31">
        <v>42244</v>
      </c>
      <c r="U1201" s="33">
        <v>4307.37</v>
      </c>
      <c r="V1201" s="36">
        <f t="shared" si="93"/>
        <v>4307.37</v>
      </c>
      <c r="W1201" s="28"/>
      <c r="X1201" s="31"/>
      <c r="Y1201" s="33"/>
      <c r="Z1201" s="189"/>
      <c r="AA1201" s="190"/>
      <c r="AB1201" s="31">
        <v>42265</v>
      </c>
      <c r="AC1201" s="36">
        <v>4307.37</v>
      </c>
      <c r="AD1201" s="8"/>
      <c r="AE1201" s="6"/>
      <c r="AF1201" s="52">
        <f t="shared" si="90"/>
        <v>181960538.28</v>
      </c>
      <c r="AG1201" s="25">
        <f t="shared" si="91"/>
        <v>0</v>
      </c>
      <c r="AH1201" s="52">
        <f t="shared" si="92"/>
        <v>182050993.04999998</v>
      </c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</row>
    <row r="1202" spans="1:44">
      <c r="A1202" s="6"/>
      <c r="B1202" s="6"/>
      <c r="C1202" s="6"/>
      <c r="D1202" s="6"/>
      <c r="E1202" s="6"/>
      <c r="F1202" s="6"/>
      <c r="G1202" s="11"/>
      <c r="H1202" s="6"/>
      <c r="I1202" s="6"/>
      <c r="J1202" s="6"/>
      <c r="K1202" s="7"/>
      <c r="L1202" s="21" t="s">
        <v>35</v>
      </c>
      <c r="M1202" s="22"/>
      <c r="N1202" s="22"/>
      <c r="O1202" s="22" t="s">
        <v>138</v>
      </c>
      <c r="P1202" s="23" t="s">
        <v>157</v>
      </c>
      <c r="Q1202" s="21" t="s">
        <v>106</v>
      </c>
      <c r="R1202" s="25">
        <v>1</v>
      </c>
      <c r="S1202" s="28"/>
      <c r="T1202" s="31">
        <v>42231</v>
      </c>
      <c r="U1202" s="33">
        <v>3510</v>
      </c>
      <c r="V1202" s="36">
        <f t="shared" si="93"/>
        <v>3510</v>
      </c>
      <c r="W1202" s="28"/>
      <c r="X1202" s="31"/>
      <c r="Y1202" s="33"/>
      <c r="Z1202" s="189"/>
      <c r="AA1202" s="190"/>
      <c r="AB1202" s="31"/>
      <c r="AC1202" s="36"/>
      <c r="AD1202" s="8"/>
      <c r="AE1202" s="6"/>
      <c r="AF1202" s="52">
        <f t="shared" si="90"/>
        <v>148230810</v>
      </c>
      <c r="AG1202" s="25">
        <f t="shared" si="91"/>
        <v>0</v>
      </c>
      <c r="AH1202" s="52">
        <f t="shared" si="92"/>
        <v>0</v>
      </c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</row>
    <row r="1203" spans="1:44">
      <c r="A1203" s="6"/>
      <c r="B1203" s="6"/>
      <c r="C1203" s="6"/>
      <c r="D1203" s="6"/>
      <c r="E1203" s="6"/>
      <c r="F1203" s="6"/>
      <c r="G1203" s="11"/>
      <c r="H1203" s="6"/>
      <c r="I1203" s="6"/>
      <c r="J1203" s="6"/>
      <c r="K1203" s="7"/>
      <c r="L1203" s="21" t="s">
        <v>35</v>
      </c>
      <c r="M1203" s="22"/>
      <c r="N1203" s="22"/>
      <c r="O1203" s="22" t="s">
        <v>138</v>
      </c>
      <c r="P1203" s="23" t="s">
        <v>157</v>
      </c>
      <c r="Q1203" s="21" t="s">
        <v>106</v>
      </c>
      <c r="R1203" s="25">
        <v>1</v>
      </c>
      <c r="S1203" s="28"/>
      <c r="T1203" s="31">
        <v>42231</v>
      </c>
      <c r="U1203" s="33">
        <v>3510</v>
      </c>
      <c r="V1203" s="36">
        <f t="shared" si="93"/>
        <v>3510</v>
      </c>
      <c r="W1203" s="28"/>
      <c r="X1203" s="31"/>
      <c r="Y1203" s="33"/>
      <c r="Z1203" s="189"/>
      <c r="AA1203" s="190"/>
      <c r="AB1203" s="31">
        <v>42261</v>
      </c>
      <c r="AC1203" s="36">
        <v>3510</v>
      </c>
      <c r="AD1203" s="8"/>
      <c r="AE1203" s="6"/>
      <c r="AF1203" s="52">
        <f t="shared" si="90"/>
        <v>148230810</v>
      </c>
      <c r="AG1203" s="25">
        <f t="shared" si="91"/>
        <v>0</v>
      </c>
      <c r="AH1203" s="52">
        <f t="shared" si="92"/>
        <v>148336110</v>
      </c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</row>
    <row r="1204" spans="1:44">
      <c r="A1204" s="6"/>
      <c r="B1204" s="6"/>
      <c r="C1204" s="6"/>
      <c r="D1204" s="6"/>
      <c r="E1204" s="6"/>
      <c r="F1204" s="6"/>
      <c r="G1204" s="11"/>
      <c r="H1204" s="6"/>
      <c r="I1204" s="6"/>
      <c r="J1204" s="6"/>
      <c r="K1204" s="7"/>
      <c r="L1204" s="21" t="s">
        <v>35</v>
      </c>
      <c r="M1204" s="22"/>
      <c r="N1204" s="22"/>
      <c r="O1204" s="22" t="s">
        <v>138</v>
      </c>
      <c r="P1204" s="23" t="s">
        <v>157</v>
      </c>
      <c r="Q1204" s="21" t="s">
        <v>106</v>
      </c>
      <c r="R1204" s="25">
        <v>1</v>
      </c>
      <c r="S1204" s="28"/>
      <c r="T1204" s="31">
        <v>42009</v>
      </c>
      <c r="U1204" s="33">
        <v>3510</v>
      </c>
      <c r="V1204" s="36">
        <f t="shared" si="93"/>
        <v>3510</v>
      </c>
      <c r="W1204" s="28"/>
      <c r="X1204" s="31"/>
      <c r="Y1204" s="33"/>
      <c r="Z1204" s="189"/>
      <c r="AA1204" s="190"/>
      <c r="AB1204" s="31">
        <v>42024</v>
      </c>
      <c r="AC1204" s="36">
        <v>3510</v>
      </c>
      <c r="AD1204" s="8"/>
      <c r="AE1204" s="6"/>
      <c r="AF1204" s="52">
        <f t="shared" si="90"/>
        <v>147451590</v>
      </c>
      <c r="AG1204" s="25">
        <f t="shared" si="91"/>
        <v>0</v>
      </c>
      <c r="AH1204" s="52">
        <f t="shared" si="92"/>
        <v>147504240</v>
      </c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</row>
    <row r="1205" spans="1:44">
      <c r="A1205" s="6"/>
      <c r="B1205" s="6"/>
      <c r="C1205" s="6"/>
      <c r="D1205" s="6"/>
      <c r="E1205" s="6"/>
      <c r="F1205" s="6"/>
      <c r="G1205" s="11"/>
      <c r="H1205" s="6"/>
      <c r="I1205" s="6"/>
      <c r="J1205" s="6"/>
      <c r="K1205" s="7"/>
      <c r="L1205" s="21" t="s">
        <v>35</v>
      </c>
      <c r="M1205" s="22"/>
      <c r="N1205" s="22"/>
      <c r="O1205" s="22" t="s">
        <v>138</v>
      </c>
      <c r="P1205" s="23" t="s">
        <v>157</v>
      </c>
      <c r="Q1205" s="21" t="s">
        <v>63</v>
      </c>
      <c r="R1205" s="25">
        <v>1</v>
      </c>
      <c r="S1205" s="28"/>
      <c r="T1205" s="31">
        <v>42260</v>
      </c>
      <c r="U1205" s="33">
        <v>5440</v>
      </c>
      <c r="V1205" s="36">
        <f t="shared" si="93"/>
        <v>5440</v>
      </c>
      <c r="W1205" s="28"/>
      <c r="X1205" s="31"/>
      <c r="Y1205" s="33"/>
      <c r="Z1205" s="189"/>
      <c r="AA1205" s="190"/>
      <c r="AB1205" s="31"/>
      <c r="AC1205" s="36"/>
      <c r="AD1205" s="8"/>
      <c r="AE1205" s="6"/>
      <c r="AF1205" s="52">
        <f t="shared" si="90"/>
        <v>229894400</v>
      </c>
      <c r="AG1205" s="25">
        <f t="shared" si="91"/>
        <v>0</v>
      </c>
      <c r="AH1205" s="52">
        <f t="shared" si="92"/>
        <v>0</v>
      </c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</row>
    <row r="1206" spans="1:44">
      <c r="A1206" s="6"/>
      <c r="B1206" s="6"/>
      <c r="C1206" s="6"/>
      <c r="D1206" s="6"/>
      <c r="E1206" s="6"/>
      <c r="F1206" s="6"/>
      <c r="G1206" s="11"/>
      <c r="H1206" s="6"/>
      <c r="I1206" s="6"/>
      <c r="J1206" s="6"/>
      <c r="K1206" s="7"/>
      <c r="L1206" s="21" t="s">
        <v>35</v>
      </c>
      <c r="M1206" s="22"/>
      <c r="N1206" s="22"/>
      <c r="O1206" s="22" t="s">
        <v>138</v>
      </c>
      <c r="P1206" s="23" t="s">
        <v>157</v>
      </c>
      <c r="Q1206" s="21" t="s">
        <v>59</v>
      </c>
      <c r="R1206" s="25">
        <v>1</v>
      </c>
      <c r="S1206" s="28"/>
      <c r="T1206" s="31">
        <v>42251</v>
      </c>
      <c r="U1206" s="33">
        <v>3056</v>
      </c>
      <c r="V1206" s="36">
        <f t="shared" si="93"/>
        <v>3056</v>
      </c>
      <c r="W1206" s="28"/>
      <c r="X1206" s="31"/>
      <c r="Y1206" s="33"/>
      <c r="Z1206" s="189"/>
      <c r="AA1206" s="190"/>
      <c r="AB1206" s="31">
        <v>42311</v>
      </c>
      <c r="AC1206" s="36">
        <v>3056</v>
      </c>
      <c r="AD1206" s="8"/>
      <c r="AE1206" s="6"/>
      <c r="AF1206" s="52">
        <f t="shared" si="90"/>
        <v>129119056</v>
      </c>
      <c r="AG1206" s="25">
        <f t="shared" si="91"/>
        <v>0</v>
      </c>
      <c r="AH1206" s="52">
        <f t="shared" si="92"/>
        <v>129302416</v>
      </c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</row>
    <row r="1207" spans="1:44">
      <c r="A1207" s="6"/>
      <c r="B1207" s="6"/>
      <c r="C1207" s="6"/>
      <c r="D1207" s="6"/>
      <c r="E1207" s="6"/>
      <c r="F1207" s="6"/>
      <c r="G1207" s="11"/>
      <c r="H1207" s="6"/>
      <c r="I1207" s="6"/>
      <c r="J1207" s="6"/>
      <c r="K1207" s="7"/>
      <c r="L1207" s="21" t="s">
        <v>35</v>
      </c>
      <c r="M1207" s="22"/>
      <c r="N1207" s="22"/>
      <c r="O1207" s="22" t="s">
        <v>138</v>
      </c>
      <c r="P1207" s="23" t="s">
        <v>157</v>
      </c>
      <c r="Q1207" s="21" t="s">
        <v>59</v>
      </c>
      <c r="R1207" s="25">
        <v>1</v>
      </c>
      <c r="S1207" s="28"/>
      <c r="T1207" s="31">
        <v>42226</v>
      </c>
      <c r="U1207" s="33">
        <v>5870</v>
      </c>
      <c r="V1207" s="36">
        <f t="shared" si="93"/>
        <v>5870</v>
      </c>
      <c r="W1207" s="28"/>
      <c r="X1207" s="31"/>
      <c r="Y1207" s="33"/>
      <c r="Z1207" s="189"/>
      <c r="AA1207" s="190"/>
      <c r="AB1207" s="31">
        <v>42231</v>
      </c>
      <c r="AC1207" s="36">
        <v>5870</v>
      </c>
      <c r="AD1207" s="8"/>
      <c r="AE1207" s="6"/>
      <c r="AF1207" s="52">
        <f t="shared" si="90"/>
        <v>247866620</v>
      </c>
      <c r="AG1207" s="25">
        <f t="shared" si="91"/>
        <v>0</v>
      </c>
      <c r="AH1207" s="52">
        <f t="shared" si="92"/>
        <v>247895970</v>
      </c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</row>
    <row r="1208" spans="1:44">
      <c r="A1208" s="6"/>
      <c r="B1208" s="6"/>
      <c r="C1208" s="6"/>
      <c r="D1208" s="6"/>
      <c r="E1208" s="6"/>
      <c r="F1208" s="6"/>
      <c r="G1208" s="11"/>
      <c r="H1208" s="6"/>
      <c r="I1208" s="6"/>
      <c r="J1208" s="6"/>
      <c r="K1208" s="7"/>
      <c r="L1208" s="21" t="s">
        <v>35</v>
      </c>
      <c r="M1208" s="22"/>
      <c r="N1208" s="22"/>
      <c r="O1208" s="22" t="s">
        <v>138</v>
      </c>
      <c r="P1208" s="23" t="s">
        <v>157</v>
      </c>
      <c r="Q1208" s="21" t="s">
        <v>61</v>
      </c>
      <c r="R1208" s="25">
        <v>1</v>
      </c>
      <c r="S1208" s="28"/>
      <c r="T1208" s="31">
        <v>42250</v>
      </c>
      <c r="U1208" s="33">
        <v>2609</v>
      </c>
      <c r="V1208" s="36">
        <f t="shared" ref="V1208:V1262" si="94">$R1208*U1208</f>
        <v>2609</v>
      </c>
      <c r="W1208" s="28"/>
      <c r="X1208" s="31"/>
      <c r="Y1208" s="33"/>
      <c r="Z1208" s="189"/>
      <c r="AA1208" s="190"/>
      <c r="AB1208" s="31">
        <v>42290</v>
      </c>
      <c r="AC1208" s="36">
        <v>2609</v>
      </c>
      <c r="AD1208" s="8"/>
      <c r="AE1208" s="6"/>
      <c r="AF1208" s="52">
        <f t="shared" si="90"/>
        <v>110230250</v>
      </c>
      <c r="AG1208" s="25">
        <f t="shared" si="91"/>
        <v>0</v>
      </c>
      <c r="AH1208" s="52">
        <f t="shared" si="92"/>
        <v>110334610</v>
      </c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</row>
    <row r="1209" spans="1:44">
      <c r="A1209" s="6"/>
      <c r="B1209" s="6"/>
      <c r="C1209" s="6"/>
      <c r="D1209" s="6"/>
      <c r="E1209" s="6"/>
      <c r="F1209" s="6"/>
      <c r="G1209" s="11"/>
      <c r="H1209" s="6"/>
      <c r="I1209" s="6"/>
      <c r="J1209" s="6"/>
      <c r="K1209" s="7"/>
      <c r="L1209" s="21" t="s">
        <v>35</v>
      </c>
      <c r="M1209" s="22"/>
      <c r="N1209" s="22"/>
      <c r="O1209" s="22" t="s">
        <v>137</v>
      </c>
      <c r="P1209" s="23" t="s">
        <v>155</v>
      </c>
      <c r="Q1209" s="21" t="s">
        <v>122</v>
      </c>
      <c r="R1209" s="25">
        <v>1</v>
      </c>
      <c r="S1209" s="28"/>
      <c r="T1209" s="31">
        <v>42241</v>
      </c>
      <c r="U1209" s="33">
        <v>2914.41</v>
      </c>
      <c r="V1209" s="36">
        <f t="shared" si="94"/>
        <v>2914.41</v>
      </c>
      <c r="W1209" s="28"/>
      <c r="X1209" s="31"/>
      <c r="Y1209" s="33"/>
      <c r="Z1209" s="189"/>
      <c r="AA1209" s="190"/>
      <c r="AB1209" s="31">
        <v>42276</v>
      </c>
      <c r="AC1209" s="36">
        <v>2914.41</v>
      </c>
      <c r="AD1209" s="8"/>
      <c r="AE1209" s="6"/>
      <c r="AF1209" s="52">
        <f t="shared" si="90"/>
        <v>123107592.80999999</v>
      </c>
      <c r="AG1209" s="25">
        <f t="shared" si="91"/>
        <v>0</v>
      </c>
      <c r="AH1209" s="52">
        <f t="shared" si="92"/>
        <v>123209597.16</v>
      </c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</row>
    <row r="1210" spans="1:44">
      <c r="A1210" s="6"/>
      <c r="B1210" s="6"/>
      <c r="C1210" s="6"/>
      <c r="D1210" s="6"/>
      <c r="E1210" s="6"/>
      <c r="F1210" s="6"/>
      <c r="G1210" s="11"/>
      <c r="H1210" s="6"/>
      <c r="I1210" s="6"/>
      <c r="J1210" s="6"/>
      <c r="K1210" s="7"/>
      <c r="L1210" s="21" t="s">
        <v>35</v>
      </c>
      <c r="M1210" s="22"/>
      <c r="N1210" s="22"/>
      <c r="O1210" s="22" t="s">
        <v>137</v>
      </c>
      <c r="P1210" s="23" t="s">
        <v>155</v>
      </c>
      <c r="Q1210" s="21" t="s">
        <v>122</v>
      </c>
      <c r="R1210" s="25">
        <v>1</v>
      </c>
      <c r="S1210" s="28"/>
      <c r="T1210" s="31">
        <v>42255</v>
      </c>
      <c r="U1210" s="33">
        <v>2914.41</v>
      </c>
      <c r="V1210" s="36">
        <f t="shared" si="94"/>
        <v>2914.41</v>
      </c>
      <c r="W1210" s="28"/>
      <c r="X1210" s="31"/>
      <c r="Y1210" s="33"/>
      <c r="Z1210" s="189"/>
      <c r="AA1210" s="190"/>
      <c r="AB1210" s="31">
        <v>42270</v>
      </c>
      <c r="AC1210" s="36">
        <v>2914.41</v>
      </c>
      <c r="AD1210" s="8"/>
      <c r="AE1210" s="6"/>
      <c r="AF1210" s="52">
        <f t="shared" si="90"/>
        <v>123148394.55</v>
      </c>
      <c r="AG1210" s="25">
        <f t="shared" si="91"/>
        <v>0</v>
      </c>
      <c r="AH1210" s="52">
        <f t="shared" si="92"/>
        <v>123192110.69999999</v>
      </c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</row>
    <row r="1211" spans="1:44">
      <c r="A1211" s="6"/>
      <c r="B1211" s="6"/>
      <c r="C1211" s="6"/>
      <c r="D1211" s="6"/>
      <c r="E1211" s="6"/>
      <c r="F1211" s="6"/>
      <c r="G1211" s="11"/>
      <c r="H1211" s="6"/>
      <c r="I1211" s="6"/>
      <c r="J1211" s="6"/>
      <c r="K1211" s="7"/>
      <c r="L1211" s="21" t="s">
        <v>35</v>
      </c>
      <c r="M1211" s="22"/>
      <c r="N1211" s="22"/>
      <c r="O1211" s="22" t="s">
        <v>142</v>
      </c>
      <c r="P1211" s="23" t="s">
        <v>160</v>
      </c>
      <c r="Q1211" s="21" t="s">
        <v>112</v>
      </c>
      <c r="R1211" s="25">
        <v>1</v>
      </c>
      <c r="S1211" s="28"/>
      <c r="T1211" s="31">
        <v>42258</v>
      </c>
      <c r="U1211" s="33">
        <v>2063</v>
      </c>
      <c r="V1211" s="36">
        <f t="shared" si="94"/>
        <v>2063</v>
      </c>
      <c r="W1211" s="28"/>
      <c r="X1211" s="31"/>
      <c r="Y1211" s="33"/>
      <c r="Z1211" s="189"/>
      <c r="AA1211" s="190"/>
      <c r="AB1211" s="31"/>
      <c r="AC1211" s="36"/>
      <c r="AD1211" s="8"/>
      <c r="AE1211" s="6"/>
      <c r="AF1211" s="52">
        <f t="shared" si="90"/>
        <v>87178254</v>
      </c>
      <c r="AG1211" s="25">
        <f t="shared" si="91"/>
        <v>0</v>
      </c>
      <c r="AH1211" s="52">
        <f t="shared" si="92"/>
        <v>0</v>
      </c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</row>
    <row r="1212" spans="1:44">
      <c r="A1212" s="6"/>
      <c r="B1212" s="6"/>
      <c r="C1212" s="6"/>
      <c r="D1212" s="6"/>
      <c r="E1212" s="6"/>
      <c r="F1212" s="6"/>
      <c r="G1212" s="11"/>
      <c r="H1212" s="6"/>
      <c r="I1212" s="6"/>
      <c r="J1212" s="6"/>
      <c r="K1212" s="7"/>
      <c r="L1212" s="21" t="s">
        <v>35</v>
      </c>
      <c r="M1212" s="22"/>
      <c r="N1212" s="22"/>
      <c r="O1212" s="22" t="s">
        <v>142</v>
      </c>
      <c r="P1212" s="23" t="s">
        <v>160</v>
      </c>
      <c r="Q1212" s="21" t="s">
        <v>112</v>
      </c>
      <c r="R1212" s="25">
        <v>1</v>
      </c>
      <c r="S1212" s="28"/>
      <c r="T1212" s="31">
        <v>42238</v>
      </c>
      <c r="U1212" s="33">
        <v>2416</v>
      </c>
      <c r="V1212" s="36">
        <f t="shared" si="94"/>
        <v>2416</v>
      </c>
      <c r="W1212" s="28"/>
      <c r="X1212" s="31"/>
      <c r="Y1212" s="33"/>
      <c r="Z1212" s="189"/>
      <c r="AA1212" s="190"/>
      <c r="AB1212" s="31">
        <v>42258</v>
      </c>
      <c r="AC1212" s="36">
        <v>2416</v>
      </c>
      <c r="AD1212" s="8"/>
      <c r="AE1212" s="6"/>
      <c r="AF1212" s="52">
        <f t="shared" si="90"/>
        <v>102047008</v>
      </c>
      <c r="AG1212" s="25">
        <f t="shared" si="91"/>
        <v>0</v>
      </c>
      <c r="AH1212" s="52">
        <f t="shared" si="92"/>
        <v>102095328</v>
      </c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</row>
    <row r="1213" spans="1:44">
      <c r="A1213" s="6"/>
      <c r="B1213" s="6"/>
      <c r="C1213" s="6"/>
      <c r="D1213" s="6"/>
      <c r="E1213" s="6"/>
      <c r="F1213" s="6"/>
      <c r="G1213" s="11"/>
      <c r="H1213" s="6"/>
      <c r="I1213" s="6"/>
      <c r="J1213" s="6"/>
      <c r="K1213" s="7"/>
      <c r="L1213" s="21" t="s">
        <v>35</v>
      </c>
      <c r="M1213" s="22"/>
      <c r="N1213" s="22"/>
      <c r="O1213" s="22" t="s">
        <v>144</v>
      </c>
      <c r="P1213" s="23" t="s">
        <v>156</v>
      </c>
      <c r="Q1213" s="21" t="s">
        <v>121</v>
      </c>
      <c r="R1213" s="25">
        <v>1</v>
      </c>
      <c r="S1213" s="28"/>
      <c r="T1213" s="31">
        <v>42252</v>
      </c>
      <c r="U1213" s="33">
        <v>4307.38</v>
      </c>
      <c r="V1213" s="36">
        <f t="shared" si="94"/>
        <v>4307.38</v>
      </c>
      <c r="W1213" s="28"/>
      <c r="X1213" s="31"/>
      <c r="Y1213" s="33"/>
      <c r="Z1213" s="189"/>
      <c r="AA1213" s="190"/>
      <c r="AB1213" s="31">
        <v>42282</v>
      </c>
      <c r="AC1213" s="36">
        <v>4307.38</v>
      </c>
      <c r="AD1213" s="8"/>
      <c r="AE1213" s="6"/>
      <c r="AF1213" s="52">
        <f t="shared" si="90"/>
        <v>181995419.75999999</v>
      </c>
      <c r="AG1213" s="25">
        <f t="shared" si="91"/>
        <v>0</v>
      </c>
      <c r="AH1213" s="52">
        <f t="shared" si="92"/>
        <v>182124641.16</v>
      </c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</row>
    <row r="1214" spans="1:44">
      <c r="A1214" s="6"/>
      <c r="B1214" s="6"/>
      <c r="C1214" s="6"/>
      <c r="D1214" s="6"/>
      <c r="E1214" s="6"/>
      <c r="F1214" s="6"/>
      <c r="G1214" s="11"/>
      <c r="H1214" s="6"/>
      <c r="I1214" s="6"/>
      <c r="J1214" s="6"/>
      <c r="K1214" s="7"/>
      <c r="L1214" s="21" t="s">
        <v>35</v>
      </c>
      <c r="M1214" s="22"/>
      <c r="N1214" s="22"/>
      <c r="O1214" s="22" t="s">
        <v>138</v>
      </c>
      <c r="P1214" s="23" t="s">
        <v>157</v>
      </c>
      <c r="Q1214" s="21" t="s">
        <v>63</v>
      </c>
      <c r="R1214" s="25">
        <v>1</v>
      </c>
      <c r="S1214" s="28"/>
      <c r="T1214" s="31">
        <v>42250</v>
      </c>
      <c r="U1214" s="33">
        <v>1060</v>
      </c>
      <c r="V1214" s="36">
        <f t="shared" si="94"/>
        <v>1060</v>
      </c>
      <c r="W1214" s="28"/>
      <c r="X1214" s="31"/>
      <c r="Y1214" s="33"/>
      <c r="Z1214" s="189"/>
      <c r="AA1214" s="190"/>
      <c r="AB1214" s="31">
        <v>42275</v>
      </c>
      <c r="AC1214" s="36">
        <v>1060</v>
      </c>
      <c r="AD1214" s="8"/>
      <c r="AE1214" s="6"/>
      <c r="AF1214" s="52">
        <f t="shared" si="90"/>
        <v>44785000</v>
      </c>
      <c r="AG1214" s="25">
        <f t="shared" si="91"/>
        <v>0</v>
      </c>
      <c r="AH1214" s="52">
        <f t="shared" si="92"/>
        <v>44811500</v>
      </c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</row>
    <row r="1215" spans="1:44">
      <c r="A1215" s="6"/>
      <c r="B1215" s="6"/>
      <c r="C1215" s="6"/>
      <c r="D1215" s="6"/>
      <c r="E1215" s="6"/>
      <c r="F1215" s="6"/>
      <c r="G1215" s="11"/>
      <c r="H1215" s="6"/>
      <c r="I1215" s="6"/>
      <c r="J1215" s="6"/>
      <c r="K1215" s="7"/>
      <c r="L1215" s="21" t="s">
        <v>35</v>
      </c>
      <c r="M1215" s="22"/>
      <c r="N1215" s="22"/>
      <c r="O1215" s="22" t="s">
        <v>137</v>
      </c>
      <c r="P1215" s="23" t="s">
        <v>155</v>
      </c>
      <c r="Q1215" s="21" t="s">
        <v>100</v>
      </c>
      <c r="R1215" s="25">
        <v>1</v>
      </c>
      <c r="S1215" s="28"/>
      <c r="T1215" s="31">
        <v>42249</v>
      </c>
      <c r="U1215" s="33">
        <v>3341.34</v>
      </c>
      <c r="V1215" s="36">
        <f t="shared" si="94"/>
        <v>3341.34</v>
      </c>
      <c r="W1215" s="28"/>
      <c r="X1215" s="31"/>
      <c r="Y1215" s="33"/>
      <c r="Z1215" s="189"/>
      <c r="AA1215" s="190"/>
      <c r="AB1215" s="31">
        <v>42259</v>
      </c>
      <c r="AC1215" s="36">
        <v>3341.34</v>
      </c>
      <c r="AD1215" s="8"/>
      <c r="AE1215" s="6"/>
      <c r="AF1215" s="52">
        <f t="shared" si="90"/>
        <v>141168273.66</v>
      </c>
      <c r="AG1215" s="25">
        <f t="shared" si="91"/>
        <v>0</v>
      </c>
      <c r="AH1215" s="52">
        <f t="shared" si="92"/>
        <v>141201687.06</v>
      </c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</row>
    <row r="1216" spans="1:44">
      <c r="A1216" s="6"/>
      <c r="B1216" s="6"/>
      <c r="C1216" s="6"/>
      <c r="D1216" s="6"/>
      <c r="E1216" s="6"/>
      <c r="F1216" s="6"/>
      <c r="G1216" s="11"/>
      <c r="H1216" s="6"/>
      <c r="I1216" s="6"/>
      <c r="J1216" s="6"/>
      <c r="K1216" s="7"/>
      <c r="L1216" s="21" t="s">
        <v>35</v>
      </c>
      <c r="M1216" s="22"/>
      <c r="N1216" s="22"/>
      <c r="O1216" s="22" t="s">
        <v>142</v>
      </c>
      <c r="P1216" s="23" t="s">
        <v>160</v>
      </c>
      <c r="Q1216" s="21" t="s">
        <v>112</v>
      </c>
      <c r="R1216" s="25">
        <v>1</v>
      </c>
      <c r="S1216" s="28"/>
      <c r="T1216" s="31">
        <v>42239</v>
      </c>
      <c r="U1216" s="33">
        <v>2773.17</v>
      </c>
      <c r="V1216" s="36">
        <f t="shared" si="94"/>
        <v>2773.17</v>
      </c>
      <c r="W1216" s="28"/>
      <c r="X1216" s="31"/>
      <c r="Y1216" s="33"/>
      <c r="Z1216" s="189"/>
      <c r="AA1216" s="190"/>
      <c r="AB1216" s="31">
        <v>42246</v>
      </c>
      <c r="AC1216" s="36">
        <v>2773.17</v>
      </c>
      <c r="AD1216" s="8"/>
      <c r="AE1216" s="6"/>
      <c r="AF1216" s="52">
        <f t="shared" si="90"/>
        <v>117135927.63000001</v>
      </c>
      <c r="AG1216" s="25">
        <f t="shared" si="91"/>
        <v>0</v>
      </c>
      <c r="AH1216" s="52">
        <f t="shared" si="92"/>
        <v>117155339.82000001</v>
      </c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</row>
    <row r="1217" spans="1:44">
      <c r="A1217" s="6"/>
      <c r="B1217" s="6"/>
      <c r="C1217" s="6"/>
      <c r="D1217" s="6"/>
      <c r="E1217" s="6"/>
      <c r="F1217" s="6"/>
      <c r="G1217" s="11"/>
      <c r="H1217" s="6"/>
      <c r="I1217" s="6"/>
      <c r="J1217" s="6"/>
      <c r="K1217" s="7"/>
      <c r="L1217" s="21" t="s">
        <v>35</v>
      </c>
      <c r="M1217" s="22"/>
      <c r="N1217" s="22"/>
      <c r="O1217" s="22" t="s">
        <v>142</v>
      </c>
      <c r="P1217" s="23" t="s">
        <v>160</v>
      </c>
      <c r="Q1217" s="21" t="s">
        <v>112</v>
      </c>
      <c r="R1217" s="25">
        <v>1</v>
      </c>
      <c r="S1217" s="28"/>
      <c r="T1217" s="31">
        <v>42238</v>
      </c>
      <c r="U1217" s="33">
        <v>2773.17</v>
      </c>
      <c r="V1217" s="36">
        <f t="shared" si="94"/>
        <v>2773.17</v>
      </c>
      <c r="W1217" s="28"/>
      <c r="X1217" s="31"/>
      <c r="Y1217" s="33"/>
      <c r="Z1217" s="189"/>
      <c r="AA1217" s="190"/>
      <c r="AB1217" s="31">
        <v>42260</v>
      </c>
      <c r="AC1217" s="36">
        <v>2773.17</v>
      </c>
      <c r="AD1217" s="8"/>
      <c r="AE1217" s="6"/>
      <c r="AF1217" s="52">
        <f t="shared" si="90"/>
        <v>117133154.46000001</v>
      </c>
      <c r="AG1217" s="25">
        <f t="shared" si="91"/>
        <v>0</v>
      </c>
      <c r="AH1217" s="52">
        <f t="shared" si="92"/>
        <v>117194164.2</v>
      </c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</row>
    <row r="1218" spans="1:44">
      <c r="A1218" s="6"/>
      <c r="B1218" s="6"/>
      <c r="C1218" s="6"/>
      <c r="D1218" s="6"/>
      <c r="E1218" s="6"/>
      <c r="F1218" s="6"/>
      <c r="G1218" s="11"/>
      <c r="H1218" s="6"/>
      <c r="I1218" s="6"/>
      <c r="J1218" s="6"/>
      <c r="K1218" s="7"/>
      <c r="L1218" s="21" t="s">
        <v>35</v>
      </c>
      <c r="M1218" s="22"/>
      <c r="N1218" s="22"/>
      <c r="O1218" s="22" t="s">
        <v>142</v>
      </c>
      <c r="P1218" s="23" t="s">
        <v>160</v>
      </c>
      <c r="Q1218" s="21" t="s">
        <v>124</v>
      </c>
      <c r="R1218" s="25">
        <v>1</v>
      </c>
      <c r="S1218" s="28"/>
      <c r="T1218" s="31">
        <v>41694</v>
      </c>
      <c r="U1218" s="33">
        <v>769</v>
      </c>
      <c r="V1218" s="36">
        <f t="shared" si="94"/>
        <v>769</v>
      </c>
      <c r="W1218" s="28"/>
      <c r="X1218" s="31"/>
      <c r="Y1218" s="33"/>
      <c r="Z1218" s="189"/>
      <c r="AA1218" s="190"/>
      <c r="AB1218" s="31">
        <v>41726</v>
      </c>
      <c r="AC1218" s="36">
        <v>769</v>
      </c>
      <c r="AD1218" s="8"/>
      <c r="AE1218" s="6"/>
      <c r="AF1218" s="52">
        <f t="shared" si="90"/>
        <v>32062686</v>
      </c>
      <c r="AG1218" s="25">
        <f t="shared" si="91"/>
        <v>0</v>
      </c>
      <c r="AH1218" s="52">
        <f t="shared" si="92"/>
        <v>32087294</v>
      </c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</row>
    <row r="1219" spans="1:44">
      <c r="A1219" s="6"/>
      <c r="B1219" s="6"/>
      <c r="C1219" s="6"/>
      <c r="D1219" s="6"/>
      <c r="E1219" s="6"/>
      <c r="F1219" s="6"/>
      <c r="G1219" s="11"/>
      <c r="H1219" s="6"/>
      <c r="I1219" s="6"/>
      <c r="J1219" s="6"/>
      <c r="K1219" s="7"/>
      <c r="L1219" s="21" t="s">
        <v>35</v>
      </c>
      <c r="M1219" s="22"/>
      <c r="N1219" s="22"/>
      <c r="O1219" s="22" t="s">
        <v>142</v>
      </c>
      <c r="P1219" s="23" t="s">
        <v>160</v>
      </c>
      <c r="Q1219" s="21" t="s">
        <v>124</v>
      </c>
      <c r="R1219" s="25">
        <v>1</v>
      </c>
      <c r="S1219" s="28"/>
      <c r="T1219" s="31">
        <v>42282</v>
      </c>
      <c r="U1219" s="33">
        <v>769</v>
      </c>
      <c r="V1219" s="36">
        <f t="shared" si="94"/>
        <v>769</v>
      </c>
      <c r="W1219" s="28"/>
      <c r="X1219" s="31"/>
      <c r="Y1219" s="33"/>
      <c r="Z1219" s="189"/>
      <c r="AA1219" s="190"/>
      <c r="AB1219" s="31">
        <v>42327</v>
      </c>
      <c r="AC1219" s="36">
        <v>769</v>
      </c>
      <c r="AD1219" s="8"/>
      <c r="AE1219" s="6"/>
      <c r="AF1219" s="52">
        <f t="shared" si="90"/>
        <v>32514858</v>
      </c>
      <c r="AG1219" s="25">
        <f t="shared" si="91"/>
        <v>0</v>
      </c>
      <c r="AH1219" s="52">
        <f t="shared" si="92"/>
        <v>32549463</v>
      </c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</row>
    <row r="1220" spans="1:44">
      <c r="A1220" s="6"/>
      <c r="B1220" s="6"/>
      <c r="C1220" s="6"/>
      <c r="D1220" s="6"/>
      <c r="E1220" s="6"/>
      <c r="F1220" s="6"/>
      <c r="G1220" s="11"/>
      <c r="H1220" s="6"/>
      <c r="I1220" s="6"/>
      <c r="J1220" s="6"/>
      <c r="K1220" s="7"/>
      <c r="L1220" s="21" t="s">
        <v>35</v>
      </c>
      <c r="M1220" s="22"/>
      <c r="N1220" s="22"/>
      <c r="O1220" s="22" t="s">
        <v>142</v>
      </c>
      <c r="P1220" s="23" t="s">
        <v>160</v>
      </c>
      <c r="Q1220" s="21" t="s">
        <v>124</v>
      </c>
      <c r="R1220" s="25">
        <v>1</v>
      </c>
      <c r="S1220" s="28"/>
      <c r="T1220" s="31">
        <v>42293</v>
      </c>
      <c r="U1220" s="33">
        <v>769.01</v>
      </c>
      <c r="V1220" s="36">
        <f t="shared" si="94"/>
        <v>769.01</v>
      </c>
      <c r="W1220" s="28"/>
      <c r="X1220" s="31"/>
      <c r="Y1220" s="33"/>
      <c r="Z1220" s="189"/>
      <c r="AA1220" s="190"/>
      <c r="AB1220" s="31">
        <v>42331</v>
      </c>
      <c r="AC1220" s="36">
        <v>769.01</v>
      </c>
      <c r="AD1220" s="8"/>
      <c r="AE1220" s="6"/>
      <c r="AF1220" s="52">
        <f t="shared" si="90"/>
        <v>32523739.93</v>
      </c>
      <c r="AG1220" s="25">
        <f t="shared" si="91"/>
        <v>0</v>
      </c>
      <c r="AH1220" s="52">
        <f t="shared" si="92"/>
        <v>32552962.309999999</v>
      </c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</row>
    <row r="1221" spans="1:44">
      <c r="A1221" s="6"/>
      <c r="B1221" s="6"/>
      <c r="C1221" s="6"/>
      <c r="D1221" s="6"/>
      <c r="E1221" s="6"/>
      <c r="F1221" s="6"/>
      <c r="G1221" s="11"/>
      <c r="H1221" s="6"/>
      <c r="I1221" s="6"/>
      <c r="J1221" s="6"/>
      <c r="K1221" s="7"/>
      <c r="L1221" s="21" t="s">
        <v>35</v>
      </c>
      <c r="M1221" s="22"/>
      <c r="N1221" s="22"/>
      <c r="O1221" s="22" t="s">
        <v>145</v>
      </c>
      <c r="P1221" s="23" t="s">
        <v>155</v>
      </c>
      <c r="Q1221" s="21" t="s">
        <v>68</v>
      </c>
      <c r="R1221" s="25">
        <v>1</v>
      </c>
      <c r="S1221" s="28"/>
      <c r="T1221" s="31">
        <v>42310</v>
      </c>
      <c r="U1221" s="33">
        <v>1479.65</v>
      </c>
      <c r="V1221" s="36">
        <f t="shared" si="94"/>
        <v>1479.65</v>
      </c>
      <c r="W1221" s="28"/>
      <c r="X1221" s="31"/>
      <c r="Y1221" s="33"/>
      <c r="Z1221" s="189"/>
      <c r="AA1221" s="190"/>
      <c r="AB1221" s="31">
        <v>42322</v>
      </c>
      <c r="AC1221" s="36">
        <v>1479.65</v>
      </c>
      <c r="AD1221" s="8"/>
      <c r="AE1221" s="6"/>
      <c r="AF1221" s="52">
        <f t="shared" si="90"/>
        <v>62603991.500000007</v>
      </c>
      <c r="AG1221" s="25">
        <f t="shared" si="91"/>
        <v>0</v>
      </c>
      <c r="AH1221" s="52">
        <f t="shared" si="92"/>
        <v>62621747.300000004</v>
      </c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</row>
    <row r="1222" spans="1:44">
      <c r="A1222" s="6"/>
      <c r="B1222" s="6"/>
      <c r="C1222" s="6"/>
      <c r="D1222" s="6"/>
      <c r="E1222" s="6"/>
      <c r="F1222" s="6"/>
      <c r="G1222" s="11"/>
      <c r="H1222" s="6"/>
      <c r="I1222" s="6"/>
      <c r="J1222" s="6"/>
      <c r="K1222" s="7"/>
      <c r="L1222" s="21" t="s">
        <v>35</v>
      </c>
      <c r="M1222" s="22"/>
      <c r="N1222" s="22"/>
      <c r="O1222" s="22" t="s">
        <v>145</v>
      </c>
      <c r="P1222" s="23" t="s">
        <v>155</v>
      </c>
      <c r="Q1222" s="21" t="s">
        <v>126</v>
      </c>
      <c r="R1222" s="25">
        <v>1</v>
      </c>
      <c r="S1222" s="28"/>
      <c r="T1222" s="31">
        <v>42312</v>
      </c>
      <c r="U1222" s="33">
        <v>4663.0600000000004</v>
      </c>
      <c r="V1222" s="36">
        <f t="shared" si="94"/>
        <v>4663.0600000000004</v>
      </c>
      <c r="W1222" s="28"/>
      <c r="X1222" s="31"/>
      <c r="Y1222" s="33"/>
      <c r="Z1222" s="189"/>
      <c r="AA1222" s="190"/>
      <c r="AB1222" s="31">
        <v>42322</v>
      </c>
      <c r="AC1222" s="36">
        <v>4663.0600000000004</v>
      </c>
      <c r="AD1222" s="8"/>
      <c r="AE1222" s="6"/>
      <c r="AF1222" s="52">
        <f t="shared" si="90"/>
        <v>197303394.72000003</v>
      </c>
      <c r="AG1222" s="25">
        <f t="shared" si="91"/>
        <v>0</v>
      </c>
      <c r="AH1222" s="52">
        <f t="shared" si="92"/>
        <v>197350025.32000002</v>
      </c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</row>
    <row r="1223" spans="1:44">
      <c r="A1223" s="6"/>
      <c r="B1223" s="6"/>
      <c r="C1223" s="6"/>
      <c r="D1223" s="6"/>
      <c r="E1223" s="6"/>
      <c r="F1223" s="6"/>
      <c r="G1223" s="11"/>
      <c r="H1223" s="6"/>
      <c r="I1223" s="6"/>
      <c r="J1223" s="6"/>
      <c r="K1223" s="7"/>
      <c r="L1223" s="21" t="s">
        <v>37</v>
      </c>
      <c r="M1223" s="22"/>
      <c r="N1223" s="22"/>
      <c r="O1223" s="22" t="s">
        <v>135</v>
      </c>
      <c r="P1223" s="23" t="s">
        <v>157</v>
      </c>
      <c r="Q1223" s="21" t="s">
        <v>91</v>
      </c>
      <c r="R1223" s="25">
        <v>1</v>
      </c>
      <c r="S1223" s="28"/>
      <c r="T1223" s="31">
        <v>42354</v>
      </c>
      <c r="U1223" s="33">
        <v>2753.11</v>
      </c>
      <c r="V1223" s="36">
        <f t="shared" si="94"/>
        <v>2753.11</v>
      </c>
      <c r="W1223" s="28"/>
      <c r="X1223" s="31"/>
      <c r="Y1223" s="33"/>
      <c r="Z1223" s="189"/>
      <c r="AA1223" s="190"/>
      <c r="AB1223" s="31"/>
      <c r="AC1223" s="36"/>
      <c r="AD1223" s="8"/>
      <c r="AE1223" s="6"/>
      <c r="AF1223" s="52">
        <f t="shared" si="90"/>
        <v>116605220.94000001</v>
      </c>
      <c r="AG1223" s="25">
        <f t="shared" si="91"/>
        <v>0</v>
      </c>
      <c r="AH1223" s="52">
        <f t="shared" si="92"/>
        <v>0</v>
      </c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</row>
    <row r="1224" spans="1:44">
      <c r="A1224" s="6"/>
      <c r="B1224" s="6"/>
      <c r="C1224" s="6"/>
      <c r="D1224" s="6"/>
      <c r="E1224" s="6"/>
      <c r="F1224" s="6"/>
      <c r="G1224" s="11"/>
      <c r="H1224" s="6"/>
      <c r="I1224" s="6"/>
      <c r="J1224" s="6"/>
      <c r="K1224" s="7"/>
      <c r="L1224" s="21" t="s">
        <v>37</v>
      </c>
      <c r="M1224" s="22"/>
      <c r="N1224" s="22"/>
      <c r="O1224" s="22" t="s">
        <v>135</v>
      </c>
      <c r="P1224" s="23" t="s">
        <v>157</v>
      </c>
      <c r="Q1224" s="21" t="s">
        <v>108</v>
      </c>
      <c r="R1224" s="25">
        <v>1</v>
      </c>
      <c r="S1224" s="28"/>
      <c r="T1224" s="31">
        <v>42355</v>
      </c>
      <c r="U1224" s="33">
        <v>1111.8800000000001</v>
      </c>
      <c r="V1224" s="36">
        <f t="shared" si="94"/>
        <v>1111.8800000000001</v>
      </c>
      <c r="W1224" s="28"/>
      <c r="X1224" s="31"/>
      <c r="Y1224" s="33"/>
      <c r="Z1224" s="189"/>
      <c r="AA1224" s="190"/>
      <c r="AB1224" s="31"/>
      <c r="AC1224" s="36"/>
      <c r="AD1224" s="8"/>
      <c r="AE1224" s="6"/>
      <c r="AF1224" s="52">
        <f t="shared" si="90"/>
        <v>47093677.400000006</v>
      </c>
      <c r="AG1224" s="25">
        <f t="shared" si="91"/>
        <v>0</v>
      </c>
      <c r="AH1224" s="52">
        <f t="shared" si="92"/>
        <v>0</v>
      </c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</row>
    <row r="1225" spans="1:44">
      <c r="A1225" s="6"/>
      <c r="B1225" s="6"/>
      <c r="C1225" s="6"/>
      <c r="D1225" s="6"/>
      <c r="E1225" s="6"/>
      <c r="F1225" s="6"/>
      <c r="G1225" s="11"/>
      <c r="H1225" s="6"/>
      <c r="I1225" s="6"/>
      <c r="J1225" s="6"/>
      <c r="K1225" s="7"/>
      <c r="L1225" s="21" t="s">
        <v>37</v>
      </c>
      <c r="M1225" s="22"/>
      <c r="N1225" s="22"/>
      <c r="O1225" s="22" t="s">
        <v>140</v>
      </c>
      <c r="P1225" s="23" t="s">
        <v>157</v>
      </c>
      <c r="Q1225" s="21" t="s">
        <v>102</v>
      </c>
      <c r="R1225" s="25">
        <v>1</v>
      </c>
      <c r="S1225" s="28"/>
      <c r="T1225" s="31">
        <v>42357</v>
      </c>
      <c r="U1225" s="33">
        <v>13157.13</v>
      </c>
      <c r="V1225" s="36">
        <f t="shared" si="94"/>
        <v>13157.13</v>
      </c>
      <c r="W1225" s="28"/>
      <c r="X1225" s="31"/>
      <c r="Y1225" s="33"/>
      <c r="Z1225" s="189"/>
      <c r="AA1225" s="190"/>
      <c r="AB1225" s="31"/>
      <c r="AC1225" s="36"/>
      <c r="AD1225" s="8"/>
      <c r="AE1225" s="6"/>
      <c r="AF1225" s="52">
        <f t="shared" ref="AF1225:AF1261" si="95">T1225*V1225</f>
        <v>557296555.40999997</v>
      </c>
      <c r="AG1225" s="25">
        <f t="shared" ref="AG1225:AG1262" si="96">X1225*Z1225</f>
        <v>0</v>
      </c>
      <c r="AH1225" s="52">
        <f t="shared" si="92"/>
        <v>0</v>
      </c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</row>
    <row r="1226" spans="1:44">
      <c r="A1226" s="6"/>
      <c r="B1226" s="6"/>
      <c r="C1226" s="6"/>
      <c r="D1226" s="6"/>
      <c r="E1226" s="6"/>
      <c r="F1226" s="6"/>
      <c r="G1226" s="11"/>
      <c r="H1226" s="6"/>
      <c r="I1226" s="6"/>
      <c r="J1226" s="6"/>
      <c r="K1226" s="7"/>
      <c r="L1226" s="21" t="s">
        <v>37</v>
      </c>
      <c r="M1226" s="22"/>
      <c r="N1226" s="22"/>
      <c r="O1226" s="22" t="s">
        <v>138</v>
      </c>
      <c r="P1226" s="23" t="s">
        <v>157</v>
      </c>
      <c r="Q1226" s="21" t="s">
        <v>102</v>
      </c>
      <c r="R1226" s="25">
        <v>1</v>
      </c>
      <c r="S1226" s="28"/>
      <c r="T1226" s="31">
        <v>42366</v>
      </c>
      <c r="U1226" s="33">
        <v>13807</v>
      </c>
      <c r="V1226" s="36">
        <f t="shared" si="94"/>
        <v>13807</v>
      </c>
      <c r="W1226" s="28"/>
      <c r="X1226" s="31"/>
      <c r="Y1226" s="33"/>
      <c r="Z1226" s="189"/>
      <c r="AA1226" s="190"/>
      <c r="AB1226" s="31"/>
      <c r="AC1226" s="36"/>
      <c r="AD1226" s="8"/>
      <c r="AE1226" s="6"/>
      <c r="AF1226" s="52">
        <f t="shared" si="95"/>
        <v>584947362</v>
      </c>
      <c r="AG1226" s="25">
        <f t="shared" si="96"/>
        <v>0</v>
      </c>
      <c r="AH1226" s="52">
        <f t="shared" ref="AH1226:AH1262" si="97">AB1226*AC1226</f>
        <v>0</v>
      </c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</row>
    <row r="1227" spans="1:44">
      <c r="A1227" s="6"/>
      <c r="B1227" s="6"/>
      <c r="C1227" s="6"/>
      <c r="D1227" s="6"/>
      <c r="E1227" s="6"/>
      <c r="F1227" s="6"/>
      <c r="G1227" s="11"/>
      <c r="H1227" s="6"/>
      <c r="I1227" s="6"/>
      <c r="J1227" s="6"/>
      <c r="K1227" s="7"/>
      <c r="L1227" s="21" t="s">
        <v>37</v>
      </c>
      <c r="M1227" s="22"/>
      <c r="N1227" s="22"/>
      <c r="O1227" s="22" t="s">
        <v>148</v>
      </c>
      <c r="P1227" s="23" t="s">
        <v>157</v>
      </c>
      <c r="Q1227" s="21" t="s">
        <v>108</v>
      </c>
      <c r="R1227" s="25">
        <v>1</v>
      </c>
      <c r="S1227" s="28"/>
      <c r="T1227" s="31">
        <v>42359</v>
      </c>
      <c r="U1227" s="33">
        <v>3600</v>
      </c>
      <c r="V1227" s="36">
        <f t="shared" si="94"/>
        <v>3600</v>
      </c>
      <c r="W1227" s="28"/>
      <c r="X1227" s="31"/>
      <c r="Y1227" s="33"/>
      <c r="Z1227" s="189"/>
      <c r="AA1227" s="190"/>
      <c r="AB1227" s="31"/>
      <c r="AC1227" s="36"/>
      <c r="AD1227" s="8"/>
      <c r="AE1227" s="6"/>
      <c r="AF1227" s="52">
        <f t="shared" si="95"/>
        <v>152492400</v>
      </c>
      <c r="AG1227" s="25">
        <f t="shared" si="96"/>
        <v>0</v>
      </c>
      <c r="AH1227" s="52">
        <f t="shared" si="97"/>
        <v>0</v>
      </c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</row>
    <row r="1228" spans="1:44">
      <c r="A1228" s="6"/>
      <c r="B1228" s="6"/>
      <c r="C1228" s="6"/>
      <c r="D1228" s="6"/>
      <c r="E1228" s="6"/>
      <c r="F1228" s="6"/>
      <c r="G1228" s="11"/>
      <c r="H1228" s="6"/>
      <c r="I1228" s="6"/>
      <c r="J1228" s="6"/>
      <c r="K1228" s="7"/>
      <c r="L1228" s="21" t="s">
        <v>37</v>
      </c>
      <c r="M1228" s="22"/>
      <c r="N1228" s="22"/>
      <c r="O1228" s="22" t="s">
        <v>148</v>
      </c>
      <c r="P1228" s="23" t="s">
        <v>157</v>
      </c>
      <c r="Q1228" s="21" t="s">
        <v>108</v>
      </c>
      <c r="R1228" s="25">
        <v>1</v>
      </c>
      <c r="S1228" s="28"/>
      <c r="T1228" s="31">
        <v>42363</v>
      </c>
      <c r="U1228" s="33">
        <v>3600</v>
      </c>
      <c r="V1228" s="36">
        <f t="shared" si="94"/>
        <v>3600</v>
      </c>
      <c r="W1228" s="28"/>
      <c r="X1228" s="31"/>
      <c r="Y1228" s="33"/>
      <c r="Z1228" s="189"/>
      <c r="AA1228" s="190"/>
      <c r="AB1228" s="31"/>
      <c r="AC1228" s="36"/>
      <c r="AD1228" s="8"/>
      <c r="AE1228" s="6"/>
      <c r="AF1228" s="52">
        <f t="shared" si="95"/>
        <v>152506800</v>
      </c>
      <c r="AG1228" s="25">
        <f t="shared" si="96"/>
        <v>0</v>
      </c>
      <c r="AH1228" s="52">
        <f t="shared" si="97"/>
        <v>0</v>
      </c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</row>
    <row r="1229" spans="1:44">
      <c r="A1229" s="6"/>
      <c r="B1229" s="6"/>
      <c r="C1229" s="6"/>
      <c r="D1229" s="6"/>
      <c r="E1229" s="6"/>
      <c r="F1229" s="6"/>
      <c r="G1229" s="11"/>
      <c r="H1229" s="6"/>
      <c r="I1229" s="6"/>
      <c r="J1229" s="6"/>
      <c r="K1229" s="7"/>
      <c r="L1229" s="21" t="s">
        <v>37</v>
      </c>
      <c r="M1229" s="22"/>
      <c r="N1229" s="22"/>
      <c r="O1229" s="22" t="s">
        <v>148</v>
      </c>
      <c r="P1229" s="23" t="s">
        <v>157</v>
      </c>
      <c r="Q1229" s="21" t="s">
        <v>108</v>
      </c>
      <c r="R1229" s="25">
        <v>1</v>
      </c>
      <c r="S1229" s="28"/>
      <c r="T1229" s="31">
        <v>42359</v>
      </c>
      <c r="U1229" s="33">
        <v>3586.52</v>
      </c>
      <c r="V1229" s="36">
        <f t="shared" si="94"/>
        <v>3586.52</v>
      </c>
      <c r="W1229" s="28"/>
      <c r="X1229" s="31"/>
      <c r="Y1229" s="33"/>
      <c r="Z1229" s="189"/>
      <c r="AA1229" s="190"/>
      <c r="AB1229" s="31"/>
      <c r="AC1229" s="36"/>
      <c r="AD1229" s="8"/>
      <c r="AE1229" s="6"/>
      <c r="AF1229" s="52">
        <f t="shared" si="95"/>
        <v>151921400.68000001</v>
      </c>
      <c r="AG1229" s="25">
        <f t="shared" si="96"/>
        <v>0</v>
      </c>
      <c r="AH1229" s="52">
        <f t="shared" si="97"/>
        <v>0</v>
      </c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</row>
    <row r="1230" spans="1:44">
      <c r="A1230" s="6"/>
      <c r="B1230" s="6"/>
      <c r="C1230" s="6"/>
      <c r="D1230" s="6"/>
      <c r="E1230" s="6"/>
      <c r="F1230" s="6"/>
      <c r="G1230" s="11"/>
      <c r="H1230" s="6"/>
      <c r="I1230" s="6"/>
      <c r="J1230" s="6"/>
      <c r="K1230" s="7"/>
      <c r="L1230" s="21" t="s">
        <v>37</v>
      </c>
      <c r="M1230" s="22"/>
      <c r="N1230" s="22"/>
      <c r="O1230" s="22" t="s">
        <v>143</v>
      </c>
      <c r="P1230" s="23" t="s">
        <v>160</v>
      </c>
      <c r="Q1230" s="21" t="s">
        <v>101</v>
      </c>
      <c r="R1230" s="25">
        <v>3</v>
      </c>
      <c r="S1230" s="28"/>
      <c r="T1230" s="31">
        <v>42366</v>
      </c>
      <c r="U1230" s="33">
        <v>6079.2</v>
      </c>
      <c r="V1230" s="36">
        <f t="shared" si="94"/>
        <v>18237.599999999999</v>
      </c>
      <c r="W1230" s="28"/>
      <c r="X1230" s="31"/>
      <c r="Y1230" s="33"/>
      <c r="Z1230" s="189"/>
      <c r="AA1230" s="190"/>
      <c r="AB1230" s="31"/>
      <c r="AC1230" s="36"/>
      <c r="AD1230" s="8"/>
      <c r="AE1230" s="6"/>
      <c r="AF1230" s="52">
        <f t="shared" si="95"/>
        <v>772654161.5999999</v>
      </c>
      <c r="AG1230" s="25">
        <f t="shared" si="96"/>
        <v>0</v>
      </c>
      <c r="AH1230" s="52">
        <f t="shared" si="97"/>
        <v>0</v>
      </c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</row>
    <row r="1231" spans="1:44">
      <c r="A1231" s="6"/>
      <c r="B1231" s="6"/>
      <c r="C1231" s="6"/>
      <c r="D1231" s="6"/>
      <c r="E1231" s="6"/>
      <c r="F1231" s="6"/>
      <c r="G1231" s="11"/>
      <c r="H1231" s="6"/>
      <c r="I1231" s="6"/>
      <c r="J1231" s="6"/>
      <c r="K1231" s="7"/>
      <c r="L1231" s="21" t="s">
        <v>37</v>
      </c>
      <c r="M1231" s="22"/>
      <c r="N1231" s="22"/>
      <c r="O1231" s="22" t="s">
        <v>146</v>
      </c>
      <c r="P1231" s="23" t="s">
        <v>157</v>
      </c>
      <c r="Q1231" s="21" t="s">
        <v>92</v>
      </c>
      <c r="R1231" s="25">
        <v>1</v>
      </c>
      <c r="S1231" s="28"/>
      <c r="T1231" s="31">
        <v>42365</v>
      </c>
      <c r="U1231" s="33">
        <v>2404</v>
      </c>
      <c r="V1231" s="36">
        <f t="shared" si="94"/>
        <v>2404</v>
      </c>
      <c r="W1231" s="28"/>
      <c r="X1231" s="31"/>
      <c r="Y1231" s="33"/>
      <c r="Z1231" s="189"/>
      <c r="AA1231" s="190"/>
      <c r="AB1231" s="31"/>
      <c r="AC1231" s="36"/>
      <c r="AD1231" s="8"/>
      <c r="AE1231" s="6"/>
      <c r="AF1231" s="52">
        <f t="shared" si="95"/>
        <v>101845460</v>
      </c>
      <c r="AG1231" s="25">
        <f t="shared" si="96"/>
        <v>0</v>
      </c>
      <c r="AH1231" s="52">
        <f t="shared" si="97"/>
        <v>0</v>
      </c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</row>
    <row r="1232" spans="1:44">
      <c r="A1232" s="6"/>
      <c r="B1232" s="6"/>
      <c r="C1232" s="6"/>
      <c r="D1232" s="6"/>
      <c r="E1232" s="6"/>
      <c r="F1232" s="6"/>
      <c r="G1232" s="11"/>
      <c r="H1232" s="6"/>
      <c r="I1232" s="6"/>
      <c r="J1232" s="6"/>
      <c r="K1232" s="7"/>
      <c r="L1232" s="21" t="s">
        <v>37</v>
      </c>
      <c r="M1232" s="22"/>
      <c r="N1232" s="22"/>
      <c r="O1232" s="22" t="s">
        <v>141</v>
      </c>
      <c r="P1232" s="23" t="s">
        <v>157</v>
      </c>
      <c r="Q1232" s="21" t="s">
        <v>109</v>
      </c>
      <c r="R1232" s="25">
        <v>1</v>
      </c>
      <c r="S1232" s="28"/>
      <c r="T1232" s="31">
        <v>42365</v>
      </c>
      <c r="U1232" s="33">
        <v>7870</v>
      </c>
      <c r="V1232" s="36">
        <f t="shared" si="94"/>
        <v>7870</v>
      </c>
      <c r="W1232" s="28"/>
      <c r="X1232" s="31"/>
      <c r="Y1232" s="33"/>
      <c r="Z1232" s="189"/>
      <c r="AA1232" s="190"/>
      <c r="AB1232" s="31"/>
      <c r="AC1232" s="36"/>
      <c r="AD1232" s="8"/>
      <c r="AE1232" s="6"/>
      <c r="AF1232" s="52">
        <f t="shared" si="95"/>
        <v>333412550</v>
      </c>
      <c r="AG1232" s="25">
        <f t="shared" si="96"/>
        <v>0</v>
      </c>
      <c r="AH1232" s="52">
        <f t="shared" si="97"/>
        <v>0</v>
      </c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</row>
    <row r="1233" spans="1:44">
      <c r="A1233" s="6"/>
      <c r="B1233" s="6"/>
      <c r="C1233" s="6"/>
      <c r="D1233" s="6"/>
      <c r="E1233" s="6"/>
      <c r="F1233" s="6"/>
      <c r="G1233" s="11"/>
      <c r="H1233" s="6"/>
      <c r="I1233" s="6"/>
      <c r="J1233" s="6"/>
      <c r="K1233" s="7"/>
      <c r="L1233" s="21" t="s">
        <v>37</v>
      </c>
      <c r="M1233" s="22"/>
      <c r="N1233" s="22"/>
      <c r="O1233" s="22" t="s">
        <v>143</v>
      </c>
      <c r="P1233" s="23" t="s">
        <v>160</v>
      </c>
      <c r="Q1233" s="21" t="s">
        <v>110</v>
      </c>
      <c r="R1233" s="25">
        <v>2</v>
      </c>
      <c r="S1233" s="28"/>
      <c r="T1233" s="31">
        <v>42352</v>
      </c>
      <c r="U1233" s="33">
        <v>3590.4</v>
      </c>
      <c r="V1233" s="36">
        <f t="shared" si="94"/>
        <v>7180.8</v>
      </c>
      <c r="W1233" s="28"/>
      <c r="X1233" s="31"/>
      <c r="Y1233" s="33"/>
      <c r="Z1233" s="189"/>
      <c r="AA1233" s="190"/>
      <c r="AB1233" s="31">
        <v>42362</v>
      </c>
      <c r="AC1233" s="36">
        <v>7180.8</v>
      </c>
      <c r="AD1233" s="8"/>
      <c r="AE1233" s="6"/>
      <c r="AF1233" s="52">
        <f t="shared" si="95"/>
        <v>304121241.60000002</v>
      </c>
      <c r="AG1233" s="25">
        <f t="shared" si="96"/>
        <v>0</v>
      </c>
      <c r="AH1233" s="52">
        <f t="shared" si="97"/>
        <v>304193049.60000002</v>
      </c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</row>
    <row r="1234" spans="1:44">
      <c r="A1234" s="6"/>
      <c r="B1234" s="6"/>
      <c r="C1234" s="6"/>
      <c r="D1234" s="6"/>
      <c r="E1234" s="6"/>
      <c r="F1234" s="6"/>
      <c r="G1234" s="11"/>
      <c r="H1234" s="6"/>
      <c r="I1234" s="6"/>
      <c r="J1234" s="6"/>
      <c r="K1234" s="7"/>
      <c r="L1234" s="21" t="s">
        <v>37</v>
      </c>
      <c r="M1234" s="22"/>
      <c r="N1234" s="22"/>
      <c r="O1234" s="22" t="s">
        <v>143</v>
      </c>
      <c r="P1234" s="23" t="s">
        <v>160</v>
      </c>
      <c r="Q1234" s="21" t="s">
        <v>110</v>
      </c>
      <c r="R1234" s="25">
        <v>1</v>
      </c>
      <c r="S1234" s="28"/>
      <c r="T1234" s="31">
        <v>42358</v>
      </c>
      <c r="U1234" s="33">
        <v>2366.4</v>
      </c>
      <c r="V1234" s="36">
        <f t="shared" si="94"/>
        <v>2366.4</v>
      </c>
      <c r="W1234" s="28"/>
      <c r="X1234" s="31"/>
      <c r="Y1234" s="33"/>
      <c r="Z1234" s="189"/>
      <c r="AA1234" s="190"/>
      <c r="AB1234" s="31"/>
      <c r="AC1234" s="36"/>
      <c r="AD1234" s="8"/>
      <c r="AE1234" s="6"/>
      <c r="AF1234" s="52">
        <f t="shared" si="95"/>
        <v>100235971.2</v>
      </c>
      <c r="AG1234" s="25">
        <f t="shared" si="96"/>
        <v>0</v>
      </c>
      <c r="AH1234" s="52">
        <f t="shared" si="97"/>
        <v>0</v>
      </c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</row>
    <row r="1235" spans="1:44">
      <c r="A1235" s="6"/>
      <c r="B1235" s="6"/>
      <c r="C1235" s="6"/>
      <c r="D1235" s="6"/>
      <c r="E1235" s="6"/>
      <c r="F1235" s="6"/>
      <c r="G1235" s="11"/>
      <c r="H1235" s="6"/>
      <c r="I1235" s="6"/>
      <c r="J1235" s="6"/>
      <c r="K1235" s="7"/>
      <c r="L1235" s="21" t="s">
        <v>37</v>
      </c>
      <c r="M1235" s="22"/>
      <c r="N1235" s="22"/>
      <c r="O1235" s="22" t="s">
        <v>135</v>
      </c>
      <c r="P1235" s="23" t="s">
        <v>157</v>
      </c>
      <c r="Q1235" s="21" t="s">
        <v>91</v>
      </c>
      <c r="R1235" s="25">
        <v>1</v>
      </c>
      <c r="S1235" s="28"/>
      <c r="T1235" s="31">
        <v>42362</v>
      </c>
      <c r="U1235" s="33">
        <v>2310.7199999999998</v>
      </c>
      <c r="V1235" s="36">
        <f t="shared" si="94"/>
        <v>2310.7199999999998</v>
      </c>
      <c r="W1235" s="28"/>
      <c r="X1235" s="31"/>
      <c r="Y1235" s="33"/>
      <c r="Z1235" s="189"/>
      <c r="AA1235" s="190"/>
      <c r="AB1235" s="31"/>
      <c r="AC1235" s="36"/>
      <c r="AD1235" s="8"/>
      <c r="AE1235" s="6"/>
      <c r="AF1235" s="52">
        <f t="shared" si="95"/>
        <v>97886720.639999986</v>
      </c>
      <c r="AG1235" s="25">
        <f t="shared" si="96"/>
        <v>0</v>
      </c>
      <c r="AH1235" s="52">
        <f t="shared" si="97"/>
        <v>0</v>
      </c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</row>
    <row r="1236" spans="1:44">
      <c r="A1236" s="6"/>
      <c r="B1236" s="6"/>
      <c r="C1236" s="6"/>
      <c r="D1236" s="6"/>
      <c r="E1236" s="6"/>
      <c r="F1236" s="6"/>
      <c r="G1236" s="11"/>
      <c r="H1236" s="6"/>
      <c r="I1236" s="6"/>
      <c r="J1236" s="6"/>
      <c r="K1236" s="7"/>
      <c r="L1236" s="21" t="s">
        <v>37</v>
      </c>
      <c r="M1236" s="22"/>
      <c r="N1236" s="22"/>
      <c r="O1236" s="22" t="s">
        <v>135</v>
      </c>
      <c r="P1236" s="23" t="s">
        <v>157</v>
      </c>
      <c r="Q1236" s="21" t="s">
        <v>91</v>
      </c>
      <c r="R1236" s="25">
        <v>2</v>
      </c>
      <c r="S1236" s="28"/>
      <c r="T1236" s="31">
        <v>42361</v>
      </c>
      <c r="U1236" s="33">
        <v>2310.7199999999998</v>
      </c>
      <c r="V1236" s="36">
        <f t="shared" si="94"/>
        <v>4621.4399999999996</v>
      </c>
      <c r="W1236" s="28"/>
      <c r="X1236" s="31"/>
      <c r="Y1236" s="33"/>
      <c r="Z1236" s="189"/>
      <c r="AA1236" s="190"/>
      <c r="AB1236" s="31"/>
      <c r="AC1236" s="36"/>
      <c r="AD1236" s="8"/>
      <c r="AE1236" s="6"/>
      <c r="AF1236" s="52">
        <f t="shared" si="95"/>
        <v>195768819.83999997</v>
      </c>
      <c r="AG1236" s="25">
        <f t="shared" si="96"/>
        <v>0</v>
      </c>
      <c r="AH1236" s="52">
        <f t="shared" si="97"/>
        <v>0</v>
      </c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</row>
    <row r="1237" spans="1:44">
      <c r="A1237" s="6"/>
      <c r="B1237" s="6"/>
      <c r="C1237" s="6"/>
      <c r="D1237" s="6"/>
      <c r="E1237" s="6"/>
      <c r="F1237" s="6"/>
      <c r="G1237" s="11"/>
      <c r="H1237" s="6"/>
      <c r="I1237" s="6"/>
      <c r="J1237" s="6"/>
      <c r="K1237" s="7"/>
      <c r="L1237" s="21" t="s">
        <v>37</v>
      </c>
      <c r="M1237" s="22"/>
      <c r="N1237" s="22"/>
      <c r="O1237" s="22" t="s">
        <v>139</v>
      </c>
      <c r="P1237" s="23" t="s">
        <v>157</v>
      </c>
      <c r="Q1237" s="21" t="s">
        <v>108</v>
      </c>
      <c r="R1237" s="25">
        <v>1</v>
      </c>
      <c r="S1237" s="28"/>
      <c r="T1237" s="31">
        <v>42366</v>
      </c>
      <c r="U1237" s="33">
        <v>8253</v>
      </c>
      <c r="V1237" s="36">
        <f t="shared" si="94"/>
        <v>8253</v>
      </c>
      <c r="W1237" s="28"/>
      <c r="X1237" s="31"/>
      <c r="Y1237" s="33"/>
      <c r="Z1237" s="189"/>
      <c r="AA1237" s="190"/>
      <c r="AB1237" s="31"/>
      <c r="AC1237" s="36"/>
      <c r="AD1237" s="8"/>
      <c r="AE1237" s="6"/>
      <c r="AF1237" s="52">
        <f t="shared" si="95"/>
        <v>349646598</v>
      </c>
      <c r="AG1237" s="25">
        <f t="shared" si="96"/>
        <v>0</v>
      </c>
      <c r="AH1237" s="52">
        <f t="shared" si="97"/>
        <v>0</v>
      </c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</row>
    <row r="1238" spans="1:44">
      <c r="A1238" s="6"/>
      <c r="B1238" s="6"/>
      <c r="C1238" s="6"/>
      <c r="D1238" s="6"/>
      <c r="E1238" s="6"/>
      <c r="F1238" s="6"/>
      <c r="G1238" s="11"/>
      <c r="H1238" s="6"/>
      <c r="I1238" s="6"/>
      <c r="J1238" s="6"/>
      <c r="K1238" s="7"/>
      <c r="L1238" s="21" t="s">
        <v>37</v>
      </c>
      <c r="M1238" s="22"/>
      <c r="N1238" s="22"/>
      <c r="O1238" s="22" t="s">
        <v>139</v>
      </c>
      <c r="P1238" s="23" t="s">
        <v>157</v>
      </c>
      <c r="Q1238" s="21" t="s">
        <v>98</v>
      </c>
      <c r="R1238" s="25">
        <v>1</v>
      </c>
      <c r="S1238" s="28"/>
      <c r="T1238" s="31">
        <v>42368</v>
      </c>
      <c r="U1238" s="33">
        <v>18479.3</v>
      </c>
      <c r="V1238" s="36">
        <f t="shared" si="94"/>
        <v>18479.3</v>
      </c>
      <c r="W1238" s="28"/>
      <c r="X1238" s="31"/>
      <c r="Y1238" s="33"/>
      <c r="Z1238" s="189"/>
      <c r="AA1238" s="190"/>
      <c r="AB1238" s="31"/>
      <c r="AC1238" s="36"/>
      <c r="AD1238" s="8"/>
      <c r="AE1238" s="6"/>
      <c r="AF1238" s="52">
        <f t="shared" si="95"/>
        <v>782930982.39999998</v>
      </c>
      <c r="AG1238" s="25">
        <f t="shared" si="96"/>
        <v>0</v>
      </c>
      <c r="AH1238" s="52">
        <f t="shared" si="97"/>
        <v>0</v>
      </c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</row>
    <row r="1239" spans="1:44">
      <c r="A1239" s="6"/>
      <c r="B1239" s="6"/>
      <c r="C1239" s="6"/>
      <c r="D1239" s="6"/>
      <c r="E1239" s="6"/>
      <c r="F1239" s="6"/>
      <c r="G1239" s="11"/>
      <c r="H1239" s="6"/>
      <c r="I1239" s="6"/>
      <c r="J1239" s="6"/>
      <c r="K1239" s="7"/>
      <c r="L1239" s="21" t="s">
        <v>37</v>
      </c>
      <c r="M1239" s="22"/>
      <c r="N1239" s="22"/>
      <c r="O1239" s="22" t="s">
        <v>138</v>
      </c>
      <c r="P1239" s="23" t="s">
        <v>157</v>
      </c>
      <c r="Q1239" s="21" t="s">
        <v>102</v>
      </c>
      <c r="R1239" s="25">
        <v>1</v>
      </c>
      <c r="S1239" s="28"/>
      <c r="T1239" s="31">
        <v>42352</v>
      </c>
      <c r="U1239" s="33">
        <v>1961</v>
      </c>
      <c r="V1239" s="36">
        <f t="shared" si="94"/>
        <v>1961</v>
      </c>
      <c r="W1239" s="28"/>
      <c r="X1239" s="31"/>
      <c r="Y1239" s="33"/>
      <c r="Z1239" s="189"/>
      <c r="AA1239" s="190"/>
      <c r="AB1239" s="31"/>
      <c r="AC1239" s="36"/>
      <c r="AD1239" s="8"/>
      <c r="AE1239" s="6"/>
      <c r="AF1239" s="52">
        <f t="shared" si="95"/>
        <v>83052272</v>
      </c>
      <c r="AG1239" s="25">
        <f t="shared" si="96"/>
        <v>0</v>
      </c>
      <c r="AH1239" s="52">
        <f t="shared" si="97"/>
        <v>0</v>
      </c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</row>
    <row r="1240" spans="1:44">
      <c r="A1240" s="6"/>
      <c r="B1240" s="6"/>
      <c r="C1240" s="6"/>
      <c r="D1240" s="6"/>
      <c r="E1240" s="6"/>
      <c r="F1240" s="6"/>
      <c r="G1240" s="11"/>
      <c r="H1240" s="6"/>
      <c r="I1240" s="6"/>
      <c r="J1240" s="6"/>
      <c r="K1240" s="7"/>
      <c r="L1240" s="21" t="s">
        <v>37</v>
      </c>
      <c r="M1240" s="22"/>
      <c r="N1240" s="22"/>
      <c r="O1240" s="22" t="s">
        <v>138</v>
      </c>
      <c r="P1240" s="23" t="s">
        <v>157</v>
      </c>
      <c r="Q1240" s="21" t="s">
        <v>102</v>
      </c>
      <c r="R1240" s="25">
        <v>1</v>
      </c>
      <c r="S1240" s="28"/>
      <c r="T1240" s="31">
        <v>42361</v>
      </c>
      <c r="U1240" s="33">
        <v>2013</v>
      </c>
      <c r="V1240" s="36">
        <f t="shared" si="94"/>
        <v>2013</v>
      </c>
      <c r="W1240" s="28"/>
      <c r="X1240" s="31"/>
      <c r="Y1240" s="33"/>
      <c r="Z1240" s="189"/>
      <c r="AA1240" s="190"/>
      <c r="AB1240" s="31"/>
      <c r="AC1240" s="36"/>
      <c r="AD1240" s="8"/>
      <c r="AE1240" s="6"/>
      <c r="AF1240" s="52">
        <f t="shared" si="95"/>
        <v>85272693</v>
      </c>
      <c r="AG1240" s="25">
        <f t="shared" si="96"/>
        <v>0</v>
      </c>
      <c r="AH1240" s="52">
        <f t="shared" si="97"/>
        <v>0</v>
      </c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</row>
    <row r="1241" spans="1:44">
      <c r="A1241" s="6"/>
      <c r="B1241" s="6"/>
      <c r="C1241" s="6"/>
      <c r="D1241" s="6"/>
      <c r="E1241" s="6"/>
      <c r="F1241" s="6"/>
      <c r="G1241" s="11"/>
      <c r="H1241" s="6"/>
      <c r="I1241" s="6"/>
      <c r="J1241" s="6"/>
      <c r="K1241" s="7"/>
      <c r="L1241" s="21" t="s">
        <v>37</v>
      </c>
      <c r="M1241" s="22"/>
      <c r="N1241" s="22"/>
      <c r="O1241" s="22" t="s">
        <v>144</v>
      </c>
      <c r="P1241" s="23" t="s">
        <v>156</v>
      </c>
      <c r="Q1241" s="21" t="s">
        <v>83</v>
      </c>
      <c r="R1241" s="25">
        <v>1</v>
      </c>
      <c r="S1241" s="28"/>
      <c r="T1241" s="31">
        <v>42358</v>
      </c>
      <c r="U1241" s="33">
        <v>1518.48</v>
      </c>
      <c r="V1241" s="36">
        <f t="shared" si="94"/>
        <v>1518.48</v>
      </c>
      <c r="W1241" s="28"/>
      <c r="X1241" s="31"/>
      <c r="Y1241" s="33"/>
      <c r="Z1241" s="189"/>
      <c r="AA1241" s="190"/>
      <c r="AB1241" s="31">
        <v>42363</v>
      </c>
      <c r="AC1241" s="36">
        <v>1518.48</v>
      </c>
      <c r="AD1241" s="8"/>
      <c r="AE1241" s="6"/>
      <c r="AF1241" s="52">
        <f t="shared" si="95"/>
        <v>64319775.840000004</v>
      </c>
      <c r="AG1241" s="25">
        <f t="shared" si="96"/>
        <v>0</v>
      </c>
      <c r="AH1241" s="52">
        <f t="shared" si="97"/>
        <v>64327368.240000002</v>
      </c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</row>
    <row r="1242" spans="1:44">
      <c r="A1242" s="6"/>
      <c r="B1242" s="6"/>
      <c r="C1242" s="6"/>
      <c r="D1242" s="6"/>
      <c r="E1242" s="6"/>
      <c r="F1242" s="6"/>
      <c r="G1242" s="11"/>
      <c r="H1242" s="6"/>
      <c r="I1242" s="6"/>
      <c r="J1242" s="6"/>
      <c r="K1242" s="7"/>
      <c r="L1242" s="21" t="s">
        <v>37</v>
      </c>
      <c r="M1242" s="22"/>
      <c r="N1242" s="22"/>
      <c r="O1242" s="22" t="s">
        <v>144</v>
      </c>
      <c r="P1242" s="23" t="s">
        <v>156</v>
      </c>
      <c r="Q1242" s="21" t="s">
        <v>83</v>
      </c>
      <c r="R1242" s="25">
        <v>1</v>
      </c>
      <c r="S1242" s="28"/>
      <c r="T1242" s="31">
        <v>42354</v>
      </c>
      <c r="U1242" s="33">
        <v>1506.89</v>
      </c>
      <c r="V1242" s="36">
        <f t="shared" si="94"/>
        <v>1506.89</v>
      </c>
      <c r="W1242" s="28"/>
      <c r="X1242" s="31"/>
      <c r="Y1242" s="33"/>
      <c r="Z1242" s="189"/>
      <c r="AA1242" s="190"/>
      <c r="AB1242" s="31"/>
      <c r="AC1242" s="36"/>
      <c r="AD1242" s="8"/>
      <c r="AE1242" s="6"/>
      <c r="AF1242" s="52">
        <f t="shared" si="95"/>
        <v>63822819.060000002</v>
      </c>
      <c r="AG1242" s="25">
        <f t="shared" si="96"/>
        <v>0</v>
      </c>
      <c r="AH1242" s="52">
        <f t="shared" si="97"/>
        <v>0</v>
      </c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</row>
    <row r="1243" spans="1:44">
      <c r="A1243" s="6"/>
      <c r="B1243" s="6"/>
      <c r="C1243" s="6"/>
      <c r="D1243" s="6"/>
      <c r="E1243" s="6"/>
      <c r="F1243" s="6"/>
      <c r="G1243" s="11"/>
      <c r="H1243" s="6"/>
      <c r="I1243" s="6"/>
      <c r="J1243" s="6"/>
      <c r="K1243" s="7"/>
      <c r="L1243" s="21" t="s">
        <v>37</v>
      </c>
      <c r="M1243" s="22"/>
      <c r="N1243" s="22"/>
      <c r="O1243" s="22" t="s">
        <v>144</v>
      </c>
      <c r="P1243" s="23" t="s">
        <v>156</v>
      </c>
      <c r="Q1243" s="21" t="s">
        <v>83</v>
      </c>
      <c r="R1243" s="25">
        <v>1</v>
      </c>
      <c r="S1243" s="28"/>
      <c r="T1243" s="31">
        <v>42365</v>
      </c>
      <c r="U1243" s="33">
        <v>1597.32</v>
      </c>
      <c r="V1243" s="36">
        <f t="shared" si="94"/>
        <v>1597.32</v>
      </c>
      <c r="W1243" s="28"/>
      <c r="X1243" s="31"/>
      <c r="Y1243" s="33"/>
      <c r="Z1243" s="189"/>
      <c r="AA1243" s="190"/>
      <c r="AB1243" s="31"/>
      <c r="AC1243" s="36"/>
      <c r="AD1243" s="8"/>
      <c r="AE1243" s="6"/>
      <c r="AF1243" s="52">
        <f t="shared" si="95"/>
        <v>67670461.799999997</v>
      </c>
      <c r="AG1243" s="25">
        <f t="shared" si="96"/>
        <v>0</v>
      </c>
      <c r="AH1243" s="52">
        <f t="shared" si="97"/>
        <v>0</v>
      </c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</row>
    <row r="1244" spans="1:44">
      <c r="A1244" s="6"/>
      <c r="B1244" s="6"/>
      <c r="C1244" s="6"/>
      <c r="D1244" s="6"/>
      <c r="E1244" s="6"/>
      <c r="F1244" s="6"/>
      <c r="G1244" s="11"/>
      <c r="H1244" s="6"/>
      <c r="I1244" s="6"/>
      <c r="J1244" s="6"/>
      <c r="K1244" s="7"/>
      <c r="L1244" s="21" t="s">
        <v>37</v>
      </c>
      <c r="M1244" s="22"/>
      <c r="N1244" s="22"/>
      <c r="O1244" s="22" t="s">
        <v>135</v>
      </c>
      <c r="P1244" s="23" t="s">
        <v>157</v>
      </c>
      <c r="Q1244" s="21" t="s">
        <v>133</v>
      </c>
      <c r="R1244" s="25">
        <v>4</v>
      </c>
      <c r="S1244" s="28"/>
      <c r="T1244" s="31">
        <v>42358</v>
      </c>
      <c r="U1244" s="33">
        <v>529.96</v>
      </c>
      <c r="V1244" s="36">
        <f t="shared" si="94"/>
        <v>2119.84</v>
      </c>
      <c r="W1244" s="28"/>
      <c r="X1244" s="31"/>
      <c r="Y1244" s="33"/>
      <c r="Z1244" s="189"/>
      <c r="AA1244" s="190"/>
      <c r="AB1244" s="31"/>
      <c r="AC1244" s="36"/>
      <c r="AD1244" s="8"/>
      <c r="AE1244" s="6"/>
      <c r="AF1244" s="52">
        <f t="shared" si="95"/>
        <v>89792182.719999999</v>
      </c>
      <c r="AG1244" s="25">
        <f t="shared" si="96"/>
        <v>0</v>
      </c>
      <c r="AH1244" s="52">
        <f t="shared" si="97"/>
        <v>0</v>
      </c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</row>
    <row r="1245" spans="1:44">
      <c r="A1245" s="6"/>
      <c r="B1245" s="6"/>
      <c r="C1245" s="6"/>
      <c r="D1245" s="6"/>
      <c r="E1245" s="6"/>
      <c r="F1245" s="6"/>
      <c r="G1245" s="11"/>
      <c r="H1245" s="6"/>
      <c r="I1245" s="6"/>
      <c r="J1245" s="6"/>
      <c r="K1245" s="7"/>
      <c r="L1245" s="21" t="s">
        <v>37</v>
      </c>
      <c r="M1245" s="22"/>
      <c r="N1245" s="22"/>
      <c r="O1245" s="22" t="s">
        <v>135</v>
      </c>
      <c r="P1245" s="23" t="s">
        <v>157</v>
      </c>
      <c r="Q1245" s="21" t="s">
        <v>133</v>
      </c>
      <c r="R1245" s="25">
        <v>1</v>
      </c>
      <c r="S1245" s="28"/>
      <c r="T1245" s="31">
        <v>42354</v>
      </c>
      <c r="U1245" s="33">
        <v>638.5</v>
      </c>
      <c r="V1245" s="36">
        <f t="shared" si="94"/>
        <v>638.5</v>
      </c>
      <c r="W1245" s="28"/>
      <c r="X1245" s="31"/>
      <c r="Y1245" s="33"/>
      <c r="Z1245" s="189"/>
      <c r="AA1245" s="190"/>
      <c r="AB1245" s="31"/>
      <c r="AC1245" s="36"/>
      <c r="AD1245" s="8"/>
      <c r="AE1245" s="6"/>
      <c r="AF1245" s="52">
        <f t="shared" si="95"/>
        <v>27043029</v>
      </c>
      <c r="AG1245" s="25">
        <f t="shared" si="96"/>
        <v>0</v>
      </c>
      <c r="AH1245" s="52">
        <f t="shared" si="97"/>
        <v>0</v>
      </c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</row>
    <row r="1246" spans="1:44">
      <c r="A1246" s="6"/>
      <c r="B1246" s="6"/>
      <c r="C1246" s="6"/>
      <c r="D1246" s="6"/>
      <c r="E1246" s="6"/>
      <c r="F1246" s="6"/>
      <c r="G1246" s="11"/>
      <c r="H1246" s="6"/>
      <c r="I1246" s="6"/>
      <c r="J1246" s="6"/>
      <c r="K1246" s="7"/>
      <c r="L1246" s="21" t="s">
        <v>37</v>
      </c>
      <c r="M1246" s="22"/>
      <c r="N1246" s="22"/>
      <c r="O1246" s="22" t="s">
        <v>138</v>
      </c>
      <c r="P1246" s="23" t="s">
        <v>157</v>
      </c>
      <c r="Q1246" s="21" t="s">
        <v>59</v>
      </c>
      <c r="R1246" s="25">
        <v>1</v>
      </c>
      <c r="S1246" s="28"/>
      <c r="T1246" s="31">
        <v>42365</v>
      </c>
      <c r="U1246" s="33">
        <v>7205</v>
      </c>
      <c r="V1246" s="36">
        <f t="shared" si="94"/>
        <v>7205</v>
      </c>
      <c r="W1246" s="28"/>
      <c r="X1246" s="31"/>
      <c r="Y1246" s="33"/>
      <c r="Z1246" s="189"/>
      <c r="AA1246" s="190"/>
      <c r="AB1246" s="31"/>
      <c r="AC1246" s="36"/>
      <c r="AD1246" s="8"/>
      <c r="AE1246" s="6"/>
      <c r="AF1246" s="52">
        <f t="shared" si="95"/>
        <v>305239825</v>
      </c>
      <c r="AG1246" s="25">
        <f t="shared" si="96"/>
        <v>0</v>
      </c>
      <c r="AH1246" s="52">
        <f t="shared" si="97"/>
        <v>0</v>
      </c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</row>
    <row r="1247" spans="1:44">
      <c r="A1247" s="6"/>
      <c r="B1247" s="6"/>
      <c r="C1247" s="6"/>
      <c r="D1247" s="6"/>
      <c r="E1247" s="6"/>
      <c r="F1247" s="6"/>
      <c r="G1247" s="11"/>
      <c r="H1247" s="6"/>
      <c r="I1247" s="6"/>
      <c r="J1247" s="6"/>
      <c r="K1247" s="7"/>
      <c r="L1247" s="21" t="s">
        <v>37</v>
      </c>
      <c r="M1247" s="22"/>
      <c r="N1247" s="22"/>
      <c r="O1247" s="22" t="s">
        <v>138</v>
      </c>
      <c r="P1247" s="23" t="s">
        <v>157</v>
      </c>
      <c r="Q1247" s="21" t="s">
        <v>59</v>
      </c>
      <c r="R1247" s="25">
        <v>1</v>
      </c>
      <c r="S1247" s="28"/>
      <c r="T1247" s="31">
        <v>42368</v>
      </c>
      <c r="U1247" s="33">
        <v>7205</v>
      </c>
      <c r="V1247" s="36">
        <f t="shared" si="94"/>
        <v>7205</v>
      </c>
      <c r="W1247" s="28"/>
      <c r="X1247" s="31"/>
      <c r="Y1247" s="33"/>
      <c r="Z1247" s="189"/>
      <c r="AA1247" s="190"/>
      <c r="AB1247" s="31"/>
      <c r="AC1247" s="36"/>
      <c r="AD1247" s="8"/>
      <c r="AE1247" s="6"/>
      <c r="AF1247" s="52">
        <f t="shared" si="95"/>
        <v>305261440</v>
      </c>
      <c r="AG1247" s="25">
        <f t="shared" si="96"/>
        <v>0</v>
      </c>
      <c r="AH1247" s="52">
        <f t="shared" si="97"/>
        <v>0</v>
      </c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</row>
    <row r="1248" spans="1:44">
      <c r="A1248" s="6"/>
      <c r="B1248" s="6"/>
      <c r="C1248" s="6"/>
      <c r="D1248" s="6"/>
      <c r="E1248" s="6"/>
      <c r="F1248" s="6"/>
      <c r="G1248" s="11"/>
      <c r="H1248" s="6"/>
      <c r="I1248" s="6"/>
      <c r="J1248" s="6"/>
      <c r="K1248" s="7"/>
      <c r="L1248" s="21" t="s">
        <v>37</v>
      </c>
      <c r="M1248" s="22"/>
      <c r="N1248" s="22"/>
      <c r="O1248" s="22" t="s">
        <v>143</v>
      </c>
      <c r="P1248" s="23" t="s">
        <v>160</v>
      </c>
      <c r="Q1248" s="21" t="s">
        <v>97</v>
      </c>
      <c r="R1248" s="25">
        <v>2</v>
      </c>
      <c r="S1248" s="28"/>
      <c r="T1248" s="31">
        <v>42368</v>
      </c>
      <c r="U1248" s="33">
        <v>3720.4</v>
      </c>
      <c r="V1248" s="36">
        <f t="shared" si="94"/>
        <v>7440.8</v>
      </c>
      <c r="W1248" s="28"/>
      <c r="X1248" s="31"/>
      <c r="Y1248" s="33"/>
      <c r="Z1248" s="189"/>
      <c r="AA1248" s="190"/>
      <c r="AB1248" s="31"/>
      <c r="AC1248" s="36"/>
      <c r="AD1248" s="8"/>
      <c r="AE1248" s="6"/>
      <c r="AF1248" s="52">
        <f t="shared" si="95"/>
        <v>315251814.40000004</v>
      </c>
      <c r="AG1248" s="25">
        <f t="shared" si="96"/>
        <v>0</v>
      </c>
      <c r="AH1248" s="52">
        <f t="shared" si="97"/>
        <v>0</v>
      </c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</row>
    <row r="1249" spans="1:44">
      <c r="A1249" s="6"/>
      <c r="B1249" s="6"/>
      <c r="C1249" s="6"/>
      <c r="D1249" s="6"/>
      <c r="E1249" s="6"/>
      <c r="F1249" s="6"/>
      <c r="G1249" s="11"/>
      <c r="H1249" s="6"/>
      <c r="I1249" s="6"/>
      <c r="J1249" s="6"/>
      <c r="K1249" s="7"/>
      <c r="L1249" s="21" t="s">
        <v>37</v>
      </c>
      <c r="M1249" s="22"/>
      <c r="N1249" s="22"/>
      <c r="O1249" s="22" t="s">
        <v>139</v>
      </c>
      <c r="P1249" s="23" t="s">
        <v>157</v>
      </c>
      <c r="Q1249" s="21" t="s">
        <v>113</v>
      </c>
      <c r="R1249" s="25">
        <v>1</v>
      </c>
      <c r="S1249" s="28"/>
      <c r="T1249" s="31">
        <v>42367</v>
      </c>
      <c r="U1249" s="33">
        <v>3629.25</v>
      </c>
      <c r="V1249" s="36">
        <f t="shared" si="94"/>
        <v>3629.25</v>
      </c>
      <c r="W1249" s="28"/>
      <c r="X1249" s="31"/>
      <c r="Y1249" s="33"/>
      <c r="Z1249" s="189"/>
      <c r="AA1249" s="190"/>
      <c r="AB1249" s="31"/>
      <c r="AC1249" s="36"/>
      <c r="AD1249" s="8"/>
      <c r="AE1249" s="6"/>
      <c r="AF1249" s="52">
        <f t="shared" si="95"/>
        <v>153760434.75</v>
      </c>
      <c r="AG1249" s="25">
        <f t="shared" si="96"/>
        <v>0</v>
      </c>
      <c r="AH1249" s="52">
        <f t="shared" si="97"/>
        <v>0</v>
      </c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</row>
    <row r="1250" spans="1:44">
      <c r="A1250" s="6"/>
      <c r="B1250" s="6"/>
      <c r="C1250" s="6"/>
      <c r="D1250" s="6"/>
      <c r="E1250" s="6"/>
      <c r="F1250" s="6"/>
      <c r="G1250" s="11"/>
      <c r="H1250" s="6"/>
      <c r="I1250" s="6"/>
      <c r="J1250" s="6"/>
      <c r="K1250" s="7"/>
      <c r="L1250" s="21" t="s">
        <v>37</v>
      </c>
      <c r="M1250" s="22"/>
      <c r="N1250" s="22"/>
      <c r="O1250" s="22" t="s">
        <v>146</v>
      </c>
      <c r="P1250" s="23" t="s">
        <v>157</v>
      </c>
      <c r="Q1250" s="21" t="s">
        <v>113</v>
      </c>
      <c r="R1250" s="25">
        <v>1</v>
      </c>
      <c r="S1250" s="28"/>
      <c r="T1250" s="31">
        <v>42355</v>
      </c>
      <c r="U1250" s="33">
        <v>1400.33</v>
      </c>
      <c r="V1250" s="36">
        <f t="shared" si="94"/>
        <v>1400.33</v>
      </c>
      <c r="W1250" s="28"/>
      <c r="X1250" s="31"/>
      <c r="Y1250" s="33"/>
      <c r="Z1250" s="189"/>
      <c r="AA1250" s="190"/>
      <c r="AB1250" s="31">
        <v>42362</v>
      </c>
      <c r="AC1250" s="36">
        <v>1400.33</v>
      </c>
      <c r="AD1250" s="8"/>
      <c r="AE1250" s="6"/>
      <c r="AF1250" s="52">
        <f t="shared" si="95"/>
        <v>59310977.149999999</v>
      </c>
      <c r="AG1250" s="25">
        <f t="shared" si="96"/>
        <v>0</v>
      </c>
      <c r="AH1250" s="52">
        <f t="shared" si="97"/>
        <v>59320779.459999993</v>
      </c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</row>
    <row r="1251" spans="1:44">
      <c r="A1251" s="6"/>
      <c r="B1251" s="6"/>
      <c r="C1251" s="6"/>
      <c r="D1251" s="6"/>
      <c r="E1251" s="6"/>
      <c r="F1251" s="6"/>
      <c r="G1251" s="11"/>
      <c r="H1251" s="6"/>
      <c r="I1251" s="6"/>
      <c r="J1251" s="6"/>
      <c r="K1251" s="7"/>
      <c r="L1251" s="21" t="s">
        <v>37</v>
      </c>
      <c r="M1251" s="22"/>
      <c r="N1251" s="22"/>
      <c r="O1251" s="22" t="s">
        <v>138</v>
      </c>
      <c r="P1251" s="23" t="s">
        <v>157</v>
      </c>
      <c r="Q1251" s="21" t="s">
        <v>106</v>
      </c>
      <c r="R1251" s="25">
        <v>1</v>
      </c>
      <c r="S1251" s="28"/>
      <c r="T1251" s="31">
        <v>42365</v>
      </c>
      <c r="U1251" s="33">
        <v>1930</v>
      </c>
      <c r="V1251" s="36">
        <f t="shared" si="94"/>
        <v>1930</v>
      </c>
      <c r="W1251" s="28"/>
      <c r="X1251" s="31"/>
      <c r="Y1251" s="33"/>
      <c r="Z1251" s="189"/>
      <c r="AA1251" s="190"/>
      <c r="AB1251" s="31"/>
      <c r="AC1251" s="36"/>
      <c r="AD1251" s="8"/>
      <c r="AE1251" s="6"/>
      <c r="AF1251" s="52">
        <f t="shared" si="95"/>
        <v>81764450</v>
      </c>
      <c r="AG1251" s="25">
        <f t="shared" si="96"/>
        <v>0</v>
      </c>
      <c r="AH1251" s="52">
        <f t="shared" si="97"/>
        <v>0</v>
      </c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</row>
    <row r="1252" spans="1:44">
      <c r="A1252" s="6"/>
      <c r="B1252" s="6"/>
      <c r="C1252" s="6"/>
      <c r="D1252" s="6"/>
      <c r="E1252" s="6"/>
      <c r="F1252" s="6"/>
      <c r="G1252" s="11"/>
      <c r="H1252" s="6"/>
      <c r="I1252" s="6"/>
      <c r="J1252" s="6"/>
      <c r="K1252" s="7"/>
      <c r="L1252" s="21" t="s">
        <v>37</v>
      </c>
      <c r="M1252" s="22"/>
      <c r="N1252" s="22"/>
      <c r="O1252" s="22" t="s">
        <v>150</v>
      </c>
      <c r="P1252" s="23" t="s">
        <v>157</v>
      </c>
      <c r="Q1252" s="21" t="s">
        <v>133</v>
      </c>
      <c r="R1252" s="25">
        <v>1</v>
      </c>
      <c r="S1252" s="28"/>
      <c r="T1252" s="31">
        <v>42357</v>
      </c>
      <c r="U1252" s="33">
        <v>3415.77</v>
      </c>
      <c r="V1252" s="36">
        <f t="shared" si="94"/>
        <v>3415.77</v>
      </c>
      <c r="W1252" s="28"/>
      <c r="X1252" s="31"/>
      <c r="Y1252" s="33"/>
      <c r="Z1252" s="189"/>
      <c r="AA1252" s="190"/>
      <c r="AB1252" s="31"/>
      <c r="AC1252" s="36"/>
      <c r="AD1252" s="8"/>
      <c r="AE1252" s="6"/>
      <c r="AF1252" s="52">
        <f t="shared" si="95"/>
        <v>144681769.88999999</v>
      </c>
      <c r="AG1252" s="25">
        <f t="shared" si="96"/>
        <v>0</v>
      </c>
      <c r="AH1252" s="52">
        <f t="shared" si="97"/>
        <v>0</v>
      </c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</row>
    <row r="1253" spans="1:44">
      <c r="A1253" s="6"/>
      <c r="B1253" s="6"/>
      <c r="C1253" s="6"/>
      <c r="D1253" s="6"/>
      <c r="E1253" s="6"/>
      <c r="F1253" s="6"/>
      <c r="G1253" s="11"/>
      <c r="H1253" s="6"/>
      <c r="I1253" s="6"/>
      <c r="J1253" s="6"/>
      <c r="K1253" s="7"/>
      <c r="L1253" s="21" t="s">
        <v>37</v>
      </c>
      <c r="M1253" s="22"/>
      <c r="N1253" s="22"/>
      <c r="O1253" s="22" t="s">
        <v>150</v>
      </c>
      <c r="P1253" s="23" t="s">
        <v>157</v>
      </c>
      <c r="Q1253" s="21" t="s">
        <v>133</v>
      </c>
      <c r="R1253" s="25">
        <v>1</v>
      </c>
      <c r="S1253" s="28"/>
      <c r="T1253" s="31">
        <v>42357</v>
      </c>
      <c r="U1253" s="33">
        <v>3415.77</v>
      </c>
      <c r="V1253" s="36">
        <f t="shared" si="94"/>
        <v>3415.77</v>
      </c>
      <c r="W1253" s="28"/>
      <c r="X1253" s="31"/>
      <c r="Y1253" s="33"/>
      <c r="Z1253" s="189"/>
      <c r="AA1253" s="190"/>
      <c r="AB1253" s="31"/>
      <c r="AC1253" s="36"/>
      <c r="AD1253" s="8"/>
      <c r="AE1253" s="6"/>
      <c r="AF1253" s="52">
        <f t="shared" si="95"/>
        <v>144681769.88999999</v>
      </c>
      <c r="AG1253" s="25">
        <f t="shared" si="96"/>
        <v>0</v>
      </c>
      <c r="AH1253" s="52">
        <f t="shared" si="97"/>
        <v>0</v>
      </c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</row>
    <row r="1254" spans="1:44">
      <c r="A1254" s="6"/>
      <c r="B1254" s="6"/>
      <c r="C1254" s="6"/>
      <c r="D1254" s="6"/>
      <c r="E1254" s="6"/>
      <c r="F1254" s="6"/>
      <c r="G1254" s="11"/>
      <c r="H1254" s="6"/>
      <c r="I1254" s="6"/>
      <c r="J1254" s="6"/>
      <c r="K1254" s="7"/>
      <c r="L1254" s="21" t="s">
        <v>37</v>
      </c>
      <c r="M1254" s="22"/>
      <c r="N1254" s="22"/>
      <c r="O1254" s="22" t="s">
        <v>150</v>
      </c>
      <c r="P1254" s="23" t="s">
        <v>157</v>
      </c>
      <c r="Q1254" s="21" t="s">
        <v>133</v>
      </c>
      <c r="R1254" s="25">
        <v>5</v>
      </c>
      <c r="S1254" s="28"/>
      <c r="T1254" s="31">
        <v>42366</v>
      </c>
      <c r="U1254" s="33">
        <v>2990</v>
      </c>
      <c r="V1254" s="36">
        <f t="shared" si="94"/>
        <v>14950</v>
      </c>
      <c r="W1254" s="28"/>
      <c r="X1254" s="31"/>
      <c r="Y1254" s="33"/>
      <c r="Z1254" s="189"/>
      <c r="AA1254" s="190"/>
      <c r="AB1254" s="31"/>
      <c r="AC1254" s="36"/>
      <c r="AD1254" s="8"/>
      <c r="AE1254" s="6"/>
      <c r="AF1254" s="52">
        <f t="shared" si="95"/>
        <v>633371700</v>
      </c>
      <c r="AG1254" s="25">
        <f t="shared" si="96"/>
        <v>0</v>
      </c>
      <c r="AH1254" s="52">
        <f t="shared" si="97"/>
        <v>0</v>
      </c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</row>
    <row r="1255" spans="1:44">
      <c r="A1255" s="6"/>
      <c r="B1255" s="6"/>
      <c r="C1255" s="6"/>
      <c r="D1255" s="6"/>
      <c r="E1255" s="6"/>
      <c r="F1255" s="6"/>
      <c r="G1255" s="11"/>
      <c r="H1255" s="6"/>
      <c r="I1255" s="6"/>
      <c r="J1255" s="6"/>
      <c r="K1255" s="7"/>
      <c r="L1255" s="21" t="s">
        <v>37</v>
      </c>
      <c r="M1255" s="22"/>
      <c r="N1255" s="22"/>
      <c r="O1255" s="22" t="s">
        <v>136</v>
      </c>
      <c r="P1255" s="23" t="s">
        <v>156</v>
      </c>
      <c r="Q1255" s="21" t="s">
        <v>80</v>
      </c>
      <c r="R1255" s="25">
        <v>1</v>
      </c>
      <c r="S1255" s="28"/>
      <c r="T1255" s="31">
        <v>42352</v>
      </c>
      <c r="U1255" s="33">
        <v>3280</v>
      </c>
      <c r="V1255" s="36">
        <f t="shared" si="94"/>
        <v>3280</v>
      </c>
      <c r="W1255" s="28"/>
      <c r="X1255" s="31"/>
      <c r="Y1255" s="33"/>
      <c r="Z1255" s="189"/>
      <c r="AA1255" s="190"/>
      <c r="AB1255" s="31">
        <v>42364</v>
      </c>
      <c r="AC1255" s="36">
        <v>3280</v>
      </c>
      <c r="AD1255" s="8"/>
      <c r="AE1255" s="6"/>
      <c r="AF1255" s="52">
        <f t="shared" si="95"/>
        <v>138914560</v>
      </c>
      <c r="AG1255" s="25">
        <f t="shared" si="96"/>
        <v>0</v>
      </c>
      <c r="AH1255" s="52">
        <f t="shared" si="97"/>
        <v>138953920</v>
      </c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</row>
    <row r="1256" spans="1:44">
      <c r="A1256" s="6"/>
      <c r="B1256" s="6"/>
      <c r="C1256" s="6"/>
      <c r="D1256" s="6"/>
      <c r="E1256" s="6"/>
      <c r="F1256" s="6"/>
      <c r="G1256" s="11"/>
      <c r="H1256" s="6"/>
      <c r="I1256" s="6"/>
      <c r="J1256" s="6"/>
      <c r="K1256" s="7"/>
      <c r="L1256" s="21" t="s">
        <v>37</v>
      </c>
      <c r="M1256" s="22"/>
      <c r="N1256" s="22"/>
      <c r="O1256" s="22" t="s">
        <v>145</v>
      </c>
      <c r="P1256" s="23" t="s">
        <v>155</v>
      </c>
      <c r="Q1256" s="21" t="s">
        <v>58</v>
      </c>
      <c r="R1256" s="25">
        <v>1</v>
      </c>
      <c r="S1256" s="28"/>
      <c r="T1256" s="31">
        <v>42361</v>
      </c>
      <c r="U1256" s="33">
        <v>2856</v>
      </c>
      <c r="V1256" s="36">
        <f t="shared" si="94"/>
        <v>2856</v>
      </c>
      <c r="W1256" s="28"/>
      <c r="X1256" s="31"/>
      <c r="Y1256" s="33"/>
      <c r="Z1256" s="189"/>
      <c r="AA1256" s="190"/>
      <c r="AB1256" s="31"/>
      <c r="AC1256" s="36"/>
      <c r="AD1256" s="8"/>
      <c r="AE1256" s="6"/>
      <c r="AF1256" s="52">
        <f t="shared" si="95"/>
        <v>120983016</v>
      </c>
      <c r="AG1256" s="25">
        <f t="shared" si="96"/>
        <v>0</v>
      </c>
      <c r="AH1256" s="52">
        <f t="shared" si="97"/>
        <v>0</v>
      </c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</row>
    <row r="1257" spans="1:44">
      <c r="A1257" s="6"/>
      <c r="B1257" s="6"/>
      <c r="C1257" s="6"/>
      <c r="D1257" s="6"/>
      <c r="E1257" s="6"/>
      <c r="F1257" s="6"/>
      <c r="G1257" s="11"/>
      <c r="H1257" s="6"/>
      <c r="I1257" s="6"/>
      <c r="J1257" s="6"/>
      <c r="K1257" s="7"/>
      <c r="L1257" s="21" t="s">
        <v>37</v>
      </c>
      <c r="M1257" s="22"/>
      <c r="N1257" s="22"/>
      <c r="O1257" s="22" t="s">
        <v>145</v>
      </c>
      <c r="P1257" s="23" t="s">
        <v>155</v>
      </c>
      <c r="Q1257" s="21" t="s">
        <v>58</v>
      </c>
      <c r="R1257" s="25">
        <v>3</v>
      </c>
      <c r="S1257" s="28"/>
      <c r="T1257" s="31">
        <v>42363</v>
      </c>
      <c r="U1257" s="33">
        <v>6866.05</v>
      </c>
      <c r="V1257" s="36">
        <f t="shared" si="94"/>
        <v>20598.150000000001</v>
      </c>
      <c r="W1257" s="28"/>
      <c r="X1257" s="31"/>
      <c r="Y1257" s="33"/>
      <c r="Z1257" s="189"/>
      <c r="AA1257" s="190"/>
      <c r="AB1257" s="31"/>
      <c r="AC1257" s="36"/>
      <c r="AD1257" s="8"/>
      <c r="AE1257" s="6"/>
      <c r="AF1257" s="52">
        <f t="shared" si="95"/>
        <v>872599428.45000005</v>
      </c>
      <c r="AG1257" s="25">
        <f t="shared" si="96"/>
        <v>0</v>
      </c>
      <c r="AH1257" s="52">
        <f t="shared" si="97"/>
        <v>0</v>
      </c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</row>
    <row r="1258" spans="1:44">
      <c r="A1258" s="6"/>
      <c r="B1258" s="6"/>
      <c r="C1258" s="6"/>
      <c r="D1258" s="6"/>
      <c r="E1258" s="6"/>
      <c r="F1258" s="6"/>
      <c r="G1258" s="11"/>
      <c r="H1258" s="6"/>
      <c r="I1258" s="6"/>
      <c r="J1258" s="6"/>
      <c r="K1258" s="7"/>
      <c r="L1258" s="21" t="s">
        <v>37</v>
      </c>
      <c r="M1258" s="22"/>
      <c r="N1258" s="22"/>
      <c r="O1258" s="22" t="s">
        <v>137</v>
      </c>
      <c r="P1258" s="23" t="s">
        <v>155</v>
      </c>
      <c r="Q1258" s="21" t="s">
        <v>81</v>
      </c>
      <c r="R1258" s="25">
        <v>1</v>
      </c>
      <c r="S1258" s="28"/>
      <c r="T1258" s="31">
        <v>42367</v>
      </c>
      <c r="U1258" s="33">
        <v>7384.8</v>
      </c>
      <c r="V1258" s="36">
        <f t="shared" si="94"/>
        <v>7384.8</v>
      </c>
      <c r="W1258" s="28"/>
      <c r="X1258" s="31"/>
      <c r="Y1258" s="33"/>
      <c r="Z1258" s="189"/>
      <c r="AA1258" s="190"/>
      <c r="AB1258" s="31"/>
      <c r="AC1258" s="36"/>
      <c r="AD1258" s="8"/>
      <c r="AE1258" s="6"/>
      <c r="AF1258" s="52">
        <f t="shared" si="95"/>
        <v>312871821.60000002</v>
      </c>
      <c r="AG1258" s="25">
        <f t="shared" si="96"/>
        <v>0</v>
      </c>
      <c r="AH1258" s="52">
        <f t="shared" si="97"/>
        <v>0</v>
      </c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</row>
    <row r="1259" spans="1:44">
      <c r="A1259" s="6"/>
      <c r="B1259" s="6"/>
      <c r="C1259" s="6"/>
      <c r="D1259" s="6"/>
      <c r="E1259" s="6"/>
      <c r="F1259" s="6"/>
      <c r="G1259" s="11"/>
      <c r="H1259" s="6"/>
      <c r="I1259" s="6"/>
      <c r="J1259" s="6"/>
      <c r="K1259" s="7"/>
      <c r="L1259" s="21" t="s">
        <v>37</v>
      </c>
      <c r="M1259" s="22"/>
      <c r="N1259" s="22"/>
      <c r="O1259" s="22" t="s">
        <v>150</v>
      </c>
      <c r="P1259" s="23" t="s">
        <v>157</v>
      </c>
      <c r="Q1259" s="21" t="s">
        <v>133</v>
      </c>
      <c r="R1259" s="25">
        <v>1</v>
      </c>
      <c r="S1259" s="28"/>
      <c r="T1259" s="31">
        <v>42361</v>
      </c>
      <c r="U1259" s="33">
        <v>735</v>
      </c>
      <c r="V1259" s="36">
        <f t="shared" si="94"/>
        <v>735</v>
      </c>
      <c r="W1259" s="28"/>
      <c r="X1259" s="31"/>
      <c r="Y1259" s="33"/>
      <c r="Z1259" s="189"/>
      <c r="AA1259" s="190"/>
      <c r="AB1259" s="31"/>
      <c r="AC1259" s="36"/>
      <c r="AD1259" s="8"/>
      <c r="AE1259" s="6"/>
      <c r="AF1259" s="52">
        <f t="shared" si="95"/>
        <v>31135335</v>
      </c>
      <c r="AG1259" s="25">
        <f t="shared" si="96"/>
        <v>0</v>
      </c>
      <c r="AH1259" s="52">
        <f t="shared" si="97"/>
        <v>0</v>
      </c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</row>
    <row r="1260" spans="1:44">
      <c r="A1260" s="6"/>
      <c r="B1260" s="6"/>
      <c r="C1260" s="6"/>
      <c r="D1260" s="6"/>
      <c r="E1260" s="6"/>
      <c r="F1260" s="6"/>
      <c r="G1260" s="11"/>
      <c r="H1260" s="6"/>
      <c r="I1260" s="6"/>
      <c r="J1260" s="6"/>
      <c r="K1260" s="7"/>
      <c r="L1260" s="21" t="s">
        <v>37</v>
      </c>
      <c r="M1260" s="22"/>
      <c r="N1260" s="22"/>
      <c r="O1260" s="22" t="s">
        <v>151</v>
      </c>
      <c r="P1260" s="23" t="s">
        <v>157</v>
      </c>
      <c r="Q1260" s="21" t="s">
        <v>133</v>
      </c>
      <c r="R1260" s="25">
        <v>2</v>
      </c>
      <c r="S1260" s="28"/>
      <c r="T1260" s="31">
        <v>42353</v>
      </c>
      <c r="U1260" s="33">
        <v>560</v>
      </c>
      <c r="V1260" s="36">
        <f t="shared" si="94"/>
        <v>1120</v>
      </c>
      <c r="W1260" s="28"/>
      <c r="X1260" s="31"/>
      <c r="Y1260" s="33"/>
      <c r="Z1260" s="189"/>
      <c r="AA1260" s="190"/>
      <c r="AB1260" s="31"/>
      <c r="AC1260" s="36"/>
      <c r="AD1260" s="8"/>
      <c r="AE1260" s="6"/>
      <c r="AF1260" s="52">
        <f t="shared" si="95"/>
        <v>47435360</v>
      </c>
      <c r="AG1260" s="25">
        <f t="shared" si="96"/>
        <v>0</v>
      </c>
      <c r="AH1260" s="52">
        <f t="shared" si="97"/>
        <v>0</v>
      </c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</row>
    <row r="1261" spans="1:44">
      <c r="A1261" s="6"/>
      <c r="B1261" s="6"/>
      <c r="C1261" s="6"/>
      <c r="D1261" s="6"/>
      <c r="E1261" s="6"/>
      <c r="F1261" s="6"/>
      <c r="G1261" s="11"/>
      <c r="H1261" s="6"/>
      <c r="I1261" s="6"/>
      <c r="J1261" s="6"/>
      <c r="K1261" s="7"/>
      <c r="L1261" s="21" t="s">
        <v>37</v>
      </c>
      <c r="M1261" s="22"/>
      <c r="N1261" s="22"/>
      <c r="O1261" s="22" t="s">
        <v>136</v>
      </c>
      <c r="P1261" s="23" t="s">
        <v>156</v>
      </c>
      <c r="Q1261" s="21" t="s">
        <v>80</v>
      </c>
      <c r="R1261" s="25">
        <v>1</v>
      </c>
      <c r="S1261" s="28"/>
      <c r="T1261" s="31">
        <v>42367</v>
      </c>
      <c r="U1261" s="33">
        <v>3510</v>
      </c>
      <c r="V1261" s="36">
        <f t="shared" si="94"/>
        <v>3510</v>
      </c>
      <c r="W1261" s="28"/>
      <c r="X1261" s="31"/>
      <c r="Y1261" s="33"/>
      <c r="Z1261" s="189"/>
      <c r="AA1261" s="190"/>
      <c r="AB1261" s="31"/>
      <c r="AC1261" s="36"/>
      <c r="AD1261" s="8"/>
      <c r="AE1261" s="6"/>
      <c r="AF1261" s="52">
        <f t="shared" si="95"/>
        <v>148708170</v>
      </c>
      <c r="AG1261" s="25">
        <f t="shared" si="96"/>
        <v>0</v>
      </c>
      <c r="AH1261" s="52">
        <f t="shared" si="97"/>
        <v>0</v>
      </c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</row>
    <row r="1262" spans="1:44">
      <c r="A1262" s="6"/>
      <c r="B1262" s="6"/>
      <c r="C1262" s="6"/>
      <c r="D1262" s="6"/>
      <c r="E1262" s="6"/>
      <c r="F1262" s="6"/>
      <c r="G1262" s="11"/>
      <c r="H1262" s="6"/>
      <c r="I1262" s="6"/>
      <c r="J1262" s="6"/>
      <c r="K1262" s="7"/>
      <c r="L1262" s="21" t="s">
        <v>37</v>
      </c>
      <c r="M1262" s="22"/>
      <c r="N1262" s="22"/>
      <c r="O1262" s="22" t="s">
        <v>136</v>
      </c>
      <c r="P1262" s="23" t="s">
        <v>156</v>
      </c>
      <c r="Q1262" s="21" t="s">
        <v>80</v>
      </c>
      <c r="R1262" s="25">
        <v>1</v>
      </c>
      <c r="S1262" s="28"/>
      <c r="T1262" s="31">
        <v>42350</v>
      </c>
      <c r="U1262" s="33">
        <v>4212</v>
      </c>
      <c r="V1262" s="36">
        <f t="shared" si="94"/>
        <v>4212</v>
      </c>
      <c r="W1262" s="28"/>
      <c r="X1262" s="31"/>
      <c r="Y1262" s="33"/>
      <c r="Z1262" s="189"/>
      <c r="AA1262" s="190"/>
      <c r="AB1262" s="31"/>
      <c r="AC1262" s="36"/>
      <c r="AD1262" s="8"/>
      <c r="AE1262" s="6"/>
      <c r="AF1262" s="52">
        <f>T1262*V1262</f>
        <v>178378200</v>
      </c>
      <c r="AG1262" s="25">
        <f t="shared" si="96"/>
        <v>0</v>
      </c>
      <c r="AH1262" s="52">
        <f t="shared" si="97"/>
        <v>0</v>
      </c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</row>
    <row r="1263" spans="1:44">
      <c r="A1263" s="6"/>
      <c r="B1263" s="6"/>
      <c r="C1263" s="6"/>
      <c r="D1263" s="6"/>
      <c r="E1263" s="6"/>
      <c r="F1263" s="6"/>
      <c r="G1263" s="11"/>
      <c r="H1263" s="6"/>
      <c r="I1263" s="6"/>
      <c r="J1263" s="6"/>
      <c r="K1263" s="7"/>
      <c r="L1263" s="21"/>
      <c r="M1263" s="22"/>
      <c r="N1263" s="22"/>
      <c r="O1263" s="22"/>
      <c r="P1263" s="23"/>
      <c r="Q1263" s="21"/>
      <c r="R1263" s="25"/>
      <c r="S1263" s="28"/>
      <c r="T1263" s="31"/>
      <c r="U1263" s="33"/>
      <c r="V1263" s="36"/>
      <c r="W1263" s="28"/>
      <c r="X1263" s="31"/>
      <c r="Y1263" s="33"/>
      <c r="Z1263" s="189"/>
      <c r="AA1263" s="190"/>
      <c r="AB1263" s="31"/>
      <c r="AC1263" s="36"/>
      <c r="AD1263" s="8"/>
      <c r="AE1263" s="6"/>
      <c r="AF1263" s="52"/>
      <c r="AG1263" s="25"/>
      <c r="AH1263" s="52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</row>
    <row r="1264" spans="1:44">
      <c r="A1264" s="6"/>
      <c r="B1264" s="6"/>
      <c r="C1264" s="6"/>
      <c r="D1264" s="6"/>
      <c r="E1264" s="6"/>
      <c r="F1264" s="6"/>
      <c r="G1264" s="11"/>
      <c r="H1264" s="6"/>
      <c r="I1264" s="6"/>
      <c r="J1264" s="6"/>
      <c r="K1264" s="7"/>
      <c r="L1264" s="21"/>
      <c r="M1264" s="22"/>
      <c r="N1264" s="22"/>
      <c r="O1264" s="22"/>
      <c r="P1264" s="23"/>
      <c r="Q1264" s="21"/>
      <c r="R1264" s="25"/>
      <c r="S1264" s="28"/>
      <c r="T1264" s="31"/>
      <c r="U1264" s="33"/>
      <c r="V1264" s="36"/>
      <c r="W1264" s="28"/>
      <c r="X1264" s="31"/>
      <c r="Y1264" s="33"/>
      <c r="Z1264" s="189"/>
      <c r="AA1264" s="190"/>
      <c r="AB1264" s="31"/>
      <c r="AC1264" s="36"/>
      <c r="AD1264" s="8"/>
      <c r="AE1264" s="6"/>
      <c r="AF1264" s="52"/>
      <c r="AG1264" s="25"/>
      <c r="AH1264" s="52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</row>
    <row r="1265" spans="1:44">
      <c r="A1265" s="6"/>
      <c r="B1265" s="6"/>
      <c r="C1265" s="6"/>
      <c r="D1265" s="6"/>
      <c r="E1265" s="6"/>
      <c r="F1265" s="6"/>
      <c r="G1265" s="11"/>
      <c r="H1265" s="6"/>
      <c r="I1265" s="6"/>
      <c r="J1265" s="6"/>
      <c r="K1265" s="7"/>
      <c r="L1265" s="21"/>
      <c r="M1265" s="22"/>
      <c r="N1265" s="22"/>
      <c r="O1265" s="22"/>
      <c r="P1265" s="23"/>
      <c r="Q1265" s="21"/>
      <c r="R1265" s="25"/>
      <c r="S1265" s="28"/>
      <c r="T1265" s="31"/>
      <c r="U1265" s="33"/>
      <c r="V1265" s="36"/>
      <c r="W1265" s="28"/>
      <c r="X1265" s="31"/>
      <c r="Y1265" s="33"/>
      <c r="Z1265" s="189"/>
      <c r="AA1265" s="190"/>
      <c r="AB1265" s="31"/>
      <c r="AC1265" s="36"/>
      <c r="AD1265" s="8"/>
      <c r="AE1265" s="6"/>
      <c r="AF1265" s="52"/>
      <c r="AG1265" s="25"/>
      <c r="AH1265" s="52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</row>
    <row r="1266" spans="1:44">
      <c r="A1266" s="6"/>
      <c r="B1266" s="6"/>
      <c r="C1266" s="6"/>
      <c r="D1266" s="6"/>
      <c r="E1266" s="6"/>
      <c r="F1266" s="6"/>
      <c r="G1266" s="11"/>
      <c r="H1266" s="6"/>
      <c r="I1266" s="6"/>
      <c r="J1266" s="6"/>
      <c r="K1266" s="7"/>
      <c r="L1266" s="21"/>
      <c r="M1266" s="22"/>
      <c r="N1266" s="22"/>
      <c r="O1266" s="22"/>
      <c r="P1266" s="23"/>
      <c r="Q1266" s="21"/>
      <c r="R1266" s="25"/>
      <c r="S1266" s="28"/>
      <c r="T1266" s="31"/>
      <c r="U1266" s="33"/>
      <c r="V1266" s="36"/>
      <c r="W1266" s="28"/>
      <c r="X1266" s="31"/>
      <c r="Y1266" s="33"/>
      <c r="Z1266" s="189"/>
      <c r="AA1266" s="190"/>
      <c r="AB1266" s="31"/>
      <c r="AC1266" s="36"/>
      <c r="AD1266" s="8"/>
      <c r="AE1266" s="6"/>
      <c r="AF1266" s="52"/>
      <c r="AG1266" s="25"/>
      <c r="AH1266" s="52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</row>
    <row r="1267" spans="1:44">
      <c r="A1267" s="6"/>
      <c r="B1267" s="6"/>
      <c r="C1267" s="6"/>
      <c r="D1267" s="6"/>
      <c r="E1267" s="6"/>
      <c r="F1267" s="6"/>
      <c r="G1267" s="11"/>
      <c r="H1267" s="6"/>
      <c r="I1267" s="6"/>
      <c r="J1267" s="6"/>
      <c r="K1267" s="7"/>
      <c r="L1267" s="21"/>
      <c r="M1267" s="22"/>
      <c r="N1267" s="22"/>
      <c r="O1267" s="22"/>
      <c r="P1267" s="23"/>
      <c r="Q1267" s="21"/>
      <c r="R1267" s="25"/>
      <c r="S1267" s="28"/>
      <c r="T1267" s="31"/>
      <c r="U1267" s="33"/>
      <c r="V1267" s="36"/>
      <c r="W1267" s="28"/>
      <c r="X1267" s="31"/>
      <c r="Y1267" s="33"/>
      <c r="Z1267" s="189"/>
      <c r="AA1267" s="190"/>
      <c r="AB1267" s="31"/>
      <c r="AC1267" s="36"/>
      <c r="AD1267" s="8"/>
      <c r="AE1267" s="6"/>
      <c r="AF1267" s="52"/>
      <c r="AG1267" s="25"/>
      <c r="AH1267" s="52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</row>
    <row r="1268" spans="1:44">
      <c r="A1268" s="6"/>
      <c r="B1268" s="6"/>
      <c r="C1268" s="6"/>
      <c r="D1268" s="6"/>
      <c r="E1268" s="6"/>
      <c r="F1268" s="6"/>
      <c r="G1268" s="11"/>
      <c r="H1268" s="6"/>
      <c r="I1268" s="6"/>
      <c r="J1268" s="6"/>
      <c r="K1268" s="7"/>
      <c r="L1268" s="21"/>
      <c r="M1268" s="22"/>
      <c r="N1268" s="22"/>
      <c r="O1268" s="22"/>
      <c r="P1268" s="23"/>
      <c r="Q1268" s="21"/>
      <c r="R1268" s="25"/>
      <c r="S1268" s="28"/>
      <c r="T1268" s="31"/>
      <c r="U1268" s="33"/>
      <c r="V1268" s="36"/>
      <c r="W1268" s="28"/>
      <c r="X1268" s="31"/>
      <c r="Y1268" s="33"/>
      <c r="Z1268" s="189"/>
      <c r="AA1268" s="190"/>
      <c r="AB1268" s="31"/>
      <c r="AC1268" s="36"/>
      <c r="AD1268" s="8"/>
      <c r="AE1268" s="6"/>
      <c r="AF1268" s="52"/>
      <c r="AG1268" s="25"/>
      <c r="AH1268" s="52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</row>
    <row r="1269" spans="1:44">
      <c r="A1269" s="6"/>
      <c r="B1269" s="6"/>
      <c r="C1269" s="6"/>
      <c r="D1269" s="6"/>
      <c r="E1269" s="6"/>
      <c r="F1269" s="6"/>
      <c r="G1269" s="11"/>
      <c r="H1269" s="6"/>
      <c r="I1269" s="6"/>
      <c r="J1269" s="6"/>
      <c r="K1269" s="7"/>
      <c r="L1269" s="21"/>
      <c r="M1269" s="22"/>
      <c r="N1269" s="22"/>
      <c r="O1269" s="22"/>
      <c r="P1269" s="23"/>
      <c r="Q1269" s="21"/>
      <c r="R1269" s="25"/>
      <c r="S1269" s="28"/>
      <c r="T1269" s="31"/>
      <c r="U1269" s="33"/>
      <c r="V1269" s="36"/>
      <c r="W1269" s="28"/>
      <c r="X1269" s="31"/>
      <c r="Y1269" s="33"/>
      <c r="Z1269" s="189"/>
      <c r="AA1269" s="190"/>
      <c r="AB1269" s="31"/>
      <c r="AC1269" s="36"/>
      <c r="AD1269" s="8"/>
      <c r="AE1269" s="6"/>
      <c r="AF1269" s="52"/>
      <c r="AG1269" s="25"/>
      <c r="AH1269" s="52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</row>
    <row r="1270" spans="1:44">
      <c r="A1270" s="6"/>
      <c r="B1270" s="6"/>
      <c r="C1270" s="6"/>
      <c r="D1270" s="6"/>
      <c r="E1270" s="6"/>
      <c r="F1270" s="6"/>
      <c r="G1270" s="11"/>
      <c r="H1270" s="6"/>
      <c r="I1270" s="6"/>
      <c r="J1270" s="6"/>
      <c r="K1270" s="7"/>
      <c r="L1270" s="21"/>
      <c r="M1270" s="22"/>
      <c r="N1270" s="22"/>
      <c r="O1270" s="22"/>
      <c r="P1270" s="23"/>
      <c r="Q1270" s="21"/>
      <c r="R1270" s="25"/>
      <c r="S1270" s="28"/>
      <c r="T1270" s="31"/>
      <c r="U1270" s="33"/>
      <c r="V1270" s="36"/>
      <c r="W1270" s="28"/>
      <c r="X1270" s="31"/>
      <c r="Y1270" s="33"/>
      <c r="Z1270" s="189"/>
      <c r="AA1270" s="190"/>
      <c r="AB1270" s="31"/>
      <c r="AC1270" s="36"/>
      <c r="AD1270" s="8"/>
      <c r="AE1270" s="6"/>
      <c r="AF1270" s="52"/>
      <c r="AG1270" s="25"/>
      <c r="AH1270" s="52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</row>
    <row r="1271" spans="1:44">
      <c r="A1271" s="6"/>
      <c r="B1271" s="6"/>
      <c r="C1271" s="6"/>
      <c r="D1271" s="6"/>
      <c r="E1271" s="6"/>
      <c r="F1271" s="6"/>
      <c r="G1271" s="11"/>
      <c r="H1271" s="6"/>
      <c r="I1271" s="6"/>
      <c r="J1271" s="6"/>
      <c r="K1271" s="7"/>
      <c r="L1271" s="21"/>
      <c r="M1271" s="22"/>
      <c r="N1271" s="22"/>
      <c r="O1271" s="22"/>
      <c r="P1271" s="23"/>
      <c r="Q1271" s="21"/>
      <c r="R1271" s="25"/>
      <c r="S1271" s="28"/>
      <c r="T1271" s="31"/>
      <c r="U1271" s="33"/>
      <c r="V1271" s="36"/>
      <c r="W1271" s="28"/>
      <c r="X1271" s="31"/>
      <c r="Y1271" s="33"/>
      <c r="Z1271" s="189"/>
      <c r="AA1271" s="190"/>
      <c r="AB1271" s="31"/>
      <c r="AC1271" s="36"/>
      <c r="AD1271" s="8"/>
      <c r="AE1271" s="6"/>
      <c r="AF1271" s="52"/>
      <c r="AG1271" s="25"/>
      <c r="AH1271" s="52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</row>
  </sheetData>
  <autoFilter ref="L2:AG1271"/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C132"/>
  <sheetViews>
    <sheetView workbookViewId="0">
      <pane ySplit="7" topLeftCell="A8" activePane="bottomLeft" state="frozen"/>
      <selection pane="bottomLeft" activeCell="A8" sqref="A8"/>
    </sheetView>
  </sheetViews>
  <sheetFormatPr defaultRowHeight="12.75"/>
  <cols>
    <col min="1" max="2" width="2.7109375" style="13" customWidth="1"/>
    <col min="3" max="3" width="1.7109375" style="13" customWidth="1"/>
    <col min="4" max="4" width="1.85546875" style="13" customWidth="1"/>
    <col min="5" max="5" width="7.5703125" style="17" bestFit="1" customWidth="1"/>
    <col min="6" max="8" width="28.7109375" style="13" customWidth="1"/>
    <col min="9" max="9" width="2.7109375" style="13" customWidth="1"/>
    <col min="10" max="16384" width="9.140625" style="13"/>
  </cols>
  <sheetData>
    <row r="1" spans="1:29" s="139" customFormat="1" ht="12">
      <c r="A1" s="145" t="s">
        <v>235</v>
      </c>
      <c r="B1" s="145"/>
      <c r="C1" s="145"/>
      <c r="D1" s="145"/>
      <c r="E1" s="146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29">
      <c r="A2" s="12"/>
      <c r="B2" s="12"/>
      <c r="C2" s="12"/>
      <c r="D2" s="12"/>
      <c r="E2" s="16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s="15" customFormat="1">
      <c r="A3" s="14"/>
      <c r="B3" s="14"/>
      <c r="C3" s="83" t="s">
        <v>30</v>
      </c>
      <c r="D3" s="83"/>
      <c r="E3" s="84"/>
      <c r="F3" s="8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 s="15" customFormat="1">
      <c r="A4" s="14"/>
      <c r="B4" s="14"/>
      <c r="C4" s="83" t="s">
        <v>31</v>
      </c>
      <c r="D4" s="83"/>
      <c r="E4" s="84"/>
      <c r="F4" s="8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2"/>
      <c r="B5" s="12"/>
      <c r="C5" s="12"/>
      <c r="D5" s="12"/>
      <c r="E5" s="16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>
      <c r="A6" s="12"/>
      <c r="B6" s="12"/>
      <c r="C6" s="12"/>
      <c r="D6" s="12"/>
      <c r="E6" s="16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s="5" customFormat="1">
      <c r="A7" s="1"/>
      <c r="B7" s="1"/>
      <c r="C7" s="1"/>
      <c r="D7" s="66"/>
      <c r="E7" s="67" t="s">
        <v>55</v>
      </c>
      <c r="F7" s="68" t="s">
        <v>32</v>
      </c>
      <c r="G7" s="68" t="s">
        <v>33</v>
      </c>
      <c r="H7" s="68" t="s">
        <v>49</v>
      </c>
      <c r="I7" s="6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>
      <c r="A8" s="12"/>
      <c r="B8" s="12"/>
      <c r="C8" s="12"/>
      <c r="D8" s="62"/>
      <c r="E8" s="63"/>
      <c r="F8" s="64"/>
      <c r="G8" s="64"/>
      <c r="H8" s="64"/>
      <c r="I8" s="65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>
      <c r="A9" s="12"/>
      <c r="B9" s="12"/>
      <c r="C9" s="12"/>
      <c r="D9" s="54"/>
      <c r="E9" s="55">
        <v>9</v>
      </c>
      <c r="F9" s="70" t="s">
        <v>8</v>
      </c>
      <c r="G9" s="70" t="s">
        <v>47</v>
      </c>
      <c r="H9" s="81" t="s">
        <v>57</v>
      </c>
      <c r="I9" s="57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>
      <c r="A10" s="12"/>
      <c r="B10" s="12"/>
      <c r="C10" s="12"/>
      <c r="D10" s="54"/>
      <c r="E10" s="55">
        <f>E9+1</f>
        <v>10</v>
      </c>
      <c r="F10" s="56" t="s">
        <v>34</v>
      </c>
      <c r="G10" s="56" t="s">
        <v>207</v>
      </c>
      <c r="H10" s="82" t="s">
        <v>35</v>
      </c>
      <c r="I10" s="57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>
      <c r="A11" s="12"/>
      <c r="B11" s="12"/>
      <c r="C11" s="12"/>
      <c r="D11" s="54"/>
      <c r="E11" s="55">
        <f t="shared" ref="E11:E51" si="0">E10+1</f>
        <v>11</v>
      </c>
      <c r="F11" s="56" t="s">
        <v>36</v>
      </c>
      <c r="G11" s="56" t="s">
        <v>208</v>
      </c>
      <c r="H11" s="82" t="s">
        <v>37</v>
      </c>
      <c r="I11" s="57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>
      <c r="A12" s="12"/>
      <c r="B12" s="12"/>
      <c r="C12" s="12"/>
      <c r="D12" s="54"/>
      <c r="E12" s="55">
        <f t="shared" si="0"/>
        <v>12</v>
      </c>
      <c r="F12" s="56"/>
      <c r="G12" s="56"/>
      <c r="H12" s="56"/>
      <c r="I12" s="57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>
      <c r="A13" s="12"/>
      <c r="B13" s="12"/>
      <c r="C13" s="12"/>
      <c r="D13" s="54"/>
      <c r="E13" s="55">
        <f t="shared" si="0"/>
        <v>13</v>
      </c>
      <c r="F13" s="70" t="s">
        <v>9</v>
      </c>
      <c r="G13" s="70" t="s">
        <v>9</v>
      </c>
      <c r="H13" s="70" t="s">
        <v>51</v>
      </c>
      <c r="I13" s="57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>
      <c r="A14" s="12"/>
      <c r="B14" s="12"/>
      <c r="C14" s="12"/>
      <c r="D14" s="54"/>
      <c r="E14" s="55">
        <f t="shared" si="0"/>
        <v>14</v>
      </c>
      <c r="F14" s="56" t="s">
        <v>38</v>
      </c>
      <c r="G14" s="56" t="s">
        <v>38</v>
      </c>
      <c r="H14" s="56" t="s">
        <v>38</v>
      </c>
      <c r="I14" s="57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>
      <c r="A15" s="12"/>
      <c r="B15" s="12"/>
      <c r="C15" s="12"/>
      <c r="D15" s="54"/>
      <c r="E15" s="55">
        <f t="shared" si="0"/>
        <v>15</v>
      </c>
      <c r="F15" s="56" t="s">
        <v>39</v>
      </c>
      <c r="G15" s="56" t="s">
        <v>39</v>
      </c>
      <c r="H15" s="56" t="s">
        <v>39</v>
      </c>
      <c r="I15" s="57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>
      <c r="A16" s="12"/>
      <c r="B16" s="12"/>
      <c r="C16" s="12"/>
      <c r="D16" s="54"/>
      <c r="E16" s="55">
        <f t="shared" si="0"/>
        <v>16</v>
      </c>
      <c r="F16" s="56" t="s">
        <v>40</v>
      </c>
      <c r="G16" s="56" t="s">
        <v>40</v>
      </c>
      <c r="H16" s="56" t="s">
        <v>40</v>
      </c>
      <c r="I16" s="57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>
      <c r="A17" s="12"/>
      <c r="B17" s="12"/>
      <c r="C17" s="12"/>
      <c r="D17" s="54"/>
      <c r="E17" s="55">
        <f t="shared" si="0"/>
        <v>17</v>
      </c>
      <c r="F17" s="56"/>
      <c r="G17" s="56"/>
      <c r="H17" s="56"/>
      <c r="I17" s="57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>
      <c r="A18" s="12"/>
      <c r="B18" s="12"/>
      <c r="C18" s="12"/>
      <c r="D18" s="54"/>
      <c r="E18" s="55">
        <f t="shared" si="0"/>
        <v>18</v>
      </c>
      <c r="F18" s="70" t="s">
        <v>10</v>
      </c>
      <c r="G18" s="70" t="s">
        <v>10</v>
      </c>
      <c r="H18" s="70" t="s">
        <v>50</v>
      </c>
      <c r="I18" s="57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>
      <c r="A19" s="12"/>
      <c r="B19" s="12"/>
      <c r="C19" s="12"/>
      <c r="D19" s="54"/>
      <c r="E19" s="55">
        <f t="shared" si="0"/>
        <v>19</v>
      </c>
      <c r="F19" s="56" t="s">
        <v>41</v>
      </c>
      <c r="G19" s="56" t="s">
        <v>41</v>
      </c>
      <c r="H19" s="56" t="s">
        <v>41</v>
      </c>
      <c r="I19" s="57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>
      <c r="A20" s="12"/>
      <c r="B20" s="12"/>
      <c r="C20" s="12"/>
      <c r="D20" s="54"/>
      <c r="E20" s="55">
        <f t="shared" si="0"/>
        <v>20</v>
      </c>
      <c r="F20" s="56" t="s">
        <v>42</v>
      </c>
      <c r="G20" s="56" t="s">
        <v>42</v>
      </c>
      <c r="H20" s="56" t="s">
        <v>42</v>
      </c>
      <c r="I20" s="57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>
      <c r="A21" s="12"/>
      <c r="B21" s="12"/>
      <c r="C21" s="12"/>
      <c r="D21" s="54"/>
      <c r="E21" s="55">
        <f t="shared" si="0"/>
        <v>21</v>
      </c>
      <c r="F21" s="56" t="s">
        <v>43</v>
      </c>
      <c r="G21" s="56" t="s">
        <v>43</v>
      </c>
      <c r="H21" s="56" t="s">
        <v>43</v>
      </c>
      <c r="I21" s="57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>
      <c r="A22" s="12"/>
      <c r="B22" s="12"/>
      <c r="C22" s="12"/>
      <c r="D22" s="54"/>
      <c r="E22" s="55">
        <f t="shared" si="0"/>
        <v>22</v>
      </c>
      <c r="F22" s="56"/>
      <c r="G22" s="56"/>
      <c r="H22" s="56"/>
      <c r="I22" s="57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>
      <c r="A23" s="12"/>
      <c r="B23" s="12"/>
      <c r="C23" s="12"/>
      <c r="D23" s="54"/>
      <c r="E23" s="55">
        <f t="shared" si="0"/>
        <v>23</v>
      </c>
      <c r="F23" s="70" t="s">
        <v>11</v>
      </c>
      <c r="G23" s="70" t="s">
        <v>6</v>
      </c>
      <c r="H23" s="81" t="s">
        <v>48</v>
      </c>
      <c r="I23" s="57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>
      <c r="A24" s="12"/>
      <c r="B24" s="12"/>
      <c r="C24" s="12"/>
      <c r="D24" s="54"/>
      <c r="E24" s="55">
        <f t="shared" si="0"/>
        <v>24</v>
      </c>
      <c r="F24" s="56" t="s">
        <v>44</v>
      </c>
      <c r="G24" s="56" t="s">
        <v>181</v>
      </c>
      <c r="H24" s="82" t="s">
        <v>127</v>
      </c>
      <c r="I24" s="57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>
      <c r="A25" s="12"/>
      <c r="B25" s="12"/>
      <c r="C25" s="12"/>
      <c r="D25" s="54"/>
      <c r="E25" s="55">
        <f t="shared" si="0"/>
        <v>25</v>
      </c>
      <c r="F25" s="56" t="s">
        <v>45</v>
      </c>
      <c r="G25" s="56" t="s">
        <v>182</v>
      </c>
      <c r="H25" s="82" t="s">
        <v>136</v>
      </c>
      <c r="I25" s="57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>
      <c r="A26" s="12"/>
      <c r="B26" s="12"/>
      <c r="C26" s="12"/>
      <c r="D26" s="54"/>
      <c r="E26" s="55">
        <f t="shared" si="0"/>
        <v>26</v>
      </c>
      <c r="F26" s="56" t="s">
        <v>46</v>
      </c>
      <c r="G26" s="56" t="s">
        <v>183</v>
      </c>
      <c r="H26" s="82" t="s">
        <v>135</v>
      </c>
      <c r="I26" s="57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>
      <c r="A27" s="12"/>
      <c r="B27" s="12"/>
      <c r="C27" s="12"/>
      <c r="D27" s="54"/>
      <c r="E27" s="55">
        <f t="shared" si="0"/>
        <v>27</v>
      </c>
      <c r="F27" s="56" t="s">
        <v>164</v>
      </c>
      <c r="G27" s="56" t="s">
        <v>184</v>
      </c>
      <c r="H27" s="82" t="s">
        <v>137</v>
      </c>
      <c r="I27" s="57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>
      <c r="A28" s="12"/>
      <c r="B28" s="12"/>
      <c r="C28" s="12"/>
      <c r="D28" s="54"/>
      <c r="E28" s="55">
        <f t="shared" si="0"/>
        <v>28</v>
      </c>
      <c r="F28" s="56" t="s">
        <v>165</v>
      </c>
      <c r="G28" s="56" t="s">
        <v>185</v>
      </c>
      <c r="H28" s="82" t="s">
        <v>150</v>
      </c>
      <c r="I28" s="57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>
      <c r="A29" s="12"/>
      <c r="B29" s="12"/>
      <c r="C29" s="12"/>
      <c r="D29" s="54"/>
      <c r="E29" s="55">
        <f t="shared" si="0"/>
        <v>29</v>
      </c>
      <c r="F29" s="56" t="s">
        <v>166</v>
      </c>
      <c r="G29" s="56" t="s">
        <v>186</v>
      </c>
      <c r="H29" s="82" t="s">
        <v>138</v>
      </c>
      <c r="I29" s="57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>
      <c r="A30" s="12"/>
      <c r="B30" s="12"/>
      <c r="C30" s="12"/>
      <c r="D30" s="54"/>
      <c r="E30" s="55">
        <f t="shared" si="0"/>
        <v>30</v>
      </c>
      <c r="F30" s="56" t="s">
        <v>167</v>
      </c>
      <c r="G30" s="56" t="s">
        <v>187</v>
      </c>
      <c r="H30" s="82" t="s">
        <v>151</v>
      </c>
      <c r="I30" s="57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>
      <c r="A31" s="12"/>
      <c r="B31" s="12"/>
      <c r="C31" s="12"/>
      <c r="D31" s="54"/>
      <c r="E31" s="55">
        <f t="shared" si="0"/>
        <v>31</v>
      </c>
      <c r="F31" s="56" t="s">
        <v>168</v>
      </c>
      <c r="G31" s="56" t="s">
        <v>188</v>
      </c>
      <c r="H31" s="82" t="s">
        <v>139</v>
      </c>
      <c r="I31" s="57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>
      <c r="A32" s="12"/>
      <c r="B32" s="12"/>
      <c r="C32" s="12"/>
      <c r="D32" s="54"/>
      <c r="E32" s="55">
        <f t="shared" si="0"/>
        <v>32</v>
      </c>
      <c r="F32" s="56" t="s">
        <v>169</v>
      </c>
      <c r="G32" s="56" t="s">
        <v>189</v>
      </c>
      <c r="H32" s="82" t="s">
        <v>140</v>
      </c>
      <c r="I32" s="57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>
      <c r="A33" s="12"/>
      <c r="B33" s="12"/>
      <c r="C33" s="12"/>
      <c r="D33" s="54"/>
      <c r="E33" s="55">
        <f t="shared" si="0"/>
        <v>33</v>
      </c>
      <c r="F33" s="56" t="s">
        <v>170</v>
      </c>
      <c r="G33" s="56" t="s">
        <v>190</v>
      </c>
      <c r="H33" s="82" t="s">
        <v>145</v>
      </c>
      <c r="I33" s="57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>
      <c r="A34" s="12"/>
      <c r="B34" s="12"/>
      <c r="C34" s="12"/>
      <c r="D34" s="54"/>
      <c r="E34" s="55">
        <f t="shared" si="0"/>
        <v>34</v>
      </c>
      <c r="F34" s="56" t="s">
        <v>171</v>
      </c>
      <c r="G34" s="56" t="s">
        <v>191</v>
      </c>
      <c r="H34" s="82" t="s">
        <v>143</v>
      </c>
      <c r="I34" s="57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>
      <c r="A35" s="12"/>
      <c r="B35" s="12"/>
      <c r="C35" s="12"/>
      <c r="D35" s="54"/>
      <c r="E35" s="55">
        <f t="shared" si="0"/>
        <v>35</v>
      </c>
      <c r="F35" s="56" t="s">
        <v>172</v>
      </c>
      <c r="G35" s="56" t="s">
        <v>192</v>
      </c>
      <c r="H35" s="82" t="s">
        <v>142</v>
      </c>
      <c r="I35" s="57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>
      <c r="A36" s="12"/>
      <c r="B36" s="12"/>
      <c r="C36" s="12"/>
      <c r="D36" s="54"/>
      <c r="E36" s="55">
        <f t="shared" si="0"/>
        <v>36</v>
      </c>
      <c r="F36" s="56" t="s">
        <v>173</v>
      </c>
      <c r="G36" s="56" t="s">
        <v>193</v>
      </c>
      <c r="H36" s="82" t="s">
        <v>128</v>
      </c>
      <c r="I36" s="57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>
      <c r="A37" s="12"/>
      <c r="B37" s="12"/>
      <c r="C37" s="12"/>
      <c r="D37" s="54"/>
      <c r="E37" s="55">
        <f t="shared" si="0"/>
        <v>37</v>
      </c>
      <c r="F37" s="56" t="s">
        <v>174</v>
      </c>
      <c r="G37" s="56" t="s">
        <v>194</v>
      </c>
      <c r="H37" s="82" t="s">
        <v>134</v>
      </c>
      <c r="I37" s="57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>
      <c r="A38" s="12"/>
      <c r="B38" s="12"/>
      <c r="C38" s="12"/>
      <c r="D38" s="54"/>
      <c r="E38" s="55">
        <f t="shared" si="0"/>
        <v>38</v>
      </c>
      <c r="F38" s="56" t="s">
        <v>175</v>
      </c>
      <c r="G38" s="56" t="s">
        <v>195</v>
      </c>
      <c r="H38" s="82" t="s">
        <v>147</v>
      </c>
      <c r="I38" s="57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>
      <c r="A39" s="12"/>
      <c r="B39" s="12"/>
      <c r="C39" s="12"/>
      <c r="D39" s="54"/>
      <c r="E39" s="55">
        <f t="shared" si="0"/>
        <v>39</v>
      </c>
      <c r="F39" s="56" t="s">
        <v>176</v>
      </c>
      <c r="G39" s="56" t="s">
        <v>196</v>
      </c>
      <c r="H39" s="82" t="s">
        <v>141</v>
      </c>
      <c r="I39" s="57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>
      <c r="A40" s="12"/>
      <c r="B40" s="12"/>
      <c r="C40" s="12"/>
      <c r="D40" s="54"/>
      <c r="E40" s="55">
        <f t="shared" si="0"/>
        <v>40</v>
      </c>
      <c r="F40" s="56" t="s">
        <v>177</v>
      </c>
      <c r="G40" s="56" t="s">
        <v>197</v>
      </c>
      <c r="H40" s="82" t="s">
        <v>146</v>
      </c>
      <c r="I40" s="57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>
      <c r="A41" s="12"/>
      <c r="B41" s="12"/>
      <c r="C41" s="12"/>
      <c r="D41" s="54"/>
      <c r="E41" s="55">
        <f t="shared" si="0"/>
        <v>41</v>
      </c>
      <c r="F41" s="56" t="s">
        <v>178</v>
      </c>
      <c r="G41" s="56" t="s">
        <v>198</v>
      </c>
      <c r="H41" s="82" t="s">
        <v>144</v>
      </c>
      <c r="I41" s="57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>
      <c r="A42" s="12"/>
      <c r="B42" s="12"/>
      <c r="C42" s="12"/>
      <c r="D42" s="54"/>
      <c r="E42" s="55">
        <f t="shared" si="0"/>
        <v>42</v>
      </c>
      <c r="F42" s="56" t="s">
        <v>179</v>
      </c>
      <c r="G42" s="56" t="s">
        <v>199</v>
      </c>
      <c r="H42" s="82" t="s">
        <v>148</v>
      </c>
      <c r="I42" s="57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>
      <c r="A43" s="12"/>
      <c r="B43" s="12"/>
      <c r="C43" s="12"/>
      <c r="D43" s="54"/>
      <c r="E43" s="55">
        <f t="shared" si="0"/>
        <v>43</v>
      </c>
      <c r="F43" s="56" t="s">
        <v>180</v>
      </c>
      <c r="G43" s="56" t="s">
        <v>200</v>
      </c>
      <c r="H43" s="82" t="s">
        <v>149</v>
      </c>
      <c r="I43" s="57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>
      <c r="A44" s="12"/>
      <c r="B44" s="12"/>
      <c r="C44" s="12"/>
      <c r="D44" s="54"/>
      <c r="E44" s="55">
        <f t="shared" si="0"/>
        <v>44</v>
      </c>
      <c r="F44" s="56"/>
      <c r="G44" s="56"/>
      <c r="H44" s="56"/>
      <c r="I44" s="57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>
      <c r="A45" s="12"/>
      <c r="B45" s="12"/>
      <c r="C45" s="12"/>
      <c r="D45" s="54"/>
      <c r="E45" s="55">
        <f t="shared" si="0"/>
        <v>45</v>
      </c>
      <c r="F45" s="70" t="s">
        <v>12</v>
      </c>
      <c r="G45" s="70" t="s">
        <v>7</v>
      </c>
      <c r="H45" s="81" t="s">
        <v>56</v>
      </c>
      <c r="I45" s="57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>
      <c r="A46" s="12"/>
      <c r="B46" s="12"/>
      <c r="C46" s="12"/>
      <c r="D46" s="54"/>
      <c r="E46" s="55">
        <f t="shared" si="0"/>
        <v>46</v>
      </c>
      <c r="F46" s="56" t="s">
        <v>52</v>
      </c>
      <c r="G46" s="56" t="s">
        <v>201</v>
      </c>
      <c r="H46" s="82" t="s">
        <v>155</v>
      </c>
      <c r="I46" s="57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>
      <c r="A47" s="12"/>
      <c r="B47" s="12"/>
      <c r="C47" s="12"/>
      <c r="D47" s="54"/>
      <c r="E47" s="55">
        <f t="shared" si="0"/>
        <v>47</v>
      </c>
      <c r="F47" s="56" t="s">
        <v>53</v>
      </c>
      <c r="G47" s="56" t="s">
        <v>202</v>
      </c>
      <c r="H47" s="82" t="s">
        <v>160</v>
      </c>
      <c r="I47" s="57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>
      <c r="A48" s="12"/>
      <c r="B48" s="12"/>
      <c r="C48" s="12"/>
      <c r="D48" s="54"/>
      <c r="E48" s="55">
        <f t="shared" si="0"/>
        <v>48</v>
      </c>
      <c r="F48" s="56" t="s">
        <v>54</v>
      </c>
      <c r="G48" s="56" t="s">
        <v>203</v>
      </c>
      <c r="H48" s="82" t="s">
        <v>156</v>
      </c>
      <c r="I48" s="57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>
      <c r="A49" s="12"/>
      <c r="B49" s="12"/>
      <c r="C49" s="12"/>
      <c r="D49" s="54"/>
      <c r="E49" s="55">
        <f t="shared" si="0"/>
        <v>49</v>
      </c>
      <c r="F49" s="56" t="s">
        <v>152</v>
      </c>
      <c r="G49" s="56" t="s">
        <v>204</v>
      </c>
      <c r="H49" s="82" t="s">
        <v>157</v>
      </c>
      <c r="I49" s="57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>
      <c r="A50" s="12"/>
      <c r="B50" s="12"/>
      <c r="C50" s="12"/>
      <c r="D50" s="54"/>
      <c r="E50" s="55">
        <f t="shared" si="0"/>
        <v>50</v>
      </c>
      <c r="F50" s="56" t="s">
        <v>153</v>
      </c>
      <c r="G50" s="56" t="s">
        <v>205</v>
      </c>
      <c r="H50" s="82" t="s">
        <v>158</v>
      </c>
      <c r="I50" s="57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>
      <c r="A51" s="12"/>
      <c r="B51" s="12"/>
      <c r="C51" s="12"/>
      <c r="D51" s="54"/>
      <c r="E51" s="55">
        <f t="shared" si="0"/>
        <v>51</v>
      </c>
      <c r="F51" s="56" t="s">
        <v>154</v>
      </c>
      <c r="G51" s="56" t="s">
        <v>206</v>
      </c>
      <c r="H51" s="82" t="s">
        <v>159</v>
      </c>
      <c r="I51" s="57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58"/>
      <c r="E52" s="59"/>
      <c r="F52" s="60"/>
      <c r="G52" s="60"/>
      <c r="H52" s="60"/>
      <c r="I52" s="61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6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6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6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6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6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6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6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6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6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6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6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6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6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>
      <c r="A66" s="12"/>
      <c r="B66" s="12"/>
      <c r="C66" s="12"/>
      <c r="D66" s="12"/>
      <c r="E66" s="16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>
      <c r="A67" s="12"/>
      <c r="B67" s="12"/>
      <c r="C67" s="12"/>
      <c r="D67" s="12"/>
      <c r="E67" s="16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>
      <c r="A68" s="12"/>
      <c r="B68" s="12"/>
      <c r="C68" s="12"/>
      <c r="D68" s="12"/>
      <c r="E68" s="16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>
      <c r="A69" s="12"/>
      <c r="B69" s="12"/>
      <c r="C69" s="12"/>
      <c r="D69" s="12"/>
      <c r="E69" s="16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>
      <c r="A70" s="12"/>
      <c r="B70" s="12"/>
      <c r="C70" s="12"/>
      <c r="D70" s="12"/>
      <c r="E70" s="16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>
      <c r="A71" s="12"/>
      <c r="B71" s="12"/>
      <c r="C71" s="12"/>
      <c r="D71" s="12"/>
      <c r="E71" s="16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>
      <c r="A72" s="12"/>
      <c r="B72" s="12"/>
      <c r="C72" s="12"/>
      <c r="D72" s="12"/>
      <c r="E72" s="16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>
      <c r="A73" s="12"/>
      <c r="B73" s="12"/>
      <c r="C73" s="12"/>
      <c r="D73" s="12"/>
      <c r="E73" s="16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>
      <c r="A74" s="12"/>
      <c r="B74" s="12"/>
      <c r="C74" s="12"/>
      <c r="D74" s="12"/>
      <c r="E74" s="16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>
      <c r="A75" s="12"/>
      <c r="B75" s="12"/>
      <c r="C75" s="12"/>
      <c r="D75" s="12"/>
      <c r="E75" s="16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>
      <c r="A76" s="12"/>
      <c r="B76" s="12"/>
      <c r="C76" s="12"/>
      <c r="D76" s="12"/>
      <c r="E76" s="16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>
      <c r="A77" s="12"/>
      <c r="B77" s="12"/>
      <c r="C77" s="12"/>
      <c r="D77" s="12"/>
      <c r="E77" s="16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>
      <c r="A78" s="12"/>
      <c r="B78" s="12"/>
      <c r="C78" s="12"/>
      <c r="D78" s="12"/>
      <c r="E78" s="16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>
      <c r="A79" s="12"/>
      <c r="B79" s="12"/>
      <c r="C79" s="12"/>
      <c r="D79" s="12"/>
      <c r="E79" s="16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>
      <c r="A80" s="12"/>
      <c r="B80" s="12"/>
      <c r="C80" s="12"/>
      <c r="D80" s="12"/>
      <c r="E80" s="16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>
      <c r="A81" s="12"/>
      <c r="B81" s="12"/>
      <c r="C81" s="12"/>
      <c r="D81" s="12"/>
      <c r="E81" s="16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>
      <c r="A82" s="12"/>
      <c r="B82" s="12"/>
      <c r="C82" s="12"/>
      <c r="D82" s="12"/>
      <c r="E82" s="16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>
      <c r="A83" s="12"/>
      <c r="B83" s="12"/>
      <c r="C83" s="12"/>
      <c r="D83" s="12"/>
      <c r="E83" s="16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>
      <c r="A84" s="12"/>
      <c r="B84" s="12"/>
      <c r="C84" s="12"/>
      <c r="D84" s="12"/>
      <c r="E84" s="16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>
      <c r="A85" s="12"/>
      <c r="B85" s="12"/>
      <c r="C85" s="12"/>
      <c r="D85" s="12"/>
      <c r="E85" s="16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>
      <c r="A86" s="12"/>
      <c r="B86" s="12"/>
      <c r="C86" s="12"/>
      <c r="D86" s="12"/>
      <c r="E86" s="16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>
      <c r="A87" s="12"/>
      <c r="B87" s="12"/>
      <c r="C87" s="12"/>
      <c r="D87" s="12"/>
      <c r="E87" s="16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>
      <c r="A88" s="12"/>
      <c r="B88" s="12"/>
      <c r="C88" s="12"/>
      <c r="D88" s="12"/>
      <c r="E88" s="16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>
      <c r="A89" s="12"/>
      <c r="B89" s="12"/>
      <c r="C89" s="12"/>
      <c r="D89" s="12"/>
      <c r="E89" s="16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>
      <c r="A90" s="12"/>
      <c r="B90" s="12"/>
      <c r="C90" s="12"/>
      <c r="D90" s="12"/>
      <c r="E90" s="16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>
      <c r="A91" s="12"/>
      <c r="B91" s="12"/>
      <c r="C91" s="12"/>
      <c r="D91" s="12"/>
      <c r="E91" s="16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>
      <c r="A92" s="12"/>
      <c r="B92" s="12"/>
      <c r="C92" s="12"/>
      <c r="D92" s="12"/>
      <c r="E92" s="16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>
      <c r="A93" s="12"/>
      <c r="B93" s="12"/>
      <c r="C93" s="12"/>
      <c r="D93" s="12"/>
      <c r="E93" s="16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>
      <c r="A94" s="12"/>
      <c r="B94" s="12"/>
      <c r="C94" s="12"/>
      <c r="D94" s="12"/>
      <c r="E94" s="16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>
      <c r="A95" s="12"/>
      <c r="B95" s="12"/>
      <c r="C95" s="12"/>
      <c r="D95" s="12"/>
      <c r="E95" s="16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>
      <c r="A96" s="12"/>
      <c r="B96" s="12"/>
      <c r="C96" s="12"/>
      <c r="D96" s="12"/>
      <c r="E96" s="16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>
      <c r="A97" s="12"/>
      <c r="B97" s="12"/>
      <c r="C97" s="12"/>
      <c r="D97" s="12"/>
      <c r="E97" s="16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>
      <c r="A98" s="12"/>
      <c r="B98" s="12"/>
      <c r="C98" s="12"/>
      <c r="D98" s="12"/>
      <c r="E98" s="16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>
      <c r="A99" s="12"/>
      <c r="B99" s="12"/>
      <c r="C99" s="12"/>
      <c r="D99" s="12"/>
      <c r="E99" s="16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>
      <c r="A100" s="12"/>
      <c r="B100" s="12"/>
      <c r="C100" s="12"/>
      <c r="D100" s="12"/>
      <c r="E100" s="1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>
      <c r="A101" s="12"/>
      <c r="B101" s="12"/>
      <c r="C101" s="12"/>
      <c r="D101" s="12"/>
      <c r="E101" s="16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>
      <c r="A102" s="12"/>
      <c r="B102" s="12"/>
      <c r="C102" s="12"/>
      <c r="D102" s="12"/>
      <c r="E102" s="1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>
      <c r="A103" s="12"/>
      <c r="B103" s="12"/>
      <c r="C103" s="12"/>
      <c r="D103" s="12"/>
      <c r="E103" s="16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>
      <c r="A104" s="12"/>
      <c r="B104" s="12"/>
      <c r="C104" s="12"/>
      <c r="D104" s="12"/>
      <c r="E104" s="16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>
      <c r="A105" s="12"/>
      <c r="B105" s="12"/>
      <c r="C105" s="12"/>
      <c r="D105" s="12"/>
      <c r="E105" s="16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>
      <c r="A106" s="12"/>
      <c r="B106" s="12"/>
      <c r="C106" s="12"/>
      <c r="D106" s="12"/>
      <c r="E106" s="16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>
      <c r="A107" s="12"/>
      <c r="B107" s="12"/>
      <c r="C107" s="12"/>
      <c r="D107" s="12"/>
      <c r="E107" s="16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>
      <c r="A108" s="12"/>
      <c r="B108" s="12"/>
      <c r="C108" s="12"/>
      <c r="D108" s="12"/>
      <c r="E108" s="16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>
      <c r="A109" s="12"/>
      <c r="B109" s="12"/>
      <c r="C109" s="12"/>
      <c r="D109" s="12"/>
      <c r="E109" s="16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>
      <c r="A110" s="12"/>
      <c r="B110" s="12"/>
      <c r="C110" s="12"/>
      <c r="D110" s="12"/>
      <c r="E110" s="16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>
      <c r="A111" s="12"/>
      <c r="B111" s="12"/>
      <c r="C111" s="12"/>
      <c r="D111" s="12"/>
      <c r="E111" s="16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>
      <c r="A112" s="12"/>
      <c r="B112" s="12"/>
      <c r="C112" s="12"/>
      <c r="D112" s="12"/>
      <c r="E112" s="16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>
      <c r="A113" s="12"/>
      <c r="B113" s="12"/>
      <c r="C113" s="12"/>
      <c r="D113" s="12"/>
      <c r="E113" s="16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>
      <c r="A114" s="12"/>
      <c r="B114" s="12"/>
      <c r="C114" s="12"/>
      <c r="D114" s="12"/>
      <c r="E114" s="16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>
      <c r="A115" s="12"/>
      <c r="B115" s="12"/>
      <c r="C115" s="12"/>
      <c r="D115" s="12"/>
      <c r="E115" s="16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>
      <c r="A116" s="12"/>
      <c r="B116" s="12"/>
      <c r="C116" s="12"/>
      <c r="D116" s="12"/>
      <c r="E116" s="16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>
      <c r="A117" s="12"/>
      <c r="B117" s="12"/>
      <c r="C117" s="12"/>
      <c r="D117" s="12"/>
      <c r="E117" s="16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>
      <c r="A118" s="12"/>
      <c r="B118" s="12"/>
      <c r="C118" s="12"/>
      <c r="D118" s="12"/>
      <c r="E118" s="16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>
      <c r="A119" s="12"/>
      <c r="B119" s="12"/>
      <c r="C119" s="12"/>
      <c r="D119" s="12"/>
      <c r="E119" s="16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>
      <c r="A120" s="12"/>
      <c r="B120" s="12"/>
      <c r="C120" s="12"/>
      <c r="D120" s="12"/>
      <c r="E120" s="16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>
      <c r="A121" s="12"/>
      <c r="B121" s="12"/>
      <c r="C121" s="12"/>
      <c r="D121" s="12"/>
      <c r="E121" s="16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>
      <c r="A122" s="12"/>
      <c r="B122" s="12"/>
      <c r="C122" s="12"/>
      <c r="D122" s="12"/>
      <c r="E122" s="16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>
      <c r="A123" s="12"/>
      <c r="B123" s="12"/>
      <c r="C123" s="12"/>
      <c r="D123" s="12"/>
      <c r="E123" s="16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>
      <c r="A124" s="12"/>
      <c r="B124" s="12"/>
      <c r="C124" s="12"/>
      <c r="D124" s="12"/>
      <c r="E124" s="16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>
      <c r="A125" s="12"/>
      <c r="B125" s="12"/>
      <c r="C125" s="12"/>
      <c r="D125" s="12"/>
      <c r="E125" s="16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>
      <c r="A126" s="12"/>
      <c r="B126" s="12"/>
      <c r="C126" s="12"/>
      <c r="D126" s="12"/>
      <c r="E126" s="16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>
      <c r="A127" s="12"/>
      <c r="B127" s="12"/>
      <c r="C127" s="12"/>
      <c r="D127" s="12"/>
      <c r="E127" s="16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>
      <c r="A128" s="12"/>
      <c r="B128" s="12"/>
      <c r="C128" s="12"/>
      <c r="D128" s="12"/>
      <c r="E128" s="16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>
      <c r="A129" s="12"/>
      <c r="B129" s="12"/>
      <c r="C129" s="12"/>
      <c r="D129" s="12"/>
      <c r="E129" s="16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>
      <c r="A130" s="12"/>
      <c r="B130" s="12"/>
      <c r="C130" s="12"/>
      <c r="D130" s="12"/>
      <c r="E130" s="16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>
      <c r="A131" s="12"/>
      <c r="B131" s="12"/>
      <c r="C131" s="12"/>
      <c r="D131" s="12"/>
      <c r="E131" s="16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>
      <c r="A132" s="12"/>
      <c r="B132" s="12"/>
      <c r="C132" s="12"/>
      <c r="D132" s="12"/>
      <c r="E132" s="16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R105"/>
  <sheetViews>
    <sheetView workbookViewId="0">
      <selection activeCell="B1" sqref="B1"/>
    </sheetView>
  </sheetViews>
  <sheetFormatPr defaultRowHeight="12.75"/>
  <cols>
    <col min="1" max="2" width="2.7109375" style="9" customWidth="1"/>
    <col min="3" max="3" width="4.5703125" style="9" customWidth="1"/>
    <col min="4" max="4" width="2.7109375" style="9" customWidth="1"/>
    <col min="5" max="5" width="37.5703125" style="9" customWidth="1"/>
    <col min="6" max="6" width="9.140625" style="9"/>
    <col min="7" max="7" width="2.7109375" style="9" customWidth="1"/>
    <col min="8" max="8" width="9.140625" style="9"/>
    <col min="9" max="9" width="2.7109375" style="9" customWidth="1"/>
    <col min="10" max="13" width="9.140625" style="9"/>
    <col min="14" max="14" width="2.7109375" style="9" customWidth="1"/>
    <col min="15" max="15" width="4" style="445" bestFit="1" customWidth="1"/>
    <col min="16" max="16" width="9.140625" style="445"/>
    <col min="17" max="16384" width="9.140625" style="9"/>
  </cols>
  <sheetData>
    <row r="1" spans="1:18" s="197" customFormat="1" ht="12">
      <c r="A1" s="145" t="s">
        <v>235</v>
      </c>
      <c r="B1" s="145"/>
      <c r="C1" s="145"/>
      <c r="D1" s="145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440"/>
      <c r="P1" s="440"/>
      <c r="Q1" s="147"/>
    </row>
    <row r="2" spans="1:18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441"/>
      <c r="P2" s="441"/>
      <c r="Q2" s="6"/>
    </row>
    <row r="3" spans="1:18">
      <c r="A3" s="6"/>
      <c r="B3" s="6"/>
      <c r="C3" s="1" t="s">
        <v>353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441"/>
      <c r="P3" s="441"/>
      <c r="Q3" s="6"/>
    </row>
    <row r="4" spans="1:18">
      <c r="A4" s="6"/>
      <c r="B4" s="6"/>
      <c r="C4" s="1" t="s">
        <v>223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441"/>
      <c r="P4" s="441"/>
      <c r="Q4" s="6"/>
    </row>
    <row r="5" spans="1:18">
      <c r="A5" s="6"/>
      <c r="B5" s="6"/>
      <c r="C5" s="87" t="s">
        <v>221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441"/>
      <c r="P5" s="441"/>
      <c r="Q5" s="6"/>
    </row>
    <row r="6" spans="1:18">
      <c r="A6" s="6"/>
      <c r="B6" s="6"/>
      <c r="C6" s="1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441"/>
      <c r="P6" s="441"/>
      <c r="Q6" s="6"/>
    </row>
    <row r="7" spans="1:18">
      <c r="A7" s="6"/>
      <c r="B7" s="6"/>
      <c r="C7" s="395"/>
      <c r="D7" s="6"/>
      <c r="E7" s="6"/>
      <c r="F7" s="6"/>
      <c r="G7" s="6"/>
      <c r="H7" s="418" t="s">
        <v>354</v>
      </c>
      <c r="I7" s="6"/>
      <c r="J7" s="6"/>
      <c r="K7" s="6"/>
      <c r="L7" s="6"/>
      <c r="M7" s="6"/>
      <c r="N7" s="6"/>
      <c r="O7" s="441"/>
      <c r="P7" s="441"/>
      <c r="Q7" s="6"/>
      <c r="R7" s="438"/>
    </row>
    <row r="8" spans="1:18" s="50" customFormat="1" ht="11.25">
      <c r="A8" s="48"/>
      <c r="B8" s="48"/>
      <c r="C8" s="115"/>
      <c r="D8" s="48"/>
      <c r="E8" s="48"/>
      <c r="F8" s="48"/>
      <c r="G8" s="48"/>
      <c r="H8" s="88">
        <v>42278</v>
      </c>
      <c r="I8" s="48"/>
      <c r="J8" s="48"/>
      <c r="K8" s="48"/>
      <c r="L8" s="48"/>
      <c r="M8" s="48"/>
      <c r="N8" s="48"/>
      <c r="O8" s="442"/>
      <c r="P8" s="442"/>
      <c r="Q8" s="48"/>
      <c r="R8" s="439"/>
    </row>
    <row r="9" spans="1:18" s="50" customFormat="1" ht="11.25">
      <c r="A9" s="48"/>
      <c r="B9" s="48"/>
      <c r="C9" s="102"/>
      <c r="D9" s="103"/>
      <c r="E9" s="103" t="s">
        <v>215</v>
      </c>
      <c r="F9" s="103" t="s">
        <v>216</v>
      </c>
      <c r="G9" s="94"/>
      <c r="H9" s="95">
        <v>42369</v>
      </c>
      <c r="I9" s="48"/>
      <c r="J9" s="48"/>
      <c r="K9" s="48"/>
      <c r="L9" s="48"/>
      <c r="M9" s="48"/>
      <c r="N9" s="48"/>
      <c r="O9" s="418" t="s">
        <v>365</v>
      </c>
      <c r="P9" s="418" t="s">
        <v>218</v>
      </c>
      <c r="Q9" s="48"/>
      <c r="R9" s="439"/>
    </row>
    <row r="10" spans="1:18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441"/>
      <c r="P10" s="441"/>
      <c r="Q10" s="6"/>
      <c r="R10" s="438"/>
    </row>
    <row r="11" spans="1:18" s="5" customFormat="1">
      <c r="A11" s="1"/>
      <c r="B11" s="1"/>
      <c r="C11" s="1" t="s">
        <v>363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443"/>
      <c r="P11" s="443"/>
      <c r="Q11" s="1"/>
    </row>
    <row r="12" spans="1:18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441"/>
      <c r="P12" s="441"/>
      <c r="Q12" s="6"/>
    </row>
    <row r="13" spans="1:18" s="5" customFormat="1">
      <c r="A13" s="1"/>
      <c r="B13" s="1"/>
      <c r="C13" s="1" t="s">
        <v>355</v>
      </c>
      <c r="D13" s="1" t="s">
        <v>356</v>
      </c>
      <c r="E13" s="1"/>
      <c r="F13" s="1"/>
      <c r="G13" s="1"/>
      <c r="H13" s="1"/>
      <c r="I13" s="1"/>
      <c r="J13" s="425">
        <v>1</v>
      </c>
      <c r="K13" s="419">
        <v>2</v>
      </c>
      <c r="L13" s="419">
        <v>3</v>
      </c>
      <c r="M13" s="425">
        <v>4</v>
      </c>
      <c r="N13" s="1"/>
      <c r="O13" s="443"/>
      <c r="P13" s="443"/>
      <c r="Q13" s="1"/>
    </row>
    <row r="14" spans="1:18">
      <c r="A14" s="6"/>
      <c r="B14" s="6"/>
      <c r="C14" s="6"/>
      <c r="D14" s="6"/>
      <c r="E14" s="6"/>
      <c r="F14" s="6"/>
      <c r="G14" s="6"/>
      <c r="H14" s="6"/>
      <c r="I14" s="6"/>
      <c r="J14" s="426"/>
      <c r="K14" s="6"/>
      <c r="L14" s="6"/>
      <c r="M14" s="426"/>
      <c r="N14" s="6"/>
      <c r="O14" s="441"/>
      <c r="P14" s="441"/>
      <c r="Q14" s="6"/>
    </row>
    <row r="15" spans="1:18">
      <c r="A15" s="6"/>
      <c r="B15" s="6"/>
      <c r="C15" s="6" t="s">
        <v>359</v>
      </c>
      <c r="D15" s="6" t="s">
        <v>357</v>
      </c>
      <c r="E15" s="6"/>
      <c r="F15" s="6"/>
      <c r="G15" s="6"/>
      <c r="H15" s="6"/>
      <c r="I15" s="6"/>
      <c r="J15" s="427">
        <v>0</v>
      </c>
      <c r="K15" s="420">
        <v>0.25</v>
      </c>
      <c r="L15" s="420">
        <v>0.5</v>
      </c>
      <c r="M15" s="427">
        <v>1.2</v>
      </c>
      <c r="N15" s="6"/>
      <c r="O15" s="441"/>
      <c r="P15" s="441"/>
      <c r="Q15" s="6"/>
    </row>
    <row r="16" spans="1:18" s="211" customFormat="1">
      <c r="A16" s="210"/>
      <c r="B16" s="210"/>
      <c r="C16" s="428" t="s">
        <v>337</v>
      </c>
      <c r="D16" s="428" t="s">
        <v>332</v>
      </c>
      <c r="E16" s="428"/>
      <c r="F16" s="428" t="s">
        <v>218</v>
      </c>
      <c r="G16" s="428"/>
      <c r="H16" s="429">
        <v>0.1</v>
      </c>
      <c r="I16" s="428"/>
      <c r="J16" s="430">
        <f t="shared" ref="J16:L16" si="0">$H16*J15</f>
        <v>0</v>
      </c>
      <c r="K16" s="431">
        <f t="shared" si="0"/>
        <v>2.5000000000000001E-2</v>
      </c>
      <c r="L16" s="431">
        <f t="shared" si="0"/>
        <v>0.05</v>
      </c>
      <c r="M16" s="430">
        <f>$H16*M15</f>
        <v>0.12</v>
      </c>
      <c r="N16" s="210"/>
      <c r="O16" s="444" t="s">
        <v>345</v>
      </c>
      <c r="P16" s="446">
        <v>0.2</v>
      </c>
      <c r="Q16" s="210"/>
    </row>
    <row r="17" spans="1:17">
      <c r="A17" s="6"/>
      <c r="B17" s="6"/>
      <c r="C17" s="6" t="s">
        <v>360</v>
      </c>
      <c r="D17" s="6" t="s">
        <v>357</v>
      </c>
      <c r="E17" s="6"/>
      <c r="F17" s="6"/>
      <c r="G17" s="6"/>
      <c r="H17" s="6"/>
      <c r="I17" s="6"/>
      <c r="J17" s="427">
        <v>0</v>
      </c>
      <c r="K17" s="420">
        <v>0.25</v>
      </c>
      <c r="L17" s="420">
        <v>0.5</v>
      </c>
      <c r="M17" s="427">
        <v>1.2</v>
      </c>
      <c r="N17" s="6"/>
      <c r="O17" s="441"/>
      <c r="P17" s="441"/>
      <c r="Q17" s="6"/>
    </row>
    <row r="18" spans="1:17" s="211" customFormat="1">
      <c r="A18" s="210"/>
      <c r="B18" s="210"/>
      <c r="C18" s="428" t="s">
        <v>338</v>
      </c>
      <c r="D18" s="428" t="s">
        <v>277</v>
      </c>
      <c r="E18" s="428"/>
      <c r="F18" s="428" t="s">
        <v>218</v>
      </c>
      <c r="G18" s="428"/>
      <c r="H18" s="432">
        <v>0.12</v>
      </c>
      <c r="I18" s="428"/>
      <c r="J18" s="430">
        <f t="shared" ref="J18:L18" si="1">$H18*J17</f>
        <v>0</v>
      </c>
      <c r="K18" s="431">
        <f t="shared" si="1"/>
        <v>0.03</v>
      </c>
      <c r="L18" s="431">
        <f t="shared" si="1"/>
        <v>0.06</v>
      </c>
      <c r="M18" s="430">
        <f>$H18*M17</f>
        <v>0.14399999999999999</v>
      </c>
      <c r="N18" s="210"/>
      <c r="O18" s="444" t="s">
        <v>346</v>
      </c>
      <c r="P18" s="446">
        <v>0.3</v>
      </c>
      <c r="Q18" s="210"/>
    </row>
    <row r="19" spans="1:17">
      <c r="A19" s="6"/>
      <c r="B19" s="6"/>
      <c r="C19" s="6" t="s">
        <v>361</v>
      </c>
      <c r="D19" s="6" t="s">
        <v>358</v>
      </c>
      <c r="E19" s="6"/>
      <c r="F19" s="6"/>
      <c r="G19" s="6"/>
      <c r="H19" s="6"/>
      <c r="I19" s="6"/>
      <c r="J19" s="427">
        <v>2</v>
      </c>
      <c r="K19" s="420">
        <v>1.5</v>
      </c>
      <c r="L19" s="420">
        <v>1</v>
      </c>
      <c r="M19" s="427">
        <v>0</v>
      </c>
      <c r="N19" s="6"/>
      <c r="O19" s="441"/>
      <c r="P19" s="441"/>
      <c r="Q19" s="6"/>
    </row>
    <row r="20" spans="1:17" s="5" customFormat="1">
      <c r="A20" s="1"/>
      <c r="B20" s="1"/>
      <c r="C20" s="433" t="s">
        <v>339</v>
      </c>
      <c r="D20" s="433" t="s">
        <v>237</v>
      </c>
      <c r="E20" s="433"/>
      <c r="F20" s="433" t="s">
        <v>219</v>
      </c>
      <c r="G20" s="433"/>
      <c r="H20" s="434">
        <v>50</v>
      </c>
      <c r="I20" s="433"/>
      <c r="J20" s="435">
        <f t="shared" ref="J20:L20" si="2">$H20*J19</f>
        <v>100</v>
      </c>
      <c r="K20" s="433">
        <f t="shared" si="2"/>
        <v>75</v>
      </c>
      <c r="L20" s="433">
        <f t="shared" si="2"/>
        <v>50</v>
      </c>
      <c r="M20" s="435">
        <f>$H20*M19</f>
        <v>0</v>
      </c>
      <c r="N20" s="1"/>
      <c r="O20" s="443" t="s">
        <v>347</v>
      </c>
      <c r="P20" s="446">
        <v>0.3</v>
      </c>
      <c r="Q20" s="1"/>
    </row>
    <row r="21" spans="1:17">
      <c r="A21" s="6"/>
      <c r="B21" s="6"/>
      <c r="C21" s="6" t="s">
        <v>362</v>
      </c>
      <c r="D21" s="6" t="s">
        <v>357</v>
      </c>
      <c r="E21" s="6"/>
      <c r="F21" s="6"/>
      <c r="G21" s="6"/>
      <c r="H21" s="6"/>
      <c r="I21" s="6"/>
      <c r="J21" s="427">
        <v>0</v>
      </c>
      <c r="K21" s="420">
        <v>0.25</v>
      </c>
      <c r="L21" s="420">
        <v>0.5</v>
      </c>
      <c r="M21" s="427">
        <v>1.2</v>
      </c>
      <c r="N21" s="6"/>
      <c r="O21" s="441"/>
      <c r="P21" s="441"/>
      <c r="Q21" s="6"/>
    </row>
    <row r="22" spans="1:17" s="5" customFormat="1">
      <c r="A22" s="1"/>
      <c r="B22" s="1"/>
      <c r="C22" s="433" t="s">
        <v>340</v>
      </c>
      <c r="D22" s="433" t="s">
        <v>333</v>
      </c>
      <c r="E22" s="433"/>
      <c r="F22" s="433" t="s">
        <v>261</v>
      </c>
      <c r="G22" s="433"/>
      <c r="H22" s="434">
        <v>4500</v>
      </c>
      <c r="I22" s="433"/>
      <c r="J22" s="436">
        <f t="shared" ref="J22:L22" si="3">$H22*J21</f>
        <v>0</v>
      </c>
      <c r="K22" s="437">
        <f t="shared" si="3"/>
        <v>1125</v>
      </c>
      <c r="L22" s="437">
        <f t="shared" si="3"/>
        <v>2250</v>
      </c>
      <c r="M22" s="436">
        <f>$H22*M21</f>
        <v>5400</v>
      </c>
      <c r="N22" s="1"/>
      <c r="O22" s="443" t="s">
        <v>348</v>
      </c>
      <c r="P22" s="446">
        <v>0.2</v>
      </c>
      <c r="Q22" s="1"/>
    </row>
    <row r="23" spans="1:17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441"/>
      <c r="P23" s="441"/>
      <c r="Q23" s="6"/>
    </row>
    <row r="24" spans="1:17" s="5" customFormat="1">
      <c r="A24" s="1"/>
      <c r="B24" s="1"/>
      <c r="C24" s="1" t="s">
        <v>364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443"/>
      <c r="P24" s="443"/>
      <c r="Q24" s="1"/>
    </row>
    <row r="25" spans="1:17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441"/>
      <c r="P25" s="441"/>
      <c r="Q25" s="6"/>
    </row>
    <row r="26" spans="1:17">
      <c r="A26" s="6"/>
      <c r="B26" s="6"/>
      <c r="C26" s="87" t="s">
        <v>321</v>
      </c>
      <c r="D26" s="87" t="s">
        <v>322</v>
      </c>
      <c r="E26" s="87"/>
      <c r="F26" s="87" t="s">
        <v>218</v>
      </c>
      <c r="G26" s="87"/>
      <c r="H26" s="422">
        <v>0.1</v>
      </c>
      <c r="I26" s="6"/>
      <c r="J26" s="6"/>
      <c r="K26" s="6"/>
      <c r="L26" s="6"/>
      <c r="M26" s="6"/>
      <c r="N26" s="6"/>
      <c r="O26" s="441"/>
      <c r="P26" s="441"/>
      <c r="Q26" s="6"/>
    </row>
    <row r="27" spans="1:17">
      <c r="A27" s="6"/>
      <c r="B27" s="6"/>
      <c r="C27" s="6" t="s">
        <v>323</v>
      </c>
      <c r="D27" s="6" t="s">
        <v>324</v>
      </c>
      <c r="E27" s="6"/>
      <c r="F27" s="6" t="s">
        <v>219</v>
      </c>
      <c r="G27" s="6"/>
      <c r="H27" s="423">
        <v>20</v>
      </c>
      <c r="I27" s="6"/>
      <c r="J27" s="6"/>
      <c r="K27" s="6"/>
      <c r="L27" s="6"/>
      <c r="M27" s="6"/>
      <c r="N27" s="6"/>
      <c r="O27" s="441"/>
      <c r="P27" s="441"/>
      <c r="Q27" s="6"/>
    </row>
    <row r="28" spans="1:17">
      <c r="A28" s="6"/>
      <c r="B28" s="6"/>
      <c r="C28" s="87" t="s">
        <v>325</v>
      </c>
      <c r="D28" s="87" t="s">
        <v>326</v>
      </c>
      <c r="E28" s="87"/>
      <c r="F28" s="87" t="s">
        <v>327</v>
      </c>
      <c r="G28" s="87"/>
      <c r="H28" s="422">
        <v>0.25</v>
      </c>
      <c r="I28" s="6"/>
      <c r="J28" s="6"/>
      <c r="K28" s="6"/>
      <c r="L28" s="6"/>
      <c r="M28" s="6"/>
      <c r="N28" s="6"/>
      <c r="O28" s="441"/>
      <c r="P28" s="441"/>
      <c r="Q28" s="6"/>
    </row>
    <row r="29" spans="1:17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441"/>
      <c r="P29" s="441"/>
      <c r="Q29" s="6"/>
    </row>
    <row r="30" spans="1:17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441"/>
      <c r="P30" s="441"/>
      <c r="Q30" s="6"/>
    </row>
    <row r="31" spans="1:17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441"/>
      <c r="P31" s="441"/>
      <c r="Q31" s="6"/>
    </row>
    <row r="32" spans="1:17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441"/>
      <c r="P32" s="441"/>
      <c r="Q32" s="6"/>
    </row>
    <row r="33" spans="1:17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441"/>
      <c r="P33" s="441"/>
      <c r="Q33" s="6"/>
    </row>
    <row r="34" spans="1:17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441"/>
      <c r="P34" s="441"/>
      <c r="Q34" s="6"/>
    </row>
    <row r="35" spans="1:17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441"/>
      <c r="P35" s="441"/>
      <c r="Q35" s="6"/>
    </row>
    <row r="36" spans="1:17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441"/>
      <c r="P36" s="441"/>
      <c r="Q36" s="6"/>
    </row>
    <row r="37" spans="1:1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441"/>
      <c r="P37" s="441"/>
      <c r="Q37" s="6"/>
    </row>
    <row r="38" spans="1:17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441"/>
      <c r="P38" s="441"/>
      <c r="Q38" s="6"/>
    </row>
    <row r="39" spans="1:17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441"/>
      <c r="P39" s="441"/>
      <c r="Q39" s="6"/>
    </row>
    <row r="40" spans="1:17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441"/>
      <c r="P40" s="441"/>
      <c r="Q40" s="6"/>
    </row>
    <row r="41" spans="1:17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441"/>
      <c r="P41" s="441"/>
      <c r="Q41" s="6"/>
    </row>
    <row r="42" spans="1:17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441"/>
      <c r="P42" s="441"/>
      <c r="Q42" s="6"/>
    </row>
    <row r="43" spans="1:17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441"/>
      <c r="P43" s="441"/>
      <c r="Q43" s="6"/>
    </row>
    <row r="44" spans="1:17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441"/>
      <c r="P44" s="441"/>
      <c r="Q44" s="6"/>
    </row>
    <row r="45" spans="1:17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441"/>
      <c r="P45" s="441"/>
      <c r="Q45" s="6"/>
    </row>
    <row r="46" spans="1:17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441"/>
      <c r="P46" s="441"/>
      <c r="Q46" s="6"/>
    </row>
    <row r="47" spans="1:1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441"/>
      <c r="P47" s="441"/>
      <c r="Q47" s="6"/>
    </row>
    <row r="48" spans="1:17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441"/>
      <c r="P48" s="441"/>
      <c r="Q48" s="6"/>
    </row>
    <row r="49" spans="1:17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441"/>
      <c r="P49" s="441"/>
      <c r="Q49" s="6"/>
    </row>
    <row r="50" spans="1:17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441"/>
      <c r="P50" s="441"/>
      <c r="Q50" s="6"/>
    </row>
    <row r="51" spans="1:17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441"/>
      <c r="P51" s="441"/>
      <c r="Q51" s="6"/>
    </row>
    <row r="52" spans="1:17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441"/>
      <c r="P52" s="441"/>
      <c r="Q52" s="6"/>
    </row>
    <row r="53" spans="1:17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441"/>
      <c r="P53" s="441"/>
      <c r="Q53" s="6"/>
    </row>
    <row r="54" spans="1:17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441"/>
      <c r="P54" s="441"/>
      <c r="Q54" s="6"/>
    </row>
    <row r="55" spans="1:17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441"/>
      <c r="P55" s="441"/>
      <c r="Q55" s="6"/>
    </row>
    <row r="56" spans="1:17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441"/>
      <c r="P56" s="441"/>
      <c r="Q56" s="6"/>
    </row>
    <row r="57" spans="1:1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441"/>
      <c r="P57" s="441"/>
      <c r="Q57" s="6"/>
    </row>
    <row r="58" spans="1:17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441"/>
      <c r="P58" s="441"/>
      <c r="Q58" s="6"/>
    </row>
    <row r="59" spans="1:17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441"/>
      <c r="P59" s="441"/>
      <c r="Q59" s="6"/>
    </row>
    <row r="60" spans="1:17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441"/>
      <c r="P60" s="441"/>
      <c r="Q60" s="6"/>
    </row>
    <row r="61" spans="1:17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441"/>
      <c r="P61" s="441"/>
      <c r="Q61" s="6"/>
    </row>
    <row r="62" spans="1:17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441"/>
      <c r="P62" s="441"/>
      <c r="Q62" s="6"/>
    </row>
    <row r="63" spans="1:17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441"/>
      <c r="P63" s="441"/>
      <c r="Q63" s="6"/>
    </row>
    <row r="64" spans="1:17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441"/>
      <c r="P64" s="441"/>
      <c r="Q64" s="6"/>
    </row>
    <row r="65" spans="1:17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441"/>
      <c r="P65" s="441"/>
      <c r="Q65" s="6"/>
    </row>
    <row r="66" spans="1:17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441"/>
      <c r="P66" s="441"/>
      <c r="Q66" s="6"/>
    </row>
    <row r="67" spans="1:1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441"/>
      <c r="P67" s="441"/>
      <c r="Q67" s="6"/>
    </row>
    <row r="68" spans="1:17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441"/>
      <c r="P68" s="441"/>
      <c r="Q68" s="6"/>
    </row>
    <row r="69" spans="1:17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441"/>
      <c r="P69" s="441"/>
      <c r="Q69" s="6"/>
    </row>
    <row r="70" spans="1:17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441"/>
      <c r="P70" s="441"/>
      <c r="Q70" s="6"/>
    </row>
    <row r="71" spans="1:17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441"/>
      <c r="P71" s="441"/>
      <c r="Q71" s="6"/>
    </row>
    <row r="72" spans="1:17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441"/>
      <c r="P72" s="441"/>
      <c r="Q72" s="6"/>
    </row>
    <row r="73" spans="1:17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441"/>
      <c r="P73" s="441"/>
      <c r="Q73" s="6"/>
    </row>
    <row r="74" spans="1:17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441"/>
      <c r="P74" s="441"/>
      <c r="Q74" s="6"/>
    </row>
    <row r="75" spans="1:17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441"/>
      <c r="P75" s="441"/>
      <c r="Q75" s="6"/>
    </row>
    <row r="76" spans="1:17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441"/>
      <c r="P76" s="441"/>
      <c r="Q76" s="6"/>
    </row>
    <row r="77" spans="1:1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441"/>
      <c r="P77" s="441"/>
      <c r="Q77" s="6"/>
    </row>
    <row r="78" spans="1:17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441"/>
      <c r="P78" s="441"/>
      <c r="Q78" s="6"/>
    </row>
    <row r="79" spans="1:17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441"/>
      <c r="P79" s="441"/>
      <c r="Q79" s="6"/>
    </row>
    <row r="80" spans="1:17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441"/>
      <c r="P80" s="441"/>
      <c r="Q80" s="6"/>
    </row>
    <row r="81" spans="1:17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441"/>
      <c r="P81" s="441"/>
      <c r="Q81" s="6"/>
    </row>
    <row r="82" spans="1:17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441"/>
      <c r="P82" s="441"/>
      <c r="Q82" s="6"/>
    </row>
    <row r="83" spans="1:17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441"/>
      <c r="P83" s="441"/>
      <c r="Q83" s="6"/>
    </row>
    <row r="84" spans="1:17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441"/>
      <c r="P84" s="441"/>
      <c r="Q84" s="6"/>
    </row>
    <row r="85" spans="1:17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441"/>
      <c r="P85" s="441"/>
      <c r="Q85" s="6"/>
    </row>
    <row r="86" spans="1:17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441"/>
      <c r="P86" s="441"/>
      <c r="Q86" s="6"/>
    </row>
    <row r="87" spans="1:1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441"/>
      <c r="P87" s="441"/>
      <c r="Q87" s="6"/>
    </row>
    <row r="88" spans="1:17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441"/>
      <c r="P88" s="441"/>
      <c r="Q88" s="6"/>
    </row>
    <row r="89" spans="1:17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441"/>
      <c r="P89" s="441"/>
      <c r="Q89" s="6"/>
    </row>
    <row r="90" spans="1:17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441"/>
      <c r="P90" s="441"/>
      <c r="Q90" s="6"/>
    </row>
    <row r="91" spans="1:17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441"/>
      <c r="P91" s="441"/>
      <c r="Q91" s="6"/>
    </row>
    <row r="92" spans="1:17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441"/>
      <c r="P92" s="441"/>
      <c r="Q92" s="6"/>
    </row>
    <row r="93" spans="1:17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441"/>
      <c r="P93" s="441"/>
      <c r="Q93" s="6"/>
    </row>
    <row r="94" spans="1:17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441"/>
      <c r="P94" s="441"/>
      <c r="Q94" s="6"/>
    </row>
    <row r="95" spans="1:17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441"/>
      <c r="P95" s="441"/>
      <c r="Q95" s="6"/>
    </row>
    <row r="96" spans="1:17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441"/>
      <c r="P96" s="441"/>
      <c r="Q96" s="6"/>
    </row>
    <row r="97" spans="1:1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441"/>
      <c r="P97" s="441"/>
      <c r="Q97" s="6"/>
    </row>
    <row r="98" spans="1:17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441"/>
      <c r="P98" s="441"/>
      <c r="Q98" s="6"/>
    </row>
    <row r="99" spans="1:17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441"/>
      <c r="P99" s="441"/>
      <c r="Q99" s="6"/>
    </row>
    <row r="100" spans="1:17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441"/>
      <c r="P100" s="441"/>
      <c r="Q100" s="6"/>
    </row>
    <row r="101" spans="1:17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441"/>
      <c r="P101" s="441"/>
      <c r="Q101" s="6"/>
    </row>
    <row r="102" spans="1:17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441"/>
      <c r="P102" s="441"/>
      <c r="Q102" s="6"/>
    </row>
    <row r="103" spans="1:17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441"/>
      <c r="P103" s="441"/>
      <c r="Q103" s="6"/>
    </row>
    <row r="104" spans="1:17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441"/>
      <c r="P104" s="441"/>
      <c r="Q104" s="6"/>
    </row>
    <row r="105" spans="1:17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441"/>
      <c r="P105" s="441"/>
      <c r="Q105" s="6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1:W79"/>
  <sheetViews>
    <sheetView workbookViewId="0">
      <pane ySplit="11" topLeftCell="A12" activePane="bottomLeft" state="frozen"/>
      <selection pane="bottomLeft" activeCell="J4" sqref="J4"/>
    </sheetView>
  </sheetViews>
  <sheetFormatPr defaultRowHeight="12.75"/>
  <cols>
    <col min="1" max="2" width="2.7109375" style="9" customWidth="1"/>
    <col min="3" max="3" width="4.5703125" style="9" customWidth="1"/>
    <col min="4" max="4" width="2.7109375" style="9" customWidth="1"/>
    <col min="5" max="5" width="47.140625" style="9" customWidth="1"/>
    <col min="6" max="6" width="30.85546875" style="9" customWidth="1"/>
    <col min="7" max="7" width="9.140625" style="9"/>
    <col min="8" max="8" width="2.7109375" style="9" customWidth="1"/>
    <col min="9" max="16384" width="9.140625" style="9"/>
  </cols>
  <sheetData>
    <row r="1" spans="1:23" s="197" customFormat="1" ht="12">
      <c r="A1" s="145" t="s">
        <v>235</v>
      </c>
      <c r="B1" s="145"/>
      <c r="C1" s="145"/>
      <c r="D1" s="145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</row>
    <row r="2" spans="1:2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3">
      <c r="A3" s="6"/>
      <c r="B3" s="6"/>
      <c r="C3" s="1" t="s">
        <v>315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3">
      <c r="A4" s="6"/>
      <c r="B4" s="6"/>
      <c r="C4" s="1" t="s">
        <v>223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3">
      <c r="A5" s="6"/>
      <c r="B5" s="6"/>
      <c r="C5" s="87" t="s">
        <v>221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3">
      <c r="A6" s="6"/>
      <c r="B6" s="6"/>
      <c r="C6" s="1" t="s">
        <v>240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3">
      <c r="A7" s="6"/>
      <c r="B7" s="6"/>
      <c r="C7" s="395" t="s">
        <v>222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3" s="50" customFormat="1" ht="11.25">
      <c r="A8" s="48"/>
      <c r="B8" s="48"/>
      <c r="C8" s="115"/>
      <c r="D8" s="48"/>
      <c r="E8" s="48"/>
      <c r="F8" s="48"/>
      <c r="G8" s="48"/>
      <c r="H8" s="48"/>
      <c r="I8" s="88">
        <v>42278</v>
      </c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spans="1:23" s="50" customFormat="1" ht="11.25">
      <c r="A9" s="48"/>
      <c r="B9" s="48"/>
      <c r="C9" s="102"/>
      <c r="D9" s="103"/>
      <c r="E9" s="103" t="s">
        <v>215</v>
      </c>
      <c r="F9" s="121" t="str">
        <f>микс!$G$45</f>
        <v>категория товара</v>
      </c>
      <c r="G9" s="103" t="s">
        <v>216</v>
      </c>
      <c r="H9" s="94"/>
      <c r="I9" s="95">
        <v>42369</v>
      </c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spans="1:23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3" s="93" customFormat="1" ht="15">
      <c r="A11" s="92"/>
      <c r="B11" s="92"/>
      <c r="C11" s="398" t="s">
        <v>328</v>
      </c>
      <c r="D11" s="399" t="s">
        <v>329</v>
      </c>
      <c r="E11" s="399"/>
      <c r="F11" s="401" t="s">
        <v>330</v>
      </c>
      <c r="G11" s="399" t="s">
        <v>261</v>
      </c>
      <c r="H11" s="399"/>
      <c r="I11" s="400">
        <f>SUMIFS(I$12:I$9920,$D$12:$D$9920,$D11)</f>
        <v>35910.922519489795</v>
      </c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1:2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3" s="93" customFormat="1" ht="15">
      <c r="A13" s="92"/>
      <c r="B13" s="92"/>
      <c r="C13" s="398" t="s">
        <v>328</v>
      </c>
      <c r="D13" s="399" t="s">
        <v>329</v>
      </c>
      <c r="E13" s="399"/>
      <c r="F13" s="401" t="str">
        <f>микс!$H$46</f>
        <v>Электроника и бытовая техника</v>
      </c>
      <c r="G13" s="399" t="s">
        <v>261</v>
      </c>
      <c r="H13" s="399"/>
      <c r="I13" s="400">
        <f>I14*(I17-I19-(I19+I21)*(POWER(1+I16*I15/365,I18/I15)-1))</f>
        <v>1045.4772966671628</v>
      </c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1:23" s="119" customFormat="1">
      <c r="A14" s="87"/>
      <c r="B14" s="87"/>
      <c r="C14" s="87" t="s">
        <v>321</v>
      </c>
      <c r="D14" s="87" t="s">
        <v>322</v>
      </c>
      <c r="E14" s="87"/>
      <c r="F14" s="87" t="str">
        <f>F13</f>
        <v>Электроника и бытовая техника</v>
      </c>
      <c r="G14" s="87" t="s">
        <v>218</v>
      </c>
      <c r="H14" s="87"/>
      <c r="I14" s="397">
        <f>SUMIFS(условия_KPI!$H:$H,условия_KPI!$D:$D,$D14)</f>
        <v>0.1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</row>
    <row r="15" spans="1:23">
      <c r="A15" s="6"/>
      <c r="B15" s="6"/>
      <c r="C15" s="6" t="s">
        <v>323</v>
      </c>
      <c r="D15" s="6" t="s">
        <v>324</v>
      </c>
      <c r="E15" s="6"/>
      <c r="F15" s="6" t="str">
        <f t="shared" ref="F15:F22" si="0">F14</f>
        <v>Электроника и бытовая техника</v>
      </c>
      <c r="G15" s="6" t="s">
        <v>219</v>
      </c>
      <c r="H15" s="6"/>
      <c r="I15" s="396">
        <f>SUMIFS(условия_KPI!$H:$H,условия_KPI!$D:$D,$D15)</f>
        <v>20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3" s="119" customFormat="1">
      <c r="A16" s="87"/>
      <c r="B16" s="87"/>
      <c r="C16" s="87" t="s">
        <v>325</v>
      </c>
      <c r="D16" s="87" t="s">
        <v>326</v>
      </c>
      <c r="E16" s="87"/>
      <c r="F16" s="87" t="str">
        <f t="shared" si="0"/>
        <v>Электроника и бытовая техника</v>
      </c>
      <c r="G16" s="87" t="s">
        <v>327</v>
      </c>
      <c r="H16" s="87"/>
      <c r="I16" s="397">
        <f>SUMIFS(условия_KPI!$H:$H,условия_KPI!$D:$D,$D16)</f>
        <v>0.25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</row>
    <row r="17" spans="1:22" s="5" customFormat="1">
      <c r="A17" s="1"/>
      <c r="B17" s="1"/>
      <c r="C17" s="1" t="s">
        <v>316</v>
      </c>
      <c r="D17" s="1" t="s">
        <v>274</v>
      </c>
      <c r="E17" s="1"/>
      <c r="F17" s="1" t="str">
        <f t="shared" si="0"/>
        <v>Электроника и бытовая техника</v>
      </c>
      <c r="G17" s="1" t="s">
        <v>261</v>
      </c>
      <c r="H17" s="1"/>
      <c r="I17" s="90">
        <f>SUMIFS(расчеты!$I:$I,расчеты!$D:$D,$D17,расчеты!$F:$F,$F17)</f>
        <v>235726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5" customFormat="1">
      <c r="A18" s="1"/>
      <c r="B18" s="1"/>
      <c r="C18" s="1" t="s">
        <v>317</v>
      </c>
      <c r="D18" s="1" t="s">
        <v>318</v>
      </c>
      <c r="E18" s="1"/>
      <c r="F18" s="1" t="str">
        <f t="shared" si="0"/>
        <v>Электроника и бытовая техника</v>
      </c>
      <c r="G18" s="1" t="s">
        <v>219</v>
      </c>
      <c r="H18" s="1"/>
      <c r="I18" s="90">
        <f>IF((I19+I21)=0,0,(I19*I20+I21*I22)/(I19+I21))</f>
        <v>26.900981079324826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5" customFormat="1">
      <c r="A19" s="1"/>
      <c r="B19" s="1"/>
      <c r="C19" s="1" t="s">
        <v>319</v>
      </c>
      <c r="D19" s="1"/>
      <c r="E19" s="1" t="s">
        <v>275</v>
      </c>
      <c r="F19" s="1" t="str">
        <f t="shared" si="0"/>
        <v>Электроника и бытовая техника</v>
      </c>
      <c r="G19" s="1" t="s">
        <v>261</v>
      </c>
      <c r="H19" s="1"/>
      <c r="I19" s="90">
        <f>SUMIFS(расчеты!$I:$I,расчеты!$D:$D,$E19,расчеты!$F:$F,$F19)</f>
        <v>219331.31999999992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>
      <c r="A20" s="6"/>
      <c r="B20" s="6"/>
      <c r="C20" s="6"/>
      <c r="D20" s="6"/>
      <c r="E20" s="6" t="s">
        <v>310</v>
      </c>
      <c r="F20" s="6" t="str">
        <f t="shared" si="0"/>
        <v>Электроника и бытовая техника</v>
      </c>
      <c r="G20" s="6" t="s">
        <v>219</v>
      </c>
      <c r="H20" s="6"/>
      <c r="I20" s="396">
        <f>SUMIFS(расчеты!$I:$I,расчеты!$D:$D,$E20,расчеты!$F:$F,$F20)</f>
        <v>4.0884900667806505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5" customFormat="1">
      <c r="A21" s="1"/>
      <c r="B21" s="1"/>
      <c r="C21" s="1" t="s">
        <v>320</v>
      </c>
      <c r="D21" s="1"/>
      <c r="E21" s="1" t="s">
        <v>238</v>
      </c>
      <c r="F21" s="1" t="str">
        <f t="shared" si="0"/>
        <v>Электроника и бытовая техника</v>
      </c>
      <c r="G21" s="1" t="s">
        <v>261</v>
      </c>
      <c r="H21" s="1"/>
      <c r="I21" s="90">
        <f>SUMIFS(расчеты!$I:$I,расчеты!$D:$D,$E21,расчеты!$F:$F,$F21)</f>
        <v>102288.09000000001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>
      <c r="A22" s="6"/>
      <c r="B22" s="6"/>
      <c r="C22" s="6"/>
      <c r="D22" s="6"/>
      <c r="E22" s="6" t="s">
        <v>281</v>
      </c>
      <c r="F22" s="6" t="str">
        <f t="shared" si="0"/>
        <v>Электроника и бытовая техника</v>
      </c>
      <c r="G22" s="6" t="s">
        <v>219</v>
      </c>
      <c r="H22" s="6"/>
      <c r="I22" s="396">
        <f>SUMIFS(расчеты!$I:$I,расчеты!$D:$D,$E22,расчеты!$F:$F,$F22)</f>
        <v>75.816683447698779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s="93" customFormat="1" ht="15">
      <c r="A24" s="92"/>
      <c r="B24" s="92"/>
      <c r="C24" s="398" t="s">
        <v>328</v>
      </c>
      <c r="D24" s="399" t="s">
        <v>329</v>
      </c>
      <c r="E24" s="399"/>
      <c r="F24" s="401" t="str">
        <f>микс!$H$47</f>
        <v>Домашнее хозяйство</v>
      </c>
      <c r="G24" s="399" t="s">
        <v>261</v>
      </c>
      <c r="H24" s="399"/>
      <c r="I24" s="400">
        <f>I25*(I28-I30-(I30+I32)*(POWER(1+I27*I26/365,I29/I26)-1))</f>
        <v>3114.6476672039134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</row>
    <row r="25" spans="1:22" s="119" customFormat="1">
      <c r="A25" s="87"/>
      <c r="B25" s="87"/>
      <c r="C25" s="87" t="s">
        <v>321</v>
      </c>
      <c r="D25" s="87" t="s">
        <v>322</v>
      </c>
      <c r="E25" s="87"/>
      <c r="F25" s="87" t="str">
        <f>F24</f>
        <v>Домашнее хозяйство</v>
      </c>
      <c r="G25" s="87" t="s">
        <v>218</v>
      </c>
      <c r="H25" s="87"/>
      <c r="I25" s="397">
        <f>SUMIFS(условия_KPI!$H:$H,условия_KPI!$D:$D,$D25)</f>
        <v>0.1</v>
      </c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</row>
    <row r="26" spans="1:22">
      <c r="A26" s="6"/>
      <c r="B26" s="6"/>
      <c r="C26" s="6" t="s">
        <v>323</v>
      </c>
      <c r="D26" s="6" t="s">
        <v>324</v>
      </c>
      <c r="E26" s="6"/>
      <c r="F26" s="6" t="str">
        <f t="shared" ref="F26:F33" si="1">F25</f>
        <v>Домашнее хозяйство</v>
      </c>
      <c r="G26" s="6" t="s">
        <v>219</v>
      </c>
      <c r="H26" s="6"/>
      <c r="I26" s="396">
        <f>SUMIFS(условия_KPI!$H:$H,условия_KPI!$D:$D,$D26)</f>
        <v>20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119" customFormat="1">
      <c r="A27" s="87"/>
      <c r="B27" s="87"/>
      <c r="C27" s="87" t="s">
        <v>325</v>
      </c>
      <c r="D27" s="87" t="s">
        <v>326</v>
      </c>
      <c r="E27" s="87"/>
      <c r="F27" s="87" t="str">
        <f t="shared" si="1"/>
        <v>Домашнее хозяйство</v>
      </c>
      <c r="G27" s="87" t="s">
        <v>327</v>
      </c>
      <c r="H27" s="87"/>
      <c r="I27" s="397">
        <f>SUMIFS(условия_KPI!$H:$H,условия_KPI!$D:$D,$D27)</f>
        <v>0.25</v>
      </c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</row>
    <row r="28" spans="1:22" s="5" customFormat="1">
      <c r="A28" s="1"/>
      <c r="B28" s="1"/>
      <c r="C28" s="1" t="s">
        <v>316</v>
      </c>
      <c r="D28" s="1" t="s">
        <v>274</v>
      </c>
      <c r="E28" s="1"/>
      <c r="F28" s="1" t="str">
        <f t="shared" si="1"/>
        <v>Домашнее хозяйство</v>
      </c>
      <c r="G28" s="1" t="s">
        <v>261</v>
      </c>
      <c r="H28" s="1"/>
      <c r="I28" s="90">
        <f>SUMIFS(расчеты!$I:$I,расчеты!$D:$D,$D28,расчеты!$F:$F,$F28)</f>
        <v>286234</v>
      </c>
      <c r="J28" s="9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5" customFormat="1">
      <c r="A29" s="1"/>
      <c r="B29" s="1"/>
      <c r="C29" s="1" t="s">
        <v>317</v>
      </c>
      <c r="D29" s="1" t="s">
        <v>318</v>
      </c>
      <c r="E29" s="1"/>
      <c r="F29" s="1" t="str">
        <f t="shared" si="1"/>
        <v>Домашнее хозяйство</v>
      </c>
      <c r="G29" s="1" t="s">
        <v>219</v>
      </c>
      <c r="H29" s="1"/>
      <c r="I29" s="90">
        <f>IF((I30+I32)=0,0,(I30*I31+I32*I33)/(I30+I32))</f>
        <v>4.4886228679342679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5" customFormat="1">
      <c r="A30" s="1"/>
      <c r="B30" s="1"/>
      <c r="C30" s="1" t="s">
        <v>319</v>
      </c>
      <c r="D30" s="1"/>
      <c r="E30" s="1" t="s">
        <v>275</v>
      </c>
      <c r="F30" s="1" t="str">
        <f t="shared" si="1"/>
        <v>Домашнее хозяйство</v>
      </c>
      <c r="G30" s="1" t="s">
        <v>261</v>
      </c>
      <c r="H30" s="1"/>
      <c r="I30" s="90">
        <f>SUMIFS(расчеты!$I:$I,расчеты!$D:$D,$E30,расчеты!$F:$F,$F30)</f>
        <v>254071.12000000002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6"/>
      <c r="B31" s="6"/>
      <c r="C31" s="6"/>
      <c r="D31" s="6"/>
      <c r="E31" s="6" t="s">
        <v>310</v>
      </c>
      <c r="F31" s="6" t="str">
        <f t="shared" si="1"/>
        <v>Домашнее хозяйство</v>
      </c>
      <c r="G31" s="6" t="s">
        <v>219</v>
      </c>
      <c r="H31" s="6"/>
      <c r="I31" s="396">
        <f>SUMIFS(расчеты!$I:$I,расчеты!$D:$D,$E31,расчеты!$F:$F,$F31)</f>
        <v>-8.0269888626935426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5" customFormat="1">
      <c r="A32" s="1"/>
      <c r="B32" s="1"/>
      <c r="C32" s="1" t="s">
        <v>320</v>
      </c>
      <c r="D32" s="1"/>
      <c r="E32" s="1" t="s">
        <v>238</v>
      </c>
      <c r="F32" s="1" t="str">
        <f t="shared" si="1"/>
        <v>Домашнее хозяйство</v>
      </c>
      <c r="G32" s="1" t="s">
        <v>261</v>
      </c>
      <c r="H32" s="1"/>
      <c r="I32" s="90">
        <f>SUMIFS(расчеты!$I:$I,расчеты!$D:$D,$E32,расчеты!$F:$F,$F32)</f>
        <v>78282.459999999992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6"/>
      <c r="B33" s="6"/>
      <c r="C33" s="6"/>
      <c r="D33" s="6"/>
      <c r="E33" s="6" t="s">
        <v>281</v>
      </c>
      <c r="F33" s="6" t="str">
        <f t="shared" si="1"/>
        <v>Домашнее хозяйство</v>
      </c>
      <c r="G33" s="6" t="s">
        <v>219</v>
      </c>
      <c r="H33" s="6"/>
      <c r="I33" s="396">
        <f>SUMIFS(расчеты!$I:$I,расчеты!$D:$D,$E33,расчеты!$F:$F,$F33)</f>
        <v>45.108903450401229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s="93" customFormat="1" ht="15">
      <c r="A35" s="92"/>
      <c r="B35" s="92"/>
      <c r="C35" s="398" t="s">
        <v>328</v>
      </c>
      <c r="D35" s="399" t="s">
        <v>329</v>
      </c>
      <c r="E35" s="399"/>
      <c r="F35" s="401" t="str">
        <f>микс!$H$48</f>
        <v>Спортивный инвентарь</v>
      </c>
      <c r="G35" s="399" t="s">
        <v>261</v>
      </c>
      <c r="H35" s="399"/>
      <c r="I35" s="400">
        <f>I36*(I39-I41-(I41+I43)*(POWER(1+I38*I37/365,I40/I37)-1))</f>
        <v>3600.3514583242745</v>
      </c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</row>
    <row r="36" spans="1:22" s="119" customFormat="1">
      <c r="A36" s="87"/>
      <c r="B36" s="87"/>
      <c r="C36" s="87" t="s">
        <v>321</v>
      </c>
      <c r="D36" s="87" t="s">
        <v>322</v>
      </c>
      <c r="E36" s="87"/>
      <c r="F36" s="87" t="str">
        <f>F35</f>
        <v>Спортивный инвентарь</v>
      </c>
      <c r="G36" s="87" t="s">
        <v>218</v>
      </c>
      <c r="H36" s="87"/>
      <c r="I36" s="397">
        <f>SUMIFS(условия_KPI!$H:$H,условия_KPI!$D:$D,$D36)</f>
        <v>0.1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>
      <c r="A37" s="6"/>
      <c r="B37" s="6"/>
      <c r="C37" s="6" t="s">
        <v>323</v>
      </c>
      <c r="D37" s="6" t="s">
        <v>324</v>
      </c>
      <c r="E37" s="6"/>
      <c r="F37" s="6" t="str">
        <f t="shared" ref="F37:F44" si="2">F36</f>
        <v>Спортивный инвентарь</v>
      </c>
      <c r="G37" s="6" t="s">
        <v>219</v>
      </c>
      <c r="H37" s="6"/>
      <c r="I37" s="396">
        <f>SUMIFS(условия_KPI!$H:$H,условия_KPI!$D:$D,$D37)</f>
        <v>20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s="119" customFormat="1">
      <c r="A38" s="87"/>
      <c r="B38" s="87"/>
      <c r="C38" s="87" t="s">
        <v>325</v>
      </c>
      <c r="D38" s="87" t="s">
        <v>326</v>
      </c>
      <c r="E38" s="87"/>
      <c r="F38" s="87" t="str">
        <f t="shared" si="2"/>
        <v>Спортивный инвентарь</v>
      </c>
      <c r="G38" s="87" t="s">
        <v>327</v>
      </c>
      <c r="H38" s="87"/>
      <c r="I38" s="397">
        <f>SUMIFS(условия_KPI!$H:$H,условия_KPI!$D:$D,$D38)</f>
        <v>0.25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s="5" customFormat="1">
      <c r="A39" s="1"/>
      <c r="B39" s="1"/>
      <c r="C39" s="1" t="s">
        <v>316</v>
      </c>
      <c r="D39" s="1" t="s">
        <v>274</v>
      </c>
      <c r="E39" s="1"/>
      <c r="F39" s="1" t="str">
        <f t="shared" si="2"/>
        <v>Спортивный инвентарь</v>
      </c>
      <c r="G39" s="1" t="s">
        <v>261</v>
      </c>
      <c r="H39" s="1"/>
      <c r="I39" s="90">
        <f>SUMIFS(расчеты!$I:$I,расчеты!$D:$D,$D39,расчеты!$F:$F,$F39)</f>
        <v>339905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5" customFormat="1">
      <c r="A40" s="1"/>
      <c r="B40" s="1"/>
      <c r="C40" s="1" t="s">
        <v>317</v>
      </c>
      <c r="D40" s="1" t="s">
        <v>318</v>
      </c>
      <c r="E40" s="1"/>
      <c r="F40" s="1" t="str">
        <f t="shared" si="2"/>
        <v>Спортивный инвентарь</v>
      </c>
      <c r="G40" s="1" t="s">
        <v>219</v>
      </c>
      <c r="H40" s="1"/>
      <c r="I40" s="90">
        <f>IF((I41+I43)=0,0,(I41*I42+I43*I44)/(I41+I43))</f>
        <v>27.794205325082441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5" customFormat="1">
      <c r="A41" s="1"/>
      <c r="B41" s="1"/>
      <c r="C41" s="1" t="s">
        <v>319</v>
      </c>
      <c r="D41" s="1"/>
      <c r="E41" s="1" t="s">
        <v>275</v>
      </c>
      <c r="F41" s="1" t="str">
        <f t="shared" si="2"/>
        <v>Спортивный инвентарь</v>
      </c>
      <c r="G41" s="1" t="s">
        <v>261</v>
      </c>
      <c r="H41" s="1"/>
      <c r="I41" s="90">
        <f>SUMIFS(расчеты!$I:$I,расчеты!$D:$D,$E41,расчеты!$F:$F,$F41)</f>
        <v>296689.77999999968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>
      <c r="A42" s="6"/>
      <c r="B42" s="6"/>
      <c r="C42" s="6"/>
      <c r="D42" s="6"/>
      <c r="E42" s="6" t="s">
        <v>310</v>
      </c>
      <c r="F42" s="6" t="str">
        <f t="shared" si="2"/>
        <v>Спортивный инвентарь</v>
      </c>
      <c r="G42" s="6" t="s">
        <v>219</v>
      </c>
      <c r="H42" s="6"/>
      <c r="I42" s="396">
        <f>SUMIFS(расчеты!$I:$I,расчеты!$D:$D,$E42,расчеты!$F:$F,$F42)</f>
        <v>8.4445744924232713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s="5" customFormat="1">
      <c r="A43" s="1"/>
      <c r="B43" s="1"/>
      <c r="C43" s="1" t="s">
        <v>320</v>
      </c>
      <c r="D43" s="1"/>
      <c r="E43" s="1" t="s">
        <v>238</v>
      </c>
      <c r="F43" s="1" t="str">
        <f t="shared" si="2"/>
        <v>Спортивный инвентарь</v>
      </c>
      <c r="G43" s="1" t="s">
        <v>261</v>
      </c>
      <c r="H43" s="1"/>
      <c r="I43" s="90">
        <f>SUMIFS(расчеты!$I:$I,расчеты!$D:$D,$E43,расчеты!$F:$F,$F43)</f>
        <v>81127.73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>
      <c r="A44" s="6"/>
      <c r="B44" s="6"/>
      <c r="C44" s="6"/>
      <c r="D44" s="6"/>
      <c r="E44" s="6" t="s">
        <v>281</v>
      </c>
      <c r="F44" s="6" t="str">
        <f t="shared" si="2"/>
        <v>Спортивный инвентарь</v>
      </c>
      <c r="G44" s="6" t="s">
        <v>219</v>
      </c>
      <c r="H44" s="6"/>
      <c r="I44" s="396">
        <f>SUMIFS(расчеты!$I:$I,расчеты!$D:$D,$E44,расчеты!$F:$F,$F44)</f>
        <v>98.557157953275777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s="93" customFormat="1" ht="15">
      <c r="A46" s="92"/>
      <c r="B46" s="92"/>
      <c r="C46" s="398" t="s">
        <v>328</v>
      </c>
      <c r="D46" s="399" t="s">
        <v>329</v>
      </c>
      <c r="E46" s="399"/>
      <c r="F46" s="401" t="str">
        <f>микс!$H$49</f>
        <v>Товары для детей</v>
      </c>
      <c r="G46" s="399" t="s">
        <v>261</v>
      </c>
      <c r="H46" s="399"/>
      <c r="I46" s="400">
        <f>I47*(I50-I52-(I52+I54)*(POWER(1+I49*I48/365,I51/I48)-1))</f>
        <v>25707.253117340217</v>
      </c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</row>
    <row r="47" spans="1:22" s="119" customFormat="1">
      <c r="A47" s="87"/>
      <c r="B47" s="87"/>
      <c r="C47" s="87" t="s">
        <v>321</v>
      </c>
      <c r="D47" s="87" t="s">
        <v>322</v>
      </c>
      <c r="E47" s="87"/>
      <c r="F47" s="87" t="str">
        <f>F46</f>
        <v>Товары для детей</v>
      </c>
      <c r="G47" s="87" t="s">
        <v>218</v>
      </c>
      <c r="H47" s="87"/>
      <c r="I47" s="397">
        <f>SUMIFS(условия_KPI!$H:$H,условия_KPI!$D:$D,$D47)</f>
        <v>0.1</v>
      </c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>
      <c r="A48" s="6"/>
      <c r="B48" s="6"/>
      <c r="C48" s="6" t="s">
        <v>323</v>
      </c>
      <c r="D48" s="6" t="s">
        <v>324</v>
      </c>
      <c r="E48" s="6"/>
      <c r="F48" s="6" t="str">
        <f t="shared" ref="F48:F55" si="3">F47</f>
        <v>Товары для детей</v>
      </c>
      <c r="G48" s="6" t="s">
        <v>219</v>
      </c>
      <c r="H48" s="6"/>
      <c r="I48" s="396">
        <f>SUMIFS(условия_KPI!$H:$H,условия_KPI!$D:$D,$D48)</f>
        <v>20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s="119" customFormat="1">
      <c r="A49" s="87"/>
      <c r="B49" s="87"/>
      <c r="C49" s="87" t="s">
        <v>325</v>
      </c>
      <c r="D49" s="87" t="s">
        <v>326</v>
      </c>
      <c r="E49" s="87"/>
      <c r="F49" s="87" t="str">
        <f t="shared" si="3"/>
        <v>Товары для детей</v>
      </c>
      <c r="G49" s="87" t="s">
        <v>327</v>
      </c>
      <c r="H49" s="87"/>
      <c r="I49" s="397">
        <f>SUMIFS(условия_KPI!$H:$H,условия_KPI!$D:$D,$D49)</f>
        <v>0.25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s="5" customFormat="1">
      <c r="A50" s="1"/>
      <c r="B50" s="1"/>
      <c r="C50" s="1" t="s">
        <v>316</v>
      </c>
      <c r="D50" s="1" t="s">
        <v>274</v>
      </c>
      <c r="E50" s="1"/>
      <c r="F50" s="1" t="str">
        <f t="shared" si="3"/>
        <v>Товары для детей</v>
      </c>
      <c r="G50" s="1" t="s">
        <v>261</v>
      </c>
      <c r="H50" s="1"/>
      <c r="I50" s="90">
        <f>SUMIFS(расчеты!$I:$I,расчеты!$D:$D,$D50,расчеты!$F:$F,$F50)</f>
        <v>2705371</v>
      </c>
      <c r="J50" s="1"/>
      <c r="K50" s="90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5" customFormat="1">
      <c r="A51" s="1"/>
      <c r="B51" s="1"/>
      <c r="C51" s="1" t="s">
        <v>317</v>
      </c>
      <c r="D51" s="1" t="s">
        <v>318</v>
      </c>
      <c r="E51" s="1"/>
      <c r="F51" s="1" t="str">
        <f t="shared" si="3"/>
        <v>Товары для детей</v>
      </c>
      <c r="G51" s="1" t="s">
        <v>219</v>
      </c>
      <c r="H51" s="1"/>
      <c r="I51" s="90">
        <f>IF((I52+I54)=0,0,(I52*I53+I54*I55)/(I52+I54))</f>
        <v>20.626678016623256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5" customFormat="1">
      <c r="A52" s="1"/>
      <c r="B52" s="1"/>
      <c r="C52" s="1" t="s">
        <v>319</v>
      </c>
      <c r="D52" s="1"/>
      <c r="E52" s="1" t="s">
        <v>275</v>
      </c>
      <c r="F52" s="1" t="str">
        <f t="shared" si="3"/>
        <v>Товары для детей</v>
      </c>
      <c r="G52" s="1" t="s">
        <v>261</v>
      </c>
      <c r="H52" s="1"/>
      <c r="I52" s="90">
        <f>SUMIFS(расчеты!$I:$I,расчеты!$D:$D,$E52,расчеты!$F:$F,$F52)</f>
        <v>2406236.7599999993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>
      <c r="A53" s="6"/>
      <c r="B53" s="6"/>
      <c r="C53" s="6"/>
      <c r="D53" s="6"/>
      <c r="E53" s="6" t="s">
        <v>310</v>
      </c>
      <c r="F53" s="6" t="str">
        <f t="shared" si="3"/>
        <v>Товары для детей</v>
      </c>
      <c r="G53" s="6" t="s">
        <v>219</v>
      </c>
      <c r="H53" s="6"/>
      <c r="I53" s="396">
        <f>SUMIFS(расчеты!$I:$I,расчеты!$D:$D,$E53,расчеты!$F:$F,$F53)</f>
        <v>2.2095413507850026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s="5" customFormat="1">
      <c r="A54" s="1"/>
      <c r="B54" s="1"/>
      <c r="C54" s="1" t="s">
        <v>320</v>
      </c>
      <c r="D54" s="1"/>
      <c r="E54" s="1" t="s">
        <v>238</v>
      </c>
      <c r="F54" s="1" t="str">
        <f t="shared" si="3"/>
        <v>Товары для детей</v>
      </c>
      <c r="G54" s="1" t="s">
        <v>261</v>
      </c>
      <c r="H54" s="1"/>
      <c r="I54" s="90">
        <f>SUMIFS(расчеты!$I:$I,расчеты!$D:$D,$E54,расчеты!$F:$F,$F54)</f>
        <v>570344.14999999991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>
      <c r="A55" s="6"/>
      <c r="B55" s="6"/>
      <c r="C55" s="6"/>
      <c r="D55" s="6"/>
      <c r="E55" s="6" t="s">
        <v>281</v>
      </c>
      <c r="F55" s="6" t="str">
        <f t="shared" si="3"/>
        <v>Товары для детей</v>
      </c>
      <c r="G55" s="6" t="s">
        <v>219</v>
      </c>
      <c r="H55" s="6"/>
      <c r="I55" s="396">
        <f>SUMIFS(расчеты!$I:$I,расчеты!$D:$D,$E55,расчеты!$F:$F,$F55)</f>
        <v>98.32711775863487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s="93" customFormat="1" ht="15">
      <c r="A57" s="92"/>
      <c r="B57" s="92"/>
      <c r="C57" s="398" t="s">
        <v>328</v>
      </c>
      <c r="D57" s="399" t="s">
        <v>329</v>
      </c>
      <c r="E57" s="399"/>
      <c r="F57" s="401" t="str">
        <f>микс!$H$50</f>
        <v>Одежда и обувь</v>
      </c>
      <c r="G57" s="399" t="s">
        <v>261</v>
      </c>
      <c r="H57" s="399"/>
      <c r="I57" s="400">
        <f>I58*(I61-I63-(I63+I65)*(POWER(1+I60*I59/365,I62/I59)-1))</f>
        <v>3150.599229546317</v>
      </c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</row>
    <row r="58" spans="1:22" s="119" customFormat="1">
      <c r="A58" s="87"/>
      <c r="B58" s="87"/>
      <c r="C58" s="87" t="s">
        <v>321</v>
      </c>
      <c r="D58" s="87" t="s">
        <v>322</v>
      </c>
      <c r="E58" s="87"/>
      <c r="F58" s="87" t="str">
        <f>F57</f>
        <v>Одежда и обувь</v>
      </c>
      <c r="G58" s="87" t="s">
        <v>218</v>
      </c>
      <c r="H58" s="87"/>
      <c r="I58" s="397">
        <f>SUMIFS(условия_KPI!$H:$H,условия_KPI!$D:$D,$D58)</f>
        <v>0.1</v>
      </c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</row>
    <row r="59" spans="1:22">
      <c r="A59" s="6"/>
      <c r="B59" s="6"/>
      <c r="C59" s="6" t="s">
        <v>323</v>
      </c>
      <c r="D59" s="6" t="s">
        <v>324</v>
      </c>
      <c r="E59" s="6"/>
      <c r="F59" s="6" t="str">
        <f t="shared" ref="F59:F66" si="4">F58</f>
        <v>Одежда и обувь</v>
      </c>
      <c r="G59" s="6" t="s">
        <v>219</v>
      </c>
      <c r="H59" s="6"/>
      <c r="I59" s="396">
        <f>SUMIFS(условия_KPI!$H:$H,условия_KPI!$D:$D,$D59)</f>
        <v>20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s="119" customFormat="1">
      <c r="A60" s="87"/>
      <c r="B60" s="87"/>
      <c r="C60" s="87" t="s">
        <v>325</v>
      </c>
      <c r="D60" s="87" t="s">
        <v>326</v>
      </c>
      <c r="E60" s="87"/>
      <c r="F60" s="87" t="str">
        <f t="shared" si="4"/>
        <v>Одежда и обувь</v>
      </c>
      <c r="G60" s="87" t="s">
        <v>327</v>
      </c>
      <c r="H60" s="87"/>
      <c r="I60" s="397">
        <f>SUMIFS(условия_KPI!$H:$H,условия_KPI!$D:$D,$D60)</f>
        <v>0.25</v>
      </c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</row>
    <row r="61" spans="1:22" s="5" customFormat="1">
      <c r="A61" s="1"/>
      <c r="B61" s="1"/>
      <c r="C61" s="1" t="s">
        <v>316</v>
      </c>
      <c r="D61" s="1" t="s">
        <v>274</v>
      </c>
      <c r="E61" s="1"/>
      <c r="F61" s="1" t="str">
        <f t="shared" si="4"/>
        <v>Одежда и обувь</v>
      </c>
      <c r="G61" s="1" t="s">
        <v>261</v>
      </c>
      <c r="H61" s="1"/>
      <c r="I61" s="90">
        <f>SUMIFS(расчеты!$I:$I,расчеты!$D:$D,$D61,расчеты!$F:$F,$F61)</f>
        <v>132850</v>
      </c>
      <c r="J61" s="9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5" customFormat="1">
      <c r="A62" s="1"/>
      <c r="B62" s="1"/>
      <c r="C62" s="1" t="s">
        <v>317</v>
      </c>
      <c r="D62" s="1" t="s">
        <v>318</v>
      </c>
      <c r="E62" s="1"/>
      <c r="F62" s="1" t="str">
        <f t="shared" si="4"/>
        <v>Одежда и обувь</v>
      </c>
      <c r="G62" s="1" t="s">
        <v>219</v>
      </c>
      <c r="H62" s="1"/>
      <c r="I62" s="90">
        <f>IF((I63+I65)=0,0,(I63*I64+I65*I66)/(I63+I65))</f>
        <v>91.430121811439236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s="5" customFormat="1">
      <c r="A63" s="1"/>
      <c r="B63" s="1"/>
      <c r="C63" s="1" t="s">
        <v>319</v>
      </c>
      <c r="D63" s="1"/>
      <c r="E63" s="1" t="s">
        <v>275</v>
      </c>
      <c r="F63" s="1" t="str">
        <f t="shared" si="4"/>
        <v>Одежда и обувь</v>
      </c>
      <c r="G63" s="1" t="s">
        <v>261</v>
      </c>
      <c r="H63" s="1"/>
      <c r="I63" s="90">
        <f>SUMIFS(расчеты!$I:$I,расчеты!$D:$D,$E63,расчеты!$F:$F,$F63)</f>
        <v>90252.13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>
      <c r="A64" s="6"/>
      <c r="B64" s="6"/>
      <c r="C64" s="6"/>
      <c r="D64" s="6"/>
      <c r="E64" s="6" t="s">
        <v>310</v>
      </c>
      <c r="F64" s="6" t="str">
        <f t="shared" si="4"/>
        <v>Одежда и обувь</v>
      </c>
      <c r="G64" s="6" t="s">
        <v>219</v>
      </c>
      <c r="H64" s="6"/>
      <c r="I64" s="396">
        <f>SUMIFS(расчеты!$I:$I,расчеты!$D:$D,$E64,расчеты!$F:$F,$F64)</f>
        <v>46.643823954931577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s="5" customFormat="1">
      <c r="A65" s="1"/>
      <c r="B65" s="1"/>
      <c r="C65" s="1" t="s">
        <v>320</v>
      </c>
      <c r="D65" s="1"/>
      <c r="E65" s="1" t="s">
        <v>238</v>
      </c>
      <c r="F65" s="1" t="str">
        <f t="shared" si="4"/>
        <v>Одежда и обувь</v>
      </c>
      <c r="G65" s="1" t="s">
        <v>261</v>
      </c>
      <c r="H65" s="1"/>
      <c r="I65" s="90">
        <f>SUMIFS(расчеты!$I:$I,расчеты!$D:$D,$E65,расчеты!$F:$F,$F65)</f>
        <v>82590.240000000005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>
      <c r="A66" s="6"/>
      <c r="B66" s="6"/>
      <c r="C66" s="6"/>
      <c r="D66" s="6"/>
      <c r="E66" s="6" t="s">
        <v>281</v>
      </c>
      <c r="F66" s="6" t="str">
        <f t="shared" si="4"/>
        <v>Одежда и обувь</v>
      </c>
      <c r="G66" s="6" t="s">
        <v>219</v>
      </c>
      <c r="H66" s="6"/>
      <c r="I66" s="396">
        <f>SUMIFS(расчеты!$I:$I,расчеты!$D:$D,$E66,расчеты!$F:$F,$F66)</f>
        <v>140.37124096019397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s="93" customFormat="1" ht="15">
      <c r="A68" s="92"/>
      <c r="B68" s="92"/>
      <c r="C68" s="398" t="s">
        <v>328</v>
      </c>
      <c r="D68" s="399" t="s">
        <v>329</v>
      </c>
      <c r="E68" s="399"/>
      <c r="F68" s="401" t="str">
        <f>микс!$H$51</f>
        <v>Авто</v>
      </c>
      <c r="G68" s="399" t="s">
        <v>261</v>
      </c>
      <c r="H68" s="399"/>
      <c r="I68" s="400">
        <f>I69*(I72-I74-(I74+I76)*(POWER(1+I71*I70/365,I73/I70)-1))</f>
        <v>-707.4062495920906</v>
      </c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</row>
    <row r="69" spans="1:22" s="119" customFormat="1">
      <c r="A69" s="87"/>
      <c r="B69" s="87"/>
      <c r="C69" s="87" t="s">
        <v>321</v>
      </c>
      <c r="D69" s="87" t="s">
        <v>322</v>
      </c>
      <c r="E69" s="87"/>
      <c r="F69" s="87" t="str">
        <f>F68</f>
        <v>Авто</v>
      </c>
      <c r="G69" s="87" t="s">
        <v>218</v>
      </c>
      <c r="H69" s="87"/>
      <c r="I69" s="397">
        <f>SUMIFS(условия_KPI!$H:$H,условия_KPI!$D:$D,$D69)</f>
        <v>0.1</v>
      </c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</row>
    <row r="70" spans="1:22">
      <c r="A70" s="6"/>
      <c r="B70" s="6"/>
      <c r="C70" s="6" t="s">
        <v>323</v>
      </c>
      <c r="D70" s="6" t="s">
        <v>324</v>
      </c>
      <c r="E70" s="6"/>
      <c r="F70" s="6" t="str">
        <f t="shared" ref="F70:F77" si="5">F69</f>
        <v>Авто</v>
      </c>
      <c r="G70" s="6" t="s">
        <v>219</v>
      </c>
      <c r="H70" s="6"/>
      <c r="I70" s="396">
        <f>SUMIFS(условия_KPI!$H:$H,условия_KPI!$D:$D,$D70)</f>
        <v>20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s="119" customFormat="1">
      <c r="A71" s="87"/>
      <c r="B71" s="87"/>
      <c r="C71" s="87" t="s">
        <v>325</v>
      </c>
      <c r="D71" s="87" t="s">
        <v>326</v>
      </c>
      <c r="E71" s="87"/>
      <c r="F71" s="87" t="str">
        <f t="shared" si="5"/>
        <v>Авто</v>
      </c>
      <c r="G71" s="87" t="s">
        <v>327</v>
      </c>
      <c r="H71" s="87"/>
      <c r="I71" s="397">
        <f>SUMIFS(условия_KPI!$H:$H,условия_KPI!$D:$D,$D71)</f>
        <v>0.25</v>
      </c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</row>
    <row r="72" spans="1:22" s="5" customFormat="1">
      <c r="A72" s="1"/>
      <c r="B72" s="1"/>
      <c r="C72" s="1" t="s">
        <v>316</v>
      </c>
      <c r="D72" s="1" t="s">
        <v>274</v>
      </c>
      <c r="E72" s="1"/>
      <c r="F72" s="1" t="str">
        <f t="shared" si="5"/>
        <v>Авто</v>
      </c>
      <c r="G72" s="1" t="s">
        <v>261</v>
      </c>
      <c r="H72" s="1"/>
      <c r="I72" s="90">
        <f>SUMIFS(расчеты!$I:$I,расчеты!$D:$D,$D72,расчеты!$F:$F,$F72)</f>
        <v>9690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5" customFormat="1">
      <c r="A73" s="1"/>
      <c r="B73" s="1"/>
      <c r="C73" s="1" t="s">
        <v>317</v>
      </c>
      <c r="D73" s="1" t="s">
        <v>318</v>
      </c>
      <c r="E73" s="1"/>
      <c r="F73" s="1" t="str">
        <f t="shared" si="5"/>
        <v>Авто</v>
      </c>
      <c r="G73" s="1" t="s">
        <v>219</v>
      </c>
      <c r="H73" s="1"/>
      <c r="I73" s="90">
        <f>IF((I74+I76)=0,0,(I74*I75+I76*I77)/(I74+I76))</f>
        <v>134.33333333333576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5" customFormat="1">
      <c r="A74" s="1"/>
      <c r="B74" s="1"/>
      <c r="C74" s="1" t="s">
        <v>319</v>
      </c>
      <c r="D74" s="1"/>
      <c r="E74" s="1" t="s">
        <v>275</v>
      </c>
      <c r="F74" s="1" t="str">
        <f t="shared" si="5"/>
        <v>Авто</v>
      </c>
      <c r="G74" s="1" t="s">
        <v>261</v>
      </c>
      <c r="H74" s="1"/>
      <c r="I74" s="90">
        <f>SUMIFS(расчеты!$I:$I,расчеты!$D:$D,$E74,расчеты!$F:$F,$F74)</f>
        <v>15300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>
      <c r="A75" s="6"/>
      <c r="B75" s="6"/>
      <c r="C75" s="6"/>
      <c r="D75" s="6"/>
      <c r="E75" s="6" t="s">
        <v>310</v>
      </c>
      <c r="F75" s="6" t="str">
        <f t="shared" si="5"/>
        <v>Авто</v>
      </c>
      <c r="G75" s="6" t="s">
        <v>219</v>
      </c>
      <c r="H75" s="6"/>
      <c r="I75" s="396">
        <f>SUMIFS(расчеты!$I:$I,расчеты!$D:$D,$E75,расчеты!$F:$F,$F75)</f>
        <v>134.33333333333576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s="5" customFormat="1">
      <c r="A76" s="1"/>
      <c r="B76" s="1"/>
      <c r="C76" s="1" t="s">
        <v>320</v>
      </c>
      <c r="D76" s="1"/>
      <c r="E76" s="1" t="s">
        <v>238</v>
      </c>
      <c r="F76" s="1" t="str">
        <f t="shared" si="5"/>
        <v>Авто</v>
      </c>
      <c r="G76" s="1" t="s">
        <v>261</v>
      </c>
      <c r="H76" s="1"/>
      <c r="I76" s="90">
        <f>SUMIFS(расчеты!$I:$I,расчеты!$D:$D,$E76,расчеты!$F:$F,$F76)</f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>
      <c r="A77" s="6"/>
      <c r="B77" s="6"/>
      <c r="C77" s="6"/>
      <c r="D77" s="6"/>
      <c r="E77" s="6" t="s">
        <v>281</v>
      </c>
      <c r="F77" s="6" t="str">
        <f t="shared" si="5"/>
        <v>Авто</v>
      </c>
      <c r="G77" s="6" t="s">
        <v>219</v>
      </c>
      <c r="H77" s="6"/>
      <c r="I77" s="396">
        <f>SUMIFS(расчеты!$I:$I,расчеты!$D:$D,$E77,расчеты!$F:$F,$F77)</f>
        <v>0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1:P36"/>
  <sheetViews>
    <sheetView workbookViewId="0">
      <pane ySplit="9" topLeftCell="A10" activePane="bottomLeft" state="frozen"/>
      <selection pane="bottomLeft" activeCell="G5" sqref="G5"/>
    </sheetView>
  </sheetViews>
  <sheetFormatPr defaultRowHeight="12.75"/>
  <cols>
    <col min="1" max="2" width="2.7109375" style="9" customWidth="1"/>
    <col min="3" max="3" width="4.5703125" style="9" customWidth="1"/>
    <col min="4" max="4" width="16.85546875" style="9" customWidth="1"/>
    <col min="5" max="5" width="10.85546875" style="445" bestFit="1" customWidth="1"/>
    <col min="6" max="6" width="2.7109375" style="9" customWidth="1"/>
    <col min="7" max="7" width="17.42578125" style="9" customWidth="1"/>
    <col min="8" max="8" width="2.7109375" style="9" customWidth="1"/>
    <col min="9" max="9" width="17.42578125" style="9" customWidth="1"/>
    <col min="10" max="10" width="2.7109375" style="9" customWidth="1"/>
    <col min="11" max="16384" width="9.140625" style="9"/>
  </cols>
  <sheetData>
    <row r="1" spans="1:16" s="197" customFormat="1" ht="12">
      <c r="A1" s="145" t="s">
        <v>235</v>
      </c>
      <c r="B1" s="145"/>
      <c r="C1" s="145"/>
      <c r="D1" s="145"/>
      <c r="E1" s="440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16">
      <c r="A2" s="6"/>
      <c r="B2" s="6"/>
      <c r="C2" s="6"/>
      <c r="D2" s="6"/>
      <c r="E2" s="441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>
      <c r="A3" s="6"/>
      <c r="B3" s="6"/>
      <c r="C3" s="1" t="s">
        <v>367</v>
      </c>
      <c r="D3" s="6"/>
      <c r="E3" s="441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>
      <c r="A4" s="6"/>
      <c r="B4" s="6"/>
      <c r="C4" s="1" t="s">
        <v>223</v>
      </c>
      <c r="D4" s="6"/>
      <c r="E4" s="441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6">
      <c r="A5" s="6"/>
      <c r="B5" s="6"/>
      <c r="C5" s="87" t="s">
        <v>221</v>
      </c>
      <c r="D5" s="6"/>
      <c r="E5" s="441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6">
      <c r="A6" s="6"/>
      <c r="B6" s="6"/>
      <c r="C6" s="1"/>
      <c r="D6" s="6"/>
      <c r="E6" s="441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6">
      <c r="A7" s="6"/>
      <c r="B7" s="6"/>
      <c r="C7" s="395" t="s">
        <v>222</v>
      </c>
      <c r="D7" s="6"/>
      <c r="E7" s="441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6" s="50" customFormat="1">
      <c r="A8" s="48"/>
      <c r="B8" s="48"/>
      <c r="C8" s="115"/>
      <c r="D8" s="48"/>
      <c r="E8" s="442"/>
      <c r="F8" s="48"/>
      <c r="G8" s="6"/>
      <c r="H8" s="48"/>
      <c r="I8" s="6"/>
      <c r="J8" s="48"/>
      <c r="K8" s="48"/>
      <c r="L8" s="48"/>
      <c r="M8" s="48"/>
      <c r="N8" s="48"/>
      <c r="O8" s="48"/>
      <c r="P8" s="48"/>
    </row>
    <row r="9" spans="1:16" s="50" customFormat="1" ht="11.25">
      <c r="A9" s="48"/>
      <c r="B9" s="48"/>
      <c r="C9" s="102"/>
      <c r="D9" s="121" t="s">
        <v>6</v>
      </c>
      <c r="E9" s="418" t="s">
        <v>216</v>
      </c>
      <c r="F9" s="94"/>
      <c r="G9" s="450" t="s">
        <v>335</v>
      </c>
      <c r="H9" s="94"/>
      <c r="I9" s="450" t="s">
        <v>377</v>
      </c>
      <c r="J9" s="48"/>
      <c r="K9" s="48"/>
      <c r="L9" s="48"/>
      <c r="M9" s="48"/>
      <c r="N9" s="48"/>
      <c r="O9" s="48"/>
      <c r="P9" s="48"/>
    </row>
    <row r="10" spans="1:16" s="93" customFormat="1" ht="15">
      <c r="A10" s="92"/>
      <c r="B10" s="92"/>
      <c r="C10" s="6"/>
      <c r="D10" s="447" t="str">
        <f>микс!H32</f>
        <v>КидсТрейд</v>
      </c>
      <c r="E10" s="449" t="s">
        <v>349</v>
      </c>
      <c r="F10" s="198"/>
      <c r="G10" s="448">
        <f>SUMIFS(рейтинг_расчет!$I:$I,рейтинг_расчет!$D:$D,$G$9,рейтинг_расчет!$F:$F,$D10)</f>
        <v>3.5</v>
      </c>
      <c r="H10" s="198"/>
      <c r="I10" s="465">
        <f>SUMIFS(рейтинг_расчет!$I:$I,рейтинг_расчет!$D:$D,$I$9,рейтинг_расчет!$F:$F,$D10)</f>
        <v>4.6877081105307861E-2</v>
      </c>
      <c r="J10" s="214"/>
      <c r="K10" s="92"/>
      <c r="L10" s="92"/>
      <c r="M10" s="92"/>
      <c r="N10" s="92"/>
      <c r="O10" s="92"/>
    </row>
    <row r="11" spans="1:16" s="93" customFormat="1" ht="15">
      <c r="A11" s="92"/>
      <c r="B11" s="92"/>
      <c r="C11" s="6"/>
      <c r="D11" s="447" t="str">
        <f>микс!H34</f>
        <v>Лайтс</v>
      </c>
      <c r="E11" s="449" t="s">
        <v>349</v>
      </c>
      <c r="F11" s="198"/>
      <c r="G11" s="448">
        <f>SUMIFS(рейтинг_расчет!$I:$I,рейтинг_расчет!$D:$D,$G$9,рейтинг_расчет!$F:$F,$D11)</f>
        <v>3.5</v>
      </c>
      <c r="H11" s="198"/>
      <c r="I11" s="465">
        <f>SUMIFS(рейтинг_расчет!$I:$I,рейтинг_расчет!$D:$D,$I$9,рейтинг_расчет!$F:$F,$D11)</f>
        <v>9.2465854855537932E-2</v>
      </c>
      <c r="J11" s="214"/>
      <c r="K11" s="92"/>
      <c r="L11" s="92"/>
      <c r="M11" s="92"/>
      <c r="N11" s="92"/>
      <c r="O11" s="92"/>
    </row>
    <row r="12" spans="1:16" s="93" customFormat="1" ht="15">
      <c r="A12" s="92"/>
      <c r="B12" s="92"/>
      <c r="C12" s="6"/>
      <c r="D12" s="447" t="str">
        <f>микс!H29</f>
        <v>Детство</v>
      </c>
      <c r="E12" s="449" t="s">
        <v>349</v>
      </c>
      <c r="F12" s="198"/>
      <c r="G12" s="448">
        <f>SUMIFS(рейтинг_расчет!$I:$I,рейтинг_расчет!$D:$D,$G$9,рейтинг_расчет!$F:$F,$D12)</f>
        <v>3.1999999999999997</v>
      </c>
      <c r="H12" s="198"/>
      <c r="I12" s="465">
        <f>SUMIFS(рейтинг_расчет!$I:$I,рейтинг_расчет!$D:$D,$I$9,рейтинг_расчет!$F:$F,$D12)</f>
        <v>3.150942419955427E-2</v>
      </c>
      <c r="J12" s="214"/>
      <c r="K12" s="92"/>
      <c r="L12" s="92"/>
      <c r="M12" s="92"/>
      <c r="N12" s="92"/>
      <c r="O12" s="92"/>
    </row>
    <row r="13" spans="1:16" s="93" customFormat="1" ht="15">
      <c r="A13" s="92"/>
      <c r="B13" s="92"/>
      <c r="C13" s="6"/>
      <c r="D13" s="447" t="str">
        <f>микс!H38</f>
        <v>СпортИн</v>
      </c>
      <c r="E13" s="449" t="s">
        <v>349</v>
      </c>
      <c r="F13" s="198"/>
      <c r="G13" s="448">
        <f>SUMIFS(рейтинг_расчет!$I:$I,рейтинг_расчет!$D:$D,$G$9,рейтинг_расчет!$F:$F,$D13)</f>
        <v>3.1999999999999997</v>
      </c>
      <c r="H13" s="198"/>
      <c r="I13" s="465">
        <f>SUMIFS(рейтинг_расчет!$I:$I,рейтинг_расчет!$D:$D,$I$9,рейтинг_расчет!$F:$F,$D13)</f>
        <v>0.10991401613673379</v>
      </c>
      <c r="J13" s="214"/>
      <c r="K13" s="92"/>
      <c r="L13" s="92"/>
      <c r="M13" s="92"/>
      <c r="N13" s="92"/>
      <c r="O13" s="92"/>
    </row>
    <row r="14" spans="1:16" s="93" customFormat="1" ht="15">
      <c r="A14" s="92"/>
      <c r="B14" s="92"/>
      <c r="C14" s="6"/>
      <c r="D14" s="447" t="str">
        <f>микс!H39</f>
        <v>С-спортКид</v>
      </c>
      <c r="E14" s="449" t="s">
        <v>349</v>
      </c>
      <c r="F14" s="198"/>
      <c r="G14" s="448">
        <f>SUMIFS(рейтинг_расчет!$I:$I,рейтинг_расчет!$D:$D,$G$9,рейтинг_расчет!$F:$F,$D14)</f>
        <v>3.1999999999999997</v>
      </c>
      <c r="H14" s="198"/>
      <c r="I14" s="465">
        <f>SUMIFS(рейтинг_расчет!$I:$I,рейтинг_расчет!$D:$D,$I$9,рейтинг_расчет!$F:$F,$D14)</f>
        <v>0.32817824496790371</v>
      </c>
      <c r="J14" s="214"/>
      <c r="K14" s="92"/>
      <c r="L14" s="92"/>
      <c r="M14" s="92"/>
      <c r="N14" s="92"/>
      <c r="O14" s="92"/>
    </row>
    <row r="15" spans="1:16" s="93" customFormat="1" ht="15">
      <c r="A15" s="92"/>
      <c r="B15" s="92"/>
      <c r="C15" s="6"/>
      <c r="D15" s="447" t="str">
        <f>микс!H42</f>
        <v>ФорКидс</v>
      </c>
      <c r="E15" s="449" t="s">
        <v>349</v>
      </c>
      <c r="F15" s="198"/>
      <c r="G15" s="448">
        <f>SUMIFS(рейтинг_расчет!$I:$I,рейтинг_расчет!$D:$D,$G$9,рейтинг_расчет!$F:$F,$D15)</f>
        <v>3.1999999999999997</v>
      </c>
      <c r="H15" s="198"/>
      <c r="I15" s="465">
        <f>SUMIFS(рейтинг_расчет!$I:$I,рейтинг_расчет!$D:$D,$I$9,рейтинг_расчет!$F:$F,$D15)</f>
        <v>3.9649843276230445E-2</v>
      </c>
      <c r="J15" s="214"/>
      <c r="K15" s="92"/>
      <c r="L15" s="92"/>
      <c r="M15" s="92"/>
      <c r="N15" s="92"/>
      <c r="O15" s="92"/>
    </row>
    <row r="16" spans="1:16" s="93" customFormat="1" ht="15">
      <c r="A16" s="92"/>
      <c r="B16" s="92"/>
      <c r="C16" s="6"/>
      <c r="D16" s="447" t="str">
        <f>микс!H31</f>
        <v>ИнтКид</v>
      </c>
      <c r="E16" s="449" t="s">
        <v>349</v>
      </c>
      <c r="F16" s="198"/>
      <c r="G16" s="448">
        <f>SUMIFS(рейтинг_расчет!$I:$I,рейтинг_расчет!$D:$D,$G$9,рейтинг_расчет!$F:$F,$D16)</f>
        <v>3.1</v>
      </c>
      <c r="H16" s="198"/>
      <c r="I16" s="465">
        <f>SUMIFS(рейтинг_расчет!$I:$I,рейтинг_расчет!$D:$D,$I$9,рейтинг_расчет!$F:$F,$D16)</f>
        <v>0.20738181482449247</v>
      </c>
      <c r="J16" s="214"/>
      <c r="K16" s="92"/>
      <c r="L16" s="92"/>
      <c r="M16" s="92"/>
      <c r="N16" s="92"/>
      <c r="O16" s="92"/>
    </row>
    <row r="17" spans="1:15" s="93" customFormat="1" ht="15">
      <c r="A17" s="92"/>
      <c r="B17" s="92"/>
      <c r="C17" s="6"/>
      <c r="D17" s="447" t="str">
        <f>микс!H33</f>
        <v>КлиматКо</v>
      </c>
      <c r="E17" s="449" t="s">
        <v>349</v>
      </c>
      <c r="F17" s="198"/>
      <c r="G17" s="448">
        <f>SUMIFS(рейтинг_расчет!$I:$I,рейтинг_расчет!$D:$D,$G$9,рейтинг_расчет!$F:$F,$D17)</f>
        <v>3.1</v>
      </c>
      <c r="H17" s="198"/>
      <c r="I17" s="465">
        <f>SUMIFS(рейтинг_расчет!$I:$I,рейтинг_расчет!$D:$D,$I$9,рейтинг_расчет!$F:$F,$D17)</f>
        <v>4.0917304218837325E-2</v>
      </c>
      <c r="J17" s="214"/>
      <c r="K17" s="92"/>
      <c r="L17" s="92"/>
      <c r="M17" s="92"/>
      <c r="N17" s="92"/>
      <c r="O17" s="92"/>
    </row>
    <row r="18" spans="1:15" s="93" customFormat="1" ht="15">
      <c r="A18" s="92"/>
      <c r="B18" s="92"/>
      <c r="C18" s="6"/>
      <c r="D18" s="447" t="str">
        <f>микс!H30</f>
        <v>ИгрушкаФест</v>
      </c>
      <c r="E18" s="449" t="s">
        <v>349</v>
      </c>
      <c r="F18" s="198"/>
      <c r="G18" s="448">
        <f>SUMIFS(рейтинг_расчет!$I:$I,рейтинг_расчет!$D:$D,$G$9,рейтинг_расчет!$F:$F,$D18)</f>
        <v>2.9999999999999996</v>
      </c>
      <c r="H18" s="198"/>
      <c r="I18" s="465">
        <f>SUMIFS(рейтинг_расчет!$I:$I,рейтинг_расчет!$D:$D,$I$9,рейтинг_расчет!$F:$F,$D18)</f>
        <v>8.9100086148043545E-2</v>
      </c>
      <c r="J18" s="214"/>
      <c r="K18" s="92"/>
      <c r="L18" s="92"/>
      <c r="M18" s="92"/>
      <c r="N18" s="92"/>
      <c r="O18" s="92"/>
    </row>
    <row r="19" spans="1:15" s="93" customFormat="1" ht="15">
      <c r="A19" s="92"/>
      <c r="B19" s="92"/>
      <c r="C19" s="6"/>
      <c r="D19" s="447" t="str">
        <f>микс!H36</f>
        <v>ОдеждаКомп</v>
      </c>
      <c r="E19" s="449" t="s">
        <v>349</v>
      </c>
      <c r="F19" s="198"/>
      <c r="G19" s="448">
        <f>SUMIFS(рейтинг_расчет!$I:$I,рейтинг_расчет!$D:$D,$G$9,рейтинг_расчет!$F:$F,$D19)</f>
        <v>2.7</v>
      </c>
      <c r="H19" s="198"/>
      <c r="I19" s="465">
        <f>SUMIFS(рейтинг_расчет!$I:$I,рейтинг_расчет!$D:$D,$I$9,рейтинг_расчет!$F:$F,$D19)</f>
        <v>6.1374697965634883E-2</v>
      </c>
      <c r="J19" s="214"/>
      <c r="K19" s="92"/>
      <c r="L19" s="92"/>
      <c r="M19" s="92"/>
      <c r="N19" s="92"/>
      <c r="O19" s="92"/>
    </row>
    <row r="20" spans="1:15" s="93" customFormat="1" ht="15">
      <c r="A20" s="92"/>
      <c r="B20" s="92"/>
      <c r="C20" s="6"/>
      <c r="D20" s="447" t="str">
        <f>микс!H37</f>
        <v>Позитив</v>
      </c>
      <c r="E20" s="449" t="s">
        <v>349</v>
      </c>
      <c r="F20" s="198"/>
      <c r="G20" s="448">
        <f>SUMIFS(рейтинг_расчет!$I:$I,рейтинг_расчет!$D:$D,$G$9,рейтинг_расчет!$F:$F,$D20)</f>
        <v>2.7</v>
      </c>
      <c r="H20" s="198"/>
      <c r="I20" s="465">
        <f>SUMIFS(рейтинг_расчет!$I:$I,рейтинг_расчет!$D:$D,$I$9,рейтинг_расчет!$F:$F,$D20)</f>
        <v>2.1624488050380863E-2</v>
      </c>
      <c r="J20" s="214"/>
      <c r="K20" s="92"/>
      <c r="L20" s="92"/>
      <c r="M20" s="92"/>
      <c r="N20" s="92"/>
      <c r="O20" s="92"/>
    </row>
    <row r="21" spans="1:15" s="93" customFormat="1" ht="15">
      <c r="A21" s="92"/>
      <c r="B21" s="92"/>
      <c r="C21" s="6"/>
      <c r="D21" s="447" t="str">
        <f>микс!H25</f>
        <v>ВалентаСпорт</v>
      </c>
      <c r="E21" s="449" t="s">
        <v>349</v>
      </c>
      <c r="F21" s="198"/>
      <c r="G21" s="448">
        <f>SUMIFS(рейтинг_расчет!$I:$I,рейтинг_расчет!$D:$D,$G$9,рейтинг_расчет!$F:$F,$D21)</f>
        <v>2.6999999999999997</v>
      </c>
      <c r="H21" s="198"/>
      <c r="I21" s="465">
        <f>SUMIFS(рейтинг_расчет!$I:$I,рейтинг_расчет!$D:$D,$I$9,рейтинг_расчет!$F:$F,$D21)</f>
        <v>8.8270106078216837E-2</v>
      </c>
      <c r="J21" s="214"/>
      <c r="K21" s="92"/>
      <c r="L21" s="92"/>
      <c r="M21" s="92"/>
      <c r="N21" s="92"/>
      <c r="O21" s="92"/>
    </row>
    <row r="22" spans="1:15" s="93" customFormat="1" ht="15">
      <c r="A22" s="92"/>
      <c r="B22" s="92"/>
      <c r="C22" s="6"/>
      <c r="D22" s="447" t="str">
        <f>микс!H26</f>
        <v>Вега</v>
      </c>
      <c r="E22" s="449" t="s">
        <v>349</v>
      </c>
      <c r="F22" s="198"/>
      <c r="G22" s="448">
        <f>SUMIFS(рейтинг_расчет!$I:$I,рейтинг_расчет!$D:$D,$G$9,рейтинг_расчет!$F:$F,$D22)</f>
        <v>2.6999999999999997</v>
      </c>
      <c r="H22" s="198"/>
      <c r="I22" s="465">
        <f>SUMIFS(рейтинг_расчет!$I:$I,рейтинг_расчет!$D:$D,$I$9,рейтинг_расчет!$F:$F,$D22)</f>
        <v>7.6917365484697187E-2</v>
      </c>
      <c r="J22" s="214"/>
      <c r="K22" s="92"/>
      <c r="L22" s="92"/>
      <c r="M22" s="92"/>
      <c r="N22" s="92"/>
      <c r="O22" s="92"/>
    </row>
    <row r="23" spans="1:15" s="93" customFormat="1" ht="15">
      <c r="A23" s="92"/>
      <c r="B23" s="92"/>
      <c r="C23" s="6"/>
      <c r="D23" s="447" t="str">
        <f>микс!H40</f>
        <v>С-Тойз</v>
      </c>
      <c r="E23" s="449" t="s">
        <v>349</v>
      </c>
      <c r="F23" s="198"/>
      <c r="G23" s="448">
        <f>SUMIFS(рейтинг_расчет!$I:$I,рейтинг_расчет!$D:$D,$G$9,рейтинг_расчет!$F:$F,$D23)</f>
        <v>2.6</v>
      </c>
      <c r="H23" s="198"/>
      <c r="I23" s="465">
        <f>SUMIFS(рейтинг_расчет!$I:$I,рейтинг_расчет!$D:$D,$I$9,рейтинг_расчет!$F:$F,$D23)</f>
        <v>4.5206783133413087E-2</v>
      </c>
      <c r="J23" s="214"/>
      <c r="K23" s="92"/>
      <c r="L23" s="92"/>
      <c r="M23" s="92"/>
      <c r="N23" s="92"/>
      <c r="O23" s="92"/>
    </row>
    <row r="24" spans="1:15" s="93" customFormat="1" ht="15">
      <c r="A24" s="92"/>
      <c r="B24" s="92"/>
      <c r="C24" s="6"/>
      <c r="D24" s="447" t="str">
        <f>микс!H41</f>
        <v>СуперСпорт</v>
      </c>
      <c r="E24" s="449" t="s">
        <v>349</v>
      </c>
      <c r="F24" s="198"/>
      <c r="G24" s="448">
        <f>SUMIFS(рейтинг_расчет!$I:$I,рейтинг_расчет!$D:$D,$G$9,рейтинг_расчет!$F:$F,$D24)</f>
        <v>2.5</v>
      </c>
      <c r="H24" s="198"/>
      <c r="I24" s="465">
        <f>SUMIFS(рейтинг_расчет!$I:$I,рейтинг_расчет!$D:$D,$I$9,рейтинг_расчет!$F:$F,$D24)</f>
        <v>2.8374964417240744E-2</v>
      </c>
      <c r="J24" s="214"/>
      <c r="K24" s="92"/>
      <c r="L24" s="92"/>
      <c r="M24" s="92"/>
      <c r="N24" s="92"/>
      <c r="O24" s="92"/>
    </row>
    <row r="25" spans="1:15" s="93" customFormat="1" ht="15">
      <c r="A25" s="92"/>
      <c r="B25" s="92"/>
      <c r="C25" s="6"/>
      <c r="D25" s="447" t="str">
        <f>микс!H43</f>
        <v>ЭлектроФор</v>
      </c>
      <c r="E25" s="449" t="s">
        <v>349</v>
      </c>
      <c r="F25" s="198"/>
      <c r="G25" s="448">
        <f>SUMIFS(рейтинг_расчет!$I:$I,рейтинг_расчет!$D:$D,$G$9,рейтинг_расчет!$F:$F,$D25)</f>
        <v>2.4</v>
      </c>
      <c r="H25" s="198"/>
      <c r="I25" s="465">
        <f>SUMIFS(рейтинг_расчет!$I:$I,рейтинг_расчет!$D:$D,$I$9,рейтинг_расчет!$F:$F,$D25)</f>
        <v>3.1932221592406163E-2</v>
      </c>
      <c r="J25" s="214"/>
      <c r="K25" s="92"/>
      <c r="L25" s="92"/>
      <c r="M25" s="92"/>
      <c r="N25" s="92"/>
      <c r="O25" s="92"/>
    </row>
    <row r="26" spans="1:15" s="93" customFormat="1" ht="15">
      <c r="A26" s="92"/>
      <c r="B26" s="92"/>
      <c r="C26" s="6"/>
      <c r="D26" s="447" t="str">
        <f>микс!H27</f>
        <v>Гранта</v>
      </c>
      <c r="E26" s="449" t="s">
        <v>349</v>
      </c>
      <c r="F26" s="198"/>
      <c r="G26" s="448">
        <f>SUMIFS(рейтинг_расчет!$I:$I,рейтинг_расчет!$D:$D,$G$9,рейтинг_расчет!$F:$F,$D26)</f>
        <v>2.2000000000000002</v>
      </c>
      <c r="H26" s="198"/>
      <c r="I26" s="465">
        <f>SUMIFS(рейтинг_расчет!$I:$I,рейтинг_расчет!$D:$D,$I$9,рейтинг_расчет!$F:$F,$D26)</f>
        <v>1.0681260307320639E-2</v>
      </c>
      <c r="J26" s="214"/>
      <c r="K26" s="92"/>
      <c r="L26" s="92"/>
      <c r="M26" s="92"/>
      <c r="N26" s="92"/>
      <c r="O26" s="92"/>
    </row>
    <row r="27" spans="1:15" s="93" customFormat="1" ht="15">
      <c r="A27" s="92"/>
      <c r="B27" s="92"/>
      <c r="C27" s="6"/>
      <c r="D27" s="447" t="str">
        <f>микс!H35</f>
        <v>Лекс</v>
      </c>
      <c r="E27" s="449" t="s">
        <v>349</v>
      </c>
      <c r="F27" s="198"/>
      <c r="G27" s="448">
        <f>SUMIFS(рейтинг_расчет!$I:$I,рейтинг_расчет!$D:$D,$G$9,рейтинг_расчет!$F:$F,$D27)</f>
        <v>2</v>
      </c>
      <c r="H27" s="198"/>
      <c r="I27" s="465">
        <f>SUMIFS(рейтинг_расчет!$I:$I,рейтинг_расчет!$D:$D,$I$9,рейтинг_расчет!$F:$F,$D27)</f>
        <v>1.2648083032520296E-2</v>
      </c>
      <c r="J27" s="214"/>
      <c r="K27" s="92"/>
      <c r="L27" s="92"/>
      <c r="M27" s="92"/>
      <c r="N27" s="92"/>
      <c r="O27" s="92"/>
    </row>
    <row r="28" spans="1:15" s="93" customFormat="1" ht="15">
      <c r="A28" s="92"/>
      <c r="B28" s="92"/>
      <c r="C28" s="6"/>
      <c r="D28" s="447" t="str">
        <f>микс!H28</f>
        <v>Гуливерт</v>
      </c>
      <c r="E28" s="449" t="s">
        <v>349</v>
      </c>
      <c r="F28" s="198"/>
      <c r="G28" s="448">
        <f>SUMIFS(рейтинг_расчет!$I:$I,рейтинг_расчет!$D:$D,$G$9,рейтинг_расчет!$F:$F,$D28)</f>
        <v>1.7999999999999998</v>
      </c>
      <c r="H28" s="198"/>
      <c r="I28" s="465">
        <f>SUMIFS(рейтинг_расчет!$I:$I,рейтинг_расчет!$D:$D,$I$9,рейтинг_расчет!$F:$F,$D28)</f>
        <v>2.6180299513953398E-2</v>
      </c>
      <c r="J28" s="214"/>
      <c r="K28" s="92"/>
      <c r="L28" s="92"/>
      <c r="M28" s="92"/>
      <c r="N28" s="92"/>
      <c r="O28" s="92"/>
    </row>
    <row r="29" spans="1:15" s="93" customFormat="1" ht="15">
      <c r="A29" s="92"/>
      <c r="B29" s="92"/>
      <c r="C29" s="6"/>
      <c r="D29" s="447" t="str">
        <f>микс!H24</f>
        <v>АвтоКомп</v>
      </c>
      <c r="E29" s="449" t="s">
        <v>349</v>
      </c>
      <c r="F29" s="198"/>
      <c r="G29" s="448">
        <f>SUMIFS(рейтинг_расчет!$I:$I,рейтинг_расчет!$D:$D,$G$9,рейтинг_расчет!$F:$F,$D29)</f>
        <v>1.4000000000000001</v>
      </c>
      <c r="H29" s="198"/>
      <c r="I29" s="465">
        <f>SUMIFS(рейтинг_расчет!$I:$I,рейтинг_расчет!$D:$D,$I$9,рейтинг_расчет!$F:$F,$D29)</f>
        <v>-5.8380780058595594E-2</v>
      </c>
      <c r="J29" s="214"/>
      <c r="K29" s="92"/>
      <c r="L29" s="92"/>
      <c r="M29" s="92"/>
      <c r="N29" s="92"/>
      <c r="O29" s="92"/>
    </row>
    <row r="30" spans="1:15">
      <c r="A30" s="6"/>
      <c r="B30" s="6"/>
      <c r="C30" s="6"/>
      <c r="D30" s="6"/>
      <c r="E30" s="441"/>
      <c r="F30" s="6"/>
      <c r="G30" s="6"/>
      <c r="H30" s="6"/>
      <c r="I30" s="6"/>
      <c r="J30" s="6"/>
      <c r="K30" s="6"/>
      <c r="L30" s="6"/>
      <c r="M30" s="6"/>
      <c r="N30" s="6"/>
      <c r="O30" s="6"/>
    </row>
    <row r="31" spans="1:15">
      <c r="A31" s="6"/>
      <c r="B31" s="6"/>
      <c r="C31" s="6"/>
      <c r="D31" s="6"/>
      <c r="E31" s="441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441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441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441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441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441"/>
      <c r="F36" s="6"/>
      <c r="G36" s="6"/>
      <c r="H36" s="6"/>
      <c r="I36" s="6"/>
      <c r="J36" s="6"/>
      <c r="K36" s="6"/>
      <c r="L36" s="6"/>
      <c r="M36" s="6"/>
      <c r="N36" s="6"/>
      <c r="O36" s="6"/>
    </row>
  </sheetData>
  <autoFilter ref="C9:I9">
    <sortState ref="C10:I29">
      <sortCondition descending="1" ref="G9"/>
    </sortState>
  </autoFilter>
  <hyperlinks>
    <hyperlink ref="A1:C1" location="оглавление!A1" tooltip="в оглавление" display="в оглавление"/>
    <hyperlink ref="D1" location="оглавление!A1" tooltip="в оглавление" display="в 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V252"/>
  <sheetViews>
    <sheetView workbookViewId="0">
      <pane ySplit="9" topLeftCell="A10" activePane="bottomLeft" state="frozen"/>
      <selection pane="bottomLeft" activeCell="A10" sqref="A10"/>
    </sheetView>
  </sheetViews>
  <sheetFormatPr defaultRowHeight="12.75"/>
  <cols>
    <col min="1" max="2" width="2.7109375" style="9" customWidth="1"/>
    <col min="3" max="3" width="4.5703125" style="9" customWidth="1"/>
    <col min="4" max="4" width="2.7109375" style="9" customWidth="1"/>
    <col min="5" max="5" width="47.140625" style="9" customWidth="1"/>
    <col min="6" max="6" width="14.42578125" style="9" bestFit="1" customWidth="1"/>
    <col min="7" max="7" width="7" style="9" bestFit="1" customWidth="1"/>
    <col min="8" max="8" width="2.7109375" style="9" customWidth="1"/>
    <col min="9" max="9" width="8.85546875" style="9" bestFit="1" customWidth="1"/>
    <col min="10" max="10" width="2.7109375" style="9" customWidth="1"/>
    <col min="11" max="11" width="3.42578125" style="9" bestFit="1" customWidth="1"/>
    <col min="12" max="12" width="9.140625" style="9" bestFit="1" customWidth="1"/>
    <col min="13" max="13" width="2.7109375" style="9" customWidth="1"/>
    <col min="14" max="14" width="3.7109375" style="9" bestFit="1" customWidth="1"/>
    <col min="15" max="15" width="5.85546875" style="9" bestFit="1" customWidth="1"/>
    <col min="16" max="16" width="2.7109375" style="9" customWidth="1"/>
    <col min="17" max="16384" width="9.140625" style="9"/>
  </cols>
  <sheetData>
    <row r="1" spans="1:22" s="197" customFormat="1" ht="12">
      <c r="A1" s="145" t="s">
        <v>235</v>
      </c>
      <c r="B1" s="145"/>
      <c r="C1" s="145"/>
      <c r="D1" s="145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</row>
    <row r="2" spans="1:2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2">
      <c r="A3" s="6"/>
      <c r="B3" s="6"/>
      <c r="C3" s="1" t="s">
        <v>336</v>
      </c>
      <c r="D3" s="6"/>
      <c r="E3" s="6"/>
      <c r="F3" s="6"/>
      <c r="G3" s="6"/>
      <c r="H3" s="6"/>
      <c r="I3" s="6"/>
      <c r="J3" s="6"/>
      <c r="K3" s="1"/>
      <c r="L3" s="6"/>
      <c r="M3" s="6"/>
      <c r="N3" s="1"/>
      <c r="O3" s="6"/>
      <c r="P3" s="6"/>
      <c r="Q3" s="6"/>
      <c r="R3" s="6"/>
      <c r="S3" s="6"/>
      <c r="T3" s="6"/>
      <c r="U3" s="6"/>
    </row>
    <row r="4" spans="1:22">
      <c r="A4" s="6"/>
      <c r="B4" s="6"/>
      <c r="C4" s="1" t="s">
        <v>223</v>
      </c>
      <c r="D4" s="6"/>
      <c r="E4" s="6"/>
      <c r="F4" s="6"/>
      <c r="G4" s="6"/>
      <c r="H4" s="6"/>
      <c r="I4" s="6"/>
      <c r="J4" s="6"/>
      <c r="K4" s="1"/>
      <c r="L4" s="6"/>
      <c r="M4" s="6"/>
      <c r="N4" s="1"/>
      <c r="O4" s="6"/>
      <c r="P4" s="6"/>
      <c r="Q4" s="6"/>
      <c r="R4" s="6"/>
      <c r="S4" s="6"/>
      <c r="T4" s="6"/>
      <c r="U4" s="6"/>
    </row>
    <row r="5" spans="1:22">
      <c r="A5" s="6"/>
      <c r="B5" s="6"/>
      <c r="C5" s="87" t="s">
        <v>221</v>
      </c>
      <c r="D5" s="6"/>
      <c r="E5" s="6"/>
      <c r="F5" s="6"/>
      <c r="G5" s="6"/>
      <c r="H5" s="6"/>
      <c r="I5" s="6"/>
      <c r="J5" s="6"/>
      <c r="K5" s="87"/>
      <c r="L5" s="6"/>
      <c r="M5" s="6"/>
      <c r="N5" s="87"/>
      <c r="O5" s="6"/>
      <c r="P5" s="6"/>
      <c r="Q5" s="6"/>
      <c r="R5" s="6"/>
      <c r="S5" s="6"/>
      <c r="T5" s="6"/>
      <c r="U5" s="6"/>
    </row>
    <row r="6" spans="1:22">
      <c r="A6" s="6"/>
      <c r="B6" s="6"/>
      <c r="C6" s="1"/>
      <c r="D6" s="6"/>
      <c r="E6" s="6"/>
      <c r="F6" s="6"/>
      <c r="G6" s="6"/>
      <c r="H6" s="6"/>
      <c r="I6" s="6"/>
      <c r="J6" s="6"/>
      <c r="K6" s="1"/>
      <c r="L6" s="6"/>
      <c r="M6" s="6"/>
      <c r="N6" s="1"/>
      <c r="O6" s="6"/>
      <c r="P6" s="6"/>
      <c r="Q6" s="6"/>
      <c r="R6" s="6"/>
      <c r="S6" s="6"/>
      <c r="T6" s="6"/>
      <c r="U6" s="6"/>
    </row>
    <row r="7" spans="1:22">
      <c r="A7" s="6"/>
      <c r="B7" s="6"/>
      <c r="C7" s="395" t="s">
        <v>222</v>
      </c>
      <c r="D7" s="6"/>
      <c r="E7" s="6"/>
      <c r="F7" s="6"/>
      <c r="G7" s="6"/>
      <c r="H7" s="6"/>
      <c r="I7" s="6"/>
      <c r="J7" s="6"/>
      <c r="K7" s="395"/>
      <c r="L7" s="6"/>
      <c r="M7" s="6"/>
      <c r="N7" s="395"/>
      <c r="O7" s="6"/>
      <c r="P7" s="6"/>
      <c r="Q7" s="6"/>
      <c r="R7" s="6"/>
      <c r="S7" s="6"/>
      <c r="T7" s="6"/>
      <c r="U7" s="6"/>
    </row>
    <row r="8" spans="1:22" s="50" customFormat="1" ht="11.25">
      <c r="A8" s="48"/>
      <c r="B8" s="48"/>
      <c r="C8" s="115"/>
      <c r="D8" s="48"/>
      <c r="E8" s="48"/>
      <c r="F8" s="48"/>
      <c r="G8" s="48"/>
      <c r="H8" s="48"/>
      <c r="I8" s="88">
        <v>42278</v>
      </c>
      <c r="J8" s="48"/>
      <c r="K8" s="115"/>
      <c r="L8" s="48"/>
      <c r="M8" s="48"/>
      <c r="N8" s="115"/>
      <c r="O8" s="48"/>
      <c r="P8" s="48"/>
      <c r="Q8" s="48"/>
      <c r="R8" s="48"/>
      <c r="S8" s="48"/>
      <c r="T8" s="48"/>
      <c r="U8" s="48"/>
      <c r="V8" s="48"/>
    </row>
    <row r="9" spans="1:22" s="50" customFormat="1" ht="11.25">
      <c r="A9" s="48"/>
      <c r="B9" s="48"/>
      <c r="C9" s="102"/>
      <c r="D9" s="103"/>
      <c r="E9" s="103" t="s">
        <v>215</v>
      </c>
      <c r="F9" s="121" t="s">
        <v>6</v>
      </c>
      <c r="G9" s="103" t="s">
        <v>216</v>
      </c>
      <c r="H9" s="94"/>
      <c r="I9" s="95">
        <v>42369</v>
      </c>
      <c r="J9" s="48"/>
      <c r="K9" s="102"/>
      <c r="L9" s="103" t="s">
        <v>350</v>
      </c>
      <c r="M9" s="48"/>
      <c r="N9" s="102"/>
      <c r="O9" s="103" t="s">
        <v>351</v>
      </c>
      <c r="P9" s="48"/>
      <c r="Q9" s="48"/>
      <c r="R9" s="48"/>
      <c r="S9" s="48"/>
      <c r="T9" s="48"/>
      <c r="U9" s="48"/>
      <c r="V9" s="48"/>
    </row>
    <row r="10" spans="1:2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2" s="93" customFormat="1" ht="15">
      <c r="A12" s="92"/>
      <c r="B12" s="92"/>
      <c r="C12" s="398" t="s">
        <v>352</v>
      </c>
      <c r="D12" s="399" t="s">
        <v>335</v>
      </c>
      <c r="E12" s="399"/>
      <c r="F12" s="401" t="str">
        <f>микс!$H$24</f>
        <v>АвтоКомп</v>
      </c>
      <c r="G12" s="399" t="s">
        <v>349</v>
      </c>
      <c r="H12" s="399"/>
      <c r="I12" s="421">
        <f>SUMPRODUCT(L13:L23,O13:O23)</f>
        <v>1.4000000000000001</v>
      </c>
      <c r="J12" s="92"/>
      <c r="K12" s="6"/>
      <c r="L12" s="6"/>
      <c r="M12" s="6"/>
      <c r="N12" s="6"/>
      <c r="O12" s="6"/>
      <c r="P12" s="92"/>
      <c r="Q12" s="92"/>
      <c r="R12" s="92"/>
      <c r="S12" s="92"/>
      <c r="T12" s="92"/>
      <c r="U12" s="92"/>
    </row>
    <row r="13" spans="1:22" s="211" customFormat="1">
      <c r="A13" s="210"/>
      <c r="B13" s="210"/>
      <c r="C13" s="210" t="s">
        <v>337</v>
      </c>
      <c r="D13" s="210" t="s">
        <v>332</v>
      </c>
      <c r="E13" s="210"/>
      <c r="F13" s="210" t="str">
        <f>F12</f>
        <v>АвтоКомп</v>
      </c>
      <c r="G13" s="210" t="s">
        <v>218</v>
      </c>
      <c r="H13" s="210"/>
      <c r="I13" s="116">
        <f>SUMIFS(расчеты!$I:$I,расчеты!$D:$D,$D13,расчеты!$F:$F,$F13)</f>
        <v>2.6120175449946305E-3</v>
      </c>
      <c r="J13" s="210"/>
      <c r="K13" s="210" t="s">
        <v>341</v>
      </c>
      <c r="L13" s="416">
        <f>IF(I13&gt;=условия_KPI!$M$16,условия_KPI!$M$13,IF(I13&gt;=условия_KPI!$L$16,условия_KPI!$L$13,IF(I13&gt;=условия_KPI!$K$16,условия_KPI!$K$13,условия_KPI!$J$13)))</f>
        <v>1</v>
      </c>
      <c r="M13" s="210"/>
      <c r="N13" s="210" t="s">
        <v>345</v>
      </c>
      <c r="O13" s="417">
        <f>SUMIFS(условия_KPI!$P:$P,условия_KPI!$O:$O,$N13)</f>
        <v>0.2</v>
      </c>
      <c r="P13" s="210"/>
      <c r="Q13" s="210"/>
      <c r="R13" s="210"/>
      <c r="S13" s="210"/>
      <c r="T13" s="210"/>
      <c r="U13" s="210"/>
    </row>
    <row r="14" spans="1:22" s="211" customFormat="1">
      <c r="A14" s="210"/>
      <c r="B14" s="210"/>
      <c r="C14" s="210" t="s">
        <v>338</v>
      </c>
      <c r="D14" s="210" t="s">
        <v>277</v>
      </c>
      <c r="E14" s="210"/>
      <c r="F14" s="210" t="str">
        <f t="shared" ref="F14:F22" si="0">F13</f>
        <v>АвтоКомп</v>
      </c>
      <c r="G14" s="210" t="s">
        <v>218</v>
      </c>
      <c r="H14" s="210"/>
      <c r="I14" s="116">
        <f>SUMIFS(расчеты!$I:$I,расчеты!$D:$D,$D14,расчеты!$F:$F,$F14)</f>
        <v>-0.57894736842105265</v>
      </c>
      <c r="J14" s="210"/>
      <c r="K14" s="210" t="s">
        <v>342</v>
      </c>
      <c r="L14" s="416">
        <f>IF(I14&gt;=условия_KPI!$M$18,условия_KPI!$M$13,IF(I14&gt;=условия_KPI!$L$18,условия_KPI!$L$13,IF(I14&gt;=условия_KPI!$K$18,условия_KPI!$K$13,условия_KPI!$J$13)))</f>
        <v>1</v>
      </c>
      <c r="M14" s="210"/>
      <c r="N14" s="210" t="s">
        <v>346</v>
      </c>
      <c r="O14" s="417">
        <f>SUMIFS(условия_KPI!$P:$P,условия_KPI!$O:$O,$N14)</f>
        <v>0.3</v>
      </c>
      <c r="P14" s="210"/>
      <c r="Q14" s="210"/>
      <c r="R14" s="210"/>
      <c r="S14" s="210"/>
      <c r="T14" s="210"/>
      <c r="U14" s="210"/>
    </row>
    <row r="15" spans="1:22" s="5" customFormat="1">
      <c r="A15" s="1"/>
      <c r="B15" s="1"/>
      <c r="C15" s="1" t="s">
        <v>339</v>
      </c>
      <c r="D15" s="1" t="s">
        <v>237</v>
      </c>
      <c r="E15" s="1"/>
      <c r="F15" s="1" t="str">
        <f t="shared" si="0"/>
        <v>АвтоКомп</v>
      </c>
      <c r="G15" s="1" t="s">
        <v>219</v>
      </c>
      <c r="H15" s="1"/>
      <c r="I15" s="90">
        <f>SUMIFS(ПОбТЗ_3!$H:$H,ПОбТЗ_3!$D:$D,$D15,ПОбТЗ_3!$E:$E,$F15)</f>
        <v>161</v>
      </c>
      <c r="J15" s="1"/>
      <c r="K15" s="1" t="s">
        <v>343</v>
      </c>
      <c r="L15" s="90">
        <f>IF(I15&gt;=условия_KPI!$J$20,условия_KPI!$J$13,IF(I15&gt;=условия_KPI!$K$20,условия_KPI!$K$13,IF(I15&gt;=условия_KPI!$L$20,условия_KPI!$L$13,условия_KPI!$M$13)))</f>
        <v>1</v>
      </c>
      <c r="M15" s="1"/>
      <c r="N15" s="210" t="s">
        <v>347</v>
      </c>
      <c r="O15" s="417">
        <f>SUMIFS(условия_KPI!$P:$P,условия_KPI!$O:$O,$N15)</f>
        <v>0.3</v>
      </c>
      <c r="P15" s="1"/>
      <c r="Q15" s="1"/>
      <c r="R15" s="1"/>
      <c r="S15" s="1"/>
      <c r="T15" s="1"/>
      <c r="U15" s="1"/>
    </row>
    <row r="16" spans="1:22" s="5" customFormat="1">
      <c r="A16" s="1"/>
      <c r="B16" s="1"/>
      <c r="C16" s="168" t="s">
        <v>340</v>
      </c>
      <c r="D16" s="168" t="s">
        <v>333</v>
      </c>
      <c r="E16" s="168"/>
      <c r="F16" s="168" t="str">
        <f t="shared" si="0"/>
        <v>АвтоКомп</v>
      </c>
      <c r="G16" s="168" t="s">
        <v>261</v>
      </c>
      <c r="H16" s="168"/>
      <c r="I16" s="169">
        <f>SUMIFS(расчеты!$I:$I,расчеты!$D:$D,$D16,расчеты!$F:$F,$F16)</f>
        <v>3230</v>
      </c>
      <c r="J16" s="168"/>
      <c r="K16" s="168" t="s">
        <v>344</v>
      </c>
      <c r="L16" s="169">
        <f>IF(I16&gt;=условия_KPI!$M$22,условия_KPI!$M$13,IF(I16&gt;=условия_KPI!$L$22,условия_KPI!$L$13,IF(I16&gt;=условия_KPI!$K$22,условия_KPI!$K$13,условия_KPI!$J$13)))</f>
        <v>3</v>
      </c>
      <c r="M16" s="168"/>
      <c r="N16" s="460" t="s">
        <v>348</v>
      </c>
      <c r="O16" s="461">
        <f>SUMIFS(условия_KPI!$P:$P,условия_KPI!$O:$O,$N16)</f>
        <v>0.2</v>
      </c>
      <c r="P16" s="1"/>
      <c r="Q16" s="1"/>
      <c r="R16" s="1"/>
      <c r="S16" s="1"/>
      <c r="T16" s="1"/>
      <c r="U16" s="1"/>
    </row>
    <row r="17" spans="1:22" s="211" customFormat="1">
      <c r="A17" s="210"/>
      <c r="B17" s="210"/>
      <c r="C17" s="466" t="s">
        <v>378</v>
      </c>
      <c r="D17" s="466" t="s">
        <v>377</v>
      </c>
      <c r="E17" s="466"/>
      <c r="F17" s="466" t="str">
        <f t="shared" si="0"/>
        <v>АвтоКомп</v>
      </c>
      <c r="G17" s="466" t="s">
        <v>218</v>
      </c>
      <c r="H17" s="466"/>
      <c r="I17" s="467">
        <f>1-POWER(1-I14,условия_KPI!$H$27/I15)</f>
        <v>-5.8380780058595594E-2</v>
      </c>
      <c r="J17" s="462"/>
      <c r="K17" s="462"/>
      <c r="L17" s="463"/>
      <c r="M17" s="462"/>
      <c r="N17" s="462"/>
      <c r="O17" s="464"/>
      <c r="P17" s="210"/>
      <c r="Q17" s="210"/>
      <c r="R17" s="210"/>
      <c r="S17" s="210"/>
      <c r="T17" s="210"/>
      <c r="U17" s="210"/>
    </row>
    <row r="18" spans="1:22" s="5" customFormat="1">
      <c r="A18" s="1"/>
      <c r="B18" s="1"/>
      <c r="C18" s="194" t="s">
        <v>317</v>
      </c>
      <c r="D18" s="194" t="s">
        <v>318</v>
      </c>
      <c r="E18" s="194"/>
      <c r="F18" s="194" t="str">
        <f>F16</f>
        <v>АвтоКомп</v>
      </c>
      <c r="G18" s="194" t="s">
        <v>219</v>
      </c>
      <c r="H18" s="194"/>
      <c r="I18" s="195">
        <f>IF((I19+I21)=0,0,(I19*I20+I21*I22)/(I19+I21))</f>
        <v>134.33333333333576</v>
      </c>
      <c r="J18" s="194"/>
      <c r="K18" s="194"/>
      <c r="L18" s="194"/>
      <c r="M18" s="194"/>
      <c r="N18" s="194"/>
      <c r="O18" s="194"/>
      <c r="P18" s="1"/>
      <c r="Q18" s="1"/>
      <c r="R18" s="1"/>
      <c r="S18" s="1"/>
      <c r="T18" s="1"/>
      <c r="U18" s="1"/>
      <c r="V18" s="1"/>
    </row>
    <row r="19" spans="1:22">
      <c r="A19" s="6"/>
      <c r="B19" s="6"/>
      <c r="C19" s="6" t="s">
        <v>319</v>
      </c>
      <c r="D19" s="6"/>
      <c r="E19" s="6" t="s">
        <v>275</v>
      </c>
      <c r="F19" s="6" t="str">
        <f t="shared" si="0"/>
        <v>АвтоКомп</v>
      </c>
      <c r="G19" s="6" t="s">
        <v>261</v>
      </c>
      <c r="H19" s="6"/>
      <c r="I19" s="396">
        <f>SUMIFS(расчеты!$I:$I,расчеты!$D:$D,$E19,расчеты!$F:$F,$F19)</f>
        <v>15300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>
      <c r="A20" s="6"/>
      <c r="B20" s="6"/>
      <c r="C20" s="6"/>
      <c r="D20" s="6"/>
      <c r="E20" s="6" t="s">
        <v>310</v>
      </c>
      <c r="F20" s="6" t="str">
        <f t="shared" si="0"/>
        <v>АвтоКомп</v>
      </c>
      <c r="G20" s="6" t="s">
        <v>219</v>
      </c>
      <c r="H20" s="6"/>
      <c r="I20" s="396">
        <f>SUMIFS(расчеты!$I:$I,расчеты!$D:$D,$E20,расчеты!$F:$F,$F20)</f>
        <v>134.33333333333576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>
      <c r="A21" s="6"/>
      <c r="B21" s="6"/>
      <c r="C21" s="6" t="s">
        <v>320</v>
      </c>
      <c r="D21" s="6"/>
      <c r="E21" s="6" t="s">
        <v>238</v>
      </c>
      <c r="F21" s="6" t="str">
        <f t="shared" si="0"/>
        <v>АвтоКомп</v>
      </c>
      <c r="G21" s="6" t="s">
        <v>261</v>
      </c>
      <c r="H21" s="6"/>
      <c r="I21" s="396">
        <f>SUMIFS(расчеты!$I:$I,расчеты!$D:$D,$E21,расчеты!$F:$F,$F21)</f>
        <v>0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>
      <c r="A22" s="6"/>
      <c r="B22" s="6"/>
      <c r="C22" s="6"/>
      <c r="D22" s="6"/>
      <c r="E22" s="6" t="s">
        <v>281</v>
      </c>
      <c r="F22" s="6" t="str">
        <f t="shared" si="0"/>
        <v>АвтоКомп</v>
      </c>
      <c r="G22" s="6" t="s">
        <v>219</v>
      </c>
      <c r="H22" s="6"/>
      <c r="I22" s="396">
        <f>SUMIFS(расчеты!$I:$I,расчеты!$D:$D,$E22,расчеты!$F:$F,$F22)</f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2" s="93" customFormat="1" ht="15">
      <c r="A24" s="92"/>
      <c r="B24" s="92"/>
      <c r="C24" s="398" t="s">
        <v>352</v>
      </c>
      <c r="D24" s="399" t="s">
        <v>335</v>
      </c>
      <c r="E24" s="399"/>
      <c r="F24" s="401" t="str">
        <f>микс!$H$25</f>
        <v>ВалентаСпорт</v>
      </c>
      <c r="G24" s="399" t="s">
        <v>349</v>
      </c>
      <c r="H24" s="399"/>
      <c r="I24" s="421">
        <f>SUMPRODUCT(L25:L35,O25:O35)</f>
        <v>2.6999999999999997</v>
      </c>
      <c r="J24" s="92"/>
      <c r="K24" s="6"/>
      <c r="L24" s="6"/>
      <c r="M24" s="6"/>
      <c r="N24" s="6"/>
      <c r="O24" s="6"/>
      <c r="P24" s="92"/>
      <c r="Q24" s="92"/>
      <c r="R24" s="92"/>
      <c r="S24" s="92"/>
      <c r="T24" s="92"/>
      <c r="U24" s="92"/>
    </row>
    <row r="25" spans="1:22" s="211" customFormat="1">
      <c r="A25" s="210"/>
      <c r="B25" s="210"/>
      <c r="C25" s="210" t="s">
        <v>337</v>
      </c>
      <c r="D25" s="210" t="s">
        <v>332</v>
      </c>
      <c r="E25" s="210"/>
      <c r="F25" s="210" t="str">
        <f>F24</f>
        <v>ВалентаСпорт</v>
      </c>
      <c r="G25" s="210" t="s">
        <v>218</v>
      </c>
      <c r="H25" s="210"/>
      <c r="I25" s="116">
        <f>SUMIFS(расчеты!$I:$I,расчеты!$D:$D,$D25,расчеты!$F:$F,$F25)</f>
        <v>2.0567279533858649E-2</v>
      </c>
      <c r="J25" s="210"/>
      <c r="K25" s="210" t="s">
        <v>341</v>
      </c>
      <c r="L25" s="416">
        <f>IF(I25&gt;=условия_KPI!$M$16,условия_KPI!$M$13,IF(I25&gt;=условия_KPI!$L$16,условия_KPI!$L$13,IF(I25&gt;=условия_KPI!$K$16,условия_KPI!$K$13,условия_KPI!$J$13)))</f>
        <v>1</v>
      </c>
      <c r="M25" s="210"/>
      <c r="N25" s="210" t="s">
        <v>345</v>
      </c>
      <c r="O25" s="417">
        <f>SUMIFS(условия_KPI!$P:$P,условия_KPI!$O:$O,$N25)</f>
        <v>0.2</v>
      </c>
      <c r="P25" s="210"/>
      <c r="Q25" s="210"/>
      <c r="R25" s="210"/>
      <c r="S25" s="210"/>
      <c r="T25" s="210"/>
      <c r="U25" s="210"/>
    </row>
    <row r="26" spans="1:22" s="211" customFormat="1">
      <c r="A26" s="210"/>
      <c r="B26" s="210"/>
      <c r="C26" s="210" t="s">
        <v>338</v>
      </c>
      <c r="D26" s="210" t="s">
        <v>277</v>
      </c>
      <c r="E26" s="210"/>
      <c r="F26" s="210" t="str">
        <f t="shared" ref="F26:F34" si="1">F25</f>
        <v>ВалентаСпорт</v>
      </c>
      <c r="G26" s="210" t="s">
        <v>218</v>
      </c>
      <c r="H26" s="210"/>
      <c r="I26" s="116">
        <f>SUMIFS(расчеты!$I:$I,расчеты!$D:$D,$D26,расчеты!$F:$F,$F26)</f>
        <v>0.12287234600262109</v>
      </c>
      <c r="J26" s="210"/>
      <c r="K26" s="210" t="s">
        <v>342</v>
      </c>
      <c r="L26" s="416">
        <f>IF(I26&gt;=условия_KPI!$M$18,условия_KPI!$M$13,IF(I26&gt;=условия_KPI!$L$18,условия_KPI!$L$13,IF(I26&gt;=условия_KPI!$K$18,условия_KPI!$K$13,условия_KPI!$J$13)))</f>
        <v>3</v>
      </c>
      <c r="M26" s="210"/>
      <c r="N26" s="210" t="s">
        <v>346</v>
      </c>
      <c r="O26" s="417">
        <f>SUMIFS(условия_KPI!$P:$P,условия_KPI!$O:$O,$N26)</f>
        <v>0.3</v>
      </c>
      <c r="P26" s="210"/>
      <c r="Q26" s="210"/>
      <c r="R26" s="210"/>
      <c r="S26" s="210"/>
      <c r="T26" s="210"/>
      <c r="U26" s="210"/>
    </row>
    <row r="27" spans="1:22" s="5" customFormat="1">
      <c r="A27" s="1"/>
      <c r="B27" s="1"/>
      <c r="C27" s="1" t="s">
        <v>339</v>
      </c>
      <c r="D27" s="1" t="s">
        <v>237</v>
      </c>
      <c r="E27" s="1"/>
      <c r="F27" s="1" t="str">
        <f t="shared" si="1"/>
        <v>ВалентаСпорт</v>
      </c>
      <c r="G27" s="1" t="s">
        <v>219</v>
      </c>
      <c r="H27" s="1"/>
      <c r="I27" s="90">
        <f>SUMIFS(ПОбТЗ_3!$H:$H,ПОбТЗ_3!$D:$D,$D27,ПОбТЗ_3!$E:$E,$F27)</f>
        <v>28.373684483587567</v>
      </c>
      <c r="J27" s="1"/>
      <c r="K27" s="1" t="s">
        <v>343</v>
      </c>
      <c r="L27" s="90">
        <f>IF(I27&gt;=условия_KPI!$J$20,условия_KPI!$J$13,IF(I27&gt;=условия_KPI!$K$20,условия_KPI!$K$13,IF(I27&gt;=условия_KPI!$L$20,условия_KPI!$L$13,условия_KPI!$M$13)))</f>
        <v>4</v>
      </c>
      <c r="M27" s="1"/>
      <c r="N27" s="210" t="s">
        <v>347</v>
      </c>
      <c r="O27" s="417">
        <f>SUMIFS(условия_KPI!$P:$P,условия_KPI!$O:$O,$N27)</f>
        <v>0.3</v>
      </c>
      <c r="P27" s="1"/>
      <c r="Q27" s="1"/>
      <c r="R27" s="1"/>
      <c r="S27" s="1"/>
      <c r="T27" s="1"/>
      <c r="U27" s="1"/>
    </row>
    <row r="28" spans="1:22" s="5" customFormat="1">
      <c r="A28" s="1"/>
      <c r="B28" s="1"/>
      <c r="C28" s="168" t="s">
        <v>340</v>
      </c>
      <c r="D28" s="168" t="s">
        <v>333</v>
      </c>
      <c r="E28" s="168"/>
      <c r="F28" s="168" t="str">
        <f t="shared" si="1"/>
        <v>ВалентаСпорт</v>
      </c>
      <c r="G28" s="168" t="s">
        <v>261</v>
      </c>
      <c r="H28" s="168"/>
      <c r="I28" s="169">
        <f>SUMIFS(расчеты!$I:$I,расчеты!$D:$D,$D28,расчеты!$F:$F,$F28)</f>
        <v>1774.4186046511627</v>
      </c>
      <c r="J28" s="168"/>
      <c r="K28" s="168" t="s">
        <v>344</v>
      </c>
      <c r="L28" s="169">
        <f>IF(I28&gt;=условия_KPI!$M$22,условия_KPI!$M$13,IF(I28&gt;=условия_KPI!$L$22,условия_KPI!$L$13,IF(I28&gt;=условия_KPI!$K$22,условия_KPI!$K$13,условия_KPI!$J$13)))</f>
        <v>2</v>
      </c>
      <c r="M28" s="168"/>
      <c r="N28" s="460" t="s">
        <v>348</v>
      </c>
      <c r="O28" s="461">
        <f>SUMIFS(условия_KPI!$P:$P,условия_KPI!$O:$O,$N28)</f>
        <v>0.2</v>
      </c>
      <c r="P28" s="1"/>
      <c r="Q28" s="1"/>
      <c r="R28" s="1"/>
      <c r="S28" s="1"/>
      <c r="T28" s="1"/>
      <c r="U28" s="1"/>
    </row>
    <row r="29" spans="1:22" s="211" customFormat="1">
      <c r="A29" s="210"/>
      <c r="B29" s="210"/>
      <c r="C29" s="466" t="s">
        <v>378</v>
      </c>
      <c r="D29" s="466" t="s">
        <v>377</v>
      </c>
      <c r="E29" s="466"/>
      <c r="F29" s="466" t="str">
        <f t="shared" si="1"/>
        <v>ВалентаСпорт</v>
      </c>
      <c r="G29" s="466" t="s">
        <v>218</v>
      </c>
      <c r="H29" s="466"/>
      <c r="I29" s="467">
        <f>1-POWER(1-I26,условия_KPI!$H$27/I27)</f>
        <v>8.8270106078216837E-2</v>
      </c>
      <c r="J29" s="462"/>
      <c r="K29" s="462"/>
      <c r="L29" s="463"/>
      <c r="M29" s="462"/>
      <c r="N29" s="462"/>
      <c r="O29" s="464"/>
      <c r="P29" s="210"/>
      <c r="Q29" s="210"/>
      <c r="R29" s="210"/>
      <c r="S29" s="210"/>
      <c r="T29" s="210"/>
      <c r="U29" s="210"/>
    </row>
    <row r="30" spans="1:22" s="5" customFormat="1">
      <c r="A30" s="1"/>
      <c r="B30" s="1"/>
      <c r="C30" s="194" t="s">
        <v>317</v>
      </c>
      <c r="D30" s="194" t="s">
        <v>318</v>
      </c>
      <c r="E30" s="194"/>
      <c r="F30" s="194" t="str">
        <f>F28</f>
        <v>ВалентаСпорт</v>
      </c>
      <c r="G30" s="194" t="s">
        <v>219</v>
      </c>
      <c r="H30" s="194"/>
      <c r="I30" s="195">
        <f>IF((I31+I33)=0,0,(I31*I32+I33*I34)/(I31+I33))</f>
        <v>-1.6559584300287364</v>
      </c>
      <c r="J30" s="194"/>
      <c r="K30" s="194"/>
      <c r="L30" s="194"/>
      <c r="M30" s="194"/>
      <c r="N30" s="194"/>
      <c r="O30" s="194"/>
      <c r="P30" s="1"/>
      <c r="Q30" s="1"/>
      <c r="R30" s="1"/>
      <c r="S30" s="1"/>
      <c r="T30" s="1"/>
      <c r="U30" s="1"/>
      <c r="V30" s="1"/>
    </row>
    <row r="31" spans="1:22">
      <c r="A31" s="6"/>
      <c r="B31" s="6"/>
      <c r="C31" s="6" t="s">
        <v>319</v>
      </c>
      <c r="D31" s="6"/>
      <c r="E31" s="6" t="s">
        <v>275</v>
      </c>
      <c r="F31" s="6" t="str">
        <f t="shared" si="1"/>
        <v>ВалентаСпорт</v>
      </c>
      <c r="G31" s="6" t="s">
        <v>261</v>
      </c>
      <c r="H31" s="6"/>
      <c r="I31" s="396">
        <f>SUMIFS(расчеты!$I:$I,расчеты!$D:$D,$E31,расчеты!$F:$F,$F31)</f>
        <v>66924.840000000011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6"/>
      <c r="B32" s="6"/>
      <c r="C32" s="6"/>
      <c r="D32" s="6"/>
      <c r="E32" s="6" t="s">
        <v>310</v>
      </c>
      <c r="F32" s="6" t="str">
        <f t="shared" si="1"/>
        <v>ВалентаСпорт</v>
      </c>
      <c r="G32" s="6" t="s">
        <v>219</v>
      </c>
      <c r="H32" s="6"/>
      <c r="I32" s="396">
        <f>SUMIFS(расчеты!$I:$I,расчеты!$D:$D,$E32,расчеты!$F:$F,$F32)</f>
        <v>-12.748852127624559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>
      <c r="A33" s="6"/>
      <c r="B33" s="6"/>
      <c r="C33" s="6" t="s">
        <v>320</v>
      </c>
      <c r="D33" s="6"/>
      <c r="E33" s="6" t="s">
        <v>238</v>
      </c>
      <c r="F33" s="6" t="str">
        <f t="shared" si="1"/>
        <v>ВалентаСпорт</v>
      </c>
      <c r="G33" s="6" t="s">
        <v>261</v>
      </c>
      <c r="H33" s="6"/>
      <c r="I33" s="396">
        <f>SUMIFS(расчеты!$I:$I,расчеты!$D:$D,$E33,расчеты!$F:$F,$F33)</f>
        <v>15876.64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>
      <c r="A34" s="6"/>
      <c r="B34" s="6"/>
      <c r="C34" s="6"/>
      <c r="D34" s="6"/>
      <c r="E34" s="6" t="s">
        <v>281</v>
      </c>
      <c r="F34" s="6" t="str">
        <f t="shared" si="1"/>
        <v>ВалентаСпорт</v>
      </c>
      <c r="G34" s="6" t="s">
        <v>219</v>
      </c>
      <c r="H34" s="6"/>
      <c r="I34" s="396">
        <f>SUMIFS(расчеты!$I:$I,расчеты!$D:$D,$E34,расчеты!$F:$F,$F34)</f>
        <v>45.103943907531914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</row>
    <row r="36" spans="1:22" s="93" customFormat="1" ht="15">
      <c r="A36" s="92"/>
      <c r="B36" s="92"/>
      <c r="C36" s="398" t="s">
        <v>352</v>
      </c>
      <c r="D36" s="399" t="s">
        <v>335</v>
      </c>
      <c r="E36" s="399"/>
      <c r="F36" s="401" t="str">
        <f>микс!$H$26</f>
        <v>Вега</v>
      </c>
      <c r="G36" s="399" t="s">
        <v>349</v>
      </c>
      <c r="H36" s="399"/>
      <c r="I36" s="421">
        <f>SUMPRODUCT(L37:L47,O37:O47)</f>
        <v>2.6999999999999997</v>
      </c>
      <c r="J36" s="92"/>
      <c r="K36" s="6"/>
      <c r="L36" s="6"/>
      <c r="M36" s="6"/>
      <c r="N36" s="6"/>
      <c r="O36" s="6"/>
      <c r="P36" s="92"/>
      <c r="Q36" s="92"/>
      <c r="R36" s="92"/>
      <c r="S36" s="92"/>
      <c r="T36" s="92"/>
      <c r="U36" s="92"/>
    </row>
    <row r="37" spans="1:22" s="211" customFormat="1">
      <c r="A37" s="210"/>
      <c r="B37" s="210"/>
      <c r="C37" s="210" t="s">
        <v>337</v>
      </c>
      <c r="D37" s="210" t="s">
        <v>332</v>
      </c>
      <c r="E37" s="210"/>
      <c r="F37" s="210" t="str">
        <f>F36</f>
        <v>Вега</v>
      </c>
      <c r="G37" s="210" t="s">
        <v>218</v>
      </c>
      <c r="H37" s="210"/>
      <c r="I37" s="116">
        <f>SUMIFS(расчеты!$I:$I,расчеты!$D:$D,$D37,расчеты!$F:$F,$F37)</f>
        <v>1.9242132139514624E-2</v>
      </c>
      <c r="J37" s="210"/>
      <c r="K37" s="210" t="s">
        <v>341</v>
      </c>
      <c r="L37" s="416">
        <f>IF(I37&gt;=условия_KPI!$M$16,условия_KPI!$M$13,IF(I37&gt;=условия_KPI!$L$16,условия_KPI!$L$13,IF(I37&gt;=условия_KPI!$K$16,условия_KPI!$K$13,условия_KPI!$J$13)))</f>
        <v>1</v>
      </c>
      <c r="M37" s="210"/>
      <c r="N37" s="210" t="s">
        <v>345</v>
      </c>
      <c r="O37" s="417">
        <f>SUMIFS(условия_KPI!$P:$P,условия_KPI!$O:$O,$N37)</f>
        <v>0.2</v>
      </c>
      <c r="P37" s="210"/>
      <c r="Q37" s="210"/>
      <c r="R37" s="210"/>
      <c r="S37" s="210"/>
      <c r="T37" s="210"/>
      <c r="U37" s="210"/>
    </row>
    <row r="38" spans="1:22" s="211" customFormat="1">
      <c r="A38" s="210"/>
      <c r="B38" s="210"/>
      <c r="C38" s="210" t="s">
        <v>338</v>
      </c>
      <c r="D38" s="210" t="s">
        <v>277</v>
      </c>
      <c r="E38" s="210"/>
      <c r="F38" s="210" t="str">
        <f t="shared" ref="F38:F46" si="2">F37</f>
        <v>Вега</v>
      </c>
      <c r="G38" s="210" t="s">
        <v>218</v>
      </c>
      <c r="H38" s="210"/>
      <c r="I38" s="116">
        <f>SUMIFS(расчеты!$I:$I,расчеты!$D:$D,$D38,расчеты!$F:$F,$F38)</f>
        <v>0.18953336882214483</v>
      </c>
      <c r="J38" s="210"/>
      <c r="K38" s="210" t="s">
        <v>342</v>
      </c>
      <c r="L38" s="416">
        <f>IF(I38&gt;=условия_KPI!$M$18,условия_KPI!$M$13,IF(I38&gt;=условия_KPI!$L$18,условия_KPI!$L$13,IF(I38&gt;=условия_KPI!$K$18,условия_KPI!$K$13,условия_KPI!$J$13)))</f>
        <v>4</v>
      </c>
      <c r="M38" s="210"/>
      <c r="N38" s="210" t="s">
        <v>346</v>
      </c>
      <c r="O38" s="417">
        <f>SUMIFS(условия_KPI!$P:$P,условия_KPI!$O:$O,$N38)</f>
        <v>0.3</v>
      </c>
      <c r="P38" s="210"/>
      <c r="Q38" s="210"/>
      <c r="R38" s="210"/>
      <c r="S38" s="210"/>
      <c r="T38" s="210"/>
      <c r="U38" s="210"/>
    </row>
    <row r="39" spans="1:22" s="5" customFormat="1">
      <c r="A39" s="1"/>
      <c r="B39" s="1"/>
      <c r="C39" s="1" t="s">
        <v>339</v>
      </c>
      <c r="D39" s="1" t="s">
        <v>237</v>
      </c>
      <c r="E39" s="1"/>
      <c r="F39" s="1" t="str">
        <f t="shared" si="2"/>
        <v>Вега</v>
      </c>
      <c r="G39" s="1" t="s">
        <v>219</v>
      </c>
      <c r="H39" s="1"/>
      <c r="I39" s="90">
        <f>SUMIFS(ПОбТЗ_3!$H:$H,ПОбТЗ_3!$D:$D,$D39,ПОбТЗ_3!$E:$E,$F39)</f>
        <v>52.512305264172028</v>
      </c>
      <c r="J39" s="1"/>
      <c r="K39" s="1" t="s">
        <v>343</v>
      </c>
      <c r="L39" s="90">
        <f>IF(I39&gt;=условия_KPI!$J$20,условия_KPI!$J$13,IF(I39&gt;=условия_KPI!$K$20,условия_KPI!$K$13,IF(I39&gt;=условия_KPI!$L$20,условия_KPI!$L$13,условия_KPI!$M$13)))</f>
        <v>3</v>
      </c>
      <c r="M39" s="1"/>
      <c r="N39" s="210" t="s">
        <v>347</v>
      </c>
      <c r="O39" s="417">
        <f>SUMIFS(условия_KPI!$P:$P,условия_KPI!$O:$O,$N39)</f>
        <v>0.3</v>
      </c>
      <c r="P39" s="1"/>
      <c r="Q39" s="1"/>
      <c r="R39" s="1"/>
      <c r="S39" s="1"/>
      <c r="T39" s="1"/>
      <c r="U39" s="1"/>
    </row>
    <row r="40" spans="1:22" s="5" customFormat="1">
      <c r="A40" s="1"/>
      <c r="B40" s="1"/>
      <c r="C40" s="168" t="s">
        <v>340</v>
      </c>
      <c r="D40" s="168" t="s">
        <v>333</v>
      </c>
      <c r="E40" s="168"/>
      <c r="F40" s="168" t="str">
        <f t="shared" si="2"/>
        <v>Вега</v>
      </c>
      <c r="G40" s="168" t="s">
        <v>261</v>
      </c>
      <c r="H40" s="168"/>
      <c r="I40" s="169">
        <f>SUMIFS(расчеты!$I:$I,расчеты!$D:$D,$D40,расчеты!$F:$F,$F40)</f>
        <v>1551.8260869565217</v>
      </c>
      <c r="J40" s="168"/>
      <c r="K40" s="168" t="s">
        <v>344</v>
      </c>
      <c r="L40" s="169">
        <f>IF(I40&gt;=условия_KPI!$M$22,условия_KPI!$M$13,IF(I40&gt;=условия_KPI!$L$22,условия_KPI!$L$13,IF(I40&gt;=условия_KPI!$K$22,условия_KPI!$K$13,условия_KPI!$J$13)))</f>
        <v>2</v>
      </c>
      <c r="M40" s="168"/>
      <c r="N40" s="460" t="s">
        <v>348</v>
      </c>
      <c r="O40" s="461">
        <f>SUMIFS(условия_KPI!$P:$P,условия_KPI!$O:$O,$N40)</f>
        <v>0.2</v>
      </c>
      <c r="P40" s="1"/>
      <c r="Q40" s="1"/>
      <c r="R40" s="1"/>
      <c r="S40" s="1"/>
      <c r="T40" s="1"/>
      <c r="U40" s="1"/>
    </row>
    <row r="41" spans="1:22" s="211" customFormat="1">
      <c r="A41" s="210"/>
      <c r="B41" s="210"/>
      <c r="C41" s="466" t="s">
        <v>378</v>
      </c>
      <c r="D41" s="466" t="s">
        <v>377</v>
      </c>
      <c r="E41" s="466"/>
      <c r="F41" s="466" t="str">
        <f t="shared" si="2"/>
        <v>Вега</v>
      </c>
      <c r="G41" s="466" t="s">
        <v>218</v>
      </c>
      <c r="H41" s="466"/>
      <c r="I41" s="467">
        <f>1-POWER(1-I38,условия_KPI!$H$27/I39)</f>
        <v>7.6917365484697187E-2</v>
      </c>
      <c r="J41" s="462"/>
      <c r="K41" s="462"/>
      <c r="L41" s="463"/>
      <c r="M41" s="462"/>
      <c r="N41" s="462"/>
      <c r="O41" s="464"/>
      <c r="P41" s="210"/>
      <c r="Q41" s="210"/>
      <c r="R41" s="210"/>
      <c r="S41" s="210"/>
      <c r="T41" s="210"/>
      <c r="U41" s="210"/>
    </row>
    <row r="42" spans="1:22" s="5" customFormat="1">
      <c r="A42" s="1"/>
      <c r="B42" s="1"/>
      <c r="C42" s="194" t="s">
        <v>317</v>
      </c>
      <c r="D42" s="194" t="s">
        <v>318</v>
      </c>
      <c r="E42" s="194"/>
      <c r="F42" s="194" t="str">
        <f>F40</f>
        <v>Вега</v>
      </c>
      <c r="G42" s="194" t="s">
        <v>219</v>
      </c>
      <c r="H42" s="194"/>
      <c r="I42" s="195">
        <f>IF((I43+I45)=0,0,(I43*I44+I45*I46)/(I43+I45))</f>
        <v>16.645453132154959</v>
      </c>
      <c r="J42" s="194"/>
      <c r="K42" s="194"/>
      <c r="L42" s="194"/>
      <c r="M42" s="194"/>
      <c r="N42" s="194"/>
      <c r="O42" s="194"/>
      <c r="P42" s="1"/>
      <c r="Q42" s="1"/>
      <c r="R42" s="1"/>
      <c r="S42" s="1"/>
      <c r="T42" s="1"/>
      <c r="U42" s="1"/>
      <c r="V42" s="1"/>
    </row>
    <row r="43" spans="1:22">
      <c r="A43" s="6"/>
      <c r="B43" s="6"/>
      <c r="C43" s="6" t="s">
        <v>319</v>
      </c>
      <c r="D43" s="6"/>
      <c r="E43" s="6" t="s">
        <v>275</v>
      </c>
      <c r="F43" s="6" t="str">
        <f t="shared" si="2"/>
        <v>Вега</v>
      </c>
      <c r="G43" s="6" t="s">
        <v>261</v>
      </c>
      <c r="H43" s="6"/>
      <c r="I43" s="396">
        <f>SUMIFS(расчеты!$I:$I,расчеты!$D:$D,$E43,расчеты!$F:$F,$F43)</f>
        <v>57854.350000000013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>
      <c r="A44" s="6"/>
      <c r="B44" s="6"/>
      <c r="C44" s="6"/>
      <c r="D44" s="6"/>
      <c r="E44" s="6" t="s">
        <v>310</v>
      </c>
      <c r="F44" s="6" t="str">
        <f t="shared" si="2"/>
        <v>Вега</v>
      </c>
      <c r="G44" s="6" t="s">
        <v>219</v>
      </c>
      <c r="H44" s="6"/>
      <c r="I44" s="396">
        <f>SUMIFS(расчеты!$I:$I,расчеты!$D:$D,$E44,расчеты!$F:$F,$F44)</f>
        <v>-8.1403829401533585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>
      <c r="A45" s="6"/>
      <c r="B45" s="6"/>
      <c r="C45" s="6" t="s">
        <v>320</v>
      </c>
      <c r="D45" s="6"/>
      <c r="E45" s="6" t="s">
        <v>238</v>
      </c>
      <c r="F45" s="6" t="str">
        <f t="shared" si="2"/>
        <v>Вега</v>
      </c>
      <c r="G45" s="6" t="s">
        <v>261</v>
      </c>
      <c r="H45" s="6"/>
      <c r="I45" s="396">
        <f>SUMIFS(расчеты!$I:$I,расчеты!$D:$D,$E45,расчеты!$F:$F,$F45)</f>
        <v>21668.799999999999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>
      <c r="A46" s="6"/>
      <c r="B46" s="6"/>
      <c r="C46" s="6"/>
      <c r="D46" s="6"/>
      <c r="E46" s="6" t="s">
        <v>281</v>
      </c>
      <c r="F46" s="6" t="str">
        <f t="shared" si="2"/>
        <v>Вега</v>
      </c>
      <c r="G46" s="6" t="s">
        <v>219</v>
      </c>
      <c r="H46" s="6"/>
      <c r="I46" s="396">
        <f>SUMIFS(расчеты!$I:$I,расчеты!$D:$D,$E46,расчеты!$F:$F,$F46)</f>
        <v>82.822095824410695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2" s="93" customFormat="1" ht="15">
      <c r="A48" s="92"/>
      <c r="B48" s="92"/>
      <c r="C48" s="398" t="s">
        <v>352</v>
      </c>
      <c r="D48" s="399" t="s">
        <v>335</v>
      </c>
      <c r="E48" s="399"/>
      <c r="F48" s="401" t="str">
        <f>микс!$H$27</f>
        <v>Гранта</v>
      </c>
      <c r="G48" s="399" t="s">
        <v>349</v>
      </c>
      <c r="H48" s="399"/>
      <c r="I48" s="421">
        <f>SUMPRODUCT(L49:L59,O49:O59)</f>
        <v>2.2000000000000002</v>
      </c>
      <c r="J48" s="92"/>
      <c r="K48" s="6"/>
      <c r="L48" s="6"/>
      <c r="M48" s="6"/>
      <c r="N48" s="6"/>
      <c r="O48" s="6"/>
      <c r="P48" s="92"/>
      <c r="Q48" s="92"/>
      <c r="R48" s="92"/>
      <c r="S48" s="92"/>
      <c r="T48" s="92"/>
      <c r="U48" s="92"/>
    </row>
    <row r="49" spans="1:22" s="211" customFormat="1">
      <c r="A49" s="210"/>
      <c r="B49" s="210"/>
      <c r="C49" s="210" t="s">
        <v>337</v>
      </c>
      <c r="D49" s="210" t="s">
        <v>332</v>
      </c>
      <c r="E49" s="210"/>
      <c r="F49" s="210" t="str">
        <f>F48</f>
        <v>Гранта</v>
      </c>
      <c r="G49" s="210" t="s">
        <v>218</v>
      </c>
      <c r="H49" s="210"/>
      <c r="I49" s="116">
        <f>SUMIFS(расчеты!$I:$I,расчеты!$D:$D,$D49,расчеты!$F:$F,$F49)</f>
        <v>2.2013458494529049E-2</v>
      </c>
      <c r="J49" s="210"/>
      <c r="K49" s="210" t="s">
        <v>341</v>
      </c>
      <c r="L49" s="416">
        <f>IF(I49&gt;=условия_KPI!$M$16,условия_KPI!$M$13,IF(I49&gt;=условия_KPI!$L$16,условия_KPI!$L$13,IF(I49&gt;=условия_KPI!$K$16,условия_KPI!$K$13,условия_KPI!$J$13)))</f>
        <v>1</v>
      </c>
      <c r="M49" s="210"/>
      <c r="N49" s="210" t="s">
        <v>345</v>
      </c>
      <c r="O49" s="417">
        <f>SUMIFS(условия_KPI!$P:$P,условия_KPI!$O:$O,$N49)</f>
        <v>0.2</v>
      </c>
      <c r="P49" s="210"/>
      <c r="Q49" s="210"/>
      <c r="R49" s="210"/>
      <c r="S49" s="210"/>
      <c r="T49" s="210"/>
      <c r="U49" s="210"/>
    </row>
    <row r="50" spans="1:22" s="211" customFormat="1">
      <c r="A50" s="210"/>
      <c r="B50" s="210"/>
      <c r="C50" s="210" t="s">
        <v>338</v>
      </c>
      <c r="D50" s="210" t="s">
        <v>277</v>
      </c>
      <c r="E50" s="210"/>
      <c r="F50" s="210" t="str">
        <f t="shared" ref="F50:F58" si="3">F49</f>
        <v>Гранта</v>
      </c>
      <c r="G50" s="210" t="s">
        <v>218</v>
      </c>
      <c r="H50" s="210"/>
      <c r="I50" s="116">
        <f>SUMIFS(расчеты!$I:$I,расчеты!$D:$D,$D50,расчеты!$F:$F,$F50)</f>
        <v>4.8850670421845335E-2</v>
      </c>
      <c r="J50" s="210"/>
      <c r="K50" s="210" t="s">
        <v>342</v>
      </c>
      <c r="L50" s="416">
        <f>IF(I50&gt;=условия_KPI!$M$18,условия_KPI!$M$13,IF(I50&gt;=условия_KPI!$L$18,условия_KPI!$L$13,IF(I50&gt;=условия_KPI!$K$18,условия_KPI!$K$13,условия_KPI!$J$13)))</f>
        <v>2</v>
      </c>
      <c r="M50" s="210"/>
      <c r="N50" s="210" t="s">
        <v>346</v>
      </c>
      <c r="O50" s="417">
        <f>SUMIFS(условия_KPI!$P:$P,условия_KPI!$O:$O,$N50)</f>
        <v>0.3</v>
      </c>
      <c r="P50" s="210"/>
      <c r="Q50" s="210"/>
      <c r="R50" s="210"/>
      <c r="S50" s="210"/>
      <c r="T50" s="210"/>
      <c r="U50" s="210"/>
    </row>
    <row r="51" spans="1:22" s="5" customFormat="1">
      <c r="A51" s="1"/>
      <c r="B51" s="1"/>
      <c r="C51" s="1" t="s">
        <v>339</v>
      </c>
      <c r="D51" s="1" t="s">
        <v>237</v>
      </c>
      <c r="E51" s="1"/>
      <c r="F51" s="1" t="str">
        <f t="shared" si="3"/>
        <v>Гранта</v>
      </c>
      <c r="G51" s="1" t="s">
        <v>219</v>
      </c>
      <c r="H51" s="1"/>
      <c r="I51" s="90">
        <f>SUMIFS(ПОбТЗ_3!$H:$H,ПОбТЗ_3!$D:$D,$D51,ПОбТЗ_3!$E:$E,$F51)</f>
        <v>93.277841079005157</v>
      </c>
      <c r="J51" s="1"/>
      <c r="K51" s="1" t="s">
        <v>343</v>
      </c>
      <c r="L51" s="90">
        <f>IF(I51&gt;=условия_KPI!$J$20,условия_KPI!$J$13,IF(I51&gt;=условия_KPI!$K$20,условия_KPI!$K$13,IF(I51&gt;=условия_KPI!$L$20,условия_KPI!$L$13,условия_KPI!$M$13)))</f>
        <v>2</v>
      </c>
      <c r="M51" s="1"/>
      <c r="N51" s="210" t="s">
        <v>347</v>
      </c>
      <c r="O51" s="417">
        <f>SUMIFS(условия_KPI!$P:$P,условия_KPI!$O:$O,$N51)</f>
        <v>0.3</v>
      </c>
      <c r="P51" s="1"/>
      <c r="Q51" s="1"/>
      <c r="R51" s="1"/>
      <c r="S51" s="1"/>
      <c r="T51" s="1"/>
      <c r="U51" s="1"/>
    </row>
    <row r="52" spans="1:22" s="5" customFormat="1">
      <c r="A52" s="1"/>
      <c r="B52" s="1"/>
      <c r="C52" s="168" t="s">
        <v>340</v>
      </c>
      <c r="D52" s="168" t="s">
        <v>333</v>
      </c>
      <c r="E52" s="168"/>
      <c r="F52" s="168" t="str">
        <f t="shared" si="3"/>
        <v>Гранта</v>
      </c>
      <c r="G52" s="168" t="s">
        <v>261</v>
      </c>
      <c r="H52" s="168"/>
      <c r="I52" s="169">
        <f>SUMIFS(расчеты!$I:$I,расчеты!$D:$D,$D52,расчеты!$F:$F,$F52)</f>
        <v>6805.416666666667</v>
      </c>
      <c r="J52" s="168"/>
      <c r="K52" s="168" t="s">
        <v>344</v>
      </c>
      <c r="L52" s="169">
        <f>IF(I52&gt;=условия_KPI!$M$22,условия_KPI!$M$13,IF(I52&gt;=условия_KPI!$L$22,условия_KPI!$L$13,IF(I52&gt;=условия_KPI!$K$22,условия_KPI!$K$13,условия_KPI!$J$13)))</f>
        <v>4</v>
      </c>
      <c r="M52" s="168"/>
      <c r="N52" s="460" t="s">
        <v>348</v>
      </c>
      <c r="O52" s="461">
        <f>SUMIFS(условия_KPI!$P:$P,условия_KPI!$O:$O,$N52)</f>
        <v>0.2</v>
      </c>
      <c r="P52" s="1"/>
      <c r="Q52" s="1"/>
      <c r="R52" s="1"/>
      <c r="S52" s="1"/>
      <c r="T52" s="1"/>
      <c r="U52" s="1"/>
    </row>
    <row r="53" spans="1:22" s="211" customFormat="1">
      <c r="A53" s="210"/>
      <c r="B53" s="210"/>
      <c r="C53" s="466" t="s">
        <v>378</v>
      </c>
      <c r="D53" s="466" t="s">
        <v>377</v>
      </c>
      <c r="E53" s="466"/>
      <c r="F53" s="466" t="str">
        <f t="shared" si="3"/>
        <v>Гранта</v>
      </c>
      <c r="G53" s="466" t="s">
        <v>218</v>
      </c>
      <c r="H53" s="466"/>
      <c r="I53" s="467">
        <f>1-POWER(1-I50,условия_KPI!$H$27/I51)</f>
        <v>1.0681260307320639E-2</v>
      </c>
      <c r="J53" s="462"/>
      <c r="K53" s="462"/>
      <c r="L53" s="463"/>
      <c r="M53" s="462"/>
      <c r="N53" s="462"/>
      <c r="O53" s="464"/>
      <c r="P53" s="210"/>
      <c r="Q53" s="210"/>
      <c r="R53" s="210"/>
      <c r="S53" s="210"/>
      <c r="T53" s="210"/>
      <c r="U53" s="210"/>
    </row>
    <row r="54" spans="1:22" s="5" customFormat="1">
      <c r="A54" s="1"/>
      <c r="B54" s="1"/>
      <c r="C54" s="194" t="s">
        <v>317</v>
      </c>
      <c r="D54" s="194" t="s">
        <v>318</v>
      </c>
      <c r="E54" s="194"/>
      <c r="F54" s="194" t="str">
        <f>F52</f>
        <v>Гранта</v>
      </c>
      <c r="G54" s="194" t="s">
        <v>219</v>
      </c>
      <c r="H54" s="194"/>
      <c r="I54" s="195">
        <f>IF((I55+I57)=0,0,(I55*I56+I57*I58)/(I55+I57))</f>
        <v>47.891315161799767</v>
      </c>
      <c r="J54" s="194"/>
      <c r="K54" s="194"/>
      <c r="L54" s="194"/>
      <c r="M54" s="194"/>
      <c r="N54" s="194"/>
      <c r="O54" s="194"/>
      <c r="P54" s="1"/>
      <c r="Q54" s="1"/>
      <c r="R54" s="1"/>
      <c r="S54" s="1"/>
      <c r="T54" s="1"/>
      <c r="U54" s="1"/>
      <c r="V54" s="1"/>
    </row>
    <row r="55" spans="1:22">
      <c r="A55" s="6"/>
      <c r="B55" s="6"/>
      <c r="C55" s="6" t="s">
        <v>319</v>
      </c>
      <c r="D55" s="6"/>
      <c r="E55" s="6" t="s">
        <v>275</v>
      </c>
      <c r="F55" s="6" t="str">
        <f t="shared" si="3"/>
        <v>Гранта</v>
      </c>
      <c r="G55" s="6" t="s">
        <v>261</v>
      </c>
      <c r="H55" s="6"/>
      <c r="I55" s="396">
        <f>SUMIFS(расчеты!$I:$I,расчеты!$D:$D,$E55,расчеты!$F:$F,$F55)</f>
        <v>77675.61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>
      <c r="A56" s="6"/>
      <c r="B56" s="6"/>
      <c r="C56" s="6"/>
      <c r="D56" s="6"/>
      <c r="E56" s="6" t="s">
        <v>310</v>
      </c>
      <c r="F56" s="6" t="str">
        <f t="shared" si="3"/>
        <v>Гранта</v>
      </c>
      <c r="G56" s="6" t="s">
        <v>219</v>
      </c>
      <c r="H56" s="6"/>
      <c r="I56" s="396">
        <f>SUMIFS(расчеты!$I:$I,расчеты!$D:$D,$E56,расчеты!$F:$F,$F56)</f>
        <v>6.3725555219643866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>
      <c r="A57" s="6"/>
      <c r="B57" s="6"/>
      <c r="C57" s="6" t="s">
        <v>320</v>
      </c>
      <c r="D57" s="6"/>
      <c r="E57" s="6" t="s">
        <v>238</v>
      </c>
      <c r="F57" s="6" t="str">
        <f t="shared" si="3"/>
        <v>Гранта</v>
      </c>
      <c r="G57" s="6" t="s">
        <v>261</v>
      </c>
      <c r="H57" s="6"/>
      <c r="I57" s="396">
        <f>SUMIFS(расчеты!$I:$I,расчеты!$D:$D,$E57,расчеты!$F:$F,$F57)</f>
        <v>46301.78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>
      <c r="A58" s="6"/>
      <c r="B58" s="6"/>
      <c r="C58" s="6"/>
      <c r="D58" s="6"/>
      <c r="E58" s="6" t="s">
        <v>281</v>
      </c>
      <c r="F58" s="6" t="str">
        <f t="shared" si="3"/>
        <v>Гранта</v>
      </c>
      <c r="G58" s="6" t="s">
        <v>219</v>
      </c>
      <c r="H58" s="6"/>
      <c r="I58" s="396">
        <f>SUMIFS(расчеты!$I:$I,расчеты!$D:$D,$E58,расчеты!$F:$F,$F58)</f>
        <v>117.54295666386714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2" s="93" customFormat="1" ht="15">
      <c r="A60" s="92"/>
      <c r="B60" s="92"/>
      <c r="C60" s="398" t="s">
        <v>352</v>
      </c>
      <c r="D60" s="399" t="s">
        <v>335</v>
      </c>
      <c r="E60" s="399"/>
      <c r="F60" s="401" t="str">
        <f>микс!$H$28</f>
        <v>Гуливерт</v>
      </c>
      <c r="G60" s="399" t="s">
        <v>349</v>
      </c>
      <c r="H60" s="399"/>
      <c r="I60" s="421">
        <f>SUMPRODUCT(L61:L71,O61:O71)</f>
        <v>1.7999999999999998</v>
      </c>
      <c r="J60" s="92"/>
      <c r="K60" s="6"/>
      <c r="L60" s="6"/>
      <c r="M60" s="6"/>
      <c r="N60" s="6"/>
      <c r="O60" s="6"/>
      <c r="P60" s="92"/>
      <c r="Q60" s="92"/>
      <c r="R60" s="92"/>
      <c r="S60" s="92"/>
      <c r="T60" s="92"/>
      <c r="U60" s="92"/>
    </row>
    <row r="61" spans="1:22" s="211" customFormat="1">
      <c r="A61" s="210"/>
      <c r="B61" s="210"/>
      <c r="C61" s="210" t="s">
        <v>337</v>
      </c>
      <c r="D61" s="210" t="s">
        <v>332</v>
      </c>
      <c r="E61" s="210"/>
      <c r="F61" s="210" t="str">
        <f>F60</f>
        <v>Гуливерт</v>
      </c>
      <c r="G61" s="210" t="s">
        <v>218</v>
      </c>
      <c r="H61" s="210"/>
      <c r="I61" s="116">
        <f>SUMIFS(расчеты!$I:$I,расчеты!$D:$D,$D61,расчеты!$F:$F,$F61)</f>
        <v>1.6623914759273876E-2</v>
      </c>
      <c r="J61" s="210"/>
      <c r="K61" s="210" t="s">
        <v>341</v>
      </c>
      <c r="L61" s="416">
        <f>IF(I61&gt;=условия_KPI!$M$16,условия_KPI!$M$13,IF(I61&gt;=условия_KPI!$L$16,условия_KPI!$L$13,IF(I61&gt;=условия_KPI!$K$16,условия_KPI!$K$13,условия_KPI!$J$13)))</f>
        <v>1</v>
      </c>
      <c r="M61" s="210"/>
      <c r="N61" s="210" t="s">
        <v>345</v>
      </c>
      <c r="O61" s="417">
        <f>SUMIFS(условия_KPI!$P:$P,условия_KPI!$O:$O,$N61)</f>
        <v>0.2</v>
      </c>
      <c r="P61" s="210"/>
      <c r="Q61" s="210"/>
      <c r="R61" s="210"/>
      <c r="S61" s="210"/>
      <c r="T61" s="210"/>
      <c r="U61" s="210"/>
    </row>
    <row r="62" spans="1:22" s="211" customFormat="1">
      <c r="A62" s="210"/>
      <c r="B62" s="210"/>
      <c r="C62" s="210" t="s">
        <v>338</v>
      </c>
      <c r="D62" s="210" t="s">
        <v>277</v>
      </c>
      <c r="E62" s="210"/>
      <c r="F62" s="210" t="str">
        <f t="shared" ref="F62:F70" si="4">F61</f>
        <v>Гуливерт</v>
      </c>
      <c r="G62" s="210" t="s">
        <v>218</v>
      </c>
      <c r="H62" s="210"/>
      <c r="I62" s="116">
        <f>SUMIFS(расчеты!$I:$I,расчеты!$D:$D,$D62,расчеты!$F:$F,$F62)</f>
        <v>0.14087285758298071</v>
      </c>
      <c r="J62" s="210"/>
      <c r="K62" s="210" t="s">
        <v>342</v>
      </c>
      <c r="L62" s="416">
        <f>IF(I62&gt;=условия_KPI!$M$18,условия_KPI!$M$13,IF(I62&gt;=условия_KPI!$L$18,условия_KPI!$L$13,IF(I62&gt;=условия_KPI!$K$18,условия_KPI!$K$13,условия_KPI!$J$13)))</f>
        <v>3</v>
      </c>
      <c r="M62" s="210"/>
      <c r="N62" s="210" t="s">
        <v>346</v>
      </c>
      <c r="O62" s="417">
        <f>SUMIFS(условия_KPI!$P:$P,условия_KPI!$O:$O,$N62)</f>
        <v>0.3</v>
      </c>
      <c r="P62" s="210"/>
      <c r="Q62" s="210"/>
      <c r="R62" s="210"/>
      <c r="S62" s="210"/>
      <c r="T62" s="210"/>
      <c r="U62" s="210"/>
    </row>
    <row r="63" spans="1:22" s="5" customFormat="1">
      <c r="A63" s="1"/>
      <c r="B63" s="1"/>
      <c r="C63" s="1" t="s">
        <v>339</v>
      </c>
      <c r="D63" s="1" t="s">
        <v>237</v>
      </c>
      <c r="E63" s="1"/>
      <c r="F63" s="1" t="str">
        <f t="shared" si="4"/>
        <v>Гуливерт</v>
      </c>
      <c r="G63" s="1" t="s">
        <v>219</v>
      </c>
      <c r="H63" s="1"/>
      <c r="I63" s="90">
        <f>SUMIFS(ПОбТЗ_3!$H:$H,ПОбТЗ_3!$D:$D,$D63,ПОбТЗ_3!$E:$E,$F63)</f>
        <v>114.46926409719163</v>
      </c>
      <c r="J63" s="1"/>
      <c r="K63" s="1" t="s">
        <v>343</v>
      </c>
      <c r="L63" s="90">
        <f>IF(I63&gt;=условия_KPI!$J$20,условия_KPI!$J$13,IF(I63&gt;=условия_KPI!$K$20,условия_KPI!$K$13,IF(I63&gt;=условия_KPI!$L$20,условия_KPI!$L$13,условия_KPI!$M$13)))</f>
        <v>1</v>
      </c>
      <c r="M63" s="1"/>
      <c r="N63" s="210" t="s">
        <v>347</v>
      </c>
      <c r="O63" s="417">
        <f>SUMIFS(условия_KPI!$P:$P,условия_KPI!$O:$O,$N63)</f>
        <v>0.3</v>
      </c>
      <c r="P63" s="1"/>
      <c r="Q63" s="1"/>
      <c r="R63" s="1"/>
      <c r="S63" s="1"/>
      <c r="T63" s="1"/>
      <c r="U63" s="1"/>
    </row>
    <row r="64" spans="1:22" s="5" customFormat="1">
      <c r="A64" s="1"/>
      <c r="B64" s="1"/>
      <c r="C64" s="168" t="s">
        <v>340</v>
      </c>
      <c r="D64" s="168" t="s">
        <v>333</v>
      </c>
      <c r="E64" s="168"/>
      <c r="F64" s="168" t="str">
        <f t="shared" si="4"/>
        <v>Гуливерт</v>
      </c>
      <c r="G64" s="168" t="s">
        <v>261</v>
      </c>
      <c r="H64" s="168"/>
      <c r="I64" s="169">
        <f>SUMIFS(расчеты!$I:$I,расчеты!$D:$D,$D64,расчеты!$F:$F,$F64)</f>
        <v>1989.3870967741937</v>
      </c>
      <c r="J64" s="168"/>
      <c r="K64" s="168" t="s">
        <v>344</v>
      </c>
      <c r="L64" s="169">
        <f>IF(I64&gt;=условия_KPI!$M$22,условия_KPI!$M$13,IF(I64&gt;=условия_KPI!$L$22,условия_KPI!$L$13,IF(I64&gt;=условия_KPI!$K$22,условия_KPI!$K$13,условия_KPI!$J$13)))</f>
        <v>2</v>
      </c>
      <c r="M64" s="168"/>
      <c r="N64" s="460" t="s">
        <v>348</v>
      </c>
      <c r="O64" s="461">
        <f>SUMIFS(условия_KPI!$P:$P,условия_KPI!$O:$O,$N64)</f>
        <v>0.2</v>
      </c>
      <c r="P64" s="1"/>
      <c r="Q64" s="1"/>
      <c r="R64" s="1"/>
      <c r="S64" s="1"/>
      <c r="T64" s="1"/>
      <c r="U64" s="1"/>
    </row>
    <row r="65" spans="1:22" s="211" customFormat="1">
      <c r="A65" s="210"/>
      <c r="B65" s="210"/>
      <c r="C65" s="466" t="s">
        <v>378</v>
      </c>
      <c r="D65" s="466" t="s">
        <v>377</v>
      </c>
      <c r="E65" s="466"/>
      <c r="F65" s="466" t="str">
        <f t="shared" si="4"/>
        <v>Гуливерт</v>
      </c>
      <c r="G65" s="466" t="s">
        <v>218</v>
      </c>
      <c r="H65" s="466"/>
      <c r="I65" s="467">
        <f>1-POWER(1-I62,условия_KPI!$H$27/I63)</f>
        <v>2.6180299513953398E-2</v>
      </c>
      <c r="J65" s="462"/>
      <c r="K65" s="462"/>
      <c r="L65" s="463"/>
      <c r="M65" s="462"/>
      <c r="N65" s="462"/>
      <c r="O65" s="464"/>
      <c r="P65" s="210"/>
      <c r="Q65" s="210"/>
      <c r="R65" s="210"/>
      <c r="S65" s="210"/>
      <c r="T65" s="210"/>
      <c r="U65" s="210"/>
    </row>
    <row r="66" spans="1:22" s="5" customFormat="1">
      <c r="A66" s="1"/>
      <c r="B66" s="1"/>
      <c r="C66" s="194" t="s">
        <v>317</v>
      </c>
      <c r="D66" s="194" t="s">
        <v>318</v>
      </c>
      <c r="E66" s="194"/>
      <c r="F66" s="194" t="str">
        <f>F64</f>
        <v>Гуливерт</v>
      </c>
      <c r="G66" s="194" t="s">
        <v>219</v>
      </c>
      <c r="H66" s="194"/>
      <c r="I66" s="195">
        <f>IF((I67+I69)=0,0,(I67*I68+I69*I70)/(I67+I69))</f>
        <v>68.667925112077086</v>
      </c>
      <c r="J66" s="194"/>
      <c r="K66" s="194"/>
      <c r="L66" s="194"/>
      <c r="M66" s="194"/>
      <c r="N66" s="194"/>
      <c r="O66" s="194"/>
      <c r="P66" s="1"/>
      <c r="Q66" s="1"/>
      <c r="R66" s="1"/>
      <c r="S66" s="1"/>
      <c r="T66" s="1"/>
      <c r="U66" s="1"/>
      <c r="V66" s="1"/>
    </row>
    <row r="67" spans="1:22">
      <c r="A67" s="6"/>
      <c r="B67" s="6"/>
      <c r="C67" s="6" t="s">
        <v>319</v>
      </c>
      <c r="D67" s="6"/>
      <c r="E67" s="6" t="s">
        <v>275</v>
      </c>
      <c r="F67" s="6" t="str">
        <f t="shared" si="4"/>
        <v>Гуливерт</v>
      </c>
      <c r="G67" s="6" t="s">
        <v>261</v>
      </c>
      <c r="H67" s="6"/>
      <c r="I67" s="396">
        <f>SUMIFS(расчеты!$I:$I,расчеты!$D:$D,$E67,расчеты!$F:$F,$F67)</f>
        <v>52983.229999999996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>
      <c r="A68" s="6"/>
      <c r="B68" s="6"/>
      <c r="C68" s="6"/>
      <c r="D68" s="6"/>
      <c r="E68" s="6" t="s">
        <v>310</v>
      </c>
      <c r="F68" s="6" t="str">
        <f t="shared" si="4"/>
        <v>Гуливерт</v>
      </c>
      <c r="G68" s="6" t="s">
        <v>219</v>
      </c>
      <c r="H68" s="6"/>
      <c r="I68" s="396">
        <f>SUMIFS(расчеты!$I:$I,расчеты!$D:$D,$E68,расчеты!$F:$F,$F68)</f>
        <v>75.595820666188956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>
      <c r="A69" s="6"/>
      <c r="B69" s="6"/>
      <c r="C69" s="6" t="s">
        <v>320</v>
      </c>
      <c r="D69" s="6"/>
      <c r="E69" s="6" t="s">
        <v>238</v>
      </c>
      <c r="F69" s="6" t="str">
        <f t="shared" si="4"/>
        <v>Гуливерт</v>
      </c>
      <c r="G69" s="6" t="s">
        <v>261</v>
      </c>
      <c r="H69" s="6"/>
      <c r="I69" s="396">
        <f>SUMIFS(расчеты!$I:$I,расчеты!$D:$D,$E69,расчеты!$F:$F,$F69)</f>
        <v>28980.38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>
      <c r="A70" s="6"/>
      <c r="B70" s="6"/>
      <c r="C70" s="6"/>
      <c r="D70" s="6"/>
      <c r="E70" s="6" t="s">
        <v>281</v>
      </c>
      <c r="F70" s="6" t="str">
        <f t="shared" si="4"/>
        <v>Гуливерт</v>
      </c>
      <c r="G70" s="6" t="s">
        <v>219</v>
      </c>
      <c r="H70" s="6"/>
      <c r="I70" s="396">
        <f>SUMIFS(расчеты!$I:$I,расчеты!$D:$D,$E70,расчеты!$F:$F,$F70)</f>
        <v>56.002035860125034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2" s="93" customFormat="1" ht="15">
      <c r="A72" s="92"/>
      <c r="B72" s="92"/>
      <c r="C72" s="398" t="s">
        <v>352</v>
      </c>
      <c r="D72" s="399" t="s">
        <v>335</v>
      </c>
      <c r="E72" s="399"/>
      <c r="F72" s="401" t="str">
        <f>микс!$H$29</f>
        <v>Детство</v>
      </c>
      <c r="G72" s="399" t="s">
        <v>349</v>
      </c>
      <c r="H72" s="399"/>
      <c r="I72" s="421">
        <f>SUMPRODUCT(L73:L83,O73:O83)</f>
        <v>3.1999999999999997</v>
      </c>
      <c r="J72" s="92"/>
      <c r="K72" s="6"/>
      <c r="L72" s="6"/>
      <c r="M72" s="6"/>
      <c r="N72" s="6"/>
      <c r="O72" s="6"/>
      <c r="P72" s="92"/>
      <c r="Q72" s="92"/>
      <c r="R72" s="92"/>
      <c r="S72" s="92"/>
      <c r="T72" s="92"/>
      <c r="U72" s="92"/>
    </row>
    <row r="73" spans="1:22" s="211" customFormat="1">
      <c r="A73" s="210"/>
      <c r="B73" s="210"/>
      <c r="C73" s="210" t="s">
        <v>337</v>
      </c>
      <c r="D73" s="210" t="s">
        <v>332</v>
      </c>
      <c r="E73" s="210"/>
      <c r="F73" s="210" t="str">
        <f>F72</f>
        <v>Детство</v>
      </c>
      <c r="G73" s="210" t="s">
        <v>218</v>
      </c>
      <c r="H73" s="210"/>
      <c r="I73" s="116">
        <f>SUMIFS(расчеты!$I:$I,расчеты!$D:$D,$D73,расчеты!$F:$F,$F73)</f>
        <v>0.31107862038031409</v>
      </c>
      <c r="J73" s="210"/>
      <c r="K73" s="210" t="s">
        <v>341</v>
      </c>
      <c r="L73" s="416">
        <f>IF(I73&gt;=условия_KPI!$M$16,условия_KPI!$M$13,IF(I73&gt;=условия_KPI!$L$16,условия_KPI!$L$13,IF(I73&gt;=условия_KPI!$K$16,условия_KPI!$K$13,условия_KPI!$J$13)))</f>
        <v>4</v>
      </c>
      <c r="M73" s="210"/>
      <c r="N73" s="210" t="s">
        <v>345</v>
      </c>
      <c r="O73" s="417">
        <f>SUMIFS(условия_KPI!$P:$P,условия_KPI!$O:$O,$N73)</f>
        <v>0.2</v>
      </c>
      <c r="P73" s="210"/>
      <c r="Q73" s="210"/>
      <c r="R73" s="210"/>
      <c r="S73" s="210"/>
      <c r="T73" s="210"/>
      <c r="U73" s="210"/>
    </row>
    <row r="74" spans="1:22" s="211" customFormat="1">
      <c r="A74" s="210"/>
      <c r="B74" s="210"/>
      <c r="C74" s="210" t="s">
        <v>338</v>
      </c>
      <c r="D74" s="210" t="s">
        <v>277</v>
      </c>
      <c r="E74" s="210"/>
      <c r="F74" s="210" t="str">
        <f t="shared" ref="F74:F82" si="5">F73</f>
        <v>Детство</v>
      </c>
      <c r="G74" s="210" t="s">
        <v>218</v>
      </c>
      <c r="H74" s="210"/>
      <c r="I74" s="116">
        <f>SUMIFS(расчеты!$I:$I,расчеты!$D:$D,$D74,расчеты!$F:$F,$F74)</f>
        <v>9.1560312019077592E-2</v>
      </c>
      <c r="J74" s="210"/>
      <c r="K74" s="210" t="s">
        <v>342</v>
      </c>
      <c r="L74" s="416">
        <f>IF(I74&gt;=условия_KPI!$M$18,условия_KPI!$M$13,IF(I74&gt;=условия_KPI!$L$18,условия_KPI!$L$13,IF(I74&gt;=условия_KPI!$K$18,условия_KPI!$K$13,условия_KPI!$J$13)))</f>
        <v>3</v>
      </c>
      <c r="M74" s="210"/>
      <c r="N74" s="210" t="s">
        <v>346</v>
      </c>
      <c r="O74" s="417">
        <f>SUMIFS(условия_KPI!$P:$P,условия_KPI!$O:$O,$N74)</f>
        <v>0.3</v>
      </c>
      <c r="P74" s="210"/>
      <c r="Q74" s="210"/>
      <c r="R74" s="210"/>
      <c r="S74" s="210"/>
      <c r="T74" s="210"/>
      <c r="U74" s="210"/>
    </row>
    <row r="75" spans="1:22" s="5" customFormat="1">
      <c r="A75" s="1"/>
      <c r="B75" s="1"/>
      <c r="C75" s="1" t="s">
        <v>339</v>
      </c>
      <c r="D75" s="1" t="s">
        <v>237</v>
      </c>
      <c r="E75" s="1"/>
      <c r="F75" s="1" t="str">
        <f t="shared" si="5"/>
        <v>Детство</v>
      </c>
      <c r="G75" s="1" t="s">
        <v>219</v>
      </c>
      <c r="H75" s="1"/>
      <c r="I75" s="90">
        <f>SUMIFS(ПОбТЗ_3!$H:$H,ПОбТЗ_3!$D:$D,$D75,ПОбТЗ_3!$E:$E,$F75)</f>
        <v>59.985756745518302</v>
      </c>
      <c r="J75" s="1"/>
      <c r="K75" s="1" t="s">
        <v>343</v>
      </c>
      <c r="L75" s="90">
        <f>IF(I75&gt;=условия_KPI!$J$20,условия_KPI!$J$13,IF(I75&gt;=условия_KPI!$K$20,условия_KPI!$K$13,IF(I75&gt;=условия_KPI!$L$20,условия_KPI!$L$13,условия_KPI!$M$13)))</f>
        <v>3</v>
      </c>
      <c r="M75" s="1"/>
      <c r="N75" s="210" t="s">
        <v>347</v>
      </c>
      <c r="O75" s="417">
        <f>SUMIFS(условия_KPI!$P:$P,условия_KPI!$O:$O,$N75)</f>
        <v>0.3</v>
      </c>
      <c r="P75" s="1"/>
      <c r="Q75" s="1"/>
      <c r="R75" s="1"/>
      <c r="S75" s="1"/>
      <c r="T75" s="1"/>
      <c r="U75" s="1"/>
    </row>
    <row r="76" spans="1:22" s="5" customFormat="1">
      <c r="A76" s="1"/>
      <c r="B76" s="1"/>
      <c r="C76" s="168" t="s">
        <v>340</v>
      </c>
      <c r="D76" s="168" t="s">
        <v>333</v>
      </c>
      <c r="E76" s="168"/>
      <c r="F76" s="168" t="str">
        <f t="shared" si="5"/>
        <v>Детство</v>
      </c>
      <c r="G76" s="168" t="s">
        <v>261</v>
      </c>
      <c r="H76" s="168"/>
      <c r="I76" s="169">
        <f>SUMIFS(расчеты!$I:$I,расчеты!$D:$D,$D76,расчеты!$F:$F,$F76)</f>
        <v>3771.3464052287582</v>
      </c>
      <c r="J76" s="168"/>
      <c r="K76" s="168" t="s">
        <v>344</v>
      </c>
      <c r="L76" s="169">
        <f>IF(I76&gt;=условия_KPI!$M$22,условия_KPI!$M$13,IF(I76&gt;=условия_KPI!$L$22,условия_KPI!$L$13,IF(I76&gt;=условия_KPI!$K$22,условия_KPI!$K$13,условия_KPI!$J$13)))</f>
        <v>3</v>
      </c>
      <c r="M76" s="168"/>
      <c r="N76" s="460" t="s">
        <v>348</v>
      </c>
      <c r="O76" s="461">
        <f>SUMIFS(условия_KPI!$P:$P,условия_KPI!$O:$O,$N76)</f>
        <v>0.2</v>
      </c>
      <c r="P76" s="1"/>
      <c r="Q76" s="1"/>
      <c r="R76" s="1"/>
      <c r="S76" s="1"/>
      <c r="T76" s="1"/>
      <c r="U76" s="1"/>
    </row>
    <row r="77" spans="1:22" s="211" customFormat="1">
      <c r="A77" s="210"/>
      <c r="B77" s="210"/>
      <c r="C77" s="466" t="s">
        <v>378</v>
      </c>
      <c r="D77" s="466" t="s">
        <v>377</v>
      </c>
      <c r="E77" s="466"/>
      <c r="F77" s="466" t="str">
        <f t="shared" si="5"/>
        <v>Детство</v>
      </c>
      <c r="G77" s="466" t="s">
        <v>218</v>
      </c>
      <c r="H77" s="466"/>
      <c r="I77" s="467">
        <f>1-POWER(1-I74,условия_KPI!$H$27/I75)</f>
        <v>3.150942419955427E-2</v>
      </c>
      <c r="J77" s="462"/>
      <c r="K77" s="462"/>
      <c r="L77" s="463"/>
      <c r="M77" s="462"/>
      <c r="N77" s="462"/>
      <c r="O77" s="464"/>
      <c r="P77" s="210"/>
      <c r="Q77" s="210"/>
      <c r="R77" s="210"/>
      <c r="S77" s="210"/>
      <c r="T77" s="210"/>
      <c r="U77" s="210"/>
    </row>
    <row r="78" spans="1:22" s="5" customFormat="1">
      <c r="A78" s="1"/>
      <c r="B78" s="1"/>
      <c r="C78" s="194" t="s">
        <v>317</v>
      </c>
      <c r="D78" s="194" t="s">
        <v>318</v>
      </c>
      <c r="E78" s="194"/>
      <c r="F78" s="194" t="str">
        <f>F76</f>
        <v>Детство</v>
      </c>
      <c r="G78" s="194" t="s">
        <v>219</v>
      </c>
      <c r="H78" s="194"/>
      <c r="I78" s="195">
        <f>IF((I79+I81)=0,0,(I79*I80+I81*I82)/(I79+I81))</f>
        <v>19.705188090978073</v>
      </c>
      <c r="J78" s="194"/>
      <c r="K78" s="194"/>
      <c r="L78" s="194"/>
      <c r="M78" s="194"/>
      <c r="N78" s="194"/>
      <c r="O78" s="194"/>
      <c r="P78" s="1"/>
      <c r="Q78" s="1"/>
      <c r="R78" s="1"/>
      <c r="S78" s="1"/>
      <c r="T78" s="1"/>
      <c r="U78" s="1"/>
      <c r="V78" s="1"/>
    </row>
    <row r="79" spans="1:22">
      <c r="A79" s="6"/>
      <c r="B79" s="6"/>
      <c r="C79" s="6" t="s">
        <v>319</v>
      </c>
      <c r="D79" s="6"/>
      <c r="E79" s="6" t="s">
        <v>275</v>
      </c>
      <c r="F79" s="6" t="str">
        <f t="shared" si="5"/>
        <v>Детство</v>
      </c>
      <c r="G79" s="6" t="s">
        <v>261</v>
      </c>
      <c r="H79" s="6"/>
      <c r="I79" s="396">
        <f>SUMIFS(расчеты!$I:$I,расчеты!$D:$D,$E79,расчеты!$F:$F,$F79)</f>
        <v>1048368.4699999999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>
      <c r="A80" s="6"/>
      <c r="B80" s="6"/>
      <c r="C80" s="6"/>
      <c r="D80" s="6"/>
      <c r="E80" s="6" t="s">
        <v>310</v>
      </c>
      <c r="F80" s="6" t="str">
        <f t="shared" si="5"/>
        <v>Детство</v>
      </c>
      <c r="G80" s="6" t="s">
        <v>219</v>
      </c>
      <c r="H80" s="6"/>
      <c r="I80" s="396">
        <f>SUMIFS(расчеты!$I:$I,расчеты!$D:$D,$E80,расчеты!$F:$F,$F80)</f>
        <v>3.3812810514500597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>
      <c r="A81" s="6"/>
      <c r="B81" s="6"/>
      <c r="C81" s="6" t="s">
        <v>320</v>
      </c>
      <c r="D81" s="6"/>
      <c r="E81" s="6" t="s">
        <v>238</v>
      </c>
      <c r="F81" s="6" t="str">
        <f t="shared" si="5"/>
        <v>Детство</v>
      </c>
      <c r="G81" s="6" t="s">
        <v>261</v>
      </c>
      <c r="H81" s="6"/>
      <c r="I81" s="396">
        <f>SUMIFS(расчеты!$I:$I,расчеты!$D:$D,$E81,расчеты!$F:$F,$F81)</f>
        <v>232377.68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>
      <c r="A82" s="6"/>
      <c r="B82" s="6"/>
      <c r="C82" s="6"/>
      <c r="D82" s="6"/>
      <c r="E82" s="6" t="s">
        <v>281</v>
      </c>
      <c r="F82" s="6" t="str">
        <f t="shared" si="5"/>
        <v>Детство</v>
      </c>
      <c r="G82" s="6" t="s">
        <v>219</v>
      </c>
      <c r="H82" s="6"/>
      <c r="I82" s="396">
        <f>SUMIFS(расчеты!$I:$I,расчеты!$D:$D,$E82,расчеты!$F:$F,$F82)</f>
        <v>93.350253518312627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2" s="93" customFormat="1" ht="15">
      <c r="A84" s="92"/>
      <c r="B84" s="92"/>
      <c r="C84" s="398" t="s">
        <v>352</v>
      </c>
      <c r="D84" s="399" t="s">
        <v>335</v>
      </c>
      <c r="E84" s="399"/>
      <c r="F84" s="401" t="str">
        <f>микс!$H$30</f>
        <v>ИгрушкаФест</v>
      </c>
      <c r="G84" s="399" t="s">
        <v>349</v>
      </c>
      <c r="H84" s="399"/>
      <c r="I84" s="421">
        <f>SUMPRODUCT(L85:L95,O85:O95)</f>
        <v>2.9999999999999996</v>
      </c>
      <c r="J84" s="92"/>
      <c r="K84" s="6"/>
      <c r="L84" s="6"/>
      <c r="M84" s="6"/>
      <c r="N84" s="6"/>
      <c r="O84" s="6"/>
      <c r="P84" s="92"/>
      <c r="Q84" s="92"/>
      <c r="R84" s="92"/>
      <c r="S84" s="92"/>
      <c r="T84" s="92"/>
      <c r="U84" s="92"/>
    </row>
    <row r="85" spans="1:22" s="211" customFormat="1">
      <c r="A85" s="210"/>
      <c r="B85" s="210"/>
      <c r="C85" s="210" t="s">
        <v>337</v>
      </c>
      <c r="D85" s="210" t="s">
        <v>332</v>
      </c>
      <c r="E85" s="210"/>
      <c r="F85" s="210" t="str">
        <f>F84</f>
        <v>ИгрушкаФест</v>
      </c>
      <c r="G85" s="210" t="s">
        <v>218</v>
      </c>
      <c r="H85" s="210"/>
      <c r="I85" s="116">
        <f>SUMIFS(расчеты!$I:$I,расчеты!$D:$D,$D85,расчеты!$F:$F,$F85)</f>
        <v>1.0577997162092805E-2</v>
      </c>
      <c r="J85" s="210"/>
      <c r="K85" s="210" t="s">
        <v>341</v>
      </c>
      <c r="L85" s="416">
        <f>IF(I85&gt;=условия_KPI!$M$16,условия_KPI!$M$13,IF(I85&gt;=условия_KPI!$L$16,условия_KPI!$L$13,IF(I85&gt;=условия_KPI!$K$16,условия_KPI!$K$13,условия_KPI!$J$13)))</f>
        <v>1</v>
      </c>
      <c r="M85" s="210"/>
      <c r="N85" s="210" t="s">
        <v>345</v>
      </c>
      <c r="O85" s="417">
        <f>SUMIFS(условия_KPI!$P:$P,условия_KPI!$O:$O,$N85)</f>
        <v>0.2</v>
      </c>
      <c r="P85" s="210"/>
      <c r="Q85" s="210"/>
      <c r="R85" s="210"/>
      <c r="S85" s="210"/>
      <c r="T85" s="210"/>
      <c r="U85" s="210"/>
    </row>
    <row r="86" spans="1:22" s="211" customFormat="1">
      <c r="A86" s="210"/>
      <c r="B86" s="210"/>
      <c r="C86" s="210" t="s">
        <v>338</v>
      </c>
      <c r="D86" s="210" t="s">
        <v>277</v>
      </c>
      <c r="E86" s="210"/>
      <c r="F86" s="210" t="str">
        <f t="shared" ref="F86:F94" si="6">F85</f>
        <v>ИгрушкаФест</v>
      </c>
      <c r="G86" s="210" t="s">
        <v>218</v>
      </c>
      <c r="H86" s="210"/>
      <c r="I86" s="116">
        <f>SUMIFS(расчеты!$I:$I,расчеты!$D:$D,$D86,расчеты!$F:$F,$F86)</f>
        <v>0.18270730339941896</v>
      </c>
      <c r="J86" s="210"/>
      <c r="K86" s="210" t="s">
        <v>342</v>
      </c>
      <c r="L86" s="416">
        <f>IF(I86&gt;=условия_KPI!$M$18,условия_KPI!$M$13,IF(I86&gt;=условия_KPI!$L$18,условия_KPI!$L$13,IF(I86&gt;=условия_KPI!$K$18,условия_KPI!$K$13,условия_KPI!$J$13)))</f>
        <v>4</v>
      </c>
      <c r="M86" s="210"/>
      <c r="N86" s="210" t="s">
        <v>346</v>
      </c>
      <c r="O86" s="417">
        <f>SUMIFS(условия_KPI!$P:$P,условия_KPI!$O:$O,$N86)</f>
        <v>0.3</v>
      </c>
      <c r="P86" s="210"/>
      <c r="Q86" s="210"/>
      <c r="R86" s="210"/>
      <c r="S86" s="210"/>
      <c r="T86" s="210"/>
      <c r="U86" s="210"/>
    </row>
    <row r="87" spans="1:22" s="5" customFormat="1">
      <c r="A87" s="1"/>
      <c r="B87" s="1"/>
      <c r="C87" s="1" t="s">
        <v>339</v>
      </c>
      <c r="D87" s="1" t="s">
        <v>237</v>
      </c>
      <c r="E87" s="1"/>
      <c r="F87" s="1" t="str">
        <f t="shared" si="6"/>
        <v>ИгрушкаФест</v>
      </c>
      <c r="G87" s="1" t="s">
        <v>219</v>
      </c>
      <c r="H87" s="1"/>
      <c r="I87" s="90">
        <f>SUMIFS(ПОбТЗ_3!$H:$H,ПОбТЗ_3!$D:$D,$D87,ПОбТЗ_3!$E:$E,$F87)</f>
        <v>43.238988902121491</v>
      </c>
      <c r="J87" s="1"/>
      <c r="K87" s="1" t="s">
        <v>343</v>
      </c>
      <c r="L87" s="90">
        <f>IF(I87&gt;=условия_KPI!$J$20,условия_KPI!$J$13,IF(I87&gt;=условия_KPI!$K$20,условия_KPI!$K$13,IF(I87&gt;=условия_KPI!$L$20,условия_KPI!$L$13,условия_KPI!$M$13)))</f>
        <v>4</v>
      </c>
      <c r="M87" s="1"/>
      <c r="N87" s="210" t="s">
        <v>347</v>
      </c>
      <c r="O87" s="417">
        <f>SUMIFS(условия_KPI!$P:$P,условия_KPI!$O:$O,$N87)</f>
        <v>0.3</v>
      </c>
      <c r="P87" s="1"/>
      <c r="Q87" s="1"/>
      <c r="R87" s="1"/>
      <c r="S87" s="1"/>
      <c r="T87" s="1"/>
      <c r="U87" s="1"/>
    </row>
    <row r="88" spans="1:22" s="5" customFormat="1">
      <c r="A88" s="1"/>
      <c r="B88" s="1"/>
      <c r="C88" s="168" t="s">
        <v>340</v>
      </c>
      <c r="D88" s="168" t="s">
        <v>333</v>
      </c>
      <c r="E88" s="168"/>
      <c r="F88" s="168" t="str">
        <f t="shared" si="6"/>
        <v>ИгрушкаФест</v>
      </c>
      <c r="G88" s="168" t="s">
        <v>261</v>
      </c>
      <c r="H88" s="168"/>
      <c r="I88" s="169">
        <f>SUMIFS(расчеты!$I:$I,расчеты!$D:$D,$D88,расчеты!$F:$F,$F88)</f>
        <v>1308.0666666666666</v>
      </c>
      <c r="J88" s="168"/>
      <c r="K88" s="168" t="s">
        <v>344</v>
      </c>
      <c r="L88" s="169">
        <f>IF(I88&gt;=условия_KPI!$M$22,условия_KPI!$M$13,IF(I88&gt;=условия_KPI!$L$22,условия_KPI!$L$13,IF(I88&gt;=условия_KPI!$K$22,условия_KPI!$K$13,условия_KPI!$J$13)))</f>
        <v>2</v>
      </c>
      <c r="M88" s="168"/>
      <c r="N88" s="460" t="s">
        <v>348</v>
      </c>
      <c r="O88" s="461">
        <f>SUMIFS(условия_KPI!$P:$P,условия_KPI!$O:$O,$N88)</f>
        <v>0.2</v>
      </c>
      <c r="P88" s="1"/>
      <c r="Q88" s="1"/>
      <c r="R88" s="1"/>
      <c r="S88" s="1"/>
      <c r="T88" s="1"/>
      <c r="U88" s="1"/>
    </row>
    <row r="89" spans="1:22" s="211" customFormat="1">
      <c r="A89" s="210"/>
      <c r="B89" s="210"/>
      <c r="C89" s="466" t="s">
        <v>378</v>
      </c>
      <c r="D89" s="466" t="s">
        <v>377</v>
      </c>
      <c r="E89" s="466"/>
      <c r="F89" s="466" t="str">
        <f t="shared" si="6"/>
        <v>ИгрушкаФест</v>
      </c>
      <c r="G89" s="466" t="s">
        <v>218</v>
      </c>
      <c r="H89" s="466"/>
      <c r="I89" s="467">
        <f>1-POWER(1-I86,условия_KPI!$H$27/I87)</f>
        <v>8.9100086148043545E-2</v>
      </c>
      <c r="J89" s="462"/>
      <c r="K89" s="462"/>
      <c r="L89" s="463"/>
      <c r="M89" s="462"/>
      <c r="N89" s="462"/>
      <c r="O89" s="464"/>
      <c r="P89" s="210"/>
      <c r="Q89" s="210"/>
      <c r="R89" s="210"/>
      <c r="S89" s="210"/>
      <c r="T89" s="210"/>
      <c r="U89" s="210"/>
    </row>
    <row r="90" spans="1:22" s="5" customFormat="1">
      <c r="A90" s="1"/>
      <c r="B90" s="1"/>
      <c r="C90" s="194" t="s">
        <v>317</v>
      </c>
      <c r="D90" s="194" t="s">
        <v>318</v>
      </c>
      <c r="E90" s="194"/>
      <c r="F90" s="194" t="str">
        <f>F88</f>
        <v>ИгрушкаФест</v>
      </c>
      <c r="G90" s="194" t="s">
        <v>219</v>
      </c>
      <c r="H90" s="194"/>
      <c r="I90" s="195">
        <f>IF((I91+I93)=0,0,(I91*I92+I93*I94)/(I91+I93))</f>
        <v>1.0570181927278546</v>
      </c>
      <c r="J90" s="194"/>
      <c r="K90" s="194"/>
      <c r="L90" s="194"/>
      <c r="M90" s="194"/>
      <c r="N90" s="194"/>
      <c r="O90" s="194"/>
      <c r="P90" s="1"/>
      <c r="Q90" s="1"/>
      <c r="R90" s="1"/>
      <c r="S90" s="1"/>
      <c r="T90" s="1"/>
      <c r="U90" s="1"/>
      <c r="V90" s="1"/>
    </row>
    <row r="91" spans="1:22">
      <c r="A91" s="6"/>
      <c r="B91" s="6"/>
      <c r="C91" s="6" t="s">
        <v>319</v>
      </c>
      <c r="D91" s="6"/>
      <c r="E91" s="6" t="s">
        <v>275</v>
      </c>
      <c r="F91" s="6" t="str">
        <f t="shared" si="6"/>
        <v>ИгрушкаФест</v>
      </c>
      <c r="G91" s="6" t="s">
        <v>261</v>
      </c>
      <c r="H91" s="6"/>
      <c r="I91" s="396">
        <f>SUMIFS(расчеты!$I:$I,расчеты!$D:$D,$E91,расчеты!$F:$F,$F91)</f>
        <v>32072.2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>
      <c r="A92" s="6"/>
      <c r="B92" s="6"/>
      <c r="C92" s="6"/>
      <c r="D92" s="6"/>
      <c r="E92" s="6" t="s">
        <v>310</v>
      </c>
      <c r="F92" s="6" t="str">
        <f t="shared" si="6"/>
        <v>ИгрушкаФест</v>
      </c>
      <c r="G92" s="6" t="s">
        <v>219</v>
      </c>
      <c r="H92" s="6"/>
      <c r="I92" s="396">
        <f>SUMIFS(расчеты!$I:$I,расчеты!$D:$D,$E92,расчеты!$F:$F,$F92)</f>
        <v>-11.330856808024691</v>
      </c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>
      <c r="A93" s="6"/>
      <c r="B93" s="6"/>
      <c r="C93" s="6" t="s">
        <v>320</v>
      </c>
      <c r="D93" s="6"/>
      <c r="E93" s="6" t="s">
        <v>238</v>
      </c>
      <c r="F93" s="6" t="str">
        <f t="shared" si="6"/>
        <v>ИгрушкаФест</v>
      </c>
      <c r="G93" s="6" t="s">
        <v>261</v>
      </c>
      <c r="H93" s="6"/>
      <c r="I93" s="396">
        <f>SUMIFS(расчеты!$I:$I,расчеты!$D:$D,$E93,расчеты!$F:$F,$F93)</f>
        <v>5079</v>
      </c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>
      <c r="A94" s="6"/>
      <c r="B94" s="6"/>
      <c r="C94" s="6"/>
      <c r="D94" s="6"/>
      <c r="E94" s="6" t="s">
        <v>281</v>
      </c>
      <c r="F94" s="6" t="str">
        <f t="shared" si="6"/>
        <v>ИгрушкаФест</v>
      </c>
      <c r="G94" s="6" t="s">
        <v>219</v>
      </c>
      <c r="H94" s="6"/>
      <c r="I94" s="396">
        <f>SUMIFS(расчеты!$I:$I,расчеты!$D:$D,$E94,расчеты!$F:$F,$F94)</f>
        <v>79.282339043118839</v>
      </c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2" s="93" customFormat="1" ht="15">
      <c r="A96" s="92"/>
      <c r="B96" s="92"/>
      <c r="C96" s="398" t="s">
        <v>352</v>
      </c>
      <c r="D96" s="399" t="s">
        <v>335</v>
      </c>
      <c r="E96" s="399"/>
      <c r="F96" s="401" t="str">
        <f>микс!$H$31</f>
        <v>ИнтКид</v>
      </c>
      <c r="G96" s="399" t="s">
        <v>349</v>
      </c>
      <c r="H96" s="399"/>
      <c r="I96" s="421">
        <f>SUMPRODUCT(L97:L107,O97:O107)</f>
        <v>3.1</v>
      </c>
      <c r="J96" s="92"/>
      <c r="K96" s="6"/>
      <c r="L96" s="6"/>
      <c r="M96" s="6"/>
      <c r="N96" s="6"/>
      <c r="O96" s="6"/>
      <c r="P96" s="92"/>
      <c r="Q96" s="92"/>
      <c r="R96" s="92"/>
      <c r="S96" s="92"/>
      <c r="T96" s="92"/>
      <c r="U96" s="92"/>
    </row>
    <row r="97" spans="1:22" s="211" customFormat="1">
      <c r="A97" s="210"/>
      <c r="B97" s="210"/>
      <c r="C97" s="210" t="s">
        <v>337</v>
      </c>
      <c r="D97" s="210" t="s">
        <v>332</v>
      </c>
      <c r="E97" s="210"/>
      <c r="F97" s="210" t="str">
        <f>F96</f>
        <v>ИнтКид</v>
      </c>
      <c r="G97" s="210" t="s">
        <v>218</v>
      </c>
      <c r="H97" s="210"/>
      <c r="I97" s="116">
        <f>SUMIFS(расчеты!$I:$I,расчеты!$D:$D,$D97,расчеты!$F:$F,$F97)</f>
        <v>3.3779398001388766E-2</v>
      </c>
      <c r="J97" s="210"/>
      <c r="K97" s="210" t="s">
        <v>341</v>
      </c>
      <c r="L97" s="416">
        <f>IF(I97&gt;=условия_KPI!$M$16,условия_KPI!$M$13,IF(I97&gt;=условия_KPI!$L$16,условия_KPI!$L$13,IF(I97&gt;=условия_KPI!$K$16,условия_KPI!$K$13,условия_KPI!$J$13)))</f>
        <v>2</v>
      </c>
      <c r="M97" s="210"/>
      <c r="N97" s="210" t="s">
        <v>345</v>
      </c>
      <c r="O97" s="417">
        <f>SUMIFS(условия_KPI!$P:$P,условия_KPI!$O:$O,$N97)</f>
        <v>0.2</v>
      </c>
      <c r="P97" s="210"/>
      <c r="Q97" s="210"/>
      <c r="R97" s="210"/>
      <c r="S97" s="210"/>
      <c r="T97" s="210"/>
      <c r="U97" s="210"/>
    </row>
    <row r="98" spans="1:22" s="211" customFormat="1">
      <c r="A98" s="210"/>
      <c r="B98" s="210"/>
      <c r="C98" s="210" t="s">
        <v>338</v>
      </c>
      <c r="D98" s="210" t="s">
        <v>277</v>
      </c>
      <c r="E98" s="210"/>
      <c r="F98" s="210" t="str">
        <f t="shared" ref="F98:F106" si="7">F97</f>
        <v>ИнтКид</v>
      </c>
      <c r="G98" s="210" t="s">
        <v>218</v>
      </c>
      <c r="H98" s="210"/>
      <c r="I98" s="116">
        <f>SUMIFS(расчеты!$I:$I,расчеты!$D:$D,$D98,расчеты!$F:$F,$F98)</f>
        <v>0.13893164371099775</v>
      </c>
      <c r="J98" s="210"/>
      <c r="K98" s="210" t="s">
        <v>342</v>
      </c>
      <c r="L98" s="416">
        <f>IF(I98&gt;=условия_KPI!$M$18,условия_KPI!$M$13,IF(I98&gt;=условия_KPI!$L$18,условия_KPI!$L$13,IF(I98&gt;=условия_KPI!$K$18,условия_KPI!$K$13,условия_KPI!$J$13)))</f>
        <v>3</v>
      </c>
      <c r="M98" s="210"/>
      <c r="N98" s="210" t="s">
        <v>346</v>
      </c>
      <c r="O98" s="417">
        <f>SUMIFS(условия_KPI!$P:$P,условия_KPI!$O:$O,$N98)</f>
        <v>0.3</v>
      </c>
      <c r="P98" s="210"/>
      <c r="Q98" s="210"/>
      <c r="R98" s="210"/>
      <c r="S98" s="210"/>
      <c r="T98" s="210"/>
      <c r="U98" s="210"/>
    </row>
    <row r="99" spans="1:22" s="5" customFormat="1">
      <c r="A99" s="1"/>
      <c r="B99" s="1"/>
      <c r="C99" s="1" t="s">
        <v>339</v>
      </c>
      <c r="D99" s="1" t="s">
        <v>237</v>
      </c>
      <c r="E99" s="1"/>
      <c r="F99" s="1" t="str">
        <f t="shared" si="7"/>
        <v>ИнтКид</v>
      </c>
      <c r="G99" s="1" t="s">
        <v>219</v>
      </c>
      <c r="H99" s="1"/>
      <c r="I99" s="90">
        <f>SUMIFS(ПОбТЗ_3!$H:$H,ПОбТЗ_3!$D:$D,$D99,ПОбТЗ_3!$E:$E,$F99)</f>
        <v>12.871996363523067</v>
      </c>
      <c r="J99" s="1"/>
      <c r="K99" s="1" t="s">
        <v>343</v>
      </c>
      <c r="L99" s="90">
        <f>IF(I99&gt;=условия_KPI!$J$20,условия_KPI!$J$13,IF(I99&gt;=условия_KPI!$K$20,условия_KPI!$K$13,IF(I99&gt;=условия_KPI!$L$20,условия_KPI!$L$13,условия_KPI!$M$13)))</f>
        <v>4</v>
      </c>
      <c r="M99" s="1"/>
      <c r="N99" s="210" t="s">
        <v>347</v>
      </c>
      <c r="O99" s="417">
        <f>SUMIFS(условия_KPI!$P:$P,условия_KPI!$O:$O,$N99)</f>
        <v>0.3</v>
      </c>
      <c r="P99" s="1"/>
      <c r="Q99" s="1"/>
      <c r="R99" s="1"/>
      <c r="S99" s="1"/>
      <c r="T99" s="1"/>
      <c r="U99" s="1"/>
    </row>
    <row r="100" spans="1:22" s="5" customFormat="1">
      <c r="A100" s="1"/>
      <c r="B100" s="1"/>
      <c r="C100" s="168" t="s">
        <v>340</v>
      </c>
      <c r="D100" s="168" t="s">
        <v>333</v>
      </c>
      <c r="E100" s="168"/>
      <c r="F100" s="168" t="str">
        <f t="shared" si="7"/>
        <v>ИнтКид</v>
      </c>
      <c r="G100" s="168" t="s">
        <v>261</v>
      </c>
      <c r="H100" s="168"/>
      <c r="I100" s="169">
        <f>SUMIFS(расчеты!$I:$I,расчеты!$D:$D,$D100,расчеты!$F:$F,$F100)</f>
        <v>4177.1333333333332</v>
      </c>
      <c r="J100" s="168"/>
      <c r="K100" s="168" t="s">
        <v>344</v>
      </c>
      <c r="L100" s="169">
        <f>IF(I100&gt;=условия_KPI!$M$22,условия_KPI!$M$13,IF(I100&gt;=условия_KPI!$L$22,условия_KPI!$L$13,IF(I100&gt;=условия_KPI!$K$22,условия_KPI!$K$13,условия_KPI!$J$13)))</f>
        <v>3</v>
      </c>
      <c r="M100" s="168"/>
      <c r="N100" s="460" t="s">
        <v>348</v>
      </c>
      <c r="O100" s="461">
        <f>SUMIFS(условия_KPI!$P:$P,условия_KPI!$O:$O,$N100)</f>
        <v>0.2</v>
      </c>
      <c r="P100" s="1"/>
      <c r="Q100" s="1"/>
      <c r="R100" s="1"/>
      <c r="S100" s="1"/>
      <c r="T100" s="1"/>
      <c r="U100" s="1"/>
    </row>
    <row r="101" spans="1:22" s="211" customFormat="1">
      <c r="A101" s="210"/>
      <c r="B101" s="210"/>
      <c r="C101" s="466" t="s">
        <v>378</v>
      </c>
      <c r="D101" s="466" t="s">
        <v>377</v>
      </c>
      <c r="E101" s="466"/>
      <c r="F101" s="466" t="str">
        <f t="shared" si="7"/>
        <v>ИнтКид</v>
      </c>
      <c r="G101" s="466" t="s">
        <v>218</v>
      </c>
      <c r="H101" s="466"/>
      <c r="I101" s="467">
        <f>1-POWER(1-I98,условия_KPI!$H$27/I99)</f>
        <v>0.20738181482449247</v>
      </c>
      <c r="J101" s="462"/>
      <c r="K101" s="462"/>
      <c r="L101" s="463"/>
      <c r="M101" s="462"/>
      <c r="N101" s="462"/>
      <c r="O101" s="464"/>
      <c r="P101" s="210"/>
      <c r="Q101" s="210"/>
      <c r="R101" s="210"/>
      <c r="S101" s="210"/>
      <c r="T101" s="210"/>
      <c r="U101" s="210"/>
    </row>
    <row r="102" spans="1:22" s="5" customFormat="1">
      <c r="A102" s="1"/>
      <c r="B102" s="1"/>
      <c r="C102" s="194" t="s">
        <v>317</v>
      </c>
      <c r="D102" s="194" t="s">
        <v>318</v>
      </c>
      <c r="E102" s="194"/>
      <c r="F102" s="194" t="str">
        <f>F100</f>
        <v>ИнтКид</v>
      </c>
      <c r="G102" s="194" t="s">
        <v>219</v>
      </c>
      <c r="H102" s="194"/>
      <c r="I102" s="195">
        <f>IF((I103+I105)=0,0,(I103*I104+I105*I106)/(I103+I105))</f>
        <v>-12.1190926026563</v>
      </c>
      <c r="J102" s="194"/>
      <c r="K102" s="194"/>
      <c r="L102" s="194"/>
      <c r="M102" s="194"/>
      <c r="N102" s="194"/>
      <c r="O102" s="194"/>
      <c r="P102" s="1"/>
      <c r="Q102" s="1"/>
      <c r="R102" s="1"/>
      <c r="S102" s="1"/>
      <c r="T102" s="1"/>
      <c r="U102" s="1"/>
      <c r="V102" s="1"/>
    </row>
    <row r="103" spans="1:22">
      <c r="A103" s="6"/>
      <c r="B103" s="6"/>
      <c r="C103" s="6" t="s">
        <v>319</v>
      </c>
      <c r="D103" s="6"/>
      <c r="E103" s="6" t="s">
        <v>275</v>
      </c>
      <c r="F103" s="6" t="str">
        <f t="shared" si="7"/>
        <v>ИнтКид</v>
      </c>
      <c r="G103" s="6" t="s">
        <v>261</v>
      </c>
      <c r="H103" s="6"/>
      <c r="I103" s="396">
        <f>SUMIFS(расчеты!$I:$I,расчеты!$D:$D,$E103,расчеты!$F:$F,$F103)</f>
        <v>107903.92000000003</v>
      </c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>
      <c r="A104" s="6"/>
      <c r="B104" s="6"/>
      <c r="C104" s="6"/>
      <c r="D104" s="6"/>
      <c r="E104" s="6" t="s">
        <v>310</v>
      </c>
      <c r="F104" s="6" t="str">
        <f t="shared" si="7"/>
        <v>ИнтКид</v>
      </c>
      <c r="G104" s="6" t="s">
        <v>219</v>
      </c>
      <c r="H104" s="6"/>
      <c r="I104" s="396">
        <f>SUMIFS(расчеты!$I:$I,расчеты!$D:$D,$E104,расчеты!$F:$F,$F104)</f>
        <v>-18.628117201762507</v>
      </c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>
      <c r="A105" s="6"/>
      <c r="B105" s="6"/>
      <c r="C105" s="6" t="s">
        <v>320</v>
      </c>
      <c r="D105" s="6"/>
      <c r="E105" s="6" t="s">
        <v>238</v>
      </c>
      <c r="F105" s="6" t="str">
        <f t="shared" si="7"/>
        <v>ИнтКид</v>
      </c>
      <c r="G105" s="6" t="s">
        <v>261</v>
      </c>
      <c r="H105" s="6"/>
      <c r="I105" s="396">
        <f>SUMIFS(расчеты!$I:$I,расчеты!$D:$D,$E105,расчеты!$F:$F,$F105)</f>
        <v>32675.41</v>
      </c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>
      <c r="A106" s="6"/>
      <c r="B106" s="6"/>
      <c r="C106" s="6"/>
      <c r="D106" s="6"/>
      <c r="E106" s="6" t="s">
        <v>281</v>
      </c>
      <c r="F106" s="6" t="str">
        <f t="shared" si="7"/>
        <v>ИнтКид</v>
      </c>
      <c r="G106" s="6" t="s">
        <v>219</v>
      </c>
      <c r="H106" s="6"/>
      <c r="I106" s="396">
        <f>SUMIFS(расчеты!$I:$I,расчеты!$D:$D,$E106,расчеты!$F:$F,$F106)</f>
        <v>9.3756421113071582</v>
      </c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2" s="93" customFormat="1" ht="15">
      <c r="A108" s="92"/>
      <c r="B108" s="92"/>
      <c r="C108" s="398" t="s">
        <v>352</v>
      </c>
      <c r="D108" s="399" t="s">
        <v>335</v>
      </c>
      <c r="E108" s="399"/>
      <c r="F108" s="401" t="str">
        <f>микс!$H$32</f>
        <v>КидсТрейд</v>
      </c>
      <c r="G108" s="399" t="s">
        <v>349</v>
      </c>
      <c r="H108" s="399"/>
      <c r="I108" s="421">
        <f>SUMPRODUCT(L109:L119,O109:O119)</f>
        <v>3.5</v>
      </c>
      <c r="J108" s="92"/>
      <c r="K108" s="6"/>
      <c r="L108" s="6"/>
      <c r="M108" s="6"/>
      <c r="N108" s="6"/>
      <c r="O108" s="6"/>
      <c r="P108" s="92"/>
      <c r="Q108" s="92"/>
      <c r="R108" s="92"/>
      <c r="S108" s="92"/>
      <c r="T108" s="92"/>
      <c r="U108" s="92"/>
    </row>
    <row r="109" spans="1:22" s="211" customFormat="1">
      <c r="A109" s="210"/>
      <c r="B109" s="210"/>
      <c r="C109" s="210" t="s">
        <v>337</v>
      </c>
      <c r="D109" s="210" t="s">
        <v>332</v>
      </c>
      <c r="E109" s="210"/>
      <c r="F109" s="210" t="str">
        <f>F108</f>
        <v>КидсТрейд</v>
      </c>
      <c r="G109" s="210" t="s">
        <v>218</v>
      </c>
      <c r="H109" s="210"/>
      <c r="I109" s="116">
        <f>SUMIFS(расчеты!$I:$I,расчеты!$D:$D,$D109,расчеты!$F:$F,$F109)</f>
        <v>5.7963607506221398E-2</v>
      </c>
      <c r="J109" s="210"/>
      <c r="K109" s="210" t="s">
        <v>341</v>
      </c>
      <c r="L109" s="416">
        <f>IF(I109&gt;=условия_KPI!$M$16,условия_KPI!$M$13,IF(I109&gt;=условия_KPI!$L$16,условия_KPI!$L$13,IF(I109&gt;=условия_KPI!$K$16,условия_KPI!$K$13,условия_KPI!$J$13)))</f>
        <v>3</v>
      </c>
      <c r="M109" s="210"/>
      <c r="N109" s="210" t="s">
        <v>345</v>
      </c>
      <c r="O109" s="417">
        <f>SUMIFS(условия_KPI!$P:$P,условия_KPI!$O:$O,$N109)</f>
        <v>0.2</v>
      </c>
      <c r="P109" s="210"/>
      <c r="Q109" s="210"/>
      <c r="R109" s="210"/>
      <c r="S109" s="210"/>
      <c r="T109" s="210"/>
      <c r="U109" s="210"/>
    </row>
    <row r="110" spans="1:22" s="211" customFormat="1">
      <c r="A110" s="210"/>
      <c r="B110" s="210"/>
      <c r="C110" s="210" t="s">
        <v>338</v>
      </c>
      <c r="D110" s="210" t="s">
        <v>277</v>
      </c>
      <c r="E110" s="210"/>
      <c r="F110" s="210" t="str">
        <f t="shared" ref="F110:F118" si="8">F109</f>
        <v>КидсТрейд</v>
      </c>
      <c r="G110" s="210" t="s">
        <v>218</v>
      </c>
      <c r="H110" s="210"/>
      <c r="I110" s="116">
        <f>SUMIFS(расчеты!$I:$I,расчеты!$D:$D,$D110,расчеты!$F:$F,$F110)</f>
        <v>0.14452500093009427</v>
      </c>
      <c r="J110" s="210"/>
      <c r="K110" s="210" t="s">
        <v>342</v>
      </c>
      <c r="L110" s="416">
        <f>IF(I110&gt;=условия_KPI!$M$18,условия_KPI!$M$13,IF(I110&gt;=условия_KPI!$L$18,условия_KPI!$L$13,IF(I110&gt;=условия_KPI!$K$18,условия_KPI!$K$13,условия_KPI!$J$13)))</f>
        <v>4</v>
      </c>
      <c r="M110" s="210"/>
      <c r="N110" s="210" t="s">
        <v>346</v>
      </c>
      <c r="O110" s="417">
        <f>SUMIFS(условия_KPI!$P:$P,условия_KPI!$O:$O,$N110)</f>
        <v>0.3</v>
      </c>
      <c r="P110" s="210"/>
      <c r="Q110" s="210"/>
      <c r="R110" s="210"/>
      <c r="S110" s="210"/>
      <c r="T110" s="210"/>
      <c r="U110" s="210"/>
    </row>
    <row r="111" spans="1:22" s="5" customFormat="1">
      <c r="A111" s="1"/>
      <c r="B111" s="1"/>
      <c r="C111" s="1" t="s">
        <v>339</v>
      </c>
      <c r="D111" s="1" t="s">
        <v>237</v>
      </c>
      <c r="E111" s="1"/>
      <c r="F111" s="1" t="str">
        <f t="shared" si="8"/>
        <v>КидсТрейд</v>
      </c>
      <c r="G111" s="1" t="s">
        <v>219</v>
      </c>
      <c r="H111" s="1"/>
      <c r="I111" s="90">
        <f>SUMIFS(ПОбТЗ_3!$H:$H,ПОбТЗ_3!$D:$D,$D111,ПОбТЗ_3!$E:$E,$F111)</f>
        <v>65.025556949462043</v>
      </c>
      <c r="J111" s="1"/>
      <c r="K111" s="1" t="s">
        <v>343</v>
      </c>
      <c r="L111" s="90">
        <f>IF(I111&gt;=условия_KPI!$J$20,условия_KPI!$J$13,IF(I111&gt;=условия_KPI!$K$20,условия_KPI!$K$13,IF(I111&gt;=условия_KPI!$L$20,условия_KPI!$L$13,условия_KPI!$M$13)))</f>
        <v>3</v>
      </c>
      <c r="M111" s="1"/>
      <c r="N111" s="210" t="s">
        <v>347</v>
      </c>
      <c r="O111" s="417">
        <f>SUMIFS(условия_KPI!$P:$P,условия_KPI!$O:$O,$N111)</f>
        <v>0.3</v>
      </c>
      <c r="P111" s="1"/>
      <c r="Q111" s="1"/>
      <c r="R111" s="1"/>
      <c r="S111" s="1"/>
      <c r="T111" s="1"/>
      <c r="U111" s="1"/>
    </row>
    <row r="112" spans="1:22" s="5" customFormat="1">
      <c r="A112" s="1"/>
      <c r="B112" s="1"/>
      <c r="C112" s="168" t="s">
        <v>340</v>
      </c>
      <c r="D112" s="168" t="s">
        <v>333</v>
      </c>
      <c r="E112" s="168"/>
      <c r="F112" s="168" t="str">
        <f t="shared" si="8"/>
        <v>КидсТрейд</v>
      </c>
      <c r="G112" s="168" t="s">
        <v>261</v>
      </c>
      <c r="H112" s="168"/>
      <c r="I112" s="169">
        <f>SUMIFS(расчеты!$I:$I,расчеты!$D:$D,$D112,расчеты!$F:$F,$F112)</f>
        <v>5513.6410256410254</v>
      </c>
      <c r="J112" s="168"/>
      <c r="K112" s="168" t="s">
        <v>344</v>
      </c>
      <c r="L112" s="169">
        <f>IF(I112&gt;=условия_KPI!$M$22,условия_KPI!$M$13,IF(I112&gt;=условия_KPI!$L$22,условия_KPI!$L$13,IF(I112&gt;=условия_KPI!$K$22,условия_KPI!$K$13,условия_KPI!$J$13)))</f>
        <v>4</v>
      </c>
      <c r="M112" s="168"/>
      <c r="N112" s="460" t="s">
        <v>348</v>
      </c>
      <c r="O112" s="461">
        <f>SUMIFS(условия_KPI!$P:$P,условия_KPI!$O:$O,$N112)</f>
        <v>0.2</v>
      </c>
      <c r="P112" s="1"/>
      <c r="Q112" s="1"/>
      <c r="R112" s="1"/>
      <c r="S112" s="1"/>
      <c r="T112" s="1"/>
      <c r="U112" s="1"/>
    </row>
    <row r="113" spans="1:22" s="211" customFormat="1">
      <c r="A113" s="210"/>
      <c r="B113" s="210"/>
      <c r="C113" s="466" t="s">
        <v>378</v>
      </c>
      <c r="D113" s="466" t="s">
        <v>377</v>
      </c>
      <c r="E113" s="466"/>
      <c r="F113" s="466" t="str">
        <f t="shared" si="8"/>
        <v>КидсТрейд</v>
      </c>
      <c r="G113" s="466" t="s">
        <v>218</v>
      </c>
      <c r="H113" s="466"/>
      <c r="I113" s="467">
        <f>1-POWER(1-I110,условия_KPI!$H$27/I111)</f>
        <v>4.6877081105307861E-2</v>
      </c>
      <c r="J113" s="462"/>
      <c r="K113" s="462"/>
      <c r="L113" s="463"/>
      <c r="M113" s="462"/>
      <c r="N113" s="462"/>
      <c r="O113" s="464"/>
      <c r="P113" s="210"/>
      <c r="Q113" s="210"/>
      <c r="R113" s="210"/>
      <c r="S113" s="210"/>
      <c r="T113" s="210"/>
      <c r="U113" s="210"/>
    </row>
    <row r="114" spans="1:22" s="5" customFormat="1">
      <c r="A114" s="1"/>
      <c r="B114" s="1"/>
      <c r="C114" s="194" t="s">
        <v>317</v>
      </c>
      <c r="D114" s="194" t="s">
        <v>318</v>
      </c>
      <c r="E114" s="194"/>
      <c r="F114" s="194" t="str">
        <f>F112</f>
        <v>КидсТрейд</v>
      </c>
      <c r="G114" s="194" t="s">
        <v>219</v>
      </c>
      <c r="H114" s="194"/>
      <c r="I114" s="195">
        <f>IF((I115+I117)=0,0,(I115*I116+I117*I118)/(I115+I117))</f>
        <v>30.644399298107242</v>
      </c>
      <c r="J114" s="194"/>
      <c r="K114" s="194"/>
      <c r="L114" s="194"/>
      <c r="M114" s="194"/>
      <c r="N114" s="194"/>
      <c r="O114" s="194"/>
      <c r="P114" s="1"/>
      <c r="Q114" s="1"/>
      <c r="R114" s="1"/>
      <c r="S114" s="1"/>
      <c r="T114" s="1"/>
      <c r="U114" s="1"/>
      <c r="V114" s="1"/>
    </row>
    <row r="115" spans="1:22">
      <c r="A115" s="6"/>
      <c r="B115" s="6"/>
      <c r="C115" s="6" t="s">
        <v>319</v>
      </c>
      <c r="D115" s="6"/>
      <c r="E115" s="6" t="s">
        <v>275</v>
      </c>
      <c r="F115" s="6" t="str">
        <f t="shared" si="8"/>
        <v>КидсТрейд</v>
      </c>
      <c r="G115" s="6" t="s">
        <v>261</v>
      </c>
      <c r="H115" s="6"/>
      <c r="I115" s="396">
        <f>SUMIFS(расчеты!$I:$I,расчеты!$D:$D,$E115,расчеты!$F:$F,$F115)</f>
        <v>183954.49999999997</v>
      </c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>
      <c r="A116" s="6"/>
      <c r="B116" s="6"/>
      <c r="C116" s="6"/>
      <c r="D116" s="6"/>
      <c r="E116" s="6" t="s">
        <v>310</v>
      </c>
      <c r="F116" s="6" t="str">
        <f t="shared" si="8"/>
        <v>КидсТрейд</v>
      </c>
      <c r="G116" s="6" t="s">
        <v>219</v>
      </c>
      <c r="H116" s="6"/>
      <c r="I116" s="396">
        <f>SUMIFS(расчеты!$I:$I,расчеты!$D:$D,$E116,расчеты!$F:$F,$F116)</f>
        <v>5.2072854791622376</v>
      </c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>
      <c r="A117" s="6"/>
      <c r="B117" s="6"/>
      <c r="C117" s="6" t="s">
        <v>320</v>
      </c>
      <c r="D117" s="6"/>
      <c r="E117" s="6" t="s">
        <v>238</v>
      </c>
      <c r="F117" s="6" t="str">
        <f t="shared" si="8"/>
        <v>КидсТрейд</v>
      </c>
      <c r="G117" s="6" t="s">
        <v>261</v>
      </c>
      <c r="H117" s="6"/>
      <c r="I117" s="396">
        <f>SUMIFS(расчеты!$I:$I,расчеты!$D:$D,$E117,расчеты!$F:$F,$F117)</f>
        <v>47618.14</v>
      </c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>
      <c r="A118" s="6"/>
      <c r="B118" s="6"/>
      <c r="C118" s="6"/>
      <c r="D118" s="6"/>
      <c r="E118" s="6" t="s">
        <v>281</v>
      </c>
      <c r="F118" s="6" t="str">
        <f t="shared" si="8"/>
        <v>КидсТрейд</v>
      </c>
      <c r="G118" s="6" t="s">
        <v>219</v>
      </c>
      <c r="H118" s="6"/>
      <c r="I118" s="396">
        <f>SUMIFS(расчеты!$I:$I,расчеты!$D:$D,$E118,расчеты!$F:$F,$F118)</f>
        <v>128.91097489318756</v>
      </c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2" s="93" customFormat="1" ht="15">
      <c r="A120" s="92"/>
      <c r="B120" s="92"/>
      <c r="C120" s="398" t="s">
        <v>352</v>
      </c>
      <c r="D120" s="399" t="s">
        <v>335</v>
      </c>
      <c r="E120" s="399"/>
      <c r="F120" s="401" t="str">
        <f>микс!$H$33</f>
        <v>КлиматКо</v>
      </c>
      <c r="G120" s="399" t="s">
        <v>349</v>
      </c>
      <c r="H120" s="399"/>
      <c r="I120" s="421">
        <f>SUMPRODUCT(L121:L131,O121:O131)</f>
        <v>3.1</v>
      </c>
      <c r="J120" s="92"/>
      <c r="K120" s="6"/>
      <c r="L120" s="6"/>
      <c r="M120" s="6"/>
      <c r="N120" s="6"/>
      <c r="O120" s="6"/>
      <c r="P120" s="92"/>
      <c r="Q120" s="92"/>
      <c r="R120" s="92"/>
      <c r="S120" s="92"/>
      <c r="T120" s="92"/>
      <c r="U120" s="92"/>
    </row>
    <row r="121" spans="1:22" s="211" customFormat="1">
      <c r="A121" s="210"/>
      <c r="B121" s="210"/>
      <c r="C121" s="210" t="s">
        <v>337</v>
      </c>
      <c r="D121" s="210" t="s">
        <v>332</v>
      </c>
      <c r="E121" s="210"/>
      <c r="F121" s="210" t="str">
        <f>F120</f>
        <v>КлиматКо</v>
      </c>
      <c r="G121" s="210" t="s">
        <v>218</v>
      </c>
      <c r="H121" s="210"/>
      <c r="I121" s="116">
        <f>SUMIFS(расчеты!$I:$I,расчеты!$D:$D,$D121,расчеты!$F:$F,$F121)</f>
        <v>3.3707156442868785E-2</v>
      </c>
      <c r="J121" s="210"/>
      <c r="K121" s="210" t="s">
        <v>341</v>
      </c>
      <c r="L121" s="416">
        <f>IF(I121&gt;=условия_KPI!$M$16,условия_KPI!$M$13,IF(I121&gt;=условия_KPI!$L$16,условия_KPI!$L$13,IF(I121&gt;=условия_KPI!$K$16,условия_KPI!$K$13,условия_KPI!$J$13)))</f>
        <v>2</v>
      </c>
      <c r="M121" s="210"/>
      <c r="N121" s="210" t="s">
        <v>345</v>
      </c>
      <c r="O121" s="417">
        <f>SUMIFS(условия_KPI!$P:$P,условия_KPI!$O:$O,$N121)</f>
        <v>0.2</v>
      </c>
      <c r="P121" s="210"/>
      <c r="Q121" s="210"/>
      <c r="R121" s="210"/>
      <c r="S121" s="210"/>
      <c r="T121" s="210"/>
      <c r="U121" s="210"/>
    </row>
    <row r="122" spans="1:22" s="211" customFormat="1">
      <c r="A122" s="210"/>
      <c r="B122" s="210"/>
      <c r="C122" s="210" t="s">
        <v>338</v>
      </c>
      <c r="D122" s="210" t="s">
        <v>277</v>
      </c>
      <c r="E122" s="210"/>
      <c r="F122" s="210" t="str">
        <f t="shared" ref="F122:F130" si="9">F121</f>
        <v>КлиматКо</v>
      </c>
      <c r="G122" s="210" t="s">
        <v>218</v>
      </c>
      <c r="H122" s="210"/>
      <c r="I122" s="116">
        <f>SUMIFS(расчеты!$I:$I,расчеты!$D:$D,$D122,расчеты!$F:$F,$F122)</f>
        <v>8.6877948914799275E-2</v>
      </c>
      <c r="J122" s="210"/>
      <c r="K122" s="210" t="s">
        <v>342</v>
      </c>
      <c r="L122" s="416">
        <f>IF(I122&gt;=условия_KPI!$M$18,условия_KPI!$M$13,IF(I122&gt;=условия_KPI!$L$18,условия_KPI!$L$13,IF(I122&gt;=условия_KPI!$K$18,условия_KPI!$K$13,условия_KPI!$J$13)))</f>
        <v>3</v>
      </c>
      <c r="M122" s="210"/>
      <c r="N122" s="210" t="s">
        <v>346</v>
      </c>
      <c r="O122" s="417">
        <f>SUMIFS(условия_KPI!$P:$P,условия_KPI!$O:$O,$N122)</f>
        <v>0.3</v>
      </c>
      <c r="P122" s="210"/>
      <c r="Q122" s="210"/>
      <c r="R122" s="210"/>
      <c r="S122" s="210"/>
      <c r="T122" s="210"/>
      <c r="U122" s="210"/>
    </row>
    <row r="123" spans="1:22" s="5" customFormat="1">
      <c r="A123" s="1"/>
      <c r="B123" s="1"/>
      <c r="C123" s="1" t="s">
        <v>339</v>
      </c>
      <c r="D123" s="1" t="s">
        <v>237</v>
      </c>
      <c r="E123" s="1"/>
      <c r="F123" s="1" t="str">
        <f t="shared" si="9"/>
        <v>КлиматКо</v>
      </c>
      <c r="G123" s="1" t="s">
        <v>219</v>
      </c>
      <c r="H123" s="1"/>
      <c r="I123" s="90">
        <f>SUMIFS(ПОбТЗ_3!$H:$H,ПОбТЗ_3!$D:$D,$D123,ПОбТЗ_3!$E:$E,$F123)</f>
        <v>43.508917116450903</v>
      </c>
      <c r="J123" s="1"/>
      <c r="K123" s="1" t="s">
        <v>343</v>
      </c>
      <c r="L123" s="90">
        <f>IF(I123&gt;=условия_KPI!$J$20,условия_KPI!$J$13,IF(I123&gt;=условия_KPI!$K$20,условия_KPI!$K$13,IF(I123&gt;=условия_KPI!$L$20,условия_KPI!$L$13,условия_KPI!$M$13)))</f>
        <v>4</v>
      </c>
      <c r="M123" s="1"/>
      <c r="N123" s="210" t="s">
        <v>347</v>
      </c>
      <c r="O123" s="417">
        <f>SUMIFS(условия_KPI!$P:$P,условия_KPI!$O:$O,$N123)</f>
        <v>0.3</v>
      </c>
      <c r="P123" s="1"/>
      <c r="Q123" s="1"/>
      <c r="R123" s="1"/>
      <c r="S123" s="1"/>
      <c r="T123" s="1"/>
      <c r="U123" s="1"/>
    </row>
    <row r="124" spans="1:22" s="5" customFormat="1">
      <c r="A124" s="1"/>
      <c r="B124" s="1"/>
      <c r="C124" s="168" t="s">
        <v>340</v>
      </c>
      <c r="D124" s="168" t="s">
        <v>333</v>
      </c>
      <c r="E124" s="168"/>
      <c r="F124" s="168" t="str">
        <f t="shared" si="9"/>
        <v>КлиматКо</v>
      </c>
      <c r="G124" s="168" t="s">
        <v>261</v>
      </c>
      <c r="H124" s="168"/>
      <c r="I124" s="169">
        <f>SUMIFS(расчеты!$I:$I,расчеты!$D:$D,$D124,расчеты!$F:$F,$F124)</f>
        <v>4465.9285714285716</v>
      </c>
      <c r="J124" s="168"/>
      <c r="K124" s="168" t="s">
        <v>344</v>
      </c>
      <c r="L124" s="169">
        <f>IF(I124&gt;=условия_KPI!$M$22,условия_KPI!$M$13,IF(I124&gt;=условия_KPI!$L$22,условия_KPI!$L$13,IF(I124&gt;=условия_KPI!$K$22,условия_KPI!$K$13,условия_KPI!$J$13)))</f>
        <v>3</v>
      </c>
      <c r="M124" s="168"/>
      <c r="N124" s="460" t="s">
        <v>348</v>
      </c>
      <c r="O124" s="461">
        <f>SUMIFS(условия_KPI!$P:$P,условия_KPI!$O:$O,$N124)</f>
        <v>0.2</v>
      </c>
      <c r="P124" s="1"/>
      <c r="Q124" s="1"/>
      <c r="R124" s="1"/>
      <c r="S124" s="1"/>
      <c r="T124" s="1"/>
      <c r="U124" s="1"/>
    </row>
    <row r="125" spans="1:22" s="211" customFormat="1">
      <c r="A125" s="210"/>
      <c r="B125" s="210"/>
      <c r="C125" s="466" t="s">
        <v>378</v>
      </c>
      <c r="D125" s="466" t="s">
        <v>377</v>
      </c>
      <c r="E125" s="466"/>
      <c r="F125" s="466" t="str">
        <f t="shared" si="9"/>
        <v>КлиматКо</v>
      </c>
      <c r="G125" s="466" t="s">
        <v>218</v>
      </c>
      <c r="H125" s="466"/>
      <c r="I125" s="467">
        <f>1-POWER(1-I122,условия_KPI!$H$27/I123)</f>
        <v>4.0917304218837325E-2</v>
      </c>
      <c r="J125" s="462"/>
      <c r="K125" s="462"/>
      <c r="L125" s="463"/>
      <c r="M125" s="462"/>
      <c r="N125" s="462"/>
      <c r="O125" s="464"/>
      <c r="P125" s="210"/>
      <c r="Q125" s="210"/>
      <c r="R125" s="210"/>
      <c r="S125" s="210"/>
      <c r="T125" s="210"/>
      <c r="U125" s="210"/>
    </row>
    <row r="126" spans="1:22" s="5" customFormat="1">
      <c r="A126" s="1"/>
      <c r="B126" s="1"/>
      <c r="C126" s="194" t="s">
        <v>317</v>
      </c>
      <c r="D126" s="194" t="s">
        <v>318</v>
      </c>
      <c r="E126" s="194"/>
      <c r="F126" s="194" t="str">
        <f>F124</f>
        <v>КлиматКо</v>
      </c>
      <c r="G126" s="194" t="s">
        <v>219</v>
      </c>
      <c r="H126" s="194"/>
      <c r="I126" s="195">
        <f>IF((I127+I129)=0,0,(I127*I128+I129*I130)/(I127+I129))</f>
        <v>17.43659476834171</v>
      </c>
      <c r="J126" s="194"/>
      <c r="K126" s="194"/>
      <c r="L126" s="194"/>
      <c r="M126" s="194"/>
      <c r="N126" s="194"/>
      <c r="O126" s="194"/>
      <c r="P126" s="1"/>
      <c r="Q126" s="1"/>
      <c r="R126" s="1"/>
      <c r="S126" s="1"/>
      <c r="T126" s="1"/>
      <c r="U126" s="1"/>
      <c r="V126" s="1"/>
    </row>
    <row r="127" spans="1:22">
      <c r="A127" s="6"/>
      <c r="B127" s="6"/>
      <c r="C127" s="6" t="s">
        <v>319</v>
      </c>
      <c r="D127" s="6"/>
      <c r="E127" s="6" t="s">
        <v>275</v>
      </c>
      <c r="F127" s="6" t="str">
        <f t="shared" si="9"/>
        <v>КлиматКо</v>
      </c>
      <c r="G127" s="6" t="s">
        <v>261</v>
      </c>
      <c r="H127" s="6"/>
      <c r="I127" s="396">
        <f>SUMIFS(расчеты!$I:$I,расчеты!$D:$D,$E127,расчеты!$F:$F,$F127)</f>
        <v>114182.26000000001</v>
      </c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>
      <c r="A128" s="6"/>
      <c r="B128" s="6"/>
      <c r="C128" s="6"/>
      <c r="D128" s="6"/>
      <c r="E128" s="6" t="s">
        <v>310</v>
      </c>
      <c r="F128" s="6" t="str">
        <f t="shared" si="9"/>
        <v>КлиматКо</v>
      </c>
      <c r="G128" s="6" t="s">
        <v>219</v>
      </c>
      <c r="H128" s="6"/>
      <c r="I128" s="396">
        <f>SUMIFS(расчеты!$I:$I,расчеты!$D:$D,$E128,расчеты!$F:$F,$F128)</f>
        <v>5.8509069424253539</v>
      </c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>
      <c r="A129" s="6"/>
      <c r="B129" s="6"/>
      <c r="C129" s="6" t="s">
        <v>320</v>
      </c>
      <c r="D129" s="6"/>
      <c r="E129" s="6" t="s">
        <v>238</v>
      </c>
      <c r="F129" s="6" t="str">
        <f t="shared" si="9"/>
        <v>КлиматКо</v>
      </c>
      <c r="G129" s="6" t="s">
        <v>261</v>
      </c>
      <c r="H129" s="6"/>
      <c r="I129" s="396">
        <f>SUMIFS(расчеты!$I:$I,расчеты!$D:$D,$E129,расчеты!$F:$F,$F129)</f>
        <v>50976.86</v>
      </c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>
      <c r="A130" s="6"/>
      <c r="B130" s="6"/>
      <c r="C130" s="6"/>
      <c r="D130" s="6"/>
      <c r="E130" s="6" t="s">
        <v>281</v>
      </c>
      <c r="F130" s="6" t="str">
        <f t="shared" si="9"/>
        <v>КлиматКо</v>
      </c>
      <c r="G130" s="6" t="s">
        <v>219</v>
      </c>
      <c r="H130" s="6"/>
      <c r="I130" s="396">
        <f>SUMIFS(расчеты!$I:$I,расчеты!$D:$D,$E130,расчеты!$F:$F,$F130)</f>
        <v>43.387193130375309</v>
      </c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2" s="93" customFormat="1" ht="15">
      <c r="A132" s="92"/>
      <c r="B132" s="92"/>
      <c r="C132" s="398" t="s">
        <v>352</v>
      </c>
      <c r="D132" s="399" t="s">
        <v>335</v>
      </c>
      <c r="E132" s="399"/>
      <c r="F132" s="401" t="str">
        <f>микс!$H$34</f>
        <v>Лайтс</v>
      </c>
      <c r="G132" s="399" t="s">
        <v>349</v>
      </c>
      <c r="H132" s="399"/>
      <c r="I132" s="421">
        <f>SUMPRODUCT(L133:L143,O133:O143)</f>
        <v>3.5</v>
      </c>
      <c r="J132" s="92"/>
      <c r="K132" s="6"/>
      <c r="L132" s="6"/>
      <c r="M132" s="6"/>
      <c r="N132" s="6"/>
      <c r="O132" s="6"/>
      <c r="P132" s="92"/>
      <c r="Q132" s="92"/>
      <c r="R132" s="92"/>
      <c r="S132" s="92"/>
      <c r="T132" s="92"/>
      <c r="U132" s="92"/>
    </row>
    <row r="133" spans="1:22" s="211" customFormat="1">
      <c r="A133" s="210"/>
      <c r="B133" s="210"/>
      <c r="C133" s="210" t="s">
        <v>337</v>
      </c>
      <c r="D133" s="210" t="s">
        <v>332</v>
      </c>
      <c r="E133" s="210"/>
      <c r="F133" s="210" t="str">
        <f>F132</f>
        <v>Лайтс</v>
      </c>
      <c r="G133" s="210" t="s">
        <v>218</v>
      </c>
      <c r="H133" s="210"/>
      <c r="I133" s="116">
        <f>SUMIFS(расчеты!$I:$I,расчеты!$D:$D,$D133,расчеты!$F:$F,$F133)</f>
        <v>6.161342355980523E-2</v>
      </c>
      <c r="J133" s="210"/>
      <c r="K133" s="210" t="s">
        <v>341</v>
      </c>
      <c r="L133" s="416">
        <f>IF(I133&gt;=условия_KPI!$M$16,условия_KPI!$M$13,IF(I133&gt;=условия_KPI!$L$16,условия_KPI!$L$13,IF(I133&gt;=условия_KPI!$K$16,условия_KPI!$K$13,условия_KPI!$J$13)))</f>
        <v>3</v>
      </c>
      <c r="M133" s="210"/>
      <c r="N133" s="210" t="s">
        <v>345</v>
      </c>
      <c r="O133" s="417">
        <f>SUMIFS(условия_KPI!$P:$P,условия_KPI!$O:$O,$N133)</f>
        <v>0.2</v>
      </c>
      <c r="P133" s="210"/>
      <c r="Q133" s="210"/>
      <c r="R133" s="210"/>
      <c r="S133" s="210"/>
      <c r="T133" s="210"/>
      <c r="U133" s="210"/>
    </row>
    <row r="134" spans="1:22" s="211" customFormat="1">
      <c r="A134" s="210"/>
      <c r="B134" s="210"/>
      <c r="C134" s="210" t="s">
        <v>338</v>
      </c>
      <c r="D134" s="210" t="s">
        <v>277</v>
      </c>
      <c r="E134" s="210"/>
      <c r="F134" s="210" t="str">
        <f t="shared" ref="F134:F142" si="10">F133</f>
        <v>Лайтс</v>
      </c>
      <c r="G134" s="210" t="s">
        <v>218</v>
      </c>
      <c r="H134" s="210"/>
      <c r="I134" s="116">
        <f>SUMIFS(расчеты!$I:$I,расчеты!$D:$D,$D134,расчеты!$F:$F,$F134)</f>
        <v>0.12741149397126511</v>
      </c>
      <c r="J134" s="210"/>
      <c r="K134" s="210" t="s">
        <v>342</v>
      </c>
      <c r="L134" s="416">
        <f>IF(I134&gt;=условия_KPI!$M$18,условия_KPI!$M$13,IF(I134&gt;=условия_KPI!$L$18,условия_KPI!$L$13,IF(I134&gt;=условия_KPI!$K$18,условия_KPI!$K$13,условия_KPI!$J$13)))</f>
        <v>3</v>
      </c>
      <c r="M134" s="210"/>
      <c r="N134" s="210" t="s">
        <v>346</v>
      </c>
      <c r="O134" s="417">
        <f>SUMIFS(условия_KPI!$P:$P,условия_KPI!$O:$O,$N134)</f>
        <v>0.3</v>
      </c>
      <c r="P134" s="210"/>
      <c r="Q134" s="210"/>
      <c r="R134" s="210"/>
      <c r="S134" s="210"/>
      <c r="T134" s="210"/>
      <c r="U134" s="210"/>
    </row>
    <row r="135" spans="1:22" s="5" customFormat="1">
      <c r="A135" s="1"/>
      <c r="B135" s="1"/>
      <c r="C135" s="1" t="s">
        <v>339</v>
      </c>
      <c r="D135" s="1" t="s">
        <v>237</v>
      </c>
      <c r="E135" s="1"/>
      <c r="F135" s="1" t="str">
        <f t="shared" si="10"/>
        <v>Лайтс</v>
      </c>
      <c r="G135" s="1" t="s">
        <v>219</v>
      </c>
      <c r="H135" s="1"/>
      <c r="I135" s="90">
        <f>SUMIFS(ПОбТЗ_3!$H:$H,ПОбТЗ_3!$D:$D,$D135,ПОбТЗ_3!$E:$E,$F135)</f>
        <v>28.094299718461116</v>
      </c>
      <c r="J135" s="1"/>
      <c r="K135" s="1" t="s">
        <v>343</v>
      </c>
      <c r="L135" s="90">
        <f>IF(I135&gt;=условия_KPI!$J$20,условия_KPI!$J$13,IF(I135&gt;=условия_KPI!$K$20,условия_KPI!$K$13,IF(I135&gt;=условия_KPI!$L$20,условия_KPI!$L$13,условия_KPI!$M$13)))</f>
        <v>4</v>
      </c>
      <c r="M135" s="1"/>
      <c r="N135" s="210" t="s">
        <v>347</v>
      </c>
      <c r="O135" s="417">
        <f>SUMIFS(условия_KPI!$P:$P,условия_KPI!$O:$O,$N135)</f>
        <v>0.3</v>
      </c>
      <c r="P135" s="1"/>
      <c r="Q135" s="1"/>
      <c r="R135" s="1"/>
      <c r="S135" s="1"/>
      <c r="T135" s="1"/>
      <c r="U135" s="1"/>
    </row>
    <row r="136" spans="1:22" s="5" customFormat="1">
      <c r="A136" s="1"/>
      <c r="B136" s="1"/>
      <c r="C136" s="168" t="s">
        <v>340</v>
      </c>
      <c r="D136" s="168" t="s">
        <v>333</v>
      </c>
      <c r="E136" s="168"/>
      <c r="F136" s="168" t="str">
        <f t="shared" si="10"/>
        <v>Лайтс</v>
      </c>
      <c r="G136" s="168" t="s">
        <v>261</v>
      </c>
      <c r="H136" s="168"/>
      <c r="I136" s="169">
        <f>SUMIFS(расчеты!$I:$I,расчеты!$D:$D,$D136,расчеты!$F:$F,$F136)</f>
        <v>6349.2222222222226</v>
      </c>
      <c r="J136" s="168"/>
      <c r="K136" s="168" t="s">
        <v>344</v>
      </c>
      <c r="L136" s="169">
        <f>IF(I136&gt;=условия_KPI!$M$22,условия_KPI!$M$13,IF(I136&gt;=условия_KPI!$L$22,условия_KPI!$L$13,IF(I136&gt;=условия_KPI!$K$22,условия_KPI!$K$13,условия_KPI!$J$13)))</f>
        <v>4</v>
      </c>
      <c r="M136" s="168"/>
      <c r="N136" s="460" t="s">
        <v>348</v>
      </c>
      <c r="O136" s="461">
        <f>SUMIFS(условия_KPI!$P:$P,условия_KPI!$O:$O,$N136)</f>
        <v>0.2</v>
      </c>
      <c r="P136" s="1"/>
      <c r="Q136" s="1"/>
      <c r="R136" s="1"/>
      <c r="S136" s="1"/>
      <c r="T136" s="1"/>
      <c r="U136" s="1"/>
    </row>
    <row r="137" spans="1:22" s="211" customFormat="1">
      <c r="A137" s="210"/>
      <c r="B137" s="210"/>
      <c r="C137" s="466" t="s">
        <v>378</v>
      </c>
      <c r="D137" s="466" t="s">
        <v>377</v>
      </c>
      <c r="E137" s="466"/>
      <c r="F137" s="466" t="str">
        <f t="shared" si="10"/>
        <v>Лайтс</v>
      </c>
      <c r="G137" s="466" t="s">
        <v>218</v>
      </c>
      <c r="H137" s="466"/>
      <c r="I137" s="467">
        <f>1-POWER(1-I134,условия_KPI!$H$27/I135)</f>
        <v>9.2465854855537932E-2</v>
      </c>
      <c r="J137" s="462"/>
      <c r="K137" s="462"/>
      <c r="L137" s="463"/>
      <c r="M137" s="462"/>
      <c r="N137" s="462"/>
      <c r="O137" s="464"/>
      <c r="P137" s="210"/>
      <c r="Q137" s="210"/>
      <c r="R137" s="210"/>
      <c r="S137" s="210"/>
      <c r="T137" s="210"/>
      <c r="U137" s="210"/>
    </row>
    <row r="138" spans="1:22" s="5" customFormat="1">
      <c r="A138" s="1"/>
      <c r="B138" s="1"/>
      <c r="C138" s="194" t="s">
        <v>317</v>
      </c>
      <c r="D138" s="194" t="s">
        <v>318</v>
      </c>
      <c r="E138" s="194"/>
      <c r="F138" s="194" t="str">
        <f>F136</f>
        <v>Лайтс</v>
      </c>
      <c r="G138" s="194" t="s">
        <v>219</v>
      </c>
      <c r="H138" s="194"/>
      <c r="I138" s="195">
        <f>IF((I139+I141)=0,0,(I139*I140+I141*I142)/(I139+I141))</f>
        <v>-5.2662644003657455</v>
      </c>
      <c r="J138" s="194"/>
      <c r="K138" s="194"/>
      <c r="L138" s="194"/>
      <c r="M138" s="194"/>
      <c r="N138" s="194"/>
      <c r="O138" s="194"/>
      <c r="P138" s="1"/>
      <c r="Q138" s="1"/>
      <c r="R138" s="1"/>
      <c r="S138" s="1"/>
      <c r="T138" s="1"/>
      <c r="U138" s="1"/>
      <c r="V138" s="1"/>
    </row>
    <row r="139" spans="1:22">
      <c r="A139" s="6"/>
      <c r="B139" s="6"/>
      <c r="C139" s="6" t="s">
        <v>319</v>
      </c>
      <c r="D139" s="6"/>
      <c r="E139" s="6" t="s">
        <v>275</v>
      </c>
      <c r="F139" s="6" t="str">
        <f t="shared" si="10"/>
        <v>Лайтс</v>
      </c>
      <c r="G139" s="6" t="s">
        <v>261</v>
      </c>
      <c r="H139" s="6"/>
      <c r="I139" s="396">
        <f>SUMIFS(расчеты!$I:$I,расчеты!$D:$D,$E139,расчеты!$F:$F,$F139)</f>
        <v>199449.3</v>
      </c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>
      <c r="A140" s="6"/>
      <c r="B140" s="6"/>
      <c r="C140" s="6"/>
      <c r="D140" s="6"/>
      <c r="E140" s="6" t="s">
        <v>310</v>
      </c>
      <c r="F140" s="6" t="str">
        <f t="shared" si="10"/>
        <v>Лайтс</v>
      </c>
      <c r="G140" s="6" t="s">
        <v>219</v>
      </c>
      <c r="H140" s="6"/>
      <c r="I140" s="396">
        <f>SUMIFS(расчеты!$I:$I,расчеты!$D:$D,$E140,расчеты!$F:$F,$F140)</f>
        <v>-16.73407134439185</v>
      </c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>
      <c r="A141" s="6"/>
      <c r="B141" s="6"/>
      <c r="C141" s="6" t="s">
        <v>320</v>
      </c>
      <c r="D141" s="6"/>
      <c r="E141" s="6" t="s">
        <v>238</v>
      </c>
      <c r="F141" s="6" t="str">
        <f t="shared" si="10"/>
        <v>Лайтс</v>
      </c>
      <c r="G141" s="6" t="s">
        <v>261</v>
      </c>
      <c r="H141" s="6"/>
      <c r="I141" s="396">
        <f>SUMIFS(расчеты!$I:$I,расчеты!$D:$D,$E141,расчеты!$F:$F,$F141)</f>
        <v>64283.65</v>
      </c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>
      <c r="A142" s="6"/>
      <c r="B142" s="6"/>
      <c r="C142" s="6"/>
      <c r="D142" s="6"/>
      <c r="E142" s="6" t="s">
        <v>281</v>
      </c>
      <c r="F142" s="6" t="str">
        <f t="shared" si="10"/>
        <v>Лайтс</v>
      </c>
      <c r="G142" s="6" t="s">
        <v>219</v>
      </c>
      <c r="H142" s="6"/>
      <c r="I142" s="396">
        <f>SUMIFS(расчеты!$I:$I,расчеты!$D:$D,$E142,расчеты!$F:$F,$F142)</f>
        <v>30.314261402402849</v>
      </c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1:22" s="93" customFormat="1" ht="15">
      <c r="A144" s="92"/>
      <c r="B144" s="92"/>
      <c r="C144" s="398" t="s">
        <v>352</v>
      </c>
      <c r="D144" s="399" t="s">
        <v>335</v>
      </c>
      <c r="E144" s="399"/>
      <c r="F144" s="401" t="str">
        <f>микс!$H$35</f>
        <v>Лекс</v>
      </c>
      <c r="G144" s="399" t="s">
        <v>349</v>
      </c>
      <c r="H144" s="399"/>
      <c r="I144" s="421">
        <f>SUMPRODUCT(L145:L155,O145:O155)</f>
        <v>2</v>
      </c>
      <c r="J144" s="92"/>
      <c r="K144" s="6"/>
      <c r="L144" s="6"/>
      <c r="M144" s="6"/>
      <c r="N144" s="6"/>
      <c r="O144" s="6"/>
      <c r="P144" s="92"/>
      <c r="Q144" s="92"/>
      <c r="R144" s="92"/>
      <c r="S144" s="92"/>
      <c r="T144" s="92"/>
      <c r="U144" s="92"/>
    </row>
    <row r="145" spans="1:22" s="211" customFormat="1">
      <c r="A145" s="210"/>
      <c r="B145" s="210"/>
      <c r="C145" s="210" t="s">
        <v>337</v>
      </c>
      <c r="D145" s="210" t="s">
        <v>332</v>
      </c>
      <c r="E145" s="210"/>
      <c r="F145" s="210" t="str">
        <f>F144</f>
        <v>Лекс</v>
      </c>
      <c r="G145" s="210" t="s">
        <v>218</v>
      </c>
      <c r="H145" s="210"/>
      <c r="I145" s="116">
        <f>SUMIFS(расчеты!$I:$I,расчеты!$D:$D,$D145,расчеты!$F:$F,$F145)</f>
        <v>1.5543256520070214E-2</v>
      </c>
      <c r="J145" s="210"/>
      <c r="K145" s="210" t="s">
        <v>341</v>
      </c>
      <c r="L145" s="416">
        <f>IF(I145&gt;=условия_KPI!$M$16,условия_KPI!$M$13,IF(I145&gt;=условия_KPI!$L$16,условия_KPI!$L$13,IF(I145&gt;=условия_KPI!$K$16,условия_KPI!$K$13,условия_KPI!$J$13)))</f>
        <v>1</v>
      </c>
      <c r="M145" s="210"/>
      <c r="N145" s="210" t="s">
        <v>345</v>
      </c>
      <c r="O145" s="417">
        <f>SUMIFS(условия_KPI!$P:$P,условия_KPI!$O:$O,$N145)</f>
        <v>0.2</v>
      </c>
      <c r="P145" s="210"/>
      <c r="Q145" s="210"/>
      <c r="R145" s="210"/>
      <c r="S145" s="210"/>
      <c r="T145" s="210"/>
      <c r="U145" s="210"/>
    </row>
    <row r="146" spans="1:22" s="211" customFormat="1">
      <c r="A146" s="210"/>
      <c r="B146" s="210"/>
      <c r="C146" s="210" t="s">
        <v>338</v>
      </c>
      <c r="D146" s="210" t="s">
        <v>277</v>
      </c>
      <c r="E146" s="210"/>
      <c r="F146" s="210" t="str">
        <f t="shared" ref="F146:F154" si="11">F145</f>
        <v>Лекс</v>
      </c>
      <c r="G146" s="210" t="s">
        <v>218</v>
      </c>
      <c r="H146" s="210"/>
      <c r="I146" s="116">
        <f>SUMIFS(расчеты!$I:$I,расчеты!$D:$D,$D146,расчеты!$F:$F,$F146)</f>
        <v>5.2724151087371239E-2</v>
      </c>
      <c r="J146" s="210"/>
      <c r="K146" s="210" t="s">
        <v>342</v>
      </c>
      <c r="L146" s="416">
        <f>IF(I146&gt;=условия_KPI!$M$18,условия_KPI!$M$13,IF(I146&gt;=условия_KPI!$L$18,условия_KPI!$L$13,IF(I146&gt;=условия_KPI!$K$18,условия_KPI!$K$13,условия_KPI!$J$13)))</f>
        <v>2</v>
      </c>
      <c r="M146" s="210"/>
      <c r="N146" s="210" t="s">
        <v>346</v>
      </c>
      <c r="O146" s="417">
        <f>SUMIFS(условия_KPI!$P:$P,условия_KPI!$O:$O,$N146)</f>
        <v>0.3</v>
      </c>
      <c r="P146" s="210"/>
      <c r="Q146" s="210"/>
      <c r="R146" s="210"/>
      <c r="S146" s="210"/>
      <c r="T146" s="210"/>
      <c r="U146" s="210"/>
    </row>
    <row r="147" spans="1:22" s="5" customFormat="1">
      <c r="A147" s="1"/>
      <c r="B147" s="1"/>
      <c r="C147" s="1" t="s">
        <v>339</v>
      </c>
      <c r="D147" s="1" t="s">
        <v>237</v>
      </c>
      <c r="E147" s="1"/>
      <c r="F147" s="1" t="str">
        <f t="shared" si="11"/>
        <v>Лекс</v>
      </c>
      <c r="G147" s="1" t="s">
        <v>219</v>
      </c>
      <c r="H147" s="1"/>
      <c r="I147" s="90">
        <f>SUMIFS(ПОбТЗ_3!$H:$H,ПОбТЗ_3!$D:$D,$D147,ПОбТЗ_3!$E:$E,$F147)</f>
        <v>85.10645118568209</v>
      </c>
      <c r="J147" s="1"/>
      <c r="K147" s="1" t="s">
        <v>343</v>
      </c>
      <c r="L147" s="90">
        <f>IF(I147&gt;=условия_KPI!$J$20,условия_KPI!$J$13,IF(I147&gt;=условия_KPI!$K$20,условия_KPI!$K$13,IF(I147&gt;=условия_KPI!$L$20,условия_KPI!$L$13,условия_KPI!$M$13)))</f>
        <v>2</v>
      </c>
      <c r="M147" s="1"/>
      <c r="N147" s="210" t="s">
        <v>347</v>
      </c>
      <c r="O147" s="417">
        <f>SUMIFS(условия_KPI!$P:$P,условия_KPI!$O:$O,$N147)</f>
        <v>0.3</v>
      </c>
      <c r="P147" s="1"/>
      <c r="Q147" s="1"/>
      <c r="R147" s="1"/>
      <c r="S147" s="1"/>
      <c r="T147" s="1"/>
      <c r="U147" s="1"/>
    </row>
    <row r="148" spans="1:22" s="5" customFormat="1">
      <c r="A148" s="1"/>
      <c r="B148" s="1"/>
      <c r="C148" s="168" t="s">
        <v>340</v>
      </c>
      <c r="D148" s="168" t="s">
        <v>333</v>
      </c>
      <c r="E148" s="168"/>
      <c r="F148" s="168" t="str">
        <f t="shared" si="11"/>
        <v>Лекс</v>
      </c>
      <c r="G148" s="168" t="s">
        <v>261</v>
      </c>
      <c r="H148" s="168"/>
      <c r="I148" s="169">
        <f>SUMIFS(расчеты!$I:$I,расчеты!$D:$D,$D148,расчеты!$F:$F,$F148)</f>
        <v>2306.48</v>
      </c>
      <c r="J148" s="168"/>
      <c r="K148" s="168" t="s">
        <v>344</v>
      </c>
      <c r="L148" s="169">
        <f>IF(I148&gt;=условия_KPI!$M$22,условия_KPI!$M$13,IF(I148&gt;=условия_KPI!$L$22,условия_KPI!$L$13,IF(I148&gt;=условия_KPI!$K$22,условия_KPI!$K$13,условия_KPI!$J$13)))</f>
        <v>3</v>
      </c>
      <c r="M148" s="168"/>
      <c r="N148" s="460" t="s">
        <v>348</v>
      </c>
      <c r="O148" s="461">
        <f>SUMIFS(условия_KPI!$P:$P,условия_KPI!$O:$O,$N148)</f>
        <v>0.2</v>
      </c>
      <c r="P148" s="1"/>
      <c r="Q148" s="1"/>
      <c r="R148" s="1"/>
      <c r="S148" s="1"/>
      <c r="T148" s="1"/>
      <c r="U148" s="1"/>
    </row>
    <row r="149" spans="1:22" s="211" customFormat="1">
      <c r="A149" s="210"/>
      <c r="B149" s="210"/>
      <c r="C149" s="466" t="s">
        <v>378</v>
      </c>
      <c r="D149" s="466" t="s">
        <v>377</v>
      </c>
      <c r="E149" s="466"/>
      <c r="F149" s="466" t="str">
        <f t="shared" si="11"/>
        <v>Лекс</v>
      </c>
      <c r="G149" s="466" t="s">
        <v>218</v>
      </c>
      <c r="H149" s="466"/>
      <c r="I149" s="467">
        <f>1-POWER(1-I146,условия_KPI!$H$27/I147)</f>
        <v>1.2648083032520296E-2</v>
      </c>
      <c r="J149" s="462"/>
      <c r="K149" s="462"/>
      <c r="L149" s="463"/>
      <c r="M149" s="462"/>
      <c r="N149" s="462"/>
      <c r="O149" s="464"/>
      <c r="P149" s="210"/>
      <c r="Q149" s="210"/>
      <c r="R149" s="210"/>
      <c r="S149" s="210"/>
      <c r="T149" s="210"/>
      <c r="U149" s="210"/>
    </row>
    <row r="150" spans="1:22" s="5" customFormat="1">
      <c r="A150" s="1"/>
      <c r="B150" s="1"/>
      <c r="C150" s="194" t="s">
        <v>317</v>
      </c>
      <c r="D150" s="194" t="s">
        <v>318</v>
      </c>
      <c r="E150" s="194"/>
      <c r="F150" s="194" t="str">
        <f>F148</f>
        <v>Лекс</v>
      </c>
      <c r="G150" s="194" t="s">
        <v>219</v>
      </c>
      <c r="H150" s="194"/>
      <c r="I150" s="195">
        <f>IF((I151+I153)=0,0,(I151*I152+I153*I154)/(I151+I153))</f>
        <v>41.835558407366513</v>
      </c>
      <c r="J150" s="194"/>
      <c r="K150" s="194"/>
      <c r="L150" s="194"/>
      <c r="M150" s="194"/>
      <c r="N150" s="194"/>
      <c r="O150" s="194"/>
      <c r="P150" s="1"/>
      <c r="Q150" s="1"/>
      <c r="R150" s="1"/>
      <c r="S150" s="1"/>
      <c r="T150" s="1"/>
      <c r="U150" s="1"/>
      <c r="V150" s="1"/>
    </row>
    <row r="151" spans="1:22">
      <c r="A151" s="6"/>
      <c r="B151" s="6"/>
      <c r="C151" s="6" t="s">
        <v>319</v>
      </c>
      <c r="D151" s="6"/>
      <c r="E151" s="6" t="s">
        <v>275</v>
      </c>
      <c r="F151" s="6" t="str">
        <f t="shared" si="11"/>
        <v>Лекс</v>
      </c>
      <c r="G151" s="6" t="s">
        <v>261</v>
      </c>
      <c r="H151" s="6"/>
      <c r="I151" s="396">
        <f>SUMIFS(расчеты!$I:$I,расчеты!$D:$D,$E151,расчеты!$F:$F,$F151)</f>
        <v>54621.82</v>
      </c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>
      <c r="A152" s="6"/>
      <c r="B152" s="6"/>
      <c r="C152" s="6"/>
      <c r="D152" s="6"/>
      <c r="E152" s="6" t="s">
        <v>310</v>
      </c>
      <c r="F152" s="6" t="str">
        <f t="shared" si="11"/>
        <v>Лекс</v>
      </c>
      <c r="G152" s="6" t="s">
        <v>219</v>
      </c>
      <c r="H152" s="6"/>
      <c r="I152" s="396">
        <f>SUMIFS(расчеты!$I:$I,расчеты!$D:$D,$E152,расчеты!$F:$F,$F152)</f>
        <v>23.585040086822119</v>
      </c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>
      <c r="A153" s="6"/>
      <c r="B153" s="6"/>
      <c r="C153" s="6" t="s">
        <v>320</v>
      </c>
      <c r="D153" s="6"/>
      <c r="E153" s="6" t="s">
        <v>238</v>
      </c>
      <c r="F153" s="6" t="str">
        <f t="shared" si="11"/>
        <v>Лекс</v>
      </c>
      <c r="G153" s="6" t="s">
        <v>261</v>
      </c>
      <c r="H153" s="6"/>
      <c r="I153" s="396">
        <f>SUMIFS(расчеты!$I:$I,расчеты!$D:$D,$E153,расчеты!$F:$F,$F153)</f>
        <v>13998.810000000001</v>
      </c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>
      <c r="A154" s="6"/>
      <c r="B154" s="6"/>
      <c r="C154" s="6"/>
      <c r="D154" s="6"/>
      <c r="E154" s="6" t="s">
        <v>281</v>
      </c>
      <c r="F154" s="6" t="str">
        <f t="shared" si="11"/>
        <v>Лекс</v>
      </c>
      <c r="G154" s="6" t="s">
        <v>219</v>
      </c>
      <c r="H154" s="6"/>
      <c r="I154" s="396">
        <f>SUMIFS(расчеты!$I:$I,расчеты!$D:$D,$E154,расчеты!$F:$F,$F154)</f>
        <v>113.04707757302975</v>
      </c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1:22" s="93" customFormat="1" ht="15">
      <c r="A156" s="92"/>
      <c r="B156" s="92"/>
      <c r="C156" s="398" t="s">
        <v>352</v>
      </c>
      <c r="D156" s="399" t="s">
        <v>335</v>
      </c>
      <c r="E156" s="399"/>
      <c r="F156" s="401" t="str">
        <f>микс!$H$36</f>
        <v>ОдеждаКомп</v>
      </c>
      <c r="G156" s="399" t="s">
        <v>349</v>
      </c>
      <c r="H156" s="399"/>
      <c r="I156" s="421">
        <f>SUMPRODUCT(L157:L167,O157:O167)</f>
        <v>2.7</v>
      </c>
      <c r="J156" s="92"/>
      <c r="K156" s="6"/>
      <c r="L156" s="6"/>
      <c r="M156" s="6"/>
      <c r="N156" s="6"/>
      <c r="O156" s="6"/>
      <c r="P156" s="92"/>
      <c r="Q156" s="92"/>
      <c r="R156" s="92"/>
      <c r="S156" s="92"/>
      <c r="T156" s="92"/>
      <c r="U156" s="92"/>
    </row>
    <row r="157" spans="1:22" s="211" customFormat="1">
      <c r="A157" s="210"/>
      <c r="B157" s="210"/>
      <c r="C157" s="210" t="s">
        <v>337</v>
      </c>
      <c r="D157" s="210" t="s">
        <v>332</v>
      </c>
      <c r="E157" s="210"/>
      <c r="F157" s="210" t="str">
        <f>F156</f>
        <v>ОдеждаКомп</v>
      </c>
      <c r="G157" s="210" t="s">
        <v>218</v>
      </c>
      <c r="H157" s="210"/>
      <c r="I157" s="116">
        <f>SUMIFS(расчеты!$I:$I,расчеты!$D:$D,$D157,расчеты!$F:$F,$F157)</f>
        <v>3.5810787497681802E-2</v>
      </c>
      <c r="J157" s="210"/>
      <c r="K157" s="210" t="s">
        <v>341</v>
      </c>
      <c r="L157" s="416">
        <f>IF(I157&gt;=условия_KPI!$M$16,условия_KPI!$M$13,IF(I157&gt;=условия_KPI!$L$16,условия_KPI!$L$13,IF(I157&gt;=условия_KPI!$K$16,условия_KPI!$K$13,условия_KPI!$J$13)))</f>
        <v>2</v>
      </c>
      <c r="M157" s="210"/>
      <c r="N157" s="210" t="s">
        <v>345</v>
      </c>
      <c r="O157" s="417">
        <f>SUMIFS(условия_KPI!$P:$P,условия_KPI!$O:$O,$N157)</f>
        <v>0.2</v>
      </c>
      <c r="P157" s="210"/>
      <c r="Q157" s="210"/>
      <c r="R157" s="210"/>
      <c r="S157" s="210"/>
      <c r="T157" s="210"/>
      <c r="U157" s="210"/>
    </row>
    <row r="158" spans="1:22" s="211" customFormat="1">
      <c r="A158" s="210"/>
      <c r="B158" s="210"/>
      <c r="C158" s="210" t="s">
        <v>338</v>
      </c>
      <c r="D158" s="210" t="s">
        <v>277</v>
      </c>
      <c r="E158" s="210"/>
      <c r="F158" s="210" t="str">
        <f t="shared" ref="F158:F166" si="12">F157</f>
        <v>ОдеждаКомп</v>
      </c>
      <c r="G158" s="210" t="s">
        <v>218</v>
      </c>
      <c r="H158" s="210"/>
      <c r="I158" s="116">
        <f>SUMIFS(расчеты!$I:$I,расчеты!$D:$D,$D158,расчеты!$F:$F,$F158)</f>
        <v>0.32064636808430558</v>
      </c>
      <c r="J158" s="210"/>
      <c r="K158" s="210" t="s">
        <v>342</v>
      </c>
      <c r="L158" s="416">
        <f>IF(I158&gt;=условия_KPI!$M$18,условия_KPI!$M$13,IF(I158&gt;=условия_KPI!$L$18,условия_KPI!$L$13,IF(I158&gt;=условия_KPI!$K$18,условия_KPI!$K$13,условия_KPI!$J$13)))</f>
        <v>4</v>
      </c>
      <c r="M158" s="210"/>
      <c r="N158" s="210" t="s">
        <v>346</v>
      </c>
      <c r="O158" s="417">
        <f>SUMIFS(условия_KPI!$P:$P,условия_KPI!$O:$O,$N158)</f>
        <v>0.3</v>
      </c>
      <c r="P158" s="210"/>
      <c r="Q158" s="210"/>
      <c r="R158" s="210"/>
      <c r="S158" s="210"/>
      <c r="T158" s="210"/>
      <c r="U158" s="210"/>
    </row>
    <row r="159" spans="1:22" s="5" customFormat="1">
      <c r="A159" s="1"/>
      <c r="B159" s="1"/>
      <c r="C159" s="1" t="s">
        <v>339</v>
      </c>
      <c r="D159" s="1" t="s">
        <v>237</v>
      </c>
      <c r="E159" s="1"/>
      <c r="F159" s="1" t="str">
        <f t="shared" si="12"/>
        <v>ОдеждаКомп</v>
      </c>
      <c r="G159" s="1" t="s">
        <v>219</v>
      </c>
      <c r="H159" s="1"/>
      <c r="I159" s="90">
        <f>SUMIFS(ПОбТЗ_3!$H:$H,ПОбТЗ_3!$D:$D,$D159,ПОбТЗ_3!$E:$E,$F159)</f>
        <v>122.07769934203679</v>
      </c>
      <c r="J159" s="1"/>
      <c r="K159" s="1" t="s">
        <v>343</v>
      </c>
      <c r="L159" s="90">
        <f>IF(I159&gt;=условия_KPI!$J$20,условия_KPI!$J$13,IF(I159&gt;=условия_KPI!$K$20,условия_KPI!$K$13,IF(I159&gt;=условия_KPI!$L$20,условия_KPI!$L$13,условия_KPI!$M$13)))</f>
        <v>1</v>
      </c>
      <c r="M159" s="1"/>
      <c r="N159" s="210" t="s">
        <v>347</v>
      </c>
      <c r="O159" s="417">
        <f>SUMIFS(условия_KPI!$P:$P,условия_KPI!$O:$O,$N159)</f>
        <v>0.3</v>
      </c>
      <c r="P159" s="1"/>
      <c r="Q159" s="1"/>
      <c r="R159" s="1"/>
      <c r="S159" s="1"/>
      <c r="T159" s="1"/>
      <c r="U159" s="1"/>
    </row>
    <row r="160" spans="1:22" s="5" customFormat="1">
      <c r="A160" s="1"/>
      <c r="B160" s="1"/>
      <c r="C160" s="168" t="s">
        <v>340</v>
      </c>
      <c r="D160" s="168" t="s">
        <v>333</v>
      </c>
      <c r="E160" s="168"/>
      <c r="F160" s="168" t="str">
        <f t="shared" si="12"/>
        <v>ОдеждаКомп</v>
      </c>
      <c r="G160" s="168" t="s">
        <v>261</v>
      </c>
      <c r="H160" s="168"/>
      <c r="I160" s="169">
        <f>SUMIFS(расчеты!$I:$I,расчеты!$D:$D,$D160,расчеты!$F:$F,$F160)</f>
        <v>9489.2857142857138</v>
      </c>
      <c r="J160" s="168"/>
      <c r="K160" s="168" t="s">
        <v>344</v>
      </c>
      <c r="L160" s="169">
        <f>IF(I160&gt;=условия_KPI!$M$22,условия_KPI!$M$13,IF(I160&gt;=условия_KPI!$L$22,условия_KPI!$L$13,IF(I160&gt;=условия_KPI!$K$22,условия_KPI!$K$13,условия_KPI!$J$13)))</f>
        <v>4</v>
      </c>
      <c r="M160" s="168"/>
      <c r="N160" s="460" t="s">
        <v>348</v>
      </c>
      <c r="O160" s="461">
        <f>SUMIFS(условия_KPI!$P:$P,условия_KPI!$O:$O,$N160)</f>
        <v>0.2</v>
      </c>
      <c r="P160" s="1"/>
      <c r="Q160" s="1"/>
      <c r="R160" s="1"/>
      <c r="S160" s="1"/>
      <c r="T160" s="1"/>
      <c r="U160" s="1"/>
    </row>
    <row r="161" spans="1:22" s="211" customFormat="1">
      <c r="A161" s="210"/>
      <c r="B161" s="210"/>
      <c r="C161" s="466" t="s">
        <v>378</v>
      </c>
      <c r="D161" s="466" t="s">
        <v>377</v>
      </c>
      <c r="E161" s="466"/>
      <c r="F161" s="466" t="str">
        <f t="shared" si="12"/>
        <v>ОдеждаКомп</v>
      </c>
      <c r="G161" s="466" t="s">
        <v>218</v>
      </c>
      <c r="H161" s="466"/>
      <c r="I161" s="467">
        <f>1-POWER(1-I158,условия_KPI!$H$27/I159)</f>
        <v>6.1374697965634883E-2</v>
      </c>
      <c r="J161" s="462"/>
      <c r="K161" s="462"/>
      <c r="L161" s="463"/>
      <c r="M161" s="462"/>
      <c r="N161" s="462"/>
      <c r="O161" s="464"/>
      <c r="P161" s="210"/>
      <c r="Q161" s="210"/>
      <c r="R161" s="210"/>
      <c r="S161" s="210"/>
      <c r="T161" s="210"/>
      <c r="U161" s="210"/>
    </row>
    <row r="162" spans="1:22" s="5" customFormat="1">
      <c r="A162" s="1"/>
      <c r="B162" s="1"/>
      <c r="C162" s="194" t="s">
        <v>317</v>
      </c>
      <c r="D162" s="194" t="s">
        <v>318</v>
      </c>
      <c r="E162" s="194"/>
      <c r="F162" s="194" t="str">
        <f>F160</f>
        <v>ОдеждаКомп</v>
      </c>
      <c r="G162" s="194" t="s">
        <v>219</v>
      </c>
      <c r="H162" s="194"/>
      <c r="I162" s="195">
        <f>IF((I163+I165)=0,0,(I163*I164+I165*I166)/(I163+I165))</f>
        <v>91.430121811439236</v>
      </c>
      <c r="J162" s="194"/>
      <c r="K162" s="194"/>
      <c r="L162" s="194"/>
      <c r="M162" s="194"/>
      <c r="N162" s="194"/>
      <c r="O162" s="194"/>
      <c r="P162" s="1"/>
      <c r="Q162" s="1"/>
      <c r="R162" s="1"/>
      <c r="S162" s="1"/>
      <c r="T162" s="1"/>
      <c r="U162" s="1"/>
      <c r="V162" s="1"/>
    </row>
    <row r="163" spans="1:22">
      <c r="A163" s="6"/>
      <c r="B163" s="6"/>
      <c r="C163" s="6" t="s">
        <v>319</v>
      </c>
      <c r="D163" s="6"/>
      <c r="E163" s="6" t="s">
        <v>275</v>
      </c>
      <c r="F163" s="6" t="str">
        <f t="shared" si="12"/>
        <v>ОдеждаКомп</v>
      </c>
      <c r="G163" s="6" t="s">
        <v>261</v>
      </c>
      <c r="H163" s="6"/>
      <c r="I163" s="396">
        <f>SUMIFS(расчеты!$I:$I,расчеты!$D:$D,$E163,расчеты!$F:$F,$F163)</f>
        <v>90252.13</v>
      </c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>
      <c r="A164" s="6"/>
      <c r="B164" s="6"/>
      <c r="C164" s="6"/>
      <c r="D164" s="6"/>
      <c r="E164" s="6" t="s">
        <v>310</v>
      </c>
      <c r="F164" s="6" t="str">
        <f t="shared" si="12"/>
        <v>ОдеждаКомп</v>
      </c>
      <c r="G164" s="6" t="s">
        <v>219</v>
      </c>
      <c r="H164" s="6"/>
      <c r="I164" s="396">
        <f>SUMIFS(расчеты!$I:$I,расчеты!$D:$D,$E164,расчеты!$F:$F,$F164)</f>
        <v>46.643823954931577</v>
      </c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>
      <c r="A165" s="6"/>
      <c r="B165" s="6"/>
      <c r="C165" s="6" t="s">
        <v>320</v>
      </c>
      <c r="D165" s="6"/>
      <c r="E165" s="6" t="s">
        <v>238</v>
      </c>
      <c r="F165" s="6" t="str">
        <f t="shared" si="12"/>
        <v>ОдеждаКомп</v>
      </c>
      <c r="G165" s="6" t="s">
        <v>261</v>
      </c>
      <c r="H165" s="6"/>
      <c r="I165" s="396">
        <f>SUMIFS(расчеты!$I:$I,расчеты!$D:$D,$E165,расчеты!$F:$F,$F165)</f>
        <v>82590.240000000005</v>
      </c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>
      <c r="A166" s="6"/>
      <c r="B166" s="6"/>
      <c r="C166" s="6"/>
      <c r="D166" s="6"/>
      <c r="E166" s="6" t="s">
        <v>281</v>
      </c>
      <c r="F166" s="6" t="str">
        <f t="shared" si="12"/>
        <v>ОдеждаКомп</v>
      </c>
      <c r="G166" s="6" t="s">
        <v>219</v>
      </c>
      <c r="H166" s="6"/>
      <c r="I166" s="396">
        <f>SUMIFS(расчеты!$I:$I,расчеты!$D:$D,$E166,расчеты!$F:$F,$F166)</f>
        <v>140.37124096019397</v>
      </c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1:22" s="93" customFormat="1" ht="15">
      <c r="A168" s="92"/>
      <c r="B168" s="92"/>
      <c r="C168" s="398" t="s">
        <v>352</v>
      </c>
      <c r="D168" s="399" t="s">
        <v>335</v>
      </c>
      <c r="E168" s="399"/>
      <c r="F168" s="401" t="str">
        <f>микс!$H$37</f>
        <v>Позитив</v>
      </c>
      <c r="G168" s="399" t="s">
        <v>349</v>
      </c>
      <c r="H168" s="399"/>
      <c r="I168" s="421">
        <f>SUMPRODUCT(L169:L179,O169:O179)</f>
        <v>2.7</v>
      </c>
      <c r="J168" s="92"/>
      <c r="K168" s="6"/>
      <c r="L168" s="6"/>
      <c r="M168" s="6"/>
      <c r="N168" s="6"/>
      <c r="O168" s="6"/>
      <c r="P168" s="92"/>
      <c r="Q168" s="92"/>
      <c r="R168" s="92"/>
      <c r="S168" s="92"/>
      <c r="T168" s="92"/>
      <c r="U168" s="92"/>
    </row>
    <row r="169" spans="1:22" s="211" customFormat="1">
      <c r="A169" s="210"/>
      <c r="B169" s="210"/>
      <c r="C169" s="210" t="s">
        <v>337</v>
      </c>
      <c r="D169" s="210" t="s">
        <v>332</v>
      </c>
      <c r="E169" s="210"/>
      <c r="F169" s="210" t="str">
        <f>F168</f>
        <v>Позитив</v>
      </c>
      <c r="G169" s="210" t="s">
        <v>218</v>
      </c>
      <c r="H169" s="210"/>
      <c r="I169" s="116">
        <f>SUMIFS(расчеты!$I:$I,расчеты!$D:$D,$D169,расчеты!$F:$F,$F169)</f>
        <v>6.0917963780023378E-2</v>
      </c>
      <c r="J169" s="210"/>
      <c r="K169" s="210" t="s">
        <v>341</v>
      </c>
      <c r="L169" s="416">
        <f>IF(I169&gt;=условия_KPI!$M$16,условия_KPI!$M$13,IF(I169&gt;=условия_KPI!$L$16,условия_KPI!$L$13,IF(I169&gt;=условия_KPI!$K$16,условия_KPI!$K$13,условия_KPI!$J$13)))</f>
        <v>3</v>
      </c>
      <c r="M169" s="210"/>
      <c r="N169" s="210" t="s">
        <v>345</v>
      </c>
      <c r="O169" s="417">
        <f>SUMIFS(условия_KPI!$P:$P,условия_KPI!$O:$O,$N169)</f>
        <v>0.2</v>
      </c>
      <c r="P169" s="210"/>
      <c r="Q169" s="210"/>
      <c r="R169" s="210"/>
      <c r="S169" s="210"/>
      <c r="T169" s="210"/>
      <c r="U169" s="210"/>
    </row>
    <row r="170" spans="1:22" s="211" customFormat="1">
      <c r="A170" s="210"/>
      <c r="B170" s="210"/>
      <c r="C170" s="210" t="s">
        <v>338</v>
      </c>
      <c r="D170" s="210" t="s">
        <v>277</v>
      </c>
      <c r="E170" s="210"/>
      <c r="F170" s="210" t="str">
        <f t="shared" ref="F170:F178" si="13">F169</f>
        <v>Позитив</v>
      </c>
      <c r="G170" s="210" t="s">
        <v>218</v>
      </c>
      <c r="H170" s="210"/>
      <c r="I170" s="116">
        <f>SUMIFS(расчеты!$I:$I,расчеты!$D:$D,$D170,расчеты!$F:$F,$F170)</f>
        <v>8.2644872384862997E-2</v>
      </c>
      <c r="J170" s="210"/>
      <c r="K170" s="210" t="s">
        <v>342</v>
      </c>
      <c r="L170" s="416">
        <f>IF(I170&gt;=условия_KPI!$M$18,условия_KPI!$M$13,IF(I170&gt;=условия_KPI!$L$18,условия_KPI!$L$13,IF(I170&gt;=условия_KPI!$K$18,условия_KPI!$K$13,условия_KPI!$J$13)))</f>
        <v>3</v>
      </c>
      <c r="M170" s="210"/>
      <c r="N170" s="210" t="s">
        <v>346</v>
      </c>
      <c r="O170" s="417">
        <f>SUMIFS(условия_KPI!$P:$P,условия_KPI!$O:$O,$N170)</f>
        <v>0.3</v>
      </c>
      <c r="P170" s="210"/>
      <c r="Q170" s="210"/>
      <c r="R170" s="210"/>
      <c r="S170" s="210"/>
      <c r="T170" s="210"/>
      <c r="U170" s="210"/>
    </row>
    <row r="171" spans="1:22" s="5" customFormat="1">
      <c r="A171" s="1"/>
      <c r="B171" s="1"/>
      <c r="C171" s="1" t="s">
        <v>339</v>
      </c>
      <c r="D171" s="1" t="s">
        <v>237</v>
      </c>
      <c r="E171" s="1"/>
      <c r="F171" s="1" t="str">
        <f t="shared" si="13"/>
        <v>Позитив</v>
      </c>
      <c r="G171" s="1" t="s">
        <v>219</v>
      </c>
      <c r="H171" s="1"/>
      <c r="I171" s="90">
        <f>SUMIFS(ПОбТЗ_3!$H:$H,ПОбТЗ_3!$D:$D,$D171,ПОбТЗ_3!$E:$E,$F171)</f>
        <v>78.914739009189361</v>
      </c>
      <c r="J171" s="1"/>
      <c r="K171" s="1" t="s">
        <v>343</v>
      </c>
      <c r="L171" s="90">
        <f>IF(I171&gt;=условия_KPI!$J$20,условия_KPI!$J$13,IF(I171&gt;=условия_KPI!$K$20,условия_KPI!$K$13,IF(I171&gt;=условия_KPI!$L$20,условия_KPI!$L$13,условия_KPI!$M$13)))</f>
        <v>2</v>
      </c>
      <c r="M171" s="1"/>
      <c r="N171" s="210" t="s">
        <v>347</v>
      </c>
      <c r="O171" s="417">
        <f>SUMIFS(условия_KPI!$P:$P,условия_KPI!$O:$O,$N171)</f>
        <v>0.3</v>
      </c>
      <c r="P171" s="1"/>
      <c r="Q171" s="1"/>
      <c r="R171" s="1"/>
      <c r="S171" s="1"/>
      <c r="T171" s="1"/>
      <c r="U171" s="1"/>
    </row>
    <row r="172" spans="1:22" s="5" customFormat="1">
      <c r="A172" s="1"/>
      <c r="B172" s="1"/>
      <c r="C172" s="168" t="s">
        <v>340</v>
      </c>
      <c r="D172" s="168" t="s">
        <v>333</v>
      </c>
      <c r="E172" s="168"/>
      <c r="F172" s="168" t="str">
        <f t="shared" si="13"/>
        <v>Позитив</v>
      </c>
      <c r="G172" s="168" t="s">
        <v>261</v>
      </c>
      <c r="H172" s="168"/>
      <c r="I172" s="169">
        <f>SUMIFS(расчеты!$I:$I,расчеты!$D:$D,$D172,расчеты!$F:$F,$F172)</f>
        <v>3704.7868852459014</v>
      </c>
      <c r="J172" s="168"/>
      <c r="K172" s="168" t="s">
        <v>344</v>
      </c>
      <c r="L172" s="169">
        <f>IF(I172&gt;=условия_KPI!$M$22,условия_KPI!$M$13,IF(I172&gt;=условия_KPI!$L$22,условия_KPI!$L$13,IF(I172&gt;=условия_KPI!$K$22,условия_KPI!$K$13,условия_KPI!$J$13)))</f>
        <v>3</v>
      </c>
      <c r="M172" s="168"/>
      <c r="N172" s="460" t="s">
        <v>348</v>
      </c>
      <c r="O172" s="461">
        <f>SUMIFS(условия_KPI!$P:$P,условия_KPI!$O:$O,$N172)</f>
        <v>0.2</v>
      </c>
      <c r="P172" s="1"/>
      <c r="Q172" s="1"/>
      <c r="R172" s="1"/>
      <c r="S172" s="1"/>
      <c r="T172" s="1"/>
      <c r="U172" s="1"/>
    </row>
    <row r="173" spans="1:22" s="211" customFormat="1">
      <c r="A173" s="210"/>
      <c r="B173" s="210"/>
      <c r="C173" s="466" t="s">
        <v>378</v>
      </c>
      <c r="D173" s="466" t="s">
        <v>377</v>
      </c>
      <c r="E173" s="466"/>
      <c r="F173" s="466" t="str">
        <f t="shared" si="13"/>
        <v>Позитив</v>
      </c>
      <c r="G173" s="466" t="s">
        <v>218</v>
      </c>
      <c r="H173" s="466"/>
      <c r="I173" s="467">
        <f>1-POWER(1-I170,условия_KPI!$H$27/I171)</f>
        <v>2.1624488050380863E-2</v>
      </c>
      <c r="J173" s="462"/>
      <c r="K173" s="462"/>
      <c r="L173" s="463"/>
      <c r="M173" s="462"/>
      <c r="N173" s="462"/>
      <c r="O173" s="464"/>
      <c r="P173" s="210"/>
      <c r="Q173" s="210"/>
      <c r="R173" s="210"/>
      <c r="S173" s="210"/>
      <c r="T173" s="210"/>
      <c r="U173" s="210"/>
    </row>
    <row r="174" spans="1:22" s="5" customFormat="1">
      <c r="A174" s="1"/>
      <c r="B174" s="1"/>
      <c r="C174" s="194" t="s">
        <v>317</v>
      </c>
      <c r="D174" s="194" t="s">
        <v>318</v>
      </c>
      <c r="E174" s="194"/>
      <c r="F174" s="194" t="str">
        <f>F172</f>
        <v>Позитив</v>
      </c>
      <c r="G174" s="194" t="s">
        <v>219</v>
      </c>
      <c r="H174" s="194"/>
      <c r="I174" s="195">
        <f>IF((I175+I177)=0,0,(I175*I176+I177*I178)/(I175+I177))</f>
        <v>20.68450864833035</v>
      </c>
      <c r="J174" s="194"/>
      <c r="K174" s="194"/>
      <c r="L174" s="194"/>
      <c r="M174" s="194"/>
      <c r="N174" s="194"/>
      <c r="O174" s="194"/>
      <c r="P174" s="1"/>
      <c r="Q174" s="1"/>
      <c r="R174" s="1"/>
      <c r="S174" s="1"/>
      <c r="T174" s="1"/>
      <c r="U174" s="1"/>
      <c r="V174" s="1"/>
    </row>
    <row r="175" spans="1:22">
      <c r="A175" s="6"/>
      <c r="B175" s="6"/>
      <c r="C175" s="6" t="s">
        <v>319</v>
      </c>
      <c r="D175" s="6"/>
      <c r="E175" s="6" t="s">
        <v>275</v>
      </c>
      <c r="F175" s="6" t="str">
        <f t="shared" si="13"/>
        <v>Позитив</v>
      </c>
      <c r="G175" s="6" t="s">
        <v>261</v>
      </c>
      <c r="H175" s="6"/>
      <c r="I175" s="396">
        <f>SUMIFS(расчеты!$I:$I,расчеты!$D:$D,$E175,расчеты!$F:$F,$F175)</f>
        <v>207314.92000000004</v>
      </c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>
      <c r="A176" s="6"/>
      <c r="B176" s="6"/>
      <c r="C176" s="6"/>
      <c r="D176" s="6"/>
      <c r="E176" s="6" t="s">
        <v>310</v>
      </c>
      <c r="F176" s="6" t="str">
        <f t="shared" si="13"/>
        <v>Позитив</v>
      </c>
      <c r="G176" s="6" t="s">
        <v>219</v>
      </c>
      <c r="H176" s="6"/>
      <c r="I176" s="396">
        <f>SUMIFS(расчеты!$I:$I,расчеты!$D:$D,$E176,расчеты!$F:$F,$F176)</f>
        <v>-6.5640475506806979</v>
      </c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>
      <c r="A177" s="6"/>
      <c r="B177" s="6"/>
      <c r="C177" s="6" t="s">
        <v>320</v>
      </c>
      <c r="D177" s="6"/>
      <c r="E177" s="6" t="s">
        <v>238</v>
      </c>
      <c r="F177" s="6" t="str">
        <f t="shared" si="13"/>
        <v>Позитив</v>
      </c>
      <c r="G177" s="6" t="s">
        <v>261</v>
      </c>
      <c r="H177" s="6"/>
      <c r="I177" s="396">
        <f>SUMIFS(расчеты!$I:$I,расчеты!$D:$D,$E177,расчеты!$F:$F,$F177)</f>
        <v>53331.789999999986</v>
      </c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>
      <c r="A178" s="6"/>
      <c r="B178" s="6"/>
      <c r="C178" s="6"/>
      <c r="D178" s="6"/>
      <c r="E178" s="6" t="s">
        <v>281</v>
      </c>
      <c r="F178" s="6" t="str">
        <f t="shared" si="13"/>
        <v>Позитив</v>
      </c>
      <c r="G178" s="6" t="s">
        <v>219</v>
      </c>
      <c r="H178" s="6"/>
      <c r="I178" s="396">
        <f>SUMIFS(расчеты!$I:$I,расчеты!$D:$D,$E178,расчеты!$F:$F,$F178)</f>
        <v>126.6069284379808</v>
      </c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1:22" s="93" customFormat="1" ht="15">
      <c r="A180" s="92"/>
      <c r="B180" s="92"/>
      <c r="C180" s="398" t="s">
        <v>352</v>
      </c>
      <c r="D180" s="399" t="s">
        <v>335</v>
      </c>
      <c r="E180" s="399"/>
      <c r="F180" s="401" t="str">
        <f>микс!$H$38</f>
        <v>СпортИн</v>
      </c>
      <c r="G180" s="399" t="s">
        <v>349</v>
      </c>
      <c r="H180" s="399"/>
      <c r="I180" s="421">
        <f>SUMPRODUCT(L181:L191,O181:O191)</f>
        <v>3.1999999999999997</v>
      </c>
      <c r="J180" s="92"/>
      <c r="K180" s="6"/>
      <c r="L180" s="6"/>
      <c r="M180" s="6"/>
      <c r="N180" s="6"/>
      <c r="O180" s="6"/>
      <c r="P180" s="92"/>
      <c r="Q180" s="92"/>
      <c r="R180" s="92"/>
      <c r="S180" s="92"/>
      <c r="T180" s="92"/>
      <c r="U180" s="92"/>
    </row>
    <row r="181" spans="1:22" s="211" customFormat="1">
      <c r="A181" s="210"/>
      <c r="B181" s="210"/>
      <c r="C181" s="210" t="s">
        <v>337</v>
      </c>
      <c r="D181" s="210" t="s">
        <v>332</v>
      </c>
      <c r="E181" s="210"/>
      <c r="F181" s="210" t="str">
        <f>F180</f>
        <v>СпортИн</v>
      </c>
      <c r="G181" s="210" t="s">
        <v>218</v>
      </c>
      <c r="H181" s="210"/>
      <c r="I181" s="116">
        <f>SUMIFS(расчеты!$I:$I,расчеты!$D:$D,$D181,расчеты!$F:$F,$F181)</f>
        <v>1.0600370480589663E-2</v>
      </c>
      <c r="J181" s="210"/>
      <c r="K181" s="210" t="s">
        <v>341</v>
      </c>
      <c r="L181" s="416">
        <f>IF(I181&gt;=условия_KPI!$M$16,условия_KPI!$M$13,IF(I181&gt;=условия_KPI!$L$16,условия_KPI!$L$13,IF(I181&gt;=условия_KPI!$K$16,условия_KPI!$K$13,условия_KPI!$J$13)))</f>
        <v>1</v>
      </c>
      <c r="M181" s="210"/>
      <c r="N181" s="210" t="s">
        <v>345</v>
      </c>
      <c r="O181" s="417">
        <f>SUMIFS(условия_KPI!$P:$P,условия_KPI!$O:$O,$N181)</f>
        <v>0.2</v>
      </c>
      <c r="P181" s="210"/>
      <c r="Q181" s="210"/>
      <c r="R181" s="210"/>
      <c r="S181" s="210"/>
      <c r="T181" s="210"/>
      <c r="U181" s="210"/>
    </row>
    <row r="182" spans="1:22" s="211" customFormat="1">
      <c r="A182" s="210"/>
      <c r="B182" s="210"/>
      <c r="C182" s="210" t="s">
        <v>338</v>
      </c>
      <c r="D182" s="210" t="s">
        <v>277</v>
      </c>
      <c r="E182" s="210"/>
      <c r="F182" s="210" t="str">
        <f t="shared" ref="F182:F190" si="14">F181</f>
        <v>СпортИн</v>
      </c>
      <c r="G182" s="210" t="s">
        <v>218</v>
      </c>
      <c r="H182" s="210"/>
      <c r="I182" s="116">
        <f>SUMIFS(расчеты!$I:$I,расчеты!$D:$D,$D182,расчеты!$F:$F,$F182)</f>
        <v>0.25008264462809915</v>
      </c>
      <c r="J182" s="210"/>
      <c r="K182" s="210" t="s">
        <v>342</v>
      </c>
      <c r="L182" s="416">
        <f>IF(I182&gt;=условия_KPI!$M$18,условия_KPI!$M$13,IF(I182&gt;=условия_KPI!$L$18,условия_KPI!$L$13,IF(I182&gt;=условия_KPI!$K$18,условия_KPI!$K$13,условия_KPI!$J$13)))</f>
        <v>4</v>
      </c>
      <c r="M182" s="210"/>
      <c r="N182" s="210" t="s">
        <v>346</v>
      </c>
      <c r="O182" s="417">
        <f>SUMIFS(условия_KPI!$P:$P,условия_KPI!$O:$O,$N182)</f>
        <v>0.3</v>
      </c>
      <c r="P182" s="210"/>
      <c r="Q182" s="210"/>
      <c r="R182" s="210"/>
      <c r="S182" s="210"/>
      <c r="T182" s="210"/>
      <c r="U182" s="210"/>
    </row>
    <row r="183" spans="1:22" s="5" customFormat="1">
      <c r="A183" s="1"/>
      <c r="B183" s="1"/>
      <c r="C183" s="1" t="s">
        <v>339</v>
      </c>
      <c r="D183" s="1" t="s">
        <v>237</v>
      </c>
      <c r="E183" s="1"/>
      <c r="F183" s="1" t="str">
        <f t="shared" si="14"/>
        <v>СпортИн</v>
      </c>
      <c r="G183" s="1" t="s">
        <v>219</v>
      </c>
      <c r="H183" s="1"/>
      <c r="I183" s="90">
        <f>SUMIFS(ПОбТЗ_3!$H:$H,ПОбТЗ_3!$D:$D,$D183,ПОбТЗ_3!$E:$E,$F183)</f>
        <v>49.433041508971655</v>
      </c>
      <c r="J183" s="1"/>
      <c r="K183" s="1" t="s">
        <v>343</v>
      </c>
      <c r="L183" s="90">
        <f>IF(I183&gt;=условия_KPI!$J$20,условия_KPI!$J$13,IF(I183&gt;=условия_KPI!$K$20,условия_KPI!$K$13,IF(I183&gt;=условия_KPI!$L$20,условия_KPI!$L$13,условия_KPI!$M$13)))</f>
        <v>4</v>
      </c>
      <c r="M183" s="1"/>
      <c r="N183" s="210" t="s">
        <v>347</v>
      </c>
      <c r="O183" s="417">
        <f>SUMIFS(условия_KPI!$P:$P,условия_KPI!$O:$O,$N183)</f>
        <v>0.3</v>
      </c>
      <c r="P183" s="1"/>
      <c r="Q183" s="1"/>
      <c r="R183" s="1"/>
      <c r="S183" s="1"/>
      <c r="T183" s="1"/>
      <c r="U183" s="1"/>
    </row>
    <row r="184" spans="1:22" s="5" customFormat="1">
      <c r="A184" s="1"/>
      <c r="B184" s="1"/>
      <c r="C184" s="168" t="s">
        <v>340</v>
      </c>
      <c r="D184" s="168" t="s">
        <v>333</v>
      </c>
      <c r="E184" s="168"/>
      <c r="F184" s="168" t="str">
        <f t="shared" si="14"/>
        <v>СпортИн</v>
      </c>
      <c r="G184" s="168" t="s">
        <v>261</v>
      </c>
      <c r="H184" s="168"/>
      <c r="I184" s="169">
        <f>SUMIFS(расчеты!$I:$I,расчеты!$D:$D,$D184,расчеты!$F:$F,$F184)</f>
        <v>3025</v>
      </c>
      <c r="J184" s="168"/>
      <c r="K184" s="168" t="s">
        <v>344</v>
      </c>
      <c r="L184" s="169">
        <f>IF(I184&gt;=условия_KPI!$M$22,условия_KPI!$M$13,IF(I184&gt;=условия_KPI!$L$22,условия_KPI!$L$13,IF(I184&gt;=условия_KPI!$K$22,условия_KPI!$K$13,условия_KPI!$J$13)))</f>
        <v>3</v>
      </c>
      <c r="M184" s="168"/>
      <c r="N184" s="460" t="s">
        <v>348</v>
      </c>
      <c r="O184" s="461">
        <f>SUMIFS(условия_KPI!$P:$P,условия_KPI!$O:$O,$N184)</f>
        <v>0.2</v>
      </c>
      <c r="P184" s="1"/>
      <c r="Q184" s="1"/>
      <c r="R184" s="1"/>
      <c r="S184" s="1"/>
      <c r="T184" s="1"/>
      <c r="U184" s="1"/>
    </row>
    <row r="185" spans="1:22" s="211" customFormat="1">
      <c r="A185" s="210"/>
      <c r="B185" s="210"/>
      <c r="C185" s="466" t="s">
        <v>378</v>
      </c>
      <c r="D185" s="466" t="s">
        <v>377</v>
      </c>
      <c r="E185" s="466"/>
      <c r="F185" s="466" t="str">
        <f t="shared" si="14"/>
        <v>СпортИн</v>
      </c>
      <c r="G185" s="466" t="s">
        <v>218</v>
      </c>
      <c r="H185" s="466"/>
      <c r="I185" s="467">
        <f>1-POWER(1-I182,условия_KPI!$H$27/I183)</f>
        <v>0.10991401613673379</v>
      </c>
      <c r="J185" s="462"/>
      <c r="K185" s="462"/>
      <c r="L185" s="463"/>
      <c r="M185" s="462"/>
      <c r="N185" s="462"/>
      <c r="O185" s="464"/>
      <c r="P185" s="210"/>
      <c r="Q185" s="210"/>
      <c r="R185" s="210"/>
      <c r="S185" s="210"/>
      <c r="T185" s="210"/>
      <c r="U185" s="210"/>
    </row>
    <row r="186" spans="1:22" s="5" customFormat="1">
      <c r="A186" s="1"/>
      <c r="B186" s="1"/>
      <c r="C186" s="194" t="s">
        <v>317</v>
      </c>
      <c r="D186" s="194" t="s">
        <v>318</v>
      </c>
      <c r="E186" s="194"/>
      <c r="F186" s="194" t="str">
        <f>F184</f>
        <v>СпортИн</v>
      </c>
      <c r="G186" s="194" t="s">
        <v>219</v>
      </c>
      <c r="H186" s="194"/>
      <c r="I186" s="195">
        <f>IF((I187+I189)=0,0,(I187*I188+I189*I190)/(I187+I189))</f>
        <v>15.303515151509298</v>
      </c>
      <c r="J186" s="194"/>
      <c r="K186" s="194"/>
      <c r="L186" s="194"/>
      <c r="M186" s="194"/>
      <c r="N186" s="194"/>
      <c r="O186" s="194"/>
      <c r="P186" s="1"/>
      <c r="Q186" s="1"/>
      <c r="R186" s="1"/>
      <c r="S186" s="1"/>
      <c r="T186" s="1"/>
      <c r="U186" s="1"/>
      <c r="V186" s="1"/>
    </row>
    <row r="187" spans="1:22">
      <c r="A187" s="6"/>
      <c r="B187" s="6"/>
      <c r="C187" s="6" t="s">
        <v>319</v>
      </c>
      <c r="D187" s="6"/>
      <c r="E187" s="6" t="s">
        <v>275</v>
      </c>
      <c r="F187" s="6" t="str">
        <f t="shared" si="14"/>
        <v>СпортИн</v>
      </c>
      <c r="G187" s="6" t="s">
        <v>261</v>
      </c>
      <c r="H187" s="6"/>
      <c r="I187" s="396">
        <f>SUMIFS(расчеты!$I:$I,расчеты!$D:$D,$E187,расчеты!$F:$F,$F187)</f>
        <v>29490.5</v>
      </c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>
      <c r="A188" s="6"/>
      <c r="B188" s="6"/>
      <c r="C188" s="6"/>
      <c r="D188" s="6"/>
      <c r="E188" s="6" t="s">
        <v>310</v>
      </c>
      <c r="F188" s="6" t="str">
        <f t="shared" si="14"/>
        <v>СпортИн</v>
      </c>
      <c r="G188" s="6" t="s">
        <v>219</v>
      </c>
      <c r="H188" s="6"/>
      <c r="I188" s="396">
        <f>SUMIFS(расчеты!$I:$I,расчеты!$D:$D,$E188,расчеты!$F:$F,$F188)</f>
        <v>-6.7267132867200417</v>
      </c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>
      <c r="A189" s="6"/>
      <c r="B189" s="6"/>
      <c r="C189" s="6" t="s">
        <v>320</v>
      </c>
      <c r="D189" s="6"/>
      <c r="E189" s="6" t="s">
        <v>238</v>
      </c>
      <c r="F189" s="6" t="str">
        <f t="shared" si="14"/>
        <v>СпортИн</v>
      </c>
      <c r="G189" s="6" t="s">
        <v>261</v>
      </c>
      <c r="H189" s="6"/>
      <c r="I189" s="396">
        <f>SUMIFS(расчеты!$I:$I,расчеты!$D:$D,$E189,расчеты!$F:$F,$F189)</f>
        <v>4537</v>
      </c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>
      <c r="A190" s="6"/>
      <c r="B190" s="6"/>
      <c r="C190" s="6"/>
      <c r="D190" s="6"/>
      <c r="E190" s="6" t="s">
        <v>281</v>
      </c>
      <c r="F190" s="6" t="str">
        <f t="shared" si="14"/>
        <v>СпортИн</v>
      </c>
      <c r="G190" s="6" t="s">
        <v>219</v>
      </c>
      <c r="H190" s="6"/>
      <c r="I190" s="396">
        <f>SUMIFS(расчеты!$I:$I,расчеты!$D:$D,$E190,расчеты!$F:$F,$F190)</f>
        <v>158.5</v>
      </c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1:22" s="93" customFormat="1" ht="15">
      <c r="A192" s="92"/>
      <c r="B192" s="92"/>
      <c r="C192" s="398" t="s">
        <v>352</v>
      </c>
      <c r="D192" s="399" t="s">
        <v>335</v>
      </c>
      <c r="E192" s="399"/>
      <c r="F192" s="401" t="str">
        <f>микс!$H$39</f>
        <v>С-спортКид</v>
      </c>
      <c r="G192" s="399" t="s">
        <v>349</v>
      </c>
      <c r="H192" s="399"/>
      <c r="I192" s="421">
        <f>SUMPRODUCT(L193:L203,O193:O203)</f>
        <v>3.1999999999999997</v>
      </c>
      <c r="J192" s="92"/>
      <c r="K192" s="6"/>
      <c r="L192" s="6"/>
      <c r="M192" s="6"/>
      <c r="N192" s="6"/>
      <c r="O192" s="6"/>
      <c r="P192" s="92"/>
      <c r="Q192" s="92"/>
      <c r="R192" s="92"/>
      <c r="S192" s="92"/>
      <c r="T192" s="92"/>
      <c r="U192" s="92"/>
    </row>
    <row r="193" spans="1:22" s="211" customFormat="1">
      <c r="A193" s="210"/>
      <c r="B193" s="210"/>
      <c r="C193" s="210" t="s">
        <v>337</v>
      </c>
      <c r="D193" s="210" t="s">
        <v>332</v>
      </c>
      <c r="E193" s="210"/>
      <c r="F193" s="210" t="str">
        <f>F192</f>
        <v>С-спортКид</v>
      </c>
      <c r="G193" s="210" t="s">
        <v>218</v>
      </c>
      <c r="H193" s="210"/>
      <c r="I193" s="116">
        <f>SUMIFS(расчеты!$I:$I,расчеты!$D:$D,$D193,расчеты!$F:$F,$F193)</f>
        <v>8.2487460159319584E-3</v>
      </c>
      <c r="J193" s="210"/>
      <c r="K193" s="210" t="s">
        <v>341</v>
      </c>
      <c r="L193" s="416">
        <f>IF(I193&gt;=условия_KPI!$M$16,условия_KPI!$M$13,IF(I193&gt;=условия_KPI!$L$16,условия_KPI!$L$13,IF(I193&gt;=условия_KPI!$K$16,условия_KPI!$K$13,условия_KPI!$J$13)))</f>
        <v>1</v>
      </c>
      <c r="M193" s="210"/>
      <c r="N193" s="210" t="s">
        <v>345</v>
      </c>
      <c r="O193" s="417">
        <f>SUMIFS(условия_KPI!$P:$P,условия_KPI!$O:$O,$N193)</f>
        <v>0.2</v>
      </c>
      <c r="P193" s="210"/>
      <c r="Q193" s="210"/>
      <c r="R193" s="210"/>
      <c r="S193" s="210"/>
      <c r="T193" s="210"/>
      <c r="U193" s="210"/>
    </row>
    <row r="194" spans="1:22" s="211" customFormat="1">
      <c r="A194" s="210"/>
      <c r="B194" s="210"/>
      <c r="C194" s="210" t="s">
        <v>338</v>
      </c>
      <c r="D194" s="210" t="s">
        <v>277</v>
      </c>
      <c r="E194" s="210"/>
      <c r="F194" s="210" t="str">
        <f t="shared" ref="F194:F202" si="15">F193</f>
        <v>С-спортКид</v>
      </c>
      <c r="G194" s="210" t="s">
        <v>218</v>
      </c>
      <c r="H194" s="210"/>
      <c r="I194" s="116">
        <f>SUMIFS(расчеты!$I:$I,расчеты!$D:$D,$D194,расчеты!$F:$F,$F194)</f>
        <v>0.15576059605895234</v>
      </c>
      <c r="J194" s="210"/>
      <c r="K194" s="210" t="s">
        <v>342</v>
      </c>
      <c r="L194" s="416">
        <f>IF(I194&gt;=условия_KPI!$M$18,условия_KPI!$M$13,IF(I194&gt;=условия_KPI!$L$18,условия_KPI!$L$13,IF(I194&gt;=условия_KPI!$K$18,условия_KPI!$K$13,условия_KPI!$J$13)))</f>
        <v>4</v>
      </c>
      <c r="M194" s="210"/>
      <c r="N194" s="210" t="s">
        <v>346</v>
      </c>
      <c r="O194" s="417">
        <f>SUMIFS(условия_KPI!$P:$P,условия_KPI!$O:$O,$N194)</f>
        <v>0.3</v>
      </c>
      <c r="P194" s="210"/>
      <c r="Q194" s="210"/>
      <c r="R194" s="210"/>
      <c r="S194" s="210"/>
      <c r="T194" s="210"/>
      <c r="U194" s="210"/>
    </row>
    <row r="195" spans="1:22" s="5" customFormat="1">
      <c r="A195" s="1"/>
      <c r="B195" s="1"/>
      <c r="C195" s="1" t="s">
        <v>339</v>
      </c>
      <c r="D195" s="1" t="s">
        <v>237</v>
      </c>
      <c r="E195" s="1"/>
      <c r="F195" s="1" t="str">
        <f t="shared" si="15"/>
        <v>С-спортКид</v>
      </c>
      <c r="G195" s="1" t="s">
        <v>219</v>
      </c>
      <c r="H195" s="1"/>
      <c r="I195" s="90">
        <f>SUMIFS(ПОбТЗ_3!$H:$H,ПОбТЗ_3!$D:$D,$D195,ПОбТЗ_3!$E:$E,$F195)</f>
        <v>8.5135873899635044</v>
      </c>
      <c r="J195" s="1"/>
      <c r="K195" s="1" t="s">
        <v>343</v>
      </c>
      <c r="L195" s="90">
        <f>IF(I195&gt;=условия_KPI!$J$20,условия_KPI!$J$13,IF(I195&gt;=условия_KPI!$K$20,условия_KPI!$K$13,IF(I195&gt;=условия_KPI!$L$20,условия_KPI!$L$13,условия_KPI!$M$13)))</f>
        <v>4</v>
      </c>
      <c r="M195" s="1"/>
      <c r="N195" s="210" t="s">
        <v>347</v>
      </c>
      <c r="O195" s="417">
        <f>SUMIFS(условия_KPI!$P:$P,условия_KPI!$O:$O,$N195)</f>
        <v>0.3</v>
      </c>
      <c r="P195" s="1"/>
      <c r="Q195" s="1"/>
      <c r="R195" s="1"/>
      <c r="S195" s="1"/>
      <c r="T195" s="1"/>
      <c r="U195" s="1"/>
    </row>
    <row r="196" spans="1:22" s="5" customFormat="1">
      <c r="A196" s="1"/>
      <c r="B196" s="1"/>
      <c r="C196" s="168" t="s">
        <v>340</v>
      </c>
      <c r="D196" s="168" t="s">
        <v>333</v>
      </c>
      <c r="E196" s="168"/>
      <c r="F196" s="168" t="str">
        <f t="shared" si="15"/>
        <v>С-спортКид</v>
      </c>
      <c r="G196" s="168" t="s">
        <v>261</v>
      </c>
      <c r="H196" s="168"/>
      <c r="I196" s="169">
        <f>SUMIFS(расчеты!$I:$I,расчеты!$D:$D,$D196,расчеты!$F:$F,$F196)</f>
        <v>5100.166666666667</v>
      </c>
      <c r="J196" s="168"/>
      <c r="K196" s="168" t="s">
        <v>344</v>
      </c>
      <c r="L196" s="169">
        <f>IF(I196&gt;=условия_KPI!$M$22,условия_KPI!$M$13,IF(I196&gt;=условия_KPI!$L$22,условия_KPI!$L$13,IF(I196&gt;=условия_KPI!$K$22,условия_KPI!$K$13,условия_KPI!$J$13)))</f>
        <v>3</v>
      </c>
      <c r="M196" s="168"/>
      <c r="N196" s="460" t="s">
        <v>348</v>
      </c>
      <c r="O196" s="461">
        <f>SUMIFS(условия_KPI!$P:$P,условия_KPI!$O:$O,$N196)</f>
        <v>0.2</v>
      </c>
      <c r="P196" s="1"/>
      <c r="Q196" s="1"/>
      <c r="R196" s="1"/>
      <c r="S196" s="1"/>
      <c r="T196" s="1"/>
      <c r="U196" s="1"/>
    </row>
    <row r="197" spans="1:22" s="211" customFormat="1">
      <c r="A197" s="210"/>
      <c r="B197" s="210"/>
      <c r="C197" s="466" t="s">
        <v>378</v>
      </c>
      <c r="D197" s="466" t="s">
        <v>377</v>
      </c>
      <c r="E197" s="466"/>
      <c r="F197" s="466" t="str">
        <f t="shared" si="15"/>
        <v>С-спортКид</v>
      </c>
      <c r="G197" s="466" t="s">
        <v>218</v>
      </c>
      <c r="H197" s="466"/>
      <c r="I197" s="467">
        <f>1-POWER(1-I194,условия_KPI!$H$27/I195)</f>
        <v>0.32817824496790371</v>
      </c>
      <c r="J197" s="462"/>
      <c r="K197" s="462"/>
      <c r="L197" s="463"/>
      <c r="M197" s="462"/>
      <c r="N197" s="462"/>
      <c r="O197" s="464"/>
      <c r="P197" s="210"/>
      <c r="Q197" s="210"/>
      <c r="R197" s="210"/>
      <c r="S197" s="210"/>
      <c r="T197" s="210"/>
      <c r="U197" s="210"/>
    </row>
    <row r="198" spans="1:22" s="5" customFormat="1">
      <c r="A198" s="1"/>
      <c r="B198" s="1"/>
      <c r="C198" s="194" t="s">
        <v>317</v>
      </c>
      <c r="D198" s="194" t="s">
        <v>318</v>
      </c>
      <c r="E198" s="194"/>
      <c r="F198" s="194" t="str">
        <f>F196</f>
        <v>С-спортКид</v>
      </c>
      <c r="G198" s="194" t="s">
        <v>219</v>
      </c>
      <c r="H198" s="194"/>
      <c r="I198" s="195">
        <f>IF((I199+I201)=0,0,(I199*I200+I201*I202)/(I199+I201))</f>
        <v>-10.170857981524575</v>
      </c>
      <c r="J198" s="194"/>
      <c r="K198" s="194"/>
      <c r="L198" s="194"/>
      <c r="M198" s="194"/>
      <c r="N198" s="194"/>
      <c r="O198" s="194"/>
      <c r="P198" s="1"/>
      <c r="Q198" s="1"/>
      <c r="R198" s="1"/>
      <c r="S198" s="1"/>
      <c r="T198" s="1"/>
      <c r="U198" s="1"/>
      <c r="V198" s="1"/>
    </row>
    <row r="199" spans="1:22">
      <c r="A199" s="6"/>
      <c r="B199" s="6"/>
      <c r="C199" s="6" t="s">
        <v>319</v>
      </c>
      <c r="D199" s="6"/>
      <c r="E199" s="6" t="s">
        <v>275</v>
      </c>
      <c r="F199" s="6" t="str">
        <f t="shared" si="15"/>
        <v>С-спортКид</v>
      </c>
      <c r="G199" s="6" t="s">
        <v>261</v>
      </c>
      <c r="H199" s="6"/>
      <c r="I199" s="396">
        <f>SUMIFS(расчеты!$I:$I,расчеты!$D:$D,$E199,расчеты!$F:$F,$F199)</f>
        <v>25834.57</v>
      </c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>
      <c r="A200" s="6"/>
      <c r="B200" s="6"/>
      <c r="C200" s="6"/>
      <c r="D200" s="6"/>
      <c r="E200" s="6" t="s">
        <v>310</v>
      </c>
      <c r="F200" s="6" t="str">
        <f t="shared" si="15"/>
        <v>С-спортКид</v>
      </c>
      <c r="G200" s="6" t="s">
        <v>219</v>
      </c>
      <c r="H200" s="6"/>
      <c r="I200" s="396">
        <f>SUMIFS(расчеты!$I:$I,расчеты!$D:$D,$E200,расчеты!$F:$F,$F200)</f>
        <v>-13.269212330545997</v>
      </c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>
      <c r="A201" s="6"/>
      <c r="B201" s="6"/>
      <c r="C201" s="6" t="s">
        <v>320</v>
      </c>
      <c r="D201" s="6"/>
      <c r="E201" s="6" t="s">
        <v>238</v>
      </c>
      <c r="F201" s="6" t="str">
        <f t="shared" si="15"/>
        <v>С-спортКид</v>
      </c>
      <c r="G201" s="6" t="s">
        <v>261</v>
      </c>
      <c r="H201" s="6"/>
      <c r="I201" s="396">
        <f>SUMIFS(расчеты!$I:$I,расчеты!$D:$D,$E201,расчеты!$F:$F,$F201)</f>
        <v>7870</v>
      </c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>
      <c r="A202" s="6"/>
      <c r="B202" s="6"/>
      <c r="C202" s="6"/>
      <c r="D202" s="6"/>
      <c r="E202" s="6" t="s">
        <v>281</v>
      </c>
      <c r="F202" s="6" t="str">
        <f t="shared" si="15"/>
        <v>С-спортКид</v>
      </c>
      <c r="G202" s="6" t="s">
        <v>219</v>
      </c>
      <c r="H202" s="6"/>
      <c r="I202" s="396">
        <f>SUMIFS(расчеты!$I:$I,расчеты!$D:$D,$E202,расчеты!$F:$F,$F202)</f>
        <v>0</v>
      </c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1:22" s="93" customFormat="1" ht="15">
      <c r="A204" s="92"/>
      <c r="B204" s="92"/>
      <c r="C204" s="398" t="s">
        <v>352</v>
      </c>
      <c r="D204" s="399" t="s">
        <v>335</v>
      </c>
      <c r="E204" s="399"/>
      <c r="F204" s="401" t="str">
        <f>микс!$H$40</f>
        <v>С-Тойз</v>
      </c>
      <c r="G204" s="399" t="s">
        <v>349</v>
      </c>
      <c r="H204" s="399"/>
      <c r="I204" s="421">
        <f>SUMPRODUCT(L205:L215,O205:O215)</f>
        <v>2.6</v>
      </c>
      <c r="J204" s="92"/>
      <c r="K204" s="6"/>
      <c r="L204" s="6"/>
      <c r="M204" s="6"/>
      <c r="N204" s="6"/>
      <c r="O204" s="6"/>
      <c r="P204" s="92"/>
      <c r="Q204" s="92"/>
      <c r="R204" s="92"/>
      <c r="S204" s="92"/>
      <c r="T204" s="92"/>
      <c r="U204" s="92"/>
    </row>
    <row r="205" spans="1:22" s="211" customFormat="1">
      <c r="A205" s="210"/>
      <c r="B205" s="210"/>
      <c r="C205" s="210" t="s">
        <v>337</v>
      </c>
      <c r="D205" s="210" t="s">
        <v>332</v>
      </c>
      <c r="E205" s="210"/>
      <c r="F205" s="210" t="str">
        <f>F204</f>
        <v>С-Тойз</v>
      </c>
      <c r="G205" s="210" t="s">
        <v>218</v>
      </c>
      <c r="H205" s="210"/>
      <c r="I205" s="116">
        <f>SUMIFS(расчеты!$I:$I,расчеты!$D:$D,$D205,расчеты!$F:$F,$F205)</f>
        <v>3.0985967885931658E-2</v>
      </c>
      <c r="J205" s="210"/>
      <c r="K205" s="210" t="s">
        <v>341</v>
      </c>
      <c r="L205" s="416">
        <f>IF(I205&gt;=условия_KPI!$M$16,условия_KPI!$M$13,IF(I205&gt;=условия_KPI!$L$16,условия_KPI!$L$13,IF(I205&gt;=условия_KPI!$K$16,условия_KPI!$K$13,условия_KPI!$J$13)))</f>
        <v>2</v>
      </c>
      <c r="M205" s="210"/>
      <c r="N205" s="210" t="s">
        <v>345</v>
      </c>
      <c r="O205" s="417">
        <f>SUMIFS(условия_KPI!$P:$P,условия_KPI!$O:$O,$N205)</f>
        <v>0.2</v>
      </c>
      <c r="P205" s="210"/>
      <c r="Q205" s="210"/>
      <c r="R205" s="210"/>
      <c r="S205" s="210"/>
      <c r="T205" s="210"/>
      <c r="U205" s="210"/>
    </row>
    <row r="206" spans="1:22" s="211" customFormat="1">
      <c r="A206" s="210"/>
      <c r="B206" s="210"/>
      <c r="C206" s="210" t="s">
        <v>338</v>
      </c>
      <c r="D206" s="210" t="s">
        <v>277</v>
      </c>
      <c r="E206" s="210"/>
      <c r="F206" s="210" t="str">
        <f t="shared" ref="F206:F214" si="16">F205</f>
        <v>С-Тойз</v>
      </c>
      <c r="G206" s="210" t="s">
        <v>218</v>
      </c>
      <c r="H206" s="210"/>
      <c r="I206" s="116">
        <f>SUMIFS(расчеты!$I:$I,расчеты!$D:$D,$D206,расчеты!$F:$F,$F206)</f>
        <v>0.20188741289766896</v>
      </c>
      <c r="J206" s="210"/>
      <c r="K206" s="210" t="s">
        <v>342</v>
      </c>
      <c r="L206" s="416">
        <f>IF(I206&gt;=условия_KPI!$M$18,условия_KPI!$M$13,IF(I206&gt;=условия_KPI!$L$18,условия_KPI!$L$13,IF(I206&gt;=условия_KPI!$K$18,условия_KPI!$K$13,условия_KPI!$J$13)))</f>
        <v>4</v>
      </c>
      <c r="M206" s="210"/>
      <c r="N206" s="210" t="s">
        <v>346</v>
      </c>
      <c r="O206" s="417">
        <f>SUMIFS(условия_KPI!$P:$P,условия_KPI!$O:$O,$N206)</f>
        <v>0.3</v>
      </c>
      <c r="P206" s="210"/>
      <c r="Q206" s="210"/>
      <c r="R206" s="210"/>
      <c r="S206" s="210"/>
      <c r="T206" s="210"/>
      <c r="U206" s="210"/>
    </row>
    <row r="207" spans="1:22" s="5" customFormat="1">
      <c r="A207" s="1"/>
      <c r="B207" s="1"/>
      <c r="C207" s="1" t="s">
        <v>339</v>
      </c>
      <c r="D207" s="1" t="s">
        <v>237</v>
      </c>
      <c r="E207" s="1"/>
      <c r="F207" s="1" t="str">
        <f t="shared" si="16"/>
        <v>С-Тойз</v>
      </c>
      <c r="G207" s="1" t="s">
        <v>219</v>
      </c>
      <c r="H207" s="1"/>
      <c r="I207" s="90">
        <f>SUMIFS(ПОбТЗ_3!$H:$H,ПОбТЗ_3!$D:$D,$D207,ПОбТЗ_3!$E:$E,$F207)</f>
        <v>97.49382715048705</v>
      </c>
      <c r="J207" s="1"/>
      <c r="K207" s="1" t="s">
        <v>343</v>
      </c>
      <c r="L207" s="90">
        <f>IF(I207&gt;=условия_KPI!$J$20,условия_KPI!$J$13,IF(I207&gt;=условия_KPI!$K$20,условия_KPI!$K$13,IF(I207&gt;=условия_KPI!$L$20,условия_KPI!$L$13,условия_KPI!$M$13)))</f>
        <v>2</v>
      </c>
      <c r="M207" s="1"/>
      <c r="N207" s="210" t="s">
        <v>347</v>
      </c>
      <c r="O207" s="417">
        <f>SUMIFS(условия_KPI!$P:$P,условия_KPI!$O:$O,$N207)</f>
        <v>0.3</v>
      </c>
      <c r="P207" s="1"/>
      <c r="Q207" s="1"/>
      <c r="R207" s="1"/>
      <c r="S207" s="1"/>
      <c r="T207" s="1"/>
      <c r="U207" s="1"/>
    </row>
    <row r="208" spans="1:22" s="5" customFormat="1">
      <c r="A208" s="1"/>
      <c r="B208" s="1"/>
      <c r="C208" s="168" t="s">
        <v>340</v>
      </c>
      <c r="D208" s="168" t="s">
        <v>333</v>
      </c>
      <c r="E208" s="168"/>
      <c r="F208" s="168" t="str">
        <f t="shared" si="16"/>
        <v>С-Тойз</v>
      </c>
      <c r="G208" s="168" t="s">
        <v>261</v>
      </c>
      <c r="H208" s="168"/>
      <c r="I208" s="169">
        <f>SUMIFS(расчеты!$I:$I,расчеты!$D:$D,$D208,расчеты!$F:$F,$F208)</f>
        <v>1690.4558823529412</v>
      </c>
      <c r="J208" s="168"/>
      <c r="K208" s="168" t="s">
        <v>344</v>
      </c>
      <c r="L208" s="169">
        <f>IF(I208&gt;=условия_KPI!$M$22,условия_KPI!$M$13,IF(I208&gt;=условия_KPI!$L$22,условия_KPI!$L$13,IF(I208&gt;=условия_KPI!$K$22,условия_KPI!$K$13,условия_KPI!$J$13)))</f>
        <v>2</v>
      </c>
      <c r="M208" s="168"/>
      <c r="N208" s="460" t="s">
        <v>348</v>
      </c>
      <c r="O208" s="461">
        <f>SUMIFS(условия_KPI!$P:$P,условия_KPI!$O:$O,$N208)</f>
        <v>0.2</v>
      </c>
      <c r="P208" s="1"/>
      <c r="Q208" s="1"/>
      <c r="R208" s="1"/>
      <c r="S208" s="1"/>
      <c r="T208" s="1"/>
      <c r="U208" s="1"/>
    </row>
    <row r="209" spans="1:22" s="211" customFormat="1">
      <c r="A209" s="210"/>
      <c r="B209" s="210"/>
      <c r="C209" s="466" t="s">
        <v>378</v>
      </c>
      <c r="D209" s="466" t="s">
        <v>377</v>
      </c>
      <c r="E209" s="466"/>
      <c r="F209" s="466" t="str">
        <f t="shared" si="16"/>
        <v>С-Тойз</v>
      </c>
      <c r="G209" s="466" t="s">
        <v>218</v>
      </c>
      <c r="H209" s="466"/>
      <c r="I209" s="467">
        <f>1-POWER(1-I206,условия_KPI!$H$27/I207)</f>
        <v>4.5206783133413087E-2</v>
      </c>
      <c r="J209" s="462"/>
      <c r="K209" s="462"/>
      <c r="L209" s="463"/>
      <c r="M209" s="462"/>
      <c r="N209" s="462"/>
      <c r="O209" s="464"/>
      <c r="P209" s="210"/>
      <c r="Q209" s="210"/>
      <c r="R209" s="210"/>
      <c r="S209" s="210"/>
      <c r="T209" s="210"/>
      <c r="U209" s="210"/>
    </row>
    <row r="210" spans="1:22" s="5" customFormat="1">
      <c r="A210" s="1"/>
      <c r="B210" s="1"/>
      <c r="C210" s="194" t="s">
        <v>317</v>
      </c>
      <c r="D210" s="194" t="s">
        <v>318</v>
      </c>
      <c r="E210" s="194"/>
      <c r="F210" s="194" t="str">
        <f>F208</f>
        <v>С-Тойз</v>
      </c>
      <c r="G210" s="194" t="s">
        <v>219</v>
      </c>
      <c r="H210" s="194"/>
      <c r="I210" s="195">
        <f>IF((I211+I213)=0,0,(I211*I212+I213*I214)/(I211+I213))</f>
        <v>43.663433380525859</v>
      </c>
      <c r="J210" s="194"/>
      <c r="K210" s="194"/>
      <c r="L210" s="194"/>
      <c r="M210" s="194"/>
      <c r="N210" s="194"/>
      <c r="O210" s="194"/>
      <c r="P210" s="1"/>
      <c r="Q210" s="1"/>
      <c r="R210" s="1"/>
      <c r="S210" s="1"/>
      <c r="T210" s="1"/>
      <c r="U210" s="1"/>
      <c r="V210" s="1"/>
    </row>
    <row r="211" spans="1:22">
      <c r="A211" s="6"/>
      <c r="B211" s="6"/>
      <c r="C211" s="6" t="s">
        <v>319</v>
      </c>
      <c r="D211" s="6"/>
      <c r="E211" s="6" t="s">
        <v>275</v>
      </c>
      <c r="F211" s="6" t="str">
        <f t="shared" si="16"/>
        <v>С-Тойз</v>
      </c>
      <c r="G211" s="6" t="s">
        <v>261</v>
      </c>
      <c r="H211" s="6"/>
      <c r="I211" s="396">
        <f>SUMIFS(расчеты!$I:$I,расчеты!$D:$D,$E211,расчеты!$F:$F,$F211)</f>
        <v>91743.840000000055</v>
      </c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>
      <c r="A212" s="6"/>
      <c r="B212" s="6"/>
      <c r="C212" s="6"/>
      <c r="D212" s="6"/>
      <c r="E212" s="6" t="s">
        <v>310</v>
      </c>
      <c r="F212" s="6" t="str">
        <f t="shared" si="16"/>
        <v>С-Тойз</v>
      </c>
      <c r="G212" s="6" t="s">
        <v>219</v>
      </c>
      <c r="H212" s="6"/>
      <c r="I212" s="396">
        <f>SUMIFS(расчеты!$I:$I,расчеты!$D:$D,$E212,расчеты!$F:$F,$F212)</f>
        <v>9.6811550522470498</v>
      </c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>
      <c r="A213" s="6"/>
      <c r="B213" s="6"/>
      <c r="C213" s="6" t="s">
        <v>320</v>
      </c>
      <c r="D213" s="6"/>
      <c r="E213" s="6" t="s">
        <v>238</v>
      </c>
      <c r="F213" s="6" t="str">
        <f t="shared" si="16"/>
        <v>С-Тойз</v>
      </c>
      <c r="G213" s="6" t="s">
        <v>261</v>
      </c>
      <c r="H213" s="6"/>
      <c r="I213" s="396">
        <f>SUMIFS(расчеты!$I:$I,расчеты!$D:$D,$E213,расчеты!$F:$F,$F213)</f>
        <v>32082.67</v>
      </c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>
      <c r="A214" s="6"/>
      <c r="B214" s="6"/>
      <c r="C214" s="6"/>
      <c r="D214" s="6"/>
      <c r="E214" s="6" t="s">
        <v>281</v>
      </c>
      <c r="F214" s="6" t="str">
        <f t="shared" si="16"/>
        <v>С-Тойз</v>
      </c>
      <c r="G214" s="6" t="s">
        <v>219</v>
      </c>
      <c r="H214" s="6"/>
      <c r="I214" s="396">
        <f>SUMIFS(расчеты!$I:$I,расчеты!$D:$D,$E214,расчеты!$F:$F,$F214)</f>
        <v>140.83940738097783</v>
      </c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1:22" s="93" customFormat="1" ht="15">
      <c r="A216" s="92"/>
      <c r="B216" s="92"/>
      <c r="C216" s="398" t="s">
        <v>352</v>
      </c>
      <c r="D216" s="399" t="s">
        <v>335</v>
      </c>
      <c r="E216" s="399"/>
      <c r="F216" s="401" t="str">
        <f>микс!$H$41</f>
        <v>СуперСпорт</v>
      </c>
      <c r="G216" s="399" t="s">
        <v>349</v>
      </c>
      <c r="H216" s="399"/>
      <c r="I216" s="421">
        <f>SUMPRODUCT(L217:L227,O217:O227)</f>
        <v>2.5</v>
      </c>
      <c r="J216" s="92"/>
      <c r="K216" s="6"/>
      <c r="L216" s="6"/>
      <c r="M216" s="6"/>
      <c r="N216" s="6"/>
      <c r="O216" s="6"/>
      <c r="P216" s="92"/>
      <c r="Q216" s="92"/>
      <c r="R216" s="92"/>
      <c r="S216" s="92"/>
      <c r="T216" s="92"/>
      <c r="U216" s="92"/>
    </row>
    <row r="217" spans="1:22" s="211" customFormat="1">
      <c r="A217" s="210"/>
      <c r="B217" s="210"/>
      <c r="C217" s="210" t="s">
        <v>337</v>
      </c>
      <c r="D217" s="210" t="s">
        <v>332</v>
      </c>
      <c r="E217" s="210"/>
      <c r="F217" s="210" t="str">
        <f>F216</f>
        <v>СуперСпорт</v>
      </c>
      <c r="G217" s="210" t="s">
        <v>218</v>
      </c>
      <c r="H217" s="210"/>
      <c r="I217" s="116">
        <f>SUMIFS(расчеты!$I:$I,расчеты!$D:$D,$D217,расчеты!$F:$F,$F217)</f>
        <v>6.0456480391268906E-2</v>
      </c>
      <c r="J217" s="210"/>
      <c r="K217" s="210" t="s">
        <v>341</v>
      </c>
      <c r="L217" s="416">
        <f>IF(I217&gt;=условия_KPI!$M$16,условия_KPI!$M$13,IF(I217&gt;=условия_KPI!$L$16,условия_KPI!$L$13,IF(I217&gt;=условия_KPI!$K$16,условия_KPI!$K$13,условия_KPI!$J$13)))</f>
        <v>3</v>
      </c>
      <c r="M217" s="210"/>
      <c r="N217" s="210" t="s">
        <v>345</v>
      </c>
      <c r="O217" s="417">
        <f>SUMIFS(условия_KPI!$P:$P,условия_KPI!$O:$O,$N217)</f>
        <v>0.2</v>
      </c>
      <c r="P217" s="210"/>
      <c r="Q217" s="210"/>
      <c r="R217" s="210"/>
      <c r="S217" s="210"/>
      <c r="T217" s="210"/>
      <c r="U217" s="210"/>
    </row>
    <row r="218" spans="1:22" s="211" customFormat="1">
      <c r="A218" s="210"/>
      <c r="B218" s="210"/>
      <c r="C218" s="210" t="s">
        <v>338</v>
      </c>
      <c r="D218" s="210" t="s">
        <v>277</v>
      </c>
      <c r="E218" s="210"/>
      <c r="F218" s="210" t="str">
        <f t="shared" ref="F218:F226" si="17">F217</f>
        <v>СуперСпорт</v>
      </c>
      <c r="G218" s="210" t="s">
        <v>218</v>
      </c>
      <c r="H218" s="210"/>
      <c r="I218" s="116">
        <f>SUMIFS(расчеты!$I:$I,расчеты!$D:$D,$D218,расчеты!$F:$F,$F218)</f>
        <v>0.10703388621366226</v>
      </c>
      <c r="J218" s="210"/>
      <c r="K218" s="210" t="s">
        <v>342</v>
      </c>
      <c r="L218" s="416">
        <f>IF(I218&gt;=условия_KPI!$M$18,условия_KPI!$M$13,IF(I218&gt;=условия_KPI!$L$18,условия_KPI!$L$13,IF(I218&gt;=условия_KPI!$K$18,условия_KPI!$K$13,условия_KPI!$J$13)))</f>
        <v>3</v>
      </c>
      <c r="M218" s="210"/>
      <c r="N218" s="210" t="s">
        <v>346</v>
      </c>
      <c r="O218" s="417">
        <f>SUMIFS(условия_KPI!$P:$P,условия_KPI!$O:$O,$N218)</f>
        <v>0.3</v>
      </c>
      <c r="P218" s="210"/>
      <c r="Q218" s="210"/>
      <c r="R218" s="210"/>
      <c r="S218" s="210"/>
      <c r="T218" s="210"/>
      <c r="U218" s="210"/>
    </row>
    <row r="219" spans="1:22" s="5" customFormat="1">
      <c r="A219" s="1"/>
      <c r="B219" s="1"/>
      <c r="C219" s="1" t="s">
        <v>339</v>
      </c>
      <c r="D219" s="1" t="s">
        <v>237</v>
      </c>
      <c r="E219" s="1"/>
      <c r="F219" s="1" t="str">
        <f t="shared" si="17"/>
        <v>СуперСпорт</v>
      </c>
      <c r="G219" s="1" t="s">
        <v>219</v>
      </c>
      <c r="H219" s="1"/>
      <c r="I219" s="90">
        <f>SUMIFS(ПОбТЗ_3!$H:$H,ПОбТЗ_3!$D:$D,$D219,ПОбТЗ_3!$E:$E,$F219)</f>
        <v>78.655832712836855</v>
      </c>
      <c r="J219" s="1"/>
      <c r="K219" s="1" t="s">
        <v>343</v>
      </c>
      <c r="L219" s="90">
        <f>IF(I219&gt;=условия_KPI!$J$20,условия_KPI!$J$13,IF(I219&gt;=условия_KPI!$K$20,условия_KPI!$K$13,IF(I219&gt;=условия_KPI!$L$20,условия_KPI!$L$13,условия_KPI!$M$13)))</f>
        <v>2</v>
      </c>
      <c r="M219" s="1"/>
      <c r="N219" s="210" t="s">
        <v>347</v>
      </c>
      <c r="O219" s="417">
        <f>SUMIFS(условия_KPI!$P:$P,условия_KPI!$O:$O,$N219)</f>
        <v>0.3</v>
      </c>
      <c r="P219" s="1"/>
      <c r="Q219" s="1"/>
      <c r="R219" s="1"/>
      <c r="S219" s="1"/>
      <c r="T219" s="1"/>
      <c r="U219" s="1"/>
    </row>
    <row r="220" spans="1:22" s="5" customFormat="1">
      <c r="A220" s="1"/>
      <c r="B220" s="1"/>
      <c r="C220" s="168" t="s">
        <v>340</v>
      </c>
      <c r="D220" s="168" t="s">
        <v>333</v>
      </c>
      <c r="E220" s="168"/>
      <c r="F220" s="168" t="str">
        <f t="shared" si="17"/>
        <v>СуперСпорт</v>
      </c>
      <c r="G220" s="168" t="s">
        <v>261</v>
      </c>
      <c r="H220" s="168"/>
      <c r="I220" s="169">
        <f>SUMIFS(расчеты!$I:$I,расчеты!$D:$D,$D220,расчеты!$F:$F,$F220)</f>
        <v>2198.8235294117649</v>
      </c>
      <c r="J220" s="168"/>
      <c r="K220" s="168" t="s">
        <v>344</v>
      </c>
      <c r="L220" s="169">
        <f>IF(I220&gt;=условия_KPI!$M$22,условия_KPI!$M$13,IF(I220&gt;=условия_KPI!$L$22,условия_KPI!$L$13,IF(I220&gt;=условия_KPI!$K$22,условия_KPI!$K$13,условия_KPI!$J$13)))</f>
        <v>2</v>
      </c>
      <c r="M220" s="168"/>
      <c r="N220" s="460" t="s">
        <v>348</v>
      </c>
      <c r="O220" s="461">
        <f>SUMIFS(условия_KPI!$P:$P,условия_KPI!$O:$O,$N220)</f>
        <v>0.2</v>
      </c>
      <c r="P220" s="1"/>
      <c r="Q220" s="1"/>
      <c r="R220" s="1"/>
      <c r="S220" s="1"/>
      <c r="T220" s="1"/>
      <c r="U220" s="1"/>
    </row>
    <row r="221" spans="1:22" s="211" customFormat="1">
      <c r="A221" s="210"/>
      <c r="B221" s="210"/>
      <c r="C221" s="466" t="s">
        <v>378</v>
      </c>
      <c r="D221" s="466" t="s">
        <v>377</v>
      </c>
      <c r="E221" s="466"/>
      <c r="F221" s="466" t="str">
        <f t="shared" si="17"/>
        <v>СуперСпорт</v>
      </c>
      <c r="G221" s="466" t="s">
        <v>218</v>
      </c>
      <c r="H221" s="466"/>
      <c r="I221" s="467">
        <f>1-POWER(1-I218,условия_KPI!$H$27/I219)</f>
        <v>2.8374964417240744E-2</v>
      </c>
      <c r="J221" s="462"/>
      <c r="K221" s="462"/>
      <c r="L221" s="463"/>
      <c r="M221" s="462"/>
      <c r="N221" s="462"/>
      <c r="O221" s="464"/>
      <c r="P221" s="210"/>
      <c r="Q221" s="210"/>
      <c r="R221" s="210"/>
      <c r="S221" s="210"/>
      <c r="T221" s="210"/>
      <c r="U221" s="210"/>
    </row>
    <row r="222" spans="1:22" s="5" customFormat="1">
      <c r="A222" s="1"/>
      <c r="B222" s="1"/>
      <c r="C222" s="194" t="s">
        <v>317</v>
      </c>
      <c r="D222" s="194" t="s">
        <v>318</v>
      </c>
      <c r="E222" s="194"/>
      <c r="F222" s="194" t="str">
        <f>F220</f>
        <v>СуперСпорт</v>
      </c>
      <c r="G222" s="194" t="s">
        <v>219</v>
      </c>
      <c r="H222" s="194"/>
      <c r="I222" s="195">
        <f>IF((I223+I225)=0,0,(I223*I224+I225*I226)/(I223+I225))</f>
        <v>38.802777956435108</v>
      </c>
      <c r="J222" s="194"/>
      <c r="K222" s="194"/>
      <c r="L222" s="194"/>
      <c r="M222" s="194"/>
      <c r="N222" s="194"/>
      <c r="O222" s="194"/>
      <c r="P222" s="1"/>
      <c r="Q222" s="1"/>
      <c r="R222" s="1"/>
      <c r="S222" s="1"/>
      <c r="T222" s="1"/>
      <c r="U222" s="1"/>
      <c r="V222" s="1"/>
    </row>
    <row r="223" spans="1:22">
      <c r="A223" s="6"/>
      <c r="B223" s="6"/>
      <c r="C223" s="6" t="s">
        <v>319</v>
      </c>
      <c r="D223" s="6"/>
      <c r="E223" s="6" t="s">
        <v>275</v>
      </c>
      <c r="F223" s="6" t="str">
        <f t="shared" si="17"/>
        <v>СуперСпорт</v>
      </c>
      <c r="G223" s="6" t="s">
        <v>261</v>
      </c>
      <c r="H223" s="6"/>
      <c r="I223" s="396">
        <f>SUMIFS(расчеты!$I:$I,расчеты!$D:$D,$E223,расчеты!$F:$F,$F223)</f>
        <v>200274.43999999983</v>
      </c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>
      <c r="A224" s="6"/>
      <c r="B224" s="6"/>
      <c r="C224" s="6"/>
      <c r="D224" s="6"/>
      <c r="E224" s="6" t="s">
        <v>310</v>
      </c>
      <c r="F224" s="6" t="str">
        <f t="shared" si="17"/>
        <v>СуперСпорт</v>
      </c>
      <c r="G224" s="6" t="s">
        <v>219</v>
      </c>
      <c r="H224" s="6"/>
      <c r="I224" s="396">
        <f>SUMIFS(расчеты!$I:$I,расчеты!$D:$D,$E224,расчеты!$F:$F,$F224)</f>
        <v>17.808438554449822</v>
      </c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>
      <c r="A225" s="6"/>
      <c r="B225" s="6"/>
      <c r="C225" s="6" t="s">
        <v>320</v>
      </c>
      <c r="D225" s="6"/>
      <c r="E225" s="6" t="s">
        <v>238</v>
      </c>
      <c r="F225" s="6" t="str">
        <f t="shared" si="17"/>
        <v>СуперСпорт</v>
      </c>
      <c r="G225" s="6" t="s">
        <v>261</v>
      </c>
      <c r="H225" s="6"/>
      <c r="I225" s="396">
        <f>SUMIFS(расчеты!$I:$I,расчеты!$D:$D,$E225,расчеты!$F:$F,$F225)</f>
        <v>60714.090000000004</v>
      </c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>
      <c r="A226" s="6"/>
      <c r="B226" s="6"/>
      <c r="C226" s="6"/>
      <c r="D226" s="6"/>
      <c r="E226" s="6" t="s">
        <v>281</v>
      </c>
      <c r="F226" s="6" t="str">
        <f t="shared" si="17"/>
        <v>СуперСпорт</v>
      </c>
      <c r="G226" s="6" t="s">
        <v>219</v>
      </c>
      <c r="H226" s="6"/>
      <c r="I226" s="396">
        <f>SUMIFS(расчеты!$I:$I,расчеты!$D:$D,$E226,расчеты!$F:$F,$F226)</f>
        <v>108.05572347373652</v>
      </c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1:22" s="93" customFormat="1" ht="15">
      <c r="A228" s="92"/>
      <c r="B228" s="92"/>
      <c r="C228" s="398" t="s">
        <v>352</v>
      </c>
      <c r="D228" s="399" t="s">
        <v>335</v>
      </c>
      <c r="E228" s="399"/>
      <c r="F228" s="401" t="str">
        <f>микс!$H$42</f>
        <v>ФорКидс</v>
      </c>
      <c r="G228" s="399" t="s">
        <v>349</v>
      </c>
      <c r="H228" s="399"/>
      <c r="I228" s="421">
        <f>SUMPRODUCT(L229:L239,O229:O239)</f>
        <v>3.1999999999999997</v>
      </c>
      <c r="J228" s="92"/>
      <c r="K228" s="6"/>
      <c r="L228" s="6"/>
      <c r="M228" s="6"/>
      <c r="N228" s="6"/>
      <c r="O228" s="6"/>
      <c r="P228" s="92"/>
      <c r="Q228" s="92"/>
      <c r="R228" s="92"/>
      <c r="S228" s="92"/>
      <c r="T228" s="92"/>
      <c r="U228" s="92"/>
    </row>
    <row r="229" spans="1:22" s="211" customFormat="1">
      <c r="A229" s="210"/>
      <c r="B229" s="210"/>
      <c r="C229" s="210" t="s">
        <v>337</v>
      </c>
      <c r="D229" s="210" t="s">
        <v>332</v>
      </c>
      <c r="E229" s="210"/>
      <c r="F229" s="210" t="str">
        <f>F228</f>
        <v>ФорКидс</v>
      </c>
      <c r="G229" s="210" t="s">
        <v>218</v>
      </c>
      <c r="H229" s="210"/>
      <c r="I229" s="116">
        <f>SUMIFS(расчеты!$I:$I,расчеты!$D:$D,$D229,расчеты!$F:$F,$F229)</f>
        <v>0.1798361949616365</v>
      </c>
      <c r="J229" s="210"/>
      <c r="K229" s="210" t="s">
        <v>341</v>
      </c>
      <c r="L229" s="416">
        <f>IF(I229&gt;=условия_KPI!$M$16,условия_KPI!$M$13,IF(I229&gt;=условия_KPI!$L$16,условия_KPI!$L$13,IF(I229&gt;=условия_KPI!$K$16,условия_KPI!$K$13,условия_KPI!$J$13)))</f>
        <v>4</v>
      </c>
      <c r="M229" s="210"/>
      <c r="N229" s="210" t="s">
        <v>345</v>
      </c>
      <c r="O229" s="417">
        <f>SUMIFS(условия_KPI!$P:$P,условия_KPI!$O:$O,$N229)</f>
        <v>0.2</v>
      </c>
      <c r="P229" s="210"/>
      <c r="Q229" s="210"/>
      <c r="R229" s="210"/>
      <c r="S229" s="210"/>
      <c r="T229" s="210"/>
      <c r="U229" s="210"/>
    </row>
    <row r="230" spans="1:22" s="211" customFormat="1">
      <c r="A230" s="210"/>
      <c r="B230" s="210"/>
      <c r="C230" s="210" t="s">
        <v>338</v>
      </c>
      <c r="D230" s="210" t="s">
        <v>277</v>
      </c>
      <c r="E230" s="210"/>
      <c r="F230" s="210" t="str">
        <f t="shared" ref="F230:F238" si="18">F229</f>
        <v>ФорКидс</v>
      </c>
      <c r="G230" s="210" t="s">
        <v>218</v>
      </c>
      <c r="H230" s="210"/>
      <c r="I230" s="116">
        <f>SUMIFS(расчеты!$I:$I,расчеты!$D:$D,$D230,расчеты!$F:$F,$F230)</f>
        <v>0.10334262656785928</v>
      </c>
      <c r="J230" s="210"/>
      <c r="K230" s="210" t="s">
        <v>342</v>
      </c>
      <c r="L230" s="416">
        <f>IF(I230&gt;=условия_KPI!$M$18,условия_KPI!$M$13,IF(I230&gt;=условия_KPI!$L$18,условия_KPI!$L$13,IF(I230&gt;=условия_KPI!$K$18,условия_KPI!$K$13,условия_KPI!$J$13)))</f>
        <v>3</v>
      </c>
      <c r="M230" s="210"/>
      <c r="N230" s="210" t="s">
        <v>346</v>
      </c>
      <c r="O230" s="417">
        <f>SUMIFS(условия_KPI!$P:$P,условия_KPI!$O:$O,$N230)</f>
        <v>0.3</v>
      </c>
      <c r="P230" s="210"/>
      <c r="Q230" s="210"/>
      <c r="R230" s="210"/>
      <c r="S230" s="210"/>
      <c r="T230" s="210"/>
      <c r="U230" s="210"/>
    </row>
    <row r="231" spans="1:22" s="5" customFormat="1">
      <c r="A231" s="1"/>
      <c r="B231" s="1"/>
      <c r="C231" s="1" t="s">
        <v>339</v>
      </c>
      <c r="D231" s="1" t="s">
        <v>237</v>
      </c>
      <c r="E231" s="1"/>
      <c r="F231" s="1" t="str">
        <f t="shared" si="18"/>
        <v>ФорКидс</v>
      </c>
      <c r="G231" s="1" t="s">
        <v>219</v>
      </c>
      <c r="H231" s="1"/>
      <c r="I231" s="90">
        <f>SUMIFS(ПОбТЗ_3!$H:$H,ПОбТЗ_3!$D:$D,$D231,ПОбТЗ_3!$E:$E,$F231)</f>
        <v>53.924221530018258</v>
      </c>
      <c r="J231" s="1"/>
      <c r="K231" s="1" t="s">
        <v>343</v>
      </c>
      <c r="L231" s="90">
        <f>IF(I231&gt;=условия_KPI!$J$20,условия_KPI!$J$13,IF(I231&gt;=условия_KPI!$K$20,условия_KPI!$K$13,IF(I231&gt;=условия_KPI!$L$20,условия_KPI!$L$13,условия_KPI!$M$13)))</f>
        <v>3</v>
      </c>
      <c r="M231" s="1"/>
      <c r="N231" s="210" t="s">
        <v>347</v>
      </c>
      <c r="O231" s="417">
        <f>SUMIFS(условия_KPI!$P:$P,условия_KPI!$O:$O,$N231)</f>
        <v>0.3</v>
      </c>
      <c r="P231" s="1"/>
      <c r="Q231" s="1"/>
      <c r="R231" s="1"/>
      <c r="S231" s="1"/>
      <c r="T231" s="1"/>
      <c r="U231" s="1"/>
    </row>
    <row r="232" spans="1:22" s="5" customFormat="1">
      <c r="A232" s="1"/>
      <c r="B232" s="1"/>
      <c r="C232" s="168" t="s">
        <v>340</v>
      </c>
      <c r="D232" s="168" t="s">
        <v>333</v>
      </c>
      <c r="E232" s="168"/>
      <c r="F232" s="168" t="str">
        <f t="shared" si="18"/>
        <v>ФорКидс</v>
      </c>
      <c r="G232" s="168" t="s">
        <v>261</v>
      </c>
      <c r="H232" s="168"/>
      <c r="I232" s="169">
        <f>SUMIFS(расчеты!$I:$I,расчеты!$D:$D,$D232,расчеты!$F:$F,$F232)</f>
        <v>3994.9221556886228</v>
      </c>
      <c r="J232" s="168"/>
      <c r="K232" s="168" t="s">
        <v>344</v>
      </c>
      <c r="L232" s="169">
        <f>IF(I232&gt;=условия_KPI!$M$22,условия_KPI!$M$13,IF(I232&gt;=условия_KPI!$L$22,условия_KPI!$L$13,IF(I232&gt;=условия_KPI!$K$22,условия_KPI!$K$13,условия_KPI!$J$13)))</f>
        <v>3</v>
      </c>
      <c r="M232" s="168"/>
      <c r="N232" s="460" t="s">
        <v>348</v>
      </c>
      <c r="O232" s="461">
        <f>SUMIFS(условия_KPI!$P:$P,условия_KPI!$O:$O,$N232)</f>
        <v>0.2</v>
      </c>
      <c r="P232" s="1"/>
      <c r="Q232" s="1"/>
      <c r="R232" s="1"/>
      <c r="S232" s="1"/>
      <c r="T232" s="1"/>
      <c r="U232" s="1"/>
    </row>
    <row r="233" spans="1:22" s="211" customFormat="1">
      <c r="A233" s="210"/>
      <c r="B233" s="210"/>
      <c r="C233" s="466" t="s">
        <v>378</v>
      </c>
      <c r="D233" s="466" t="s">
        <v>377</v>
      </c>
      <c r="E233" s="466"/>
      <c r="F233" s="466" t="str">
        <f t="shared" si="18"/>
        <v>ФорКидс</v>
      </c>
      <c r="G233" s="466" t="s">
        <v>218</v>
      </c>
      <c r="H233" s="466"/>
      <c r="I233" s="467">
        <f>1-POWER(1-I230,условия_KPI!$H$27/I231)</f>
        <v>3.9649843276230445E-2</v>
      </c>
      <c r="J233" s="462"/>
      <c r="K233" s="462"/>
      <c r="L233" s="463"/>
      <c r="M233" s="462"/>
      <c r="N233" s="462"/>
      <c r="O233" s="464"/>
      <c r="P233" s="210"/>
      <c r="Q233" s="210"/>
      <c r="R233" s="210"/>
      <c r="S233" s="210"/>
      <c r="T233" s="210"/>
      <c r="U233" s="210"/>
    </row>
    <row r="234" spans="1:22" s="5" customFormat="1">
      <c r="A234" s="1"/>
      <c r="B234" s="1"/>
      <c r="C234" s="194" t="s">
        <v>317</v>
      </c>
      <c r="D234" s="194" t="s">
        <v>318</v>
      </c>
      <c r="E234" s="194"/>
      <c r="F234" s="194" t="str">
        <f>F232</f>
        <v>ФорКидс</v>
      </c>
      <c r="G234" s="194" t="s">
        <v>219</v>
      </c>
      <c r="H234" s="194"/>
      <c r="I234" s="195">
        <f>IF((I235+I237)=0,0,(I235*I236+I237*I238)/(I235+I237))</f>
        <v>18.787110797331326</v>
      </c>
      <c r="J234" s="194"/>
      <c r="K234" s="194"/>
      <c r="L234" s="194"/>
      <c r="M234" s="194"/>
      <c r="N234" s="194"/>
      <c r="O234" s="194"/>
      <c r="P234" s="1"/>
      <c r="Q234" s="1"/>
      <c r="R234" s="1"/>
      <c r="S234" s="1"/>
      <c r="T234" s="1"/>
      <c r="U234" s="1"/>
      <c r="V234" s="1"/>
    </row>
    <row r="235" spans="1:22">
      <c r="A235" s="6"/>
      <c r="B235" s="6"/>
      <c r="C235" s="6" t="s">
        <v>319</v>
      </c>
      <c r="D235" s="6"/>
      <c r="E235" s="6" t="s">
        <v>275</v>
      </c>
      <c r="F235" s="6" t="str">
        <f t="shared" si="18"/>
        <v>ФорКидс</v>
      </c>
      <c r="G235" s="6" t="s">
        <v>261</v>
      </c>
      <c r="H235" s="6"/>
      <c r="I235" s="396">
        <f>SUMIFS(расчеты!$I:$I,расчеты!$D:$D,$E235,расчеты!$F:$F,$F235)</f>
        <v>598206.75999999954</v>
      </c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>
      <c r="A236" s="6"/>
      <c r="B236" s="6"/>
      <c r="C236" s="6"/>
      <c r="D236" s="6"/>
      <c r="E236" s="6" t="s">
        <v>310</v>
      </c>
      <c r="F236" s="6" t="str">
        <f t="shared" si="18"/>
        <v>ФорКидс</v>
      </c>
      <c r="G236" s="6" t="s">
        <v>219</v>
      </c>
      <c r="H236" s="6"/>
      <c r="I236" s="396">
        <f>SUMIFS(расчеты!$I:$I,расчеты!$D:$D,$E236,расчеты!$F:$F,$F236)</f>
        <v>0.71552384239475941</v>
      </c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>
      <c r="A237" s="6"/>
      <c r="B237" s="6"/>
      <c r="C237" s="6" t="s">
        <v>320</v>
      </c>
      <c r="D237" s="6"/>
      <c r="E237" s="6" t="s">
        <v>238</v>
      </c>
      <c r="F237" s="6" t="str">
        <f t="shared" si="18"/>
        <v>ФорКидс</v>
      </c>
      <c r="G237" s="6" t="s">
        <v>261</v>
      </c>
      <c r="H237" s="6"/>
      <c r="I237" s="396">
        <f>SUMIFS(расчеты!$I:$I,расчеты!$D:$D,$E237,расчеты!$F:$F,$F237)</f>
        <v>108660.28000000001</v>
      </c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>
      <c r="A238" s="6"/>
      <c r="B238" s="6"/>
      <c r="C238" s="6"/>
      <c r="D238" s="6"/>
      <c r="E238" s="6" t="s">
        <v>281</v>
      </c>
      <c r="F238" s="6" t="str">
        <f t="shared" si="18"/>
        <v>ФорКидс</v>
      </c>
      <c r="G238" s="6" t="s">
        <v>219</v>
      </c>
      <c r="H238" s="6"/>
      <c r="I238" s="396">
        <f>SUMIFS(расчеты!$I:$I,расчеты!$D:$D,$E238,расчеты!$F:$F,$F238)</f>
        <v>118.27650545350984</v>
      </c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1:22" s="93" customFormat="1" ht="15">
      <c r="A240" s="92"/>
      <c r="B240" s="92"/>
      <c r="C240" s="398" t="s">
        <v>352</v>
      </c>
      <c r="D240" s="399" t="s">
        <v>335</v>
      </c>
      <c r="E240" s="399"/>
      <c r="F240" s="401" t="str">
        <f>микс!$H$43</f>
        <v>ЭлектроФор</v>
      </c>
      <c r="G240" s="399" t="s">
        <v>349</v>
      </c>
      <c r="H240" s="399"/>
      <c r="I240" s="421">
        <f>SUMPRODUCT(L241:L251,O241:O251)</f>
        <v>2.4</v>
      </c>
      <c r="J240" s="92"/>
      <c r="K240" s="6"/>
      <c r="L240" s="6"/>
      <c r="M240" s="6"/>
      <c r="N240" s="6"/>
      <c r="O240" s="6"/>
      <c r="P240" s="92"/>
      <c r="Q240" s="92"/>
      <c r="R240" s="92"/>
      <c r="S240" s="92"/>
      <c r="T240" s="92"/>
      <c r="U240" s="92"/>
    </row>
    <row r="241" spans="1:22" s="211" customFormat="1">
      <c r="A241" s="210"/>
      <c r="B241" s="210"/>
      <c r="C241" s="210" t="s">
        <v>337</v>
      </c>
      <c r="D241" s="210" t="s">
        <v>332</v>
      </c>
      <c r="E241" s="210"/>
      <c r="F241" s="210" t="str">
        <f>F240</f>
        <v>ЭлектроФор</v>
      </c>
      <c r="G241" s="210" t="s">
        <v>218</v>
      </c>
      <c r="H241" s="210"/>
      <c r="I241" s="116">
        <f>SUMIFS(расчеты!$I:$I,расчеты!$D:$D,$D241,расчеты!$F:$F,$F241)</f>
        <v>7.8212269420040448E-3</v>
      </c>
      <c r="J241" s="210"/>
      <c r="K241" s="210" t="s">
        <v>341</v>
      </c>
      <c r="L241" s="416">
        <f>IF(I241&gt;=условия_KPI!$M$16,условия_KPI!$M$13,IF(I241&gt;=условия_KPI!$L$16,условия_KPI!$L$13,IF(I241&gt;=условия_KPI!$K$16,условия_KPI!$K$13,условия_KPI!$J$13)))</f>
        <v>1</v>
      </c>
      <c r="M241" s="210"/>
      <c r="N241" s="210" t="s">
        <v>345</v>
      </c>
      <c r="O241" s="417">
        <f>SUMIFS(условия_KPI!$P:$P,условия_KPI!$O:$O,$N241)</f>
        <v>0.2</v>
      </c>
      <c r="P241" s="210"/>
      <c r="Q241" s="210"/>
      <c r="R241" s="210"/>
      <c r="S241" s="210"/>
      <c r="T241" s="210"/>
      <c r="U241" s="210"/>
    </row>
    <row r="242" spans="1:22" s="211" customFormat="1">
      <c r="A242" s="210"/>
      <c r="B242" s="210"/>
      <c r="C242" s="210" t="s">
        <v>338</v>
      </c>
      <c r="D242" s="210" t="s">
        <v>277</v>
      </c>
      <c r="E242" s="210"/>
      <c r="F242" s="210" t="str">
        <f t="shared" ref="F242:F250" si="19">F241</f>
        <v>ЭлектроФор</v>
      </c>
      <c r="G242" s="210" t="s">
        <v>218</v>
      </c>
      <c r="H242" s="210"/>
      <c r="I242" s="116">
        <f>SUMIFS(расчеты!$I:$I,расчеты!$D:$D,$D242,расчеты!$F:$F,$F242)</f>
        <v>5.3129415819403732E-2</v>
      </c>
      <c r="J242" s="210"/>
      <c r="K242" s="210" t="s">
        <v>342</v>
      </c>
      <c r="L242" s="416">
        <f>IF(I242&gt;=условия_KPI!$M$18,условия_KPI!$M$13,IF(I242&gt;=условия_KPI!$L$18,условия_KPI!$L$13,IF(I242&gt;=условия_KPI!$K$18,условия_KPI!$K$13,условия_KPI!$J$13)))</f>
        <v>2</v>
      </c>
      <c r="M242" s="210"/>
      <c r="N242" s="210" t="s">
        <v>346</v>
      </c>
      <c r="O242" s="417">
        <f>SUMIFS(условия_KPI!$P:$P,условия_KPI!$O:$O,$N242)</f>
        <v>0.3</v>
      </c>
      <c r="P242" s="210"/>
      <c r="Q242" s="210"/>
      <c r="R242" s="210"/>
      <c r="S242" s="210"/>
      <c r="T242" s="210"/>
      <c r="U242" s="210"/>
    </row>
    <row r="243" spans="1:22" s="5" customFormat="1">
      <c r="A243" s="1"/>
      <c r="B243" s="1"/>
      <c r="C243" s="1" t="s">
        <v>339</v>
      </c>
      <c r="D243" s="1" t="s">
        <v>237</v>
      </c>
      <c r="E243" s="1"/>
      <c r="F243" s="1" t="str">
        <f t="shared" si="19"/>
        <v>ЭлектроФор</v>
      </c>
      <c r="G243" s="1" t="s">
        <v>219</v>
      </c>
      <c r="H243" s="1"/>
      <c r="I243" s="90">
        <f>SUMIFS(ПОбТЗ_3!$H:$H,ПОбТЗ_3!$D:$D,$D243,ПОбТЗ_3!$E:$E,$F243)</f>
        <v>33.644075582924415</v>
      </c>
      <c r="J243" s="1"/>
      <c r="K243" s="1" t="s">
        <v>343</v>
      </c>
      <c r="L243" s="90">
        <f>IF(I243&gt;=условия_KPI!$J$20,условия_KPI!$J$13,IF(I243&gt;=условия_KPI!$K$20,условия_KPI!$K$13,IF(I243&gt;=условия_KPI!$L$20,условия_KPI!$L$13,условия_KPI!$M$13)))</f>
        <v>4</v>
      </c>
      <c r="M243" s="1"/>
      <c r="N243" s="210" t="s">
        <v>347</v>
      </c>
      <c r="O243" s="417">
        <f>SUMIFS(условия_KPI!$P:$P,условия_KPI!$O:$O,$N243)</f>
        <v>0.3</v>
      </c>
      <c r="P243" s="1"/>
      <c r="Q243" s="1"/>
      <c r="R243" s="1"/>
      <c r="S243" s="1"/>
      <c r="T243" s="1"/>
      <c r="U243" s="1"/>
    </row>
    <row r="244" spans="1:22" s="5" customFormat="1">
      <c r="A244" s="1"/>
      <c r="B244" s="1"/>
      <c r="C244" s="168" t="s">
        <v>340</v>
      </c>
      <c r="D244" s="168" t="s">
        <v>333</v>
      </c>
      <c r="E244" s="168"/>
      <c r="F244" s="168" t="str">
        <f t="shared" si="19"/>
        <v>ЭлектроФор</v>
      </c>
      <c r="G244" s="168" t="s">
        <v>261</v>
      </c>
      <c r="H244" s="168"/>
      <c r="I244" s="169">
        <f>SUMIFS(расчеты!$I:$I,расчеты!$D:$D,$D244,расчеты!$F:$F,$F244)</f>
        <v>1934.3333333333333</v>
      </c>
      <c r="J244" s="168"/>
      <c r="K244" s="168" t="s">
        <v>344</v>
      </c>
      <c r="L244" s="169">
        <f>IF(I244&gt;=условия_KPI!$M$22,условия_KPI!$M$13,IF(I244&gt;=условия_KPI!$L$22,условия_KPI!$L$13,IF(I244&gt;=условия_KPI!$K$22,условия_KPI!$K$13,условия_KPI!$J$13)))</f>
        <v>2</v>
      </c>
      <c r="M244" s="168"/>
      <c r="N244" s="460" t="s">
        <v>348</v>
      </c>
      <c r="O244" s="461">
        <f>SUMIFS(условия_KPI!$P:$P,условия_KPI!$O:$O,$N244)</f>
        <v>0.2</v>
      </c>
      <c r="P244" s="1"/>
      <c r="Q244" s="1"/>
      <c r="R244" s="1"/>
      <c r="S244" s="1"/>
      <c r="T244" s="1"/>
      <c r="U244" s="1"/>
    </row>
    <row r="245" spans="1:22" s="211" customFormat="1">
      <c r="A245" s="210"/>
      <c r="B245" s="210"/>
      <c r="C245" s="466" t="s">
        <v>378</v>
      </c>
      <c r="D245" s="466" t="s">
        <v>377</v>
      </c>
      <c r="E245" s="466"/>
      <c r="F245" s="466" t="str">
        <f t="shared" si="19"/>
        <v>ЭлектроФор</v>
      </c>
      <c r="G245" s="466" t="s">
        <v>218</v>
      </c>
      <c r="H245" s="466"/>
      <c r="I245" s="467">
        <f>1-POWER(1-I242,условия_KPI!$H$27/I243)</f>
        <v>3.1932221592406163E-2</v>
      </c>
      <c r="J245" s="462"/>
      <c r="K245" s="462"/>
      <c r="L245" s="463"/>
      <c r="M245" s="462"/>
      <c r="N245" s="462"/>
      <c r="O245" s="464"/>
      <c r="P245" s="210"/>
      <c r="Q245" s="210"/>
      <c r="R245" s="210"/>
      <c r="S245" s="210"/>
      <c r="T245" s="210"/>
      <c r="U245" s="210"/>
    </row>
    <row r="246" spans="1:22" s="5" customFormat="1">
      <c r="A246" s="1"/>
      <c r="B246" s="1"/>
      <c r="C246" s="194" t="s">
        <v>317</v>
      </c>
      <c r="D246" s="194" t="s">
        <v>318</v>
      </c>
      <c r="E246" s="194"/>
      <c r="F246" s="194" t="str">
        <f>F244</f>
        <v>ЭлектроФор</v>
      </c>
      <c r="G246" s="194" t="s">
        <v>219</v>
      </c>
      <c r="H246" s="194"/>
      <c r="I246" s="195">
        <f>IF((I247+I249)=0,0,(I247*I248+I249*I250)/(I247+I249))</f>
        <v>-4.6084967876901306</v>
      </c>
      <c r="J246" s="194"/>
      <c r="K246" s="194"/>
      <c r="L246" s="194"/>
      <c r="M246" s="194"/>
      <c r="N246" s="194"/>
      <c r="O246" s="194"/>
      <c r="P246" s="1"/>
      <c r="Q246" s="1"/>
      <c r="R246" s="1"/>
      <c r="S246" s="1"/>
      <c r="T246" s="1"/>
      <c r="U246" s="1"/>
      <c r="V246" s="1"/>
    </row>
    <row r="247" spans="1:22">
      <c r="A247" s="6"/>
      <c r="B247" s="6"/>
      <c r="C247" s="6" t="s">
        <v>319</v>
      </c>
      <c r="D247" s="6"/>
      <c r="E247" s="6" t="s">
        <v>275</v>
      </c>
      <c r="F247" s="6" t="str">
        <f t="shared" si="19"/>
        <v>ЭлектроФор</v>
      </c>
      <c r="G247" s="6" t="s">
        <v>261</v>
      </c>
      <c r="H247" s="6"/>
      <c r="I247" s="396">
        <f>SUMIFS(расчеты!$I:$I,расчеты!$D:$D,$E247,расчеты!$F:$F,$F247)</f>
        <v>27473.45</v>
      </c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>
      <c r="A248" s="6"/>
      <c r="B248" s="6"/>
      <c r="C248" s="6"/>
      <c r="D248" s="6"/>
      <c r="E248" s="6" t="s">
        <v>310</v>
      </c>
      <c r="F248" s="6" t="str">
        <f t="shared" si="19"/>
        <v>ЭлектроФор</v>
      </c>
      <c r="G248" s="6" t="s">
        <v>219</v>
      </c>
      <c r="H248" s="6"/>
      <c r="I248" s="396">
        <f>SUMIFS(расчеты!$I:$I,расчеты!$D:$D,$E248,расчеты!$F:$F,$F248)</f>
        <v>-9.1233569247706328</v>
      </c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>
      <c r="A249" s="6"/>
      <c r="B249" s="6"/>
      <c r="C249" s="6" t="s">
        <v>320</v>
      </c>
      <c r="D249" s="6"/>
      <c r="E249" s="6" t="s">
        <v>238</v>
      </c>
      <c r="F249" s="6" t="str">
        <f t="shared" si="19"/>
        <v>ЭлектроФор</v>
      </c>
      <c r="G249" s="6" t="s">
        <v>261</v>
      </c>
      <c r="H249" s="6"/>
      <c r="I249" s="396">
        <f>SUMIFS(расчеты!$I:$I,расчеты!$D:$D,$E249,расчеты!$F:$F,$F249)</f>
        <v>5009.45</v>
      </c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>
      <c r="A250" s="6"/>
      <c r="B250" s="6"/>
      <c r="C250" s="6"/>
      <c r="D250" s="6"/>
      <c r="E250" s="6" t="s">
        <v>281</v>
      </c>
      <c r="F250" s="6" t="str">
        <f t="shared" si="19"/>
        <v>ЭлектроФор</v>
      </c>
      <c r="G250" s="6" t="s">
        <v>219</v>
      </c>
      <c r="H250" s="6"/>
      <c r="I250" s="396">
        <f>SUMIFS(расчеты!$I:$I,расчеты!$D:$D,$E250,расчеты!$F:$F,$F250)</f>
        <v>20.152461847104973</v>
      </c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2">
      <c r="O252" s="6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AF181"/>
  <sheetViews>
    <sheetView workbookViewId="0">
      <pane ySplit="9" topLeftCell="A10" activePane="bottomLeft" state="frozen"/>
      <selection pane="bottomLeft" activeCell="A2" sqref="A2"/>
    </sheetView>
  </sheetViews>
  <sheetFormatPr defaultRowHeight="12.75"/>
  <cols>
    <col min="1" max="4" width="2.7109375" style="13" customWidth="1"/>
    <col min="5" max="5" width="31" style="13" customWidth="1"/>
    <col min="6" max="6" width="31" style="13" bestFit="1" customWidth="1"/>
    <col min="7" max="7" width="7.7109375" style="13" customWidth="1"/>
    <col min="8" max="8" width="2.7109375" style="13" customWidth="1"/>
    <col min="9" max="9" width="12.7109375" style="5" customWidth="1"/>
    <col min="10" max="10" width="2.7109375" style="106" customWidth="1"/>
    <col min="11" max="12" width="15.7109375" style="9" customWidth="1"/>
    <col min="13" max="16384" width="9.140625" style="13"/>
  </cols>
  <sheetData>
    <row r="1" spans="1:32" s="139" customFormat="1" ht="12">
      <c r="A1" s="145" t="s">
        <v>235</v>
      </c>
      <c r="B1" s="145"/>
      <c r="C1" s="145"/>
      <c r="D1" s="145"/>
      <c r="E1" s="145"/>
      <c r="F1" s="146"/>
      <c r="G1" s="137"/>
      <c r="H1" s="137"/>
      <c r="I1" s="137"/>
      <c r="J1" s="150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>
      <c r="A2" s="12"/>
      <c r="B2" s="12"/>
      <c r="C2" s="12"/>
      <c r="D2" s="12"/>
      <c r="E2" s="12"/>
      <c r="F2" s="12"/>
      <c r="G2" s="12"/>
      <c r="H2" s="12"/>
      <c r="I2" s="1"/>
      <c r="J2" s="104"/>
      <c r="K2" s="6"/>
      <c r="L2" s="6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>
      <c r="A3" s="1"/>
      <c r="B3" s="1"/>
      <c r="C3" s="1" t="s">
        <v>236</v>
      </c>
      <c r="D3" s="1"/>
      <c r="E3" s="1"/>
      <c r="F3" s="1"/>
      <c r="G3" s="1"/>
      <c r="H3" s="1"/>
      <c r="I3" s="1"/>
      <c r="J3" s="112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>
      <c r="A4" s="1"/>
      <c r="B4" s="1"/>
      <c r="C4" s="1" t="s">
        <v>223</v>
      </c>
      <c r="D4" s="1"/>
      <c r="E4" s="1"/>
      <c r="F4" s="12"/>
      <c r="G4" s="1"/>
      <c r="H4" s="1"/>
      <c r="I4" s="1"/>
      <c r="J4" s="112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>
      <c r="A5" s="12"/>
      <c r="B5" s="12"/>
      <c r="C5" s="87" t="s">
        <v>221</v>
      </c>
      <c r="D5" s="12"/>
      <c r="E5" s="12"/>
      <c r="F5" s="12"/>
      <c r="G5" s="12"/>
      <c r="H5" s="12"/>
      <c r="I5" s="1"/>
      <c r="J5" s="104"/>
      <c r="K5" s="6"/>
      <c r="L5" s="6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>
      <c r="A6" s="1"/>
      <c r="B6" s="1"/>
      <c r="C6" s="1" t="s">
        <v>240</v>
      </c>
      <c r="D6" s="1"/>
      <c r="E6" s="1"/>
      <c r="F6" s="12"/>
      <c r="G6" s="1"/>
      <c r="H6" s="1"/>
      <c r="I6" s="1"/>
      <c r="J6" s="112"/>
      <c r="K6" s="6"/>
      <c r="L6" s="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>
      <c r="A7" s="48"/>
      <c r="B7" s="48"/>
      <c r="C7" s="107" t="s">
        <v>222</v>
      </c>
      <c r="D7" s="48"/>
      <c r="E7" s="48"/>
      <c r="F7" s="48"/>
      <c r="G7" s="48"/>
      <c r="H7" s="48"/>
      <c r="I7" s="89" t="s">
        <v>221</v>
      </c>
      <c r="J7" s="112"/>
      <c r="K7" s="49" t="str">
        <f>"в т.ч. "&amp;микс!$G$9&amp;":"</f>
        <v>в т.ч. бизнес-модель:</v>
      </c>
      <c r="L7" s="49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>
      <c r="A8" s="48"/>
      <c r="B8" s="48"/>
      <c r="C8" s="115">
        <f>I10+SUM(J:J)</f>
        <v>0</v>
      </c>
      <c r="D8" s="48"/>
      <c r="E8" s="48"/>
      <c r="F8" s="48"/>
      <c r="G8" s="48"/>
      <c r="H8" s="48"/>
      <c r="I8" s="88">
        <v>42278</v>
      </c>
      <c r="J8" s="112"/>
      <c r="K8" s="86"/>
      <c r="L8" s="86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>
      <c r="A9" s="48"/>
      <c r="B9" s="48"/>
      <c r="C9" s="102"/>
      <c r="D9" s="103"/>
      <c r="E9" s="103" t="s">
        <v>215</v>
      </c>
      <c r="F9" s="121" t="str">
        <f>микс!$G$45</f>
        <v>категория товара</v>
      </c>
      <c r="G9" s="103" t="s">
        <v>216</v>
      </c>
      <c r="H9" s="94"/>
      <c r="I9" s="95">
        <v>42369</v>
      </c>
      <c r="J9" s="113"/>
      <c r="K9" s="122" t="str">
        <f>микс!$H$10</f>
        <v>продажа со склада</v>
      </c>
      <c r="L9" s="122" t="str">
        <f>микс!$H$11</f>
        <v>продажа под заказ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>
      <c r="A10" s="108"/>
      <c r="B10" s="108"/>
      <c r="C10" s="108"/>
      <c r="D10" s="109"/>
      <c r="E10" s="109"/>
      <c r="F10" s="109"/>
      <c r="G10" s="109"/>
      <c r="H10" s="109"/>
      <c r="I10" s="110">
        <f>K11+L11-ПОбТЗ_1!H27-ПОбТЗ_1!H36</f>
        <v>0</v>
      </c>
      <c r="J10" s="105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 s="93" customFormat="1" ht="15">
      <c r="A11" s="92"/>
      <c r="B11" s="92"/>
      <c r="C11" s="92"/>
      <c r="D11" s="151" t="s">
        <v>237</v>
      </c>
      <c r="E11" s="151"/>
      <c r="F11" s="151" t="s">
        <v>214</v>
      </c>
      <c r="G11" s="151" t="s">
        <v>219</v>
      </c>
      <c r="H11" s="151"/>
      <c r="I11" s="152">
        <f>IF(SUMIFS(операции!$Z:$Z,операции!$X:$X,"&gt;="&amp;I$8,операции!$X:$X,"&lt;="&amp;I$9)=0,I13,(SUMIFS(операции!$AG:$AG,операции!$X:$X,"&gt;="&amp;I$8,операции!$X:$X,"&lt;="&amp;I$9)+I$9*SUMIFS(операции!$V:$V,операции!$T:$T,"&lt;="&amp;I$9,операции!$X:$X,""))/(SUMIFS(операции!$Z:$Z,операции!$X:$X,"&gt;="&amp;I$8,операции!$X:$X,"&lt;="&amp;I$9)+SUMIFS(операции!$V:$V,операции!$T:$T,"&lt;="&amp;I$9,операции!$X:$X,""))-(SUMIFS(операции!$AF:$AF,операции!$X:$X,"&gt;="&amp;I$8,операции!$X:$X,"&lt;="&amp;I$9)+SUMIFS(операции!$AF:$AF,операции!$T:$T,"&lt;="&amp;I$9,операции!$X:$X,""))/(SUMIFS(операции!$V:$V,операции!$X:$X,"&gt;="&amp;I$8,операции!$X:$X,"&lt;="&amp;I$9)+SUMIFS(операции!$V:$V,операции!$T:$T,"&lt;="&amp;I$9,операции!$X:$X,"")))</f>
        <v>62.28391637349705</v>
      </c>
      <c r="J11" s="170">
        <f>I11-SUMIFS(ПОбТЗ_1!$H:$H,ПОбТЗ_1!$D:$D,$D11,ПОбТЗ_1!$E:$E,$F11)</f>
        <v>0</v>
      </c>
      <c r="K11" s="153">
        <f>IF(SUMIFS(операции!$Z:$Z,операции!$X:$X,"&gt;="&amp;$I$8,операции!$X:$X,"&lt;="&amp;$I$9,операции!$L:$L,K$9)=0,K13,(SUMIFS(операции!$AG:$AG,операции!$X:$X,"&gt;="&amp;$I$8,операции!$X:$X,"&lt;="&amp;$I$9,операции!$L:$L,K$9)+$I$9*SUMIFS(операции!$V:$V,операции!$T:$T,"&lt;="&amp;$I$9,операции!$X:$X,"",операции!$L:$L,K$9))/(SUMIFS(операции!$Z:$Z,операции!$X:$X,"&gt;="&amp;$I$8,операции!$X:$X,"&lt;="&amp;$I$9,операции!$L:$L,K$9)+SUMIFS(операции!$V:$V,операции!$T:$T,"&lt;="&amp;$I$9,операции!$X:$X,"",операции!$L:$L,K$9))-(SUMIFS(операции!$AF:$AF,операции!$X:$X,"&gt;="&amp;$I$8,операции!$X:$X,"&lt;="&amp;$I$9,операции!$L:$L,K$9)+SUMIFS(операции!$AF:$AF,операции!$T:$T,"&lt;="&amp;$I$9,операции!$X:$X,"",операции!$L:$L,K$9))/(SUMIFS(операции!$V:$V,операции!$X:$X,"&gt;="&amp;$I$8,операции!$X:$X,"&lt;="&amp;$I$9,операции!$L:$L,K$9)+SUMIFS(операции!$V:$V,операции!$T:$T,"&lt;="&amp;$I$9,операции!$X:$X,"",операции!$L:$L,K$9)))</f>
        <v>134.99160541298625</v>
      </c>
      <c r="L11" s="153">
        <f>IF(SUMIFS(операции!$Z:$Z,операции!$X:$X,"&gt;="&amp;$I$8,операции!$X:$X,"&lt;="&amp;$I$9,операции!$L:$L,L$9)=0,L13,(SUMIFS(операции!$AG:$AG,операции!$X:$X,"&gt;="&amp;$I$8,операции!$X:$X,"&lt;="&amp;$I$9,операции!$L:$L,L$9)+$I$9*SUMIFS(операции!$V:$V,операции!$T:$T,"&lt;="&amp;$I$9,операции!$X:$X,"",операции!$L:$L,L$9))/(SUMIFS(операции!$Z:$Z,операции!$X:$X,"&gt;="&amp;$I$8,операции!$X:$X,"&lt;="&amp;$I$9,операции!$L:$L,L$9)+SUMIFS(операции!$V:$V,операции!$T:$T,"&lt;="&amp;$I$9,операции!$X:$X,"",операции!$L:$L,L$9))-(SUMIFS(операции!$AF:$AF,операции!$X:$X,"&gt;="&amp;$I$8,операции!$X:$X,"&lt;="&amp;$I$9,операции!$L:$L,L$9)+SUMIFS(операции!$AF:$AF,операции!$T:$T,"&lt;="&amp;$I$9,операции!$X:$X,"",операции!$L:$L,L$9))/(SUMIFS(операции!$V:$V,операции!$X:$X,"&gt;="&amp;$I$8,операции!$X:$X,"&lt;="&amp;$I$9,операции!$L:$L,L$9)+SUMIFS(операции!$V:$V,операции!$T:$T,"&lt;="&amp;$I$9,операции!$X:$X,"",операции!$L:$L,L$9)))</f>
        <v>5.5886661745316815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</row>
    <row r="12" spans="1:32" s="50" customFormat="1" ht="11.25">
      <c r="A12" s="48"/>
      <c r="B12" s="48"/>
      <c r="C12" s="48"/>
      <c r="D12" s="154"/>
      <c r="E12" s="154" t="s">
        <v>220</v>
      </c>
      <c r="F12" s="154" t="s">
        <v>214</v>
      </c>
      <c r="G12" s="154" t="s">
        <v>219</v>
      </c>
      <c r="H12" s="154"/>
      <c r="I12" s="155">
        <f>IF(SUMIFS(операции!$Z:$Z,операции!$X:$X,"&gt;="&amp;I$8,операции!$X:$X,"&lt;="&amp;I$9)=0,0,SUMIFS(операции!$AG:$AG,операции!$X:$X,"&gt;="&amp;I$8,операции!$X:$X,"&lt;="&amp;I$9)/SUMIFS(операции!$Z:$Z,операции!$X:$X,"&gt;="&amp;I$8,операции!$X:$X,"&lt;="&amp;I$9)-SUMIFS(операции!$AF:$AF,операции!$X:$X,"&gt;="&amp;I$8,операции!$X:$X,"&lt;="&amp;I$9)/SUMIFS(операции!$V:$V,операции!$X:$X,"&gt;="&amp;I$8,операции!$X:$X,"&lt;="&amp;I$9))</f>
        <v>44.170271222967131</v>
      </c>
      <c r="J12" s="173">
        <f>I12-SUMIFS(ПОбТЗ_1!$H:$H,ПОбТЗ_1!$D:$D,$E12,ПОбТЗ_1!$E:$E,$F12)</f>
        <v>0</v>
      </c>
      <c r="K12" s="156">
        <f>IF(SUMIFS(операции!$Z:$Z,операции!$X:$X,"&gt;="&amp;$I$8,операции!$X:$X,"&lt;="&amp;$I$9,операции!$L:$L,K$9)=0,0,SUMIFS(операции!$AG:$AG,операции!$X:$X,"&gt;="&amp;$I$8,операции!$X:$X,"&lt;="&amp;$I$9,операции!$L:$L,K$9)/SUMIFS(операции!$Z:$Z,операции!$X:$X,"&gt;="&amp;$I$8,операции!$X:$X,"&lt;="&amp;$I$9,операции!$L:$L,K$9)-SUMIFS(операции!$AF:$AF,операции!$X:$X,"&gt;="&amp;$I$8,операции!$X:$X,"&lt;="&amp;$I$9,операции!$L:$L,K$9)/SUMIFS(операции!$V:$V,операции!$X:$X,"&gt;="&amp;$I$8,операции!$X:$X,"&lt;="&amp;$I$9,операции!$L:$L,K$9))</f>
        <v>115.74716894339508</v>
      </c>
      <c r="L12" s="156">
        <f>IF(SUMIFS(операции!$Z:$Z,операции!$X:$X,"&gt;="&amp;$I$8,операции!$X:$X,"&lt;="&amp;$I$9,операции!$L:$L,L$9)=0,0,SUMIFS(операции!$AG:$AG,операции!$X:$X,"&gt;="&amp;$I$8,операции!$X:$X,"&lt;="&amp;$I$9,операции!$L:$L,L$9)/SUMIFS(операции!$Z:$Z,операции!$X:$X,"&gt;="&amp;$I$8,операции!$X:$X,"&lt;="&amp;$I$9,операции!$L:$L,L$9)-SUMIFS(операции!$AF:$AF,операции!$X:$X,"&gt;="&amp;$I$8,операции!$X:$X,"&lt;="&amp;$I$9,операции!$L:$L,L$9)/SUMIFS(операции!$V:$V,операции!$X:$X,"&gt;="&amp;$I$8,операции!$X:$X,"&lt;="&amp;$I$9,операции!$L:$L,L$9))</f>
        <v>5.9360620886291144</v>
      </c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</row>
    <row r="13" spans="1:32" s="50" customFormat="1" ht="12" thickBot="1">
      <c r="A13" s="48"/>
      <c r="B13" s="48"/>
      <c r="C13" s="48"/>
      <c r="D13" s="157"/>
      <c r="E13" s="157" t="s">
        <v>239</v>
      </c>
      <c r="F13" s="157" t="s">
        <v>214</v>
      </c>
      <c r="G13" s="157" t="s">
        <v>219</v>
      </c>
      <c r="H13" s="157"/>
      <c r="I13" s="158">
        <f>IF(SUMIFS(операции!$V:$V,операции!$T:$T,"&lt;="&amp;$I$9,операции!$X:$X,"")=0,0,$I$9-SUMIFS(операции!$AF:$AF,операции!$T:$T,"&lt;="&amp;$I$9,операции!$X:$X,"")/SUMIFS(операции!$V:$V,операции!$T:$T,"&lt;="&amp;$I$9,операции!$X:$X,""))</f>
        <v>131.23125652184535</v>
      </c>
      <c r="J13" s="174">
        <f>I13-SUMIFS(ПОбТЗ_1!$H:$H,ПОбТЗ_1!$D:$D,$E13,ПОбТЗ_1!$E:$E,$F13)</f>
        <v>0</v>
      </c>
      <c r="K13" s="159">
        <f>IF(SUMIFS(операции!$V:$V,операции!$T:$T,"&lt;="&amp;$I$9,операции!$X:$X,"",операции!$L:$L,K$9)=0,0,$I$9-SUMIFS(операции!$AF:$AF,операции!$T:$T,"&lt;="&amp;$I$9,операции!$X:$X,"",операции!$L:$L,K$9)/SUMIFS(операции!$V:$V,операции!$T:$T,"&lt;="&amp;$I$9,операции!$X:$X,"",операции!$L:$L,K$9))</f>
        <v>170.59956756760221</v>
      </c>
      <c r="L13" s="159">
        <f>IF(SUMIFS(операции!$V:$V,операции!$T:$T,"&lt;="&amp;$I$9,операции!$X:$X,"",операции!$L:$L,L$9)=0,0,$I$9-SUMIFS(операции!$AF:$AF,операции!$T:$T,"&lt;="&amp;$I$9,операции!$X:$X,"",операции!$L:$L,L$9)/SUMIFS(операции!$V:$V,операции!$T:$T,"&lt;="&amp;$I$9,операции!$X:$X,"",операции!$L:$L,L$9))</f>
        <v>6.1678958707852871</v>
      </c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</row>
    <row r="14" spans="1:32" ht="13.5" thickTop="1">
      <c r="A14" s="12"/>
      <c r="B14" s="12"/>
      <c r="C14" s="12"/>
      <c r="D14" s="91"/>
      <c r="E14" s="91"/>
      <c r="F14" s="91"/>
      <c r="G14" s="91"/>
      <c r="H14" s="91"/>
      <c r="I14" s="101"/>
      <c r="J14" s="114"/>
      <c r="K14" s="123"/>
      <c r="L14" s="1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32" s="93" customFormat="1" ht="15">
      <c r="A15" s="92"/>
      <c r="B15" s="92"/>
      <c r="C15" s="92"/>
      <c r="D15" s="151" t="s">
        <v>237</v>
      </c>
      <c r="E15" s="151"/>
      <c r="F15" s="120" t="str">
        <f>микс!$H$46</f>
        <v>Электроника и бытовая техника</v>
      </c>
      <c r="G15" s="151" t="s">
        <v>219</v>
      </c>
      <c r="H15" s="151"/>
      <c r="I15" s="152">
        <f>IF(SUMIFS(операции!$Z:$Z,операции!$X:$X,"&gt;="&amp;I$8,операции!$X:$X,"&lt;="&amp;I$9,операции!$P:$P,$F15)=0,I17,(SUMIFS(операции!$AG:$AG,операции!$X:$X,"&gt;="&amp;I$8,операции!$X:$X,"&lt;="&amp;I$9,операции!$P:$P,$F15)+I$9*SUMIFS(операции!$V:$V,операции!$T:$T,"&lt;="&amp;I$9,операции!$X:$X,"",операции!$P:$P,$F15))/(SUMIFS(операции!$Z:$Z,операции!$X:$X,"&gt;="&amp;I$8,операции!$X:$X,"&lt;="&amp;I$9,операции!$P:$P,$F15)+SUMIFS(операции!$V:$V,операции!$T:$T,"&lt;="&amp;I$9,операции!$X:$X,"",операции!$P:$P,$F15))-(SUMIFS(операции!$AF:$AF,операции!$X:$X,"&gt;="&amp;I$8,операции!$X:$X,"&lt;="&amp;I$9,операции!$P:$P,$F15)+SUMIFS(операции!$AF:$AF,операции!$T:$T,"&lt;="&amp;I$9,операции!$X:$X,"",операции!$P:$P,$F15))/(SUMIFS(операции!$V:$V,операции!$X:$X,"&gt;="&amp;I$8,операции!$X:$X,"&lt;="&amp;I$9,операции!$P:$P,$F15)+SUMIFS(операции!$V:$V,операции!$T:$T,"&lt;="&amp;I$9,операции!$X:$X,"",операции!$P:$P,$F15)))</f>
        <v>61.651840463397093</v>
      </c>
      <c r="J15" s="170">
        <f>I15-SUMIFS(ПОбТЗ_2!$H:$H,ПОбТЗ_2!$D:$D,$D15,ПОбТЗ_2!$E:$E,$F15)</f>
        <v>0</v>
      </c>
      <c r="K15" s="153">
        <f>IF(SUMIFS(операции!$Z:$Z,операции!$X:$X,"&gt;="&amp;$I$8,операции!$X:$X,"&lt;="&amp;$I$9,операции!$L:$L,K$9,операции!$P:$P,$F15)=0,K17,(SUMIFS(операции!$AG:$AG,операции!$X:$X,"&gt;="&amp;$I$8,операции!$X:$X,"&lt;="&amp;$I$9,операции!$L:$L,K$9,операции!$P:$P,$F15)+$I$9*SUMIFS(операции!$V:$V,операции!$T:$T,"&lt;="&amp;$I$9,операции!$X:$X,"",операции!$L:$L,K$9,операции!$P:$P,$F15))/(SUMIFS(операции!$Z:$Z,операции!$X:$X,"&gt;="&amp;$I$8,операции!$X:$X,"&lt;="&amp;$I$9,операции!$L:$L,K$9,операции!$P:$P,$F15)+SUMIFS(операции!$V:$V,операции!$T:$T,"&lt;="&amp;$I$9,операции!$X:$X,"",операции!$L:$L,K$9,операции!$P:$P,$F15))-(SUMIFS(операции!$AF:$AF,операции!$X:$X,"&gt;="&amp;$I$8,операции!$X:$X,"&lt;="&amp;$I$9,операции!$L:$L,K$9,операции!$P:$P,$F15)+SUMIFS(операции!$AF:$AF,операции!$T:$T,"&lt;="&amp;$I$9,операции!$X:$X,"",операции!$L:$L,K$9,операции!$P:$P,$F15))/(SUMIFS(операции!$V:$V,операции!$X:$X,"&gt;="&amp;$I$8,операции!$X:$X,"&lt;="&amp;$I$9,операции!$L:$L,K$9,операции!$P:$P,$F15)+SUMIFS(операции!$V:$V,операции!$T:$T,"&lt;="&amp;$I$9,операции!$X:$X,"",операции!$L:$L,K$9,операции!$P:$P,$F15)))</f>
        <v>113.2918335577051</v>
      </c>
      <c r="L15" s="153">
        <f>IF(SUMIFS(операции!$Z:$Z,операции!$X:$X,"&gt;="&amp;$I$8,операции!$X:$X,"&lt;="&amp;$I$9,операции!$L:$L,L$9,операции!$P:$P,$F15)=0,L17,(SUMIFS(операции!$AG:$AG,операции!$X:$X,"&gt;="&amp;$I$8,операции!$X:$X,"&lt;="&amp;$I$9,операции!$L:$L,L$9,операции!$P:$P,$F15)+$I$9*SUMIFS(операции!$V:$V,операции!$T:$T,"&lt;="&amp;$I$9,операции!$X:$X,"",операции!$L:$L,L$9,операции!$P:$P,$F15))/(SUMIFS(операции!$Z:$Z,операции!$X:$X,"&gt;="&amp;$I$8,операции!$X:$X,"&lt;="&amp;$I$9,операции!$L:$L,L$9,операции!$P:$P,$F15)+SUMIFS(операции!$V:$V,операции!$T:$T,"&lt;="&amp;$I$9,операции!$X:$X,"",операции!$L:$L,L$9,операции!$P:$P,$F15))-(SUMIFS(операции!$AF:$AF,операции!$X:$X,"&gt;="&amp;$I$8,операции!$X:$X,"&lt;="&amp;$I$9,операции!$L:$L,L$9,операции!$P:$P,$F15)+SUMIFS(операции!$AF:$AF,операции!$T:$T,"&lt;="&amp;$I$9,операции!$X:$X,"",операции!$L:$L,L$9,операции!$P:$P,$F15))/(SUMIFS(операции!$V:$V,операции!$X:$X,"&gt;="&amp;$I$8,операции!$X:$X,"&lt;="&amp;$I$9,операции!$L:$L,L$9,операции!$P:$P,$F15)+SUMIFS(операции!$V:$V,операции!$T:$T,"&lt;="&amp;$I$9,операции!$X:$X,"",операции!$L:$L,L$9,операции!$P:$P,$F15)))</f>
        <v>4.7769741267402424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</row>
    <row r="16" spans="1:32" s="50" customFormat="1" ht="11.25">
      <c r="A16" s="48"/>
      <c r="B16" s="48"/>
      <c r="C16" s="48"/>
      <c r="D16" s="154"/>
      <c r="E16" s="154" t="s">
        <v>220</v>
      </c>
      <c r="F16" s="154" t="str">
        <f>F15</f>
        <v>Электроника и бытовая техника</v>
      </c>
      <c r="G16" s="154" t="s">
        <v>219</v>
      </c>
      <c r="H16" s="154"/>
      <c r="I16" s="155">
        <f>IF(SUMIFS(операции!$Z:$Z,операции!$X:$X,"&gt;="&amp;I$8,операции!$X:$X,"&lt;="&amp;I$9,операции!$P:$P,$F16)=0,0,SUMIFS(операции!$AG:$AG,операции!$X:$X,"&gt;="&amp;I$8,операции!$X:$X,"&lt;="&amp;I$9,операции!$P:$P,$F16)/SUMIFS(операции!$Z:$Z,операции!$X:$X,"&gt;="&amp;I$8,операции!$X:$X,"&lt;="&amp;I$9,операции!$P:$P,$F16)-SUMIFS(операции!$AF:$AF,операции!$X:$X,"&gt;="&amp;I$8,операции!$X:$X,"&lt;="&amp;I$9,операции!$P:$P,$F16)/SUMIFS(операции!$V:$V,операции!$X:$X,"&gt;="&amp;I$8,операции!$X:$X,"&lt;="&amp;I$9,операции!$P:$P,$F16))</f>
        <v>43.880572474336077</v>
      </c>
      <c r="J16" s="173">
        <f>I16-SUMIFS(ПОбТЗ_2!$H:$H,ПОбТЗ_2!$D:$D,$E16,ПОбТЗ_2!$E:$E,$F16)</f>
        <v>0</v>
      </c>
      <c r="K16" s="156">
        <f>IF(SUMIFS(операции!$Z:$Z,операции!$X:$X,"&gt;="&amp;$I$8,операции!$X:$X,"&lt;="&amp;$I$9,операции!$L:$L,K$9,операции!$P:$P,$F16)=0,0,SUMIFS(операции!$AG:$AG,операции!$X:$X,"&gt;="&amp;$I$8,операции!$X:$X,"&lt;="&amp;$I$9,операции!$L:$L,K$9,операции!$P:$P,$F16)/SUMIFS(операции!$Z:$Z,операции!$X:$X,"&gt;="&amp;$I$8,операции!$X:$X,"&lt;="&amp;$I$9,операции!$L:$L,K$9,операции!$P:$P,$F16)-SUMIFS(операции!$AF:$AF,операции!$X:$X,"&gt;="&amp;$I$8,операции!$X:$X,"&lt;="&amp;$I$9,операции!$L:$L,K$9,операции!$P:$P,$F16)/SUMIFS(операции!$V:$V,операции!$X:$X,"&gt;="&amp;$I$8,операции!$X:$X,"&lt;="&amp;$I$9,операции!$L:$L,K$9,операции!$P:$P,$F16))</f>
        <v>92.837382462508685</v>
      </c>
      <c r="L16" s="156">
        <f>IF(SUMIFS(операции!$Z:$Z,операции!$X:$X,"&gt;="&amp;$I$8,операции!$X:$X,"&lt;="&amp;$I$9,операции!$L:$L,L$9,операции!$P:$P,$F16)=0,0,SUMIFS(операции!$AG:$AG,операции!$X:$X,"&gt;="&amp;$I$8,операции!$X:$X,"&lt;="&amp;$I$9,операции!$L:$L,L$9,операции!$P:$P,$F16)/SUMIFS(операции!$Z:$Z,операции!$X:$X,"&gt;="&amp;$I$8,операции!$X:$X,"&lt;="&amp;$I$9,операции!$L:$L,L$9,операции!$P:$P,$F16)-SUMIFS(операции!$AF:$AF,операции!$X:$X,"&gt;="&amp;$I$8,операции!$X:$X,"&lt;="&amp;$I$9,операции!$L:$L,L$9,операции!$P:$P,$F16)/SUMIFS(операции!$V:$V,операции!$X:$X,"&gt;="&amp;$I$8,операции!$X:$X,"&lt;="&amp;$I$9,операции!$L:$L,L$9,операции!$P:$P,$F16))</f>
        <v>5.0868448634137167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50" customFormat="1" ht="11.25">
      <c r="A17" s="48"/>
      <c r="B17" s="48"/>
      <c r="C17" s="48"/>
      <c r="D17" s="160"/>
      <c r="E17" s="160" t="s">
        <v>239</v>
      </c>
      <c r="F17" s="160" t="str">
        <f>F16</f>
        <v>Электроника и бытовая техника</v>
      </c>
      <c r="G17" s="160" t="s">
        <v>219</v>
      </c>
      <c r="H17" s="160"/>
      <c r="I17" s="161">
        <f>IF(SUMIFS(операции!$V:$V,операции!$T:$T,"&lt;="&amp;$I$9,операции!$X:$X,"",операции!$P:$P,$F17)=0,0,$I$9-SUMIFS(операции!$AF:$AF,операции!$T:$T,"&lt;="&amp;$I$9,операции!$X:$X,"",операции!$P:$P,$F17)/SUMIFS(операции!$V:$V,операции!$T:$T,"&lt;="&amp;$I$9,операции!$X:$X,"",операции!$P:$P,$F17))</f>
        <v>101.6771291750556</v>
      </c>
      <c r="J17" s="181">
        <f>I17-SUMIFS(ПОбТЗ_2!$H:$H,ПОбТЗ_2!$D:$D,$E17,ПОбТЗ_2!$E:$E,$F17)</f>
        <v>0</v>
      </c>
      <c r="K17" s="162">
        <f>IF(SUMIFS(операции!$V:$V,операции!$T:$T,"&lt;="&amp;$I$9,операции!$X:$X,"",операции!$L:$L,K$9,операции!$P:$P,$F17)=0,0,$I$9-SUMIFS(операции!$AF:$AF,операции!$T:$T,"&lt;="&amp;$I$9,операции!$X:$X,"",операции!$L:$L,K$9,операции!$P:$P,$F17)/SUMIFS(операции!$V:$V,операции!$T:$T,"&lt;="&amp;$I$9,операции!$X:$X,"",операции!$L:$L,K$9,операции!$P:$P,$F17))</f>
        <v>143.30687311280781</v>
      </c>
      <c r="L17" s="162">
        <f>IF(SUMIFS(операции!$V:$V,операции!$T:$T,"&lt;="&amp;$I$9,операции!$X:$X,"",операции!$L:$L,L$9,операции!$P:$P,$F17)=0,0,$I$9-SUMIFS(операции!$AF:$AF,операции!$T:$T,"&lt;="&amp;$I$9,операции!$X:$X,"",операции!$L:$L,L$9,операции!$P:$P,$F17)/SUMIFS(операции!$V:$V,операции!$T:$T,"&lt;="&amp;$I$9,операции!$X:$X,"",операции!$L:$L,L$9,операции!$P:$P,$F17))</f>
        <v>5.2273666904948186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>
      <c r="A18" s="12"/>
      <c r="B18" s="12"/>
      <c r="C18" s="12"/>
      <c r="D18" s="124"/>
      <c r="E18" s="124"/>
      <c r="F18" s="97"/>
      <c r="G18" s="124"/>
      <c r="H18" s="97"/>
      <c r="I18" s="100"/>
      <c r="J18" s="105"/>
      <c r="K18" s="124"/>
      <c r="L18" s="124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</row>
    <row r="19" spans="1:27" s="93" customFormat="1" ht="15">
      <c r="A19" s="92"/>
      <c r="B19" s="92"/>
      <c r="C19" s="92"/>
      <c r="D19" s="151" t="s">
        <v>237</v>
      </c>
      <c r="E19" s="151"/>
      <c r="F19" s="120" t="str">
        <f>микс!$H$47</f>
        <v>Домашнее хозяйство</v>
      </c>
      <c r="G19" s="151" t="s">
        <v>219</v>
      </c>
      <c r="H19" s="151"/>
      <c r="I19" s="152">
        <f>IF(SUMIFS(операции!$Z:$Z,операции!$X:$X,"&gt;="&amp;I$8,операции!$X:$X,"&lt;="&amp;I$9,операции!$P:$P,$F19)=0,I21,(SUMIFS(операции!$AG:$AG,операции!$X:$X,"&gt;="&amp;I$8,операции!$X:$X,"&lt;="&amp;I$9,операции!$P:$P,$F19)+I$9*SUMIFS(операции!$V:$V,операции!$T:$T,"&lt;="&amp;I$9,операции!$X:$X,"",операции!$P:$P,$F19))/(SUMIFS(операции!$Z:$Z,операции!$X:$X,"&gt;="&amp;I$8,операции!$X:$X,"&lt;="&amp;I$9,операции!$P:$P,$F19)+SUMIFS(операции!$V:$V,операции!$T:$T,"&lt;="&amp;I$9,операции!$X:$X,"",операции!$P:$P,$F19))-(SUMIFS(операции!$AF:$AF,операции!$X:$X,"&gt;="&amp;I$8,операции!$X:$X,"&lt;="&amp;I$9,операции!$P:$P,$F19)+SUMIFS(операции!$AF:$AF,операции!$T:$T,"&lt;="&amp;I$9,операции!$X:$X,"",операции!$P:$P,$F19))/(SUMIFS(операции!$V:$V,операции!$X:$X,"&gt;="&amp;I$8,операции!$X:$X,"&lt;="&amp;I$9,операции!$P:$P,$F19)+SUMIFS(операции!$V:$V,операции!$T:$T,"&lt;="&amp;I$9,операции!$X:$X,"",операции!$P:$P,$F19)))</f>
        <v>39.900239191367291</v>
      </c>
      <c r="J19" s="170">
        <f>I19-SUMIFS(ПОбТЗ_2!$H:$H,ПОбТЗ_2!$D:$D,$D19,ПОбТЗ_2!$E:$E,$F19)</f>
        <v>0</v>
      </c>
      <c r="K19" s="153">
        <f>IF(SUMIFS(операции!$Z:$Z,операции!$X:$X,"&gt;="&amp;$I$8,операции!$X:$X,"&lt;="&amp;$I$9,операции!$L:$L,K$9,операции!$P:$P,$F19)=0,K21,(SUMIFS(операции!$AG:$AG,операции!$X:$X,"&gt;="&amp;$I$8,операции!$X:$X,"&lt;="&amp;$I$9,операции!$L:$L,K$9,операции!$P:$P,$F19)+$I$9*SUMIFS(операции!$V:$V,операции!$T:$T,"&lt;="&amp;$I$9,операции!$X:$X,"",операции!$L:$L,K$9,операции!$P:$P,$F19))/(SUMIFS(операции!$Z:$Z,операции!$X:$X,"&gt;="&amp;$I$8,операции!$X:$X,"&lt;="&amp;$I$9,операции!$L:$L,K$9,операции!$P:$P,$F19)+SUMIFS(операции!$V:$V,операции!$T:$T,"&lt;="&amp;$I$9,операции!$X:$X,"",операции!$L:$L,K$9,операции!$P:$P,$F19))-(SUMIFS(операции!$AF:$AF,операции!$X:$X,"&gt;="&amp;$I$8,операции!$X:$X,"&lt;="&amp;$I$9,операции!$L:$L,K$9,операции!$P:$P,$F19)+SUMIFS(операции!$AF:$AF,операции!$T:$T,"&lt;="&amp;$I$9,операции!$X:$X,"",операции!$L:$L,K$9,операции!$P:$P,$F19))/(SUMIFS(операции!$V:$V,операции!$X:$X,"&gt;="&amp;$I$8,операции!$X:$X,"&lt;="&amp;$I$9,операции!$L:$L,K$9,операции!$P:$P,$F19)+SUMIFS(операции!$V:$V,операции!$T:$T,"&lt;="&amp;$I$9,операции!$X:$X,"",операции!$L:$L,K$9,операции!$P:$P,$F19)))</f>
        <v>85.542512900057773</v>
      </c>
      <c r="L19" s="153">
        <f>IF(SUMIFS(операции!$Z:$Z,операции!$X:$X,"&gt;="&amp;$I$8,операции!$X:$X,"&lt;="&amp;$I$9,операции!$L:$L,L$9,операции!$P:$P,$F19)=0,L21,(SUMIFS(операции!$AG:$AG,операции!$X:$X,"&gt;="&amp;$I$8,операции!$X:$X,"&lt;="&amp;$I$9,операции!$L:$L,L$9,операции!$P:$P,$F19)+$I$9*SUMIFS(операции!$V:$V,операции!$T:$T,"&lt;="&amp;$I$9,операции!$X:$X,"",операции!$L:$L,L$9,операции!$P:$P,$F19))/(SUMIFS(операции!$Z:$Z,операции!$X:$X,"&gt;="&amp;$I$8,операции!$X:$X,"&lt;="&amp;$I$9,операции!$L:$L,L$9,операции!$P:$P,$F19)+SUMIFS(операции!$V:$V,операции!$T:$T,"&lt;="&amp;$I$9,операции!$X:$X,"",операции!$L:$L,L$9,операции!$P:$P,$F19))-(SUMIFS(операции!$AF:$AF,операции!$X:$X,"&gt;="&amp;$I$8,операции!$X:$X,"&lt;="&amp;$I$9,операции!$L:$L,L$9,операции!$P:$P,$F19)+SUMIFS(операции!$AF:$AF,операции!$T:$T,"&lt;="&amp;$I$9,операции!$X:$X,"",операции!$L:$L,L$9,операции!$P:$P,$F19))/(SUMIFS(операции!$V:$V,операции!$X:$X,"&gt;="&amp;$I$8,операции!$X:$X,"&lt;="&amp;$I$9,операции!$L:$L,L$9,операции!$P:$P,$F19)+SUMIFS(операции!$V:$V,операции!$T:$T,"&lt;="&amp;$I$9,операции!$X:$X,"",операции!$L:$L,L$9,операции!$P:$P,$F19)))</f>
        <v>6.7047219415471773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</row>
    <row r="20" spans="1:27" s="50" customFormat="1" ht="11.25">
      <c r="A20" s="48"/>
      <c r="B20" s="48"/>
      <c r="C20" s="48"/>
      <c r="D20" s="154"/>
      <c r="E20" s="154" t="s">
        <v>220</v>
      </c>
      <c r="F20" s="154" t="str">
        <f>F19</f>
        <v>Домашнее хозяйство</v>
      </c>
      <c r="G20" s="154" t="s">
        <v>219</v>
      </c>
      <c r="H20" s="154"/>
      <c r="I20" s="155">
        <f>IF(SUMIFS(операции!$Z:$Z,операции!$X:$X,"&gt;="&amp;I$8,операции!$X:$X,"&lt;="&amp;I$9,операции!$P:$P,$F20)=0,0,SUMIFS(операции!$AG:$AG,операции!$X:$X,"&gt;="&amp;I$8,операции!$X:$X,"&lt;="&amp;I$9,операции!$P:$P,$F20)/SUMIFS(операции!$Z:$Z,операции!$X:$X,"&gt;="&amp;I$8,операции!$X:$X,"&lt;="&amp;I$9,операции!$P:$P,$F20)-SUMIFS(операции!$AF:$AF,операции!$X:$X,"&gt;="&amp;I$8,операции!$X:$X,"&lt;="&amp;I$9,операции!$P:$P,$F20)/SUMIFS(операции!$V:$V,операции!$X:$X,"&gt;="&amp;I$8,операции!$X:$X,"&lt;="&amp;I$9,операции!$P:$P,$F20))</f>
        <v>32.25845444152219</v>
      </c>
      <c r="J20" s="173">
        <f>I20-SUMIFS(ПОбТЗ_2!$H:$H,ПОбТЗ_2!$D:$D,$E20,ПОбТЗ_2!$E:$E,$F20)</f>
        <v>0</v>
      </c>
      <c r="K20" s="156">
        <f>IF(SUMIFS(операции!$Z:$Z,операции!$X:$X,"&gt;="&amp;$I$8,операции!$X:$X,"&lt;="&amp;$I$9,операции!$L:$L,K$9,операции!$P:$P,$F20)=0,0,SUMIFS(операции!$AG:$AG,операции!$X:$X,"&gt;="&amp;$I$8,операции!$X:$X,"&lt;="&amp;$I$9,операции!$L:$L,K$9,операции!$P:$P,$F20)/SUMIFS(операции!$Z:$Z,операции!$X:$X,"&gt;="&amp;$I$8,операции!$X:$X,"&lt;="&amp;$I$9,операции!$L:$L,K$9,операции!$P:$P,$F20)-SUMIFS(операции!$AF:$AF,операции!$X:$X,"&gt;="&amp;$I$8,операции!$X:$X,"&lt;="&amp;$I$9,операции!$L:$L,K$9,операции!$P:$P,$F20)/SUMIFS(операции!$V:$V,операции!$X:$X,"&gt;="&amp;$I$8,операции!$X:$X,"&lt;="&amp;$I$9,операции!$L:$L,K$9,операции!$P:$P,$F20))</f>
        <v>71.119051442619821</v>
      </c>
      <c r="L20" s="156">
        <f>IF(SUMIFS(операции!$Z:$Z,операции!$X:$X,"&gt;="&amp;$I$8,операции!$X:$X,"&lt;="&amp;$I$9,операции!$L:$L,L$9,операции!$P:$P,$F20)=0,0,SUMIFS(операции!$AG:$AG,операции!$X:$X,"&gt;="&amp;$I$8,операции!$X:$X,"&lt;="&amp;$I$9,операции!$L:$L,L$9,операции!$P:$P,$F20)/SUMIFS(операции!$Z:$Z,операции!$X:$X,"&gt;="&amp;$I$8,операции!$X:$X,"&lt;="&amp;$I$9,операции!$L:$L,L$9,операции!$P:$P,$F20)-SUMIFS(операции!$AF:$AF,операции!$X:$X,"&gt;="&amp;$I$8,операции!$X:$X,"&lt;="&amp;$I$9,операции!$L:$L,L$9,операции!$P:$P,$F20)/SUMIFS(операции!$V:$V,операции!$X:$X,"&gt;="&amp;$I$8,операции!$X:$X,"&lt;="&amp;$I$9,операции!$L:$L,L$9,операции!$P:$P,$F20))</f>
        <v>8.1330617672138033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s="50" customFormat="1" ht="11.25">
      <c r="A21" s="48"/>
      <c r="B21" s="48"/>
      <c r="C21" s="48"/>
      <c r="D21" s="160"/>
      <c r="E21" s="160" t="s">
        <v>239</v>
      </c>
      <c r="F21" s="160" t="str">
        <f>F20</f>
        <v>Домашнее хозяйство</v>
      </c>
      <c r="G21" s="160" t="s">
        <v>219</v>
      </c>
      <c r="H21" s="160"/>
      <c r="I21" s="161">
        <f>IF(SUMIFS(операции!$V:$V,операции!$T:$T,"&lt;="&amp;$I$9,операции!$X:$X,"",операции!$P:$P,$F21)=0,0,$I$9-SUMIFS(операции!$AF:$AF,операции!$T:$T,"&lt;="&amp;$I$9,операции!$X:$X,"",операции!$P:$P,$F21)/SUMIFS(операции!$V:$V,операции!$T:$T,"&lt;="&amp;$I$9,операции!$X:$X,"",операции!$P:$P,$F21))</f>
        <v>69.115860436679213</v>
      </c>
      <c r="J21" s="181">
        <f>I21-SUMIFS(ПОбТЗ_2!$H:$H,ПОбТЗ_2!$D:$D,$E21,ПОбТЗ_2!$E:$E,$F21)</f>
        <v>0</v>
      </c>
      <c r="K21" s="162">
        <f>IF(SUMIFS(операции!$V:$V,операции!$T:$T,"&lt;="&amp;$I$9,операции!$X:$X,"",операции!$L:$L,K$9,операции!$P:$P,$F21)=0,0,$I$9-SUMIFS(операции!$AF:$AF,операции!$T:$T,"&lt;="&amp;$I$9,операции!$X:$X,"",операции!$L:$L,K$9,операции!$P:$P,$F21)/SUMIFS(операции!$V:$V,операции!$T:$T,"&lt;="&amp;$I$9,операции!$X:$X,"",операции!$L:$L,K$9,операции!$P:$P,$F21))</f>
        <v>120.77754810730403</v>
      </c>
      <c r="L21" s="162">
        <f>IF(SUMIFS(операции!$V:$V,операции!$T:$T,"&lt;="&amp;$I$9,операции!$X:$X,"",операции!$L:$L,L$9,операции!$P:$P,$F21)=0,0,$I$9-SUMIFS(операции!$AF:$AF,операции!$T:$T,"&lt;="&amp;$I$9,операции!$X:$X,"",операции!$L:$L,L$9,операции!$P:$P,$F21)/SUMIFS(операции!$V:$V,операции!$T:$T,"&lt;="&amp;$I$9,операции!$X:$X,"",операции!$L:$L,L$9,операции!$P:$P,$F21))</f>
        <v>5.9688862645343761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>
      <c r="A22" s="12"/>
      <c r="B22" s="12"/>
      <c r="C22" s="12"/>
      <c r="D22" s="124"/>
      <c r="E22" s="124"/>
      <c r="F22" s="97"/>
      <c r="G22" s="124"/>
      <c r="H22" s="97"/>
      <c r="I22" s="100"/>
      <c r="J22" s="105"/>
      <c r="K22" s="124"/>
      <c r="L22" s="124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93" customFormat="1" ht="15">
      <c r="A23" s="92"/>
      <c r="B23" s="92"/>
      <c r="C23" s="92"/>
      <c r="D23" s="151" t="s">
        <v>237</v>
      </c>
      <c r="E23" s="151"/>
      <c r="F23" s="120" t="str">
        <f>микс!$H$48</f>
        <v>Спортивный инвентарь</v>
      </c>
      <c r="G23" s="151" t="s">
        <v>219</v>
      </c>
      <c r="H23" s="151"/>
      <c r="I23" s="152">
        <f>IF(SUMIFS(операции!$Z:$Z,операции!$X:$X,"&gt;="&amp;I$8,операции!$X:$X,"&lt;="&amp;I$9,операции!$P:$P,$F23)=0,I25,(SUMIFS(операции!$AG:$AG,операции!$X:$X,"&gt;="&amp;I$8,операции!$X:$X,"&lt;="&amp;I$9,операции!$P:$P,$F23)+I$9*SUMIFS(операции!$V:$V,операции!$T:$T,"&lt;="&amp;I$9,операции!$X:$X,"",операции!$P:$P,$F23))/(SUMIFS(операции!$Z:$Z,операции!$X:$X,"&gt;="&amp;I$8,операции!$X:$X,"&lt;="&amp;I$9,операции!$P:$P,$F23)+SUMIFS(операции!$V:$V,операции!$T:$T,"&lt;="&amp;I$9,операции!$X:$X,"",операции!$P:$P,$F23))-(SUMIFS(операции!$AF:$AF,операции!$X:$X,"&gt;="&amp;I$8,операции!$X:$X,"&lt;="&amp;I$9,операции!$P:$P,$F23)+SUMIFS(операции!$AF:$AF,операции!$T:$T,"&lt;="&amp;I$9,операции!$X:$X,"",операции!$P:$P,$F23))/(SUMIFS(операции!$V:$V,операции!$X:$X,"&gt;="&amp;I$8,операции!$X:$X,"&lt;="&amp;I$9,операции!$P:$P,$F23)+SUMIFS(операции!$V:$V,операции!$T:$T,"&lt;="&amp;I$9,операции!$X:$X,"",операции!$P:$P,$F23)))</f>
        <v>64.908509625442093</v>
      </c>
      <c r="J23" s="170">
        <f>I23-SUMIFS(ПОбТЗ_2!$H:$H,ПОбТЗ_2!$D:$D,$D23,ПОбТЗ_2!$E:$E,$F23)</f>
        <v>0</v>
      </c>
      <c r="K23" s="153">
        <f>IF(SUMIFS(операции!$Z:$Z,операции!$X:$X,"&gt;="&amp;$I$8,операции!$X:$X,"&lt;="&amp;$I$9,операции!$L:$L,K$9,операции!$P:$P,$F23)=0,K25,(SUMIFS(операции!$AG:$AG,операции!$X:$X,"&gt;="&amp;$I$8,операции!$X:$X,"&lt;="&amp;$I$9,операции!$L:$L,K$9,операции!$P:$P,$F23)+$I$9*SUMIFS(операции!$V:$V,операции!$T:$T,"&lt;="&amp;$I$9,операции!$X:$X,"",операции!$L:$L,K$9,операции!$P:$P,$F23))/(SUMIFS(операции!$Z:$Z,операции!$X:$X,"&gt;="&amp;$I$8,операции!$X:$X,"&lt;="&amp;$I$9,операции!$L:$L,K$9,операции!$P:$P,$F23)+SUMIFS(операции!$V:$V,операции!$T:$T,"&lt;="&amp;$I$9,операции!$X:$X,"",операции!$L:$L,K$9,операции!$P:$P,$F23))-(SUMIFS(операции!$AF:$AF,операции!$X:$X,"&gt;="&amp;$I$8,операции!$X:$X,"&lt;="&amp;$I$9,операции!$L:$L,K$9,операции!$P:$P,$F23)+SUMIFS(операции!$AF:$AF,операции!$T:$T,"&lt;="&amp;$I$9,операции!$X:$X,"",операции!$L:$L,K$9,операции!$P:$P,$F23))/(SUMIFS(операции!$V:$V,операции!$X:$X,"&gt;="&amp;$I$8,операции!$X:$X,"&lt;="&amp;$I$9,операции!$L:$L,K$9,операции!$P:$P,$F23)+SUMIFS(операции!$V:$V,операции!$T:$T,"&lt;="&amp;$I$9,операции!$X:$X,"",операции!$L:$L,K$9,операции!$P:$P,$F23)))</f>
        <v>122.93757069302956</v>
      </c>
      <c r="L23" s="153">
        <f>IF(SUMIFS(операции!$Z:$Z,операции!$X:$X,"&gt;="&amp;$I$8,операции!$X:$X,"&lt;="&amp;$I$9,операции!$L:$L,L$9,операции!$P:$P,$F23)=0,L25,(SUMIFS(операции!$AG:$AG,операции!$X:$X,"&gt;="&amp;$I$8,операции!$X:$X,"&lt;="&amp;$I$9,операции!$L:$L,L$9,операции!$P:$P,$F23)+$I$9*SUMIFS(операции!$V:$V,операции!$T:$T,"&lt;="&amp;$I$9,операции!$X:$X,"",операции!$L:$L,L$9,операции!$P:$P,$F23))/(SUMIFS(операции!$Z:$Z,операции!$X:$X,"&gt;="&amp;$I$8,операции!$X:$X,"&lt;="&amp;$I$9,операции!$L:$L,L$9,операции!$P:$P,$F23)+SUMIFS(операции!$V:$V,операции!$T:$T,"&lt;="&amp;$I$9,операции!$X:$X,"",операции!$L:$L,L$9,операции!$P:$P,$F23))-(SUMIFS(операции!$AF:$AF,операции!$X:$X,"&gt;="&amp;$I$8,операции!$X:$X,"&lt;="&amp;$I$9,операции!$L:$L,L$9,операции!$P:$P,$F23)+SUMIFS(операции!$AF:$AF,операции!$T:$T,"&lt;="&amp;$I$9,операции!$X:$X,"",операции!$L:$L,L$9,операции!$P:$P,$F23))/(SUMIFS(операции!$V:$V,операции!$X:$X,"&gt;="&amp;$I$8,операции!$X:$X,"&lt;="&amp;$I$9,операции!$L:$L,L$9,операции!$P:$P,$F23)+SUMIFS(операции!$V:$V,операции!$T:$T,"&lt;="&amp;$I$9,операции!$X:$X,"",операции!$L:$L,L$9,операции!$P:$P,$F23)))</f>
        <v>5.9927618772126152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</row>
    <row r="24" spans="1:27" s="50" customFormat="1" ht="11.25">
      <c r="A24" s="48"/>
      <c r="B24" s="48"/>
      <c r="C24" s="48"/>
      <c r="D24" s="154"/>
      <c r="E24" s="154" t="s">
        <v>220</v>
      </c>
      <c r="F24" s="154" t="str">
        <f>F23</f>
        <v>Спортивный инвентарь</v>
      </c>
      <c r="G24" s="154" t="s">
        <v>219</v>
      </c>
      <c r="H24" s="154"/>
      <c r="I24" s="155">
        <f>IF(SUMIFS(операции!$Z:$Z,операции!$X:$X,"&gt;="&amp;I$8,операции!$X:$X,"&lt;="&amp;I$9,операции!$P:$P,$F24)=0,0,SUMIFS(операции!$AG:$AG,операции!$X:$X,"&gt;="&amp;I$8,операции!$X:$X,"&lt;="&amp;I$9,операции!$P:$P,$F24)/SUMIFS(операции!$Z:$Z,операции!$X:$X,"&gt;="&amp;I$8,операции!$X:$X,"&lt;="&amp;I$9,операции!$P:$P,$F24)-SUMIFS(операции!$AF:$AF,операции!$X:$X,"&gt;="&amp;I$8,операции!$X:$X,"&lt;="&amp;I$9,операции!$P:$P,$F24)/SUMIFS(операции!$V:$V,операции!$X:$X,"&gt;="&amp;I$8,операции!$X:$X,"&lt;="&amp;I$9,операции!$P:$P,$F24))</f>
        <v>46.659001527943474</v>
      </c>
      <c r="J24" s="173">
        <f>I24-SUMIFS(ПОбТЗ_2!$H:$H,ПОбТЗ_2!$D:$D,$E24,ПОбТЗ_2!$E:$E,$F24)</f>
        <v>0</v>
      </c>
      <c r="K24" s="156">
        <f>IF(SUMIFS(операции!$Z:$Z,операции!$X:$X,"&gt;="&amp;$I$8,операции!$X:$X,"&lt;="&amp;$I$9,операции!$L:$L,K$9,операции!$P:$P,$F24)=0,0,SUMIFS(операции!$AG:$AG,операции!$X:$X,"&gt;="&amp;$I$8,операции!$X:$X,"&lt;="&amp;$I$9,операции!$L:$L,K$9,операции!$P:$P,$F24)/SUMIFS(операции!$Z:$Z,операции!$X:$X,"&gt;="&amp;$I$8,операции!$X:$X,"&lt;="&amp;$I$9,операции!$L:$L,K$9,операции!$P:$P,$F24)-SUMIFS(операции!$AF:$AF,операции!$X:$X,"&gt;="&amp;$I$8,операции!$X:$X,"&lt;="&amp;$I$9,операции!$L:$L,K$9,операции!$P:$P,$F24)/SUMIFS(операции!$V:$V,операции!$X:$X,"&gt;="&amp;$I$8,операции!$X:$X,"&lt;="&amp;$I$9,операции!$L:$L,K$9,операции!$P:$P,$F24))</f>
        <v>102.62301682202815</v>
      </c>
      <c r="L24" s="156">
        <f>IF(SUMIFS(операции!$Z:$Z,операции!$X:$X,"&gt;="&amp;$I$8,операции!$X:$X,"&lt;="&amp;$I$9,операции!$L:$L,L$9,операции!$P:$P,$F24)=0,0,SUMIFS(операции!$AG:$AG,операции!$X:$X,"&gt;="&amp;$I$8,операции!$X:$X,"&lt;="&amp;$I$9,операции!$L:$L,L$9,операции!$P:$P,$F24)/SUMIFS(операции!$Z:$Z,операции!$X:$X,"&gt;="&amp;$I$8,операции!$X:$X,"&lt;="&amp;$I$9,операции!$L:$L,L$9,операции!$P:$P,$F24)-SUMIFS(операции!$AF:$AF,операции!$X:$X,"&gt;="&amp;$I$8,операции!$X:$X,"&lt;="&amp;$I$9,операции!$L:$L,L$9,операции!$P:$P,$F24)/SUMIFS(операции!$V:$V,операции!$X:$X,"&gt;="&amp;$I$8,операции!$X:$X,"&lt;="&amp;$I$9,операции!$L:$L,L$9,операции!$P:$P,$F24))</f>
        <v>5.8952358708847896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s="50" customFormat="1" ht="11.25">
      <c r="A25" s="48"/>
      <c r="B25" s="48"/>
      <c r="C25" s="48"/>
      <c r="D25" s="160"/>
      <c r="E25" s="160" t="s">
        <v>239</v>
      </c>
      <c r="F25" s="160" t="str">
        <f>F24</f>
        <v>Спортивный инвентарь</v>
      </c>
      <c r="G25" s="160" t="s">
        <v>219</v>
      </c>
      <c r="H25" s="160"/>
      <c r="I25" s="161">
        <f>IF(SUMIFS(операции!$V:$V,операции!$T:$T,"&lt;="&amp;$I$9,операции!$X:$X,"",операции!$P:$P,$F25)=0,0,$I$9-SUMIFS(операции!$AF:$AF,операции!$T:$T,"&lt;="&amp;$I$9,операции!$X:$X,"",операции!$P:$P,$F25)/SUMIFS(операции!$V:$V,операции!$T:$T,"&lt;="&amp;$I$9,операции!$X:$X,"",операции!$P:$P,$F25))</f>
        <v>136.33437358594529</v>
      </c>
      <c r="J25" s="181">
        <f>I25-SUMIFS(ПОбТЗ_2!$H:$H,ПОбТЗ_2!$D:$D,$E25,ПОбТЗ_2!$E:$E,$F25)</f>
        <v>0</v>
      </c>
      <c r="K25" s="162">
        <f>IF(SUMIFS(операции!$V:$V,операции!$T:$T,"&lt;="&amp;$I$9,операции!$X:$X,"",операции!$L:$L,K$9,операции!$P:$P,$F25)=0,0,$I$9-SUMIFS(операции!$AF:$AF,операции!$T:$T,"&lt;="&amp;$I$9,операции!$X:$X,"",операции!$L:$L,K$9,операции!$P:$P,$F25)/SUMIFS(операции!$V:$V,операции!$T:$T,"&lt;="&amp;$I$9,операции!$X:$X,"",операции!$L:$L,K$9,операции!$P:$P,$F25))</f>
        <v>165.97694305485493</v>
      </c>
      <c r="L25" s="162">
        <f>IF(SUMIFS(операции!$V:$V,операции!$T:$T,"&lt;="&amp;$I$9,операции!$X:$X,"",операции!$L:$L,L$9,операции!$P:$P,$F25)=0,0,$I$9-SUMIFS(операции!$AF:$AF,операции!$T:$T,"&lt;="&amp;$I$9,операции!$X:$X,"",операции!$L:$L,L$9,операции!$P:$P,$F25)/SUMIFS(операции!$V:$V,операции!$T:$T,"&lt;="&amp;$I$9,операции!$X:$X,"",операции!$L:$L,L$9,операции!$P:$P,$F25))</f>
        <v>12.064489599470107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>
      <c r="A26" s="12"/>
      <c r="B26" s="12"/>
      <c r="C26" s="12"/>
      <c r="D26" s="124"/>
      <c r="E26" s="124"/>
      <c r="F26" s="97"/>
      <c r="G26" s="124"/>
      <c r="H26" s="97"/>
      <c r="I26" s="100"/>
      <c r="J26" s="105"/>
      <c r="K26" s="124"/>
      <c r="L26" s="124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</row>
    <row r="27" spans="1:27" s="93" customFormat="1" ht="15">
      <c r="A27" s="92"/>
      <c r="B27" s="92"/>
      <c r="C27" s="92"/>
      <c r="D27" s="151" t="s">
        <v>237</v>
      </c>
      <c r="E27" s="151"/>
      <c r="F27" s="120" t="str">
        <f>микс!$H$49</f>
        <v>Товары для детей</v>
      </c>
      <c r="G27" s="151" t="s">
        <v>219</v>
      </c>
      <c r="H27" s="151"/>
      <c r="I27" s="152">
        <f>IF(SUMIFS(операции!$Z:$Z,операции!$X:$X,"&gt;="&amp;I$8,операции!$X:$X,"&lt;="&amp;I$9,операции!$P:$P,$F27)=0,I29,(SUMIFS(операции!$AG:$AG,операции!$X:$X,"&gt;="&amp;I$8,операции!$X:$X,"&lt;="&amp;I$9,операции!$P:$P,$F27)+I$9*SUMIFS(операции!$V:$V,операции!$T:$T,"&lt;="&amp;I$9,операции!$X:$X,"",операции!$P:$P,$F27))/(SUMIFS(операции!$Z:$Z,операции!$X:$X,"&gt;="&amp;I$8,операции!$X:$X,"&lt;="&amp;I$9,операции!$P:$P,$F27)+SUMIFS(операции!$V:$V,операции!$T:$T,"&lt;="&amp;I$9,операции!$X:$X,"",операции!$P:$P,$F27))-(SUMIFS(операции!$AF:$AF,операции!$X:$X,"&gt;="&amp;I$8,операции!$X:$X,"&lt;="&amp;I$9,операции!$P:$P,$F27)+SUMIFS(операции!$AF:$AF,операции!$T:$T,"&lt;="&amp;I$9,операции!$X:$X,"",операции!$P:$P,$F27))/(SUMIFS(операции!$V:$V,операции!$X:$X,"&gt;="&amp;I$8,операции!$X:$X,"&lt;="&amp;I$9,операции!$P:$P,$F27)+SUMIFS(операции!$V:$V,операции!$T:$T,"&lt;="&amp;I$9,операции!$X:$X,"",операции!$P:$P,$F27)))</f>
        <v>60.46251692383521</v>
      </c>
      <c r="J27" s="170">
        <f>I27-SUMIFS(ПОбТЗ_2!$H:$H,ПОбТЗ_2!$D:$D,$D27,ПОбТЗ_2!$E:$E,$F27)</f>
        <v>0</v>
      </c>
      <c r="K27" s="153">
        <f>IF(SUMIFS(операции!$Z:$Z,операции!$X:$X,"&gt;="&amp;$I$8,операции!$X:$X,"&lt;="&amp;$I$9,операции!$L:$L,K$9,операции!$P:$P,$F27)=0,K29,(SUMIFS(операции!$AG:$AG,операции!$X:$X,"&gt;="&amp;$I$8,операции!$X:$X,"&lt;="&amp;$I$9,операции!$L:$L,K$9,операции!$P:$P,$F27)+$I$9*SUMIFS(операции!$V:$V,операции!$T:$T,"&lt;="&amp;$I$9,операции!$X:$X,"",операции!$L:$L,K$9,операции!$P:$P,$F27))/(SUMIFS(операции!$Z:$Z,операции!$X:$X,"&gt;="&amp;$I$8,операции!$X:$X,"&lt;="&amp;$I$9,операции!$L:$L,K$9,операции!$P:$P,$F27)+SUMIFS(операции!$V:$V,операции!$T:$T,"&lt;="&amp;$I$9,операции!$X:$X,"",операции!$L:$L,K$9,операции!$P:$P,$F27))-(SUMIFS(операции!$AF:$AF,операции!$X:$X,"&gt;="&amp;$I$8,операции!$X:$X,"&lt;="&amp;$I$9,операции!$L:$L,K$9,операции!$P:$P,$F27)+SUMIFS(операции!$AF:$AF,операции!$T:$T,"&lt;="&amp;$I$9,операции!$X:$X,"",операции!$L:$L,K$9,операции!$P:$P,$F27))/(SUMIFS(операции!$V:$V,операции!$X:$X,"&gt;="&amp;$I$8,операции!$X:$X,"&lt;="&amp;$I$9,операции!$L:$L,K$9,операции!$P:$P,$F27)+SUMIFS(операции!$V:$V,операции!$T:$T,"&lt;="&amp;$I$9,операции!$X:$X,"",операции!$L:$L,K$9,операции!$P:$P,$F27)))</f>
        <v>147.51818446318066</v>
      </c>
      <c r="L27" s="153">
        <f>IF(SUMIFS(операции!$Z:$Z,операции!$X:$X,"&gt;="&amp;$I$8,операции!$X:$X,"&lt;="&amp;$I$9,операции!$L:$L,L$9,операции!$P:$P,$F27)=0,L29,(SUMIFS(операции!$AG:$AG,операции!$X:$X,"&gt;="&amp;$I$8,операции!$X:$X,"&lt;="&amp;$I$9,операции!$L:$L,L$9,операции!$P:$P,$F27)+$I$9*SUMIFS(операции!$V:$V,операции!$T:$T,"&lt;="&amp;$I$9,операции!$X:$X,"",операции!$L:$L,L$9,операции!$P:$P,$F27))/(SUMIFS(операции!$Z:$Z,операции!$X:$X,"&gt;="&amp;$I$8,операции!$X:$X,"&lt;="&amp;$I$9,операции!$L:$L,L$9,операции!$P:$P,$F27)+SUMIFS(операции!$V:$V,операции!$T:$T,"&lt;="&amp;$I$9,операции!$X:$X,"",операции!$L:$L,L$9,операции!$P:$P,$F27))-(SUMIFS(операции!$AF:$AF,операции!$X:$X,"&gt;="&amp;$I$8,операции!$X:$X,"&lt;="&amp;$I$9,операции!$L:$L,L$9,операции!$P:$P,$F27)+SUMIFS(операции!$AF:$AF,операции!$T:$T,"&lt;="&amp;$I$9,операции!$X:$X,"",операции!$L:$L,L$9,операции!$P:$P,$F27))/(SUMIFS(операции!$V:$V,операции!$X:$X,"&gt;="&amp;$I$8,операции!$X:$X,"&lt;="&amp;$I$9,операции!$L:$L,L$9,операции!$P:$P,$F27)+SUMIFS(операции!$V:$V,операции!$T:$T,"&lt;="&amp;$I$9,операции!$X:$X,"",операции!$L:$L,L$9,операции!$P:$P,$F27)))</f>
        <v>5.5441684673132841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 s="50" customFormat="1" ht="11.25">
      <c r="A28" s="48"/>
      <c r="B28" s="48"/>
      <c r="C28" s="48"/>
      <c r="D28" s="154"/>
      <c r="E28" s="154" t="s">
        <v>220</v>
      </c>
      <c r="F28" s="154" t="str">
        <f>F27</f>
        <v>Товары для детей</v>
      </c>
      <c r="G28" s="154" t="s">
        <v>219</v>
      </c>
      <c r="H28" s="154"/>
      <c r="I28" s="155">
        <f>IF(SUMIFS(операции!$Z:$Z,операции!$X:$X,"&gt;="&amp;I$8,операции!$X:$X,"&lt;="&amp;I$9,операции!$P:$P,$F28)=0,0,SUMIFS(операции!$AG:$AG,операции!$X:$X,"&gt;="&amp;I$8,операции!$X:$X,"&lt;="&amp;I$9,операции!$P:$P,$F28)/SUMIFS(операции!$Z:$Z,операции!$X:$X,"&gt;="&amp;I$8,операции!$X:$X,"&lt;="&amp;I$9,операции!$P:$P,$F28)-SUMIFS(операции!$AF:$AF,операции!$X:$X,"&gt;="&amp;I$8,операции!$X:$X,"&lt;="&amp;I$9,операции!$P:$P,$F28)/SUMIFS(операции!$V:$V,операции!$X:$X,"&gt;="&amp;I$8,операции!$X:$X,"&lt;="&amp;I$9,операции!$P:$P,$F28))</f>
        <v>42.520937715657055</v>
      </c>
      <c r="J28" s="173">
        <f>I28-SUMIFS(ПОбТЗ_2!$H:$H,ПОбТЗ_2!$D:$D,$E28,ПОбТЗ_2!$E:$E,$F28)</f>
        <v>0</v>
      </c>
      <c r="K28" s="156">
        <f>IF(SUMIFS(операции!$Z:$Z,операции!$X:$X,"&gt;="&amp;$I$8,операции!$X:$X,"&lt;="&amp;$I$9,операции!$L:$L,K$9,операции!$P:$P,$F28)=0,0,SUMIFS(операции!$AG:$AG,операции!$X:$X,"&gt;="&amp;$I$8,операции!$X:$X,"&lt;="&amp;$I$9,операции!$L:$L,K$9,операции!$P:$P,$F28)/SUMIFS(операции!$Z:$Z,операции!$X:$X,"&gt;="&amp;$I$8,операции!$X:$X,"&lt;="&amp;$I$9,операции!$L:$L,K$9,операции!$P:$P,$F28)-SUMIFS(операции!$AF:$AF,операции!$X:$X,"&gt;="&amp;$I$8,операции!$X:$X,"&lt;="&amp;$I$9,операции!$L:$L,K$9,операции!$P:$P,$F28)/SUMIFS(операции!$V:$V,операции!$X:$X,"&gt;="&amp;$I$8,операции!$X:$X,"&lt;="&amp;$I$9,операции!$L:$L,K$9,операции!$P:$P,$F28))</f>
        <v>128.61793566884444</v>
      </c>
      <c r="L28" s="156">
        <f>IF(SUMIFS(операции!$Z:$Z,операции!$X:$X,"&gt;="&amp;$I$8,операции!$X:$X,"&lt;="&amp;$I$9,операции!$L:$L,L$9,операции!$P:$P,$F28)=0,0,SUMIFS(операции!$AG:$AG,операции!$X:$X,"&gt;="&amp;$I$8,операции!$X:$X,"&lt;="&amp;$I$9,операции!$L:$L,L$9,операции!$P:$P,$F28)/SUMIFS(операции!$Z:$Z,операции!$X:$X,"&gt;="&amp;$I$8,операции!$X:$X,"&lt;="&amp;$I$9,операции!$L:$L,L$9,операции!$P:$P,$F28)-SUMIFS(операции!$AF:$AF,операции!$X:$X,"&gt;="&amp;$I$8,операции!$X:$X,"&lt;="&amp;$I$9,операции!$L:$L,L$9,операции!$P:$P,$F28)/SUMIFS(операции!$V:$V,операции!$X:$X,"&gt;="&amp;$I$8,операции!$X:$X,"&lt;="&amp;$I$9,операции!$L:$L,L$9,операции!$P:$P,$F28))</f>
        <v>5.8446434183060774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s="50" customFormat="1" ht="11.25">
      <c r="A29" s="48"/>
      <c r="B29" s="48"/>
      <c r="C29" s="48"/>
      <c r="D29" s="160"/>
      <c r="E29" s="160" t="s">
        <v>239</v>
      </c>
      <c r="F29" s="160" t="str">
        <f>F28</f>
        <v>Товары для детей</v>
      </c>
      <c r="G29" s="160" t="s">
        <v>219</v>
      </c>
      <c r="H29" s="160"/>
      <c r="I29" s="161">
        <f>IF(SUMIFS(операции!$V:$V,операции!$T:$T,"&lt;="&amp;$I$9,операции!$X:$X,"",операции!$P:$P,$F29)=0,0,$I$9-SUMIFS(операции!$AF:$AF,операции!$T:$T,"&lt;="&amp;$I$9,операции!$X:$X,"",операции!$P:$P,$F29)/SUMIFS(операции!$V:$V,операции!$T:$T,"&lt;="&amp;$I$9,операции!$X:$X,"",операции!$P:$P,$F29))</f>
        <v>139.96443631446164</v>
      </c>
      <c r="J29" s="181">
        <f>I29-SUMIFS(ПОбТЗ_2!$H:$H,ПОбТЗ_2!$D:$D,$E29,ПОбТЗ_2!$E:$E,$F29)</f>
        <v>0</v>
      </c>
      <c r="K29" s="162">
        <f>IF(SUMIFS(операции!$V:$V,операции!$T:$T,"&lt;="&amp;$I$9,операции!$X:$X,"",операции!$L:$L,K$9,операции!$P:$P,$F29)=0,0,$I$9-SUMIFS(операции!$AF:$AF,операции!$T:$T,"&lt;="&amp;$I$9,операции!$X:$X,"",операции!$L:$L,K$9,операции!$P:$P,$F29)/SUMIFS(операции!$V:$V,операции!$T:$T,"&lt;="&amp;$I$9,операции!$X:$X,"",операции!$L:$L,K$9,операции!$P:$P,$F29))</f>
        <v>182.51222338198568</v>
      </c>
      <c r="L29" s="162">
        <f>IF(SUMIFS(операции!$V:$V,операции!$T:$T,"&lt;="&amp;$I$9,операции!$X:$X,"",операции!$L:$L,L$9,операции!$P:$P,$F29)=0,0,$I$9-SUMIFS(операции!$AF:$AF,операции!$T:$T,"&lt;="&amp;$I$9,операции!$X:$X,"",операции!$L:$L,L$9,операции!$P:$P,$F29)/SUMIFS(операции!$V:$V,операции!$T:$T,"&lt;="&amp;$I$9,операции!$X:$X,"",операции!$L:$L,L$9,операции!$P:$P,$F29))</f>
        <v>5.7591535185783869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>
      <c r="A30" s="12"/>
      <c r="B30" s="12"/>
      <c r="C30" s="12"/>
      <c r="D30" s="124"/>
      <c r="E30" s="124"/>
      <c r="F30" s="97"/>
      <c r="G30" s="124"/>
      <c r="H30" s="97"/>
      <c r="I30" s="100"/>
      <c r="J30" s="105"/>
      <c r="K30" s="124"/>
      <c r="L30" s="124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s="93" customFormat="1" ht="15">
      <c r="A31" s="92"/>
      <c r="B31" s="92"/>
      <c r="C31" s="92"/>
      <c r="D31" s="151" t="s">
        <v>237</v>
      </c>
      <c r="E31" s="151"/>
      <c r="F31" s="120" t="str">
        <f>микс!$H$50</f>
        <v>Одежда и обувь</v>
      </c>
      <c r="G31" s="151" t="s">
        <v>219</v>
      </c>
      <c r="H31" s="151"/>
      <c r="I31" s="152">
        <f>IF(SUMIFS(операции!$Z:$Z,операции!$X:$X,"&gt;="&amp;I$8,операции!$X:$X,"&lt;="&amp;I$9,операции!$P:$P,$F31)=0,I33,(SUMIFS(операции!$AG:$AG,операции!$X:$X,"&gt;="&amp;I$8,операции!$X:$X,"&lt;="&amp;I$9,операции!$P:$P,$F31)+I$9*SUMIFS(операции!$V:$V,операции!$T:$T,"&lt;="&amp;I$9,операции!$X:$X,"",операции!$P:$P,$F31))/(SUMIFS(операции!$Z:$Z,операции!$X:$X,"&gt;="&amp;I$8,операции!$X:$X,"&lt;="&amp;I$9,операции!$P:$P,$F31)+SUMIFS(операции!$V:$V,операции!$T:$T,"&lt;="&amp;I$9,операции!$X:$X,"",операции!$P:$P,$F31))-(SUMIFS(операции!$AF:$AF,операции!$X:$X,"&gt;="&amp;I$8,операции!$X:$X,"&lt;="&amp;I$9,операции!$P:$P,$F31)+SUMIFS(операции!$AF:$AF,операции!$T:$T,"&lt;="&amp;I$9,операции!$X:$X,"",операции!$P:$P,$F31))/(SUMIFS(операции!$V:$V,операции!$X:$X,"&gt;="&amp;I$8,операции!$X:$X,"&lt;="&amp;I$9,операции!$P:$P,$F31)+SUMIFS(операции!$V:$V,операции!$T:$T,"&lt;="&amp;I$9,операции!$X:$X,"",операции!$P:$P,$F31)))</f>
        <v>122.07769934203679</v>
      </c>
      <c r="J31" s="170">
        <f>I31-SUMIFS(ПОбТЗ_2!$H:$H,ПОбТЗ_2!$D:$D,$D31,ПОбТЗ_2!$E:$E,$F31)</f>
        <v>0</v>
      </c>
      <c r="K31" s="153">
        <f>IF(SUMIFS(операции!$Z:$Z,операции!$X:$X,"&gt;="&amp;$I$8,операции!$X:$X,"&lt;="&amp;$I$9,операции!$L:$L,K$9,операции!$P:$P,$F31)=0,K33,(SUMIFS(операции!$AG:$AG,операции!$X:$X,"&gt;="&amp;$I$8,операции!$X:$X,"&lt;="&amp;$I$9,операции!$L:$L,K$9,операции!$P:$P,$F31)+$I$9*SUMIFS(операции!$V:$V,операции!$T:$T,"&lt;="&amp;$I$9,операции!$X:$X,"",операции!$L:$L,K$9,операции!$P:$P,$F31))/(SUMIFS(операции!$Z:$Z,операции!$X:$X,"&gt;="&amp;$I$8,операции!$X:$X,"&lt;="&amp;$I$9,операции!$L:$L,K$9,операции!$P:$P,$F31)+SUMIFS(операции!$V:$V,операции!$T:$T,"&lt;="&amp;$I$9,операции!$X:$X,"",операции!$L:$L,K$9,операции!$P:$P,$F31))-(SUMIFS(операции!$AF:$AF,операции!$X:$X,"&gt;="&amp;$I$8,операции!$X:$X,"&lt;="&amp;$I$9,операции!$L:$L,K$9,операции!$P:$P,$F31)+SUMIFS(операции!$AF:$AF,операции!$T:$T,"&lt;="&amp;$I$9,операции!$X:$X,"",операции!$L:$L,K$9,операции!$P:$P,$F31))/(SUMIFS(операции!$V:$V,операции!$X:$X,"&gt;="&amp;$I$8,операции!$X:$X,"&lt;="&amp;$I$9,операции!$L:$L,K$9,операции!$P:$P,$F31)+SUMIFS(операции!$V:$V,операции!$T:$T,"&lt;="&amp;$I$9,операции!$X:$X,"",операции!$L:$L,K$9,операции!$P:$P,$F31)))</f>
        <v>122.07769934203679</v>
      </c>
      <c r="L31" s="153">
        <f>IF(SUMIFS(операции!$Z:$Z,операции!$X:$X,"&gt;="&amp;$I$8,операции!$X:$X,"&lt;="&amp;$I$9,операции!$L:$L,L$9,операции!$P:$P,$F31)=0,L33,(SUMIFS(операции!$AG:$AG,операции!$X:$X,"&gt;="&amp;$I$8,операции!$X:$X,"&lt;="&amp;$I$9,операции!$L:$L,L$9,операции!$P:$P,$F31)+$I$9*SUMIFS(операции!$V:$V,операции!$T:$T,"&lt;="&amp;$I$9,операции!$X:$X,"",операции!$L:$L,L$9,операции!$P:$P,$F31))/(SUMIFS(операции!$Z:$Z,операции!$X:$X,"&gt;="&amp;$I$8,операции!$X:$X,"&lt;="&amp;$I$9,операции!$L:$L,L$9,операции!$P:$P,$F31)+SUMIFS(операции!$V:$V,операции!$T:$T,"&lt;="&amp;$I$9,операции!$X:$X,"",операции!$L:$L,L$9,операции!$P:$P,$F31))-(SUMIFS(операции!$AF:$AF,операции!$X:$X,"&gt;="&amp;$I$8,операции!$X:$X,"&lt;="&amp;$I$9,операции!$L:$L,L$9,операции!$P:$P,$F31)+SUMIFS(операции!$AF:$AF,операции!$T:$T,"&lt;="&amp;$I$9,операции!$X:$X,"",операции!$L:$L,L$9,операции!$P:$P,$F31))/(SUMIFS(операции!$V:$V,операции!$X:$X,"&gt;="&amp;$I$8,операции!$X:$X,"&lt;="&amp;$I$9,операции!$L:$L,L$9,операции!$P:$P,$F31)+SUMIFS(операции!$V:$V,операции!$T:$T,"&lt;="&amp;$I$9,операции!$X:$X,"",операции!$L:$L,L$9,операции!$P:$P,$F31)))</f>
        <v>0</v>
      </c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</row>
    <row r="32" spans="1:27" s="50" customFormat="1" ht="11.25">
      <c r="A32" s="48"/>
      <c r="B32" s="48"/>
      <c r="C32" s="48"/>
      <c r="D32" s="154"/>
      <c r="E32" s="154" t="s">
        <v>220</v>
      </c>
      <c r="F32" s="154" t="str">
        <f>F31</f>
        <v>Одежда и обувь</v>
      </c>
      <c r="G32" s="154" t="s">
        <v>219</v>
      </c>
      <c r="H32" s="154"/>
      <c r="I32" s="155">
        <f>IF(SUMIFS(операции!$Z:$Z,операции!$X:$X,"&gt;="&amp;I$8,операции!$X:$X,"&lt;="&amp;I$9,операции!$P:$P,$F32)=0,0,SUMIFS(операции!$AG:$AG,операции!$X:$X,"&gt;="&amp;I$8,операции!$X:$X,"&lt;="&amp;I$9,операции!$P:$P,$F32)/SUMIFS(операции!$Z:$Z,операции!$X:$X,"&gt;="&amp;I$8,операции!$X:$X,"&lt;="&amp;I$9,операции!$P:$P,$F32)-SUMIFS(операции!$AF:$AF,операции!$X:$X,"&gt;="&amp;I$8,операции!$X:$X,"&lt;="&amp;I$9,операции!$P:$P,$F32)/SUMIFS(операции!$V:$V,операции!$X:$X,"&gt;="&amp;I$8,операции!$X:$X,"&lt;="&amp;I$9,операции!$P:$P,$F32))</f>
        <v>94.123083225596929</v>
      </c>
      <c r="J32" s="173">
        <f>I32-SUMIFS(ПОбТЗ_2!$H:$H,ПОбТЗ_2!$D:$D,$E32,ПОбТЗ_2!$E:$E,$F32)</f>
        <v>0</v>
      </c>
      <c r="K32" s="156">
        <f>IF(SUMIFS(операции!$Z:$Z,операции!$X:$X,"&gt;="&amp;$I$8,операции!$X:$X,"&lt;="&amp;$I$9,операции!$L:$L,K$9,операции!$P:$P,$F32)=0,0,SUMIFS(операции!$AG:$AG,операции!$X:$X,"&gt;="&amp;$I$8,операции!$X:$X,"&lt;="&amp;$I$9,операции!$L:$L,K$9,операции!$P:$P,$F32)/SUMIFS(операции!$Z:$Z,операции!$X:$X,"&gt;="&amp;$I$8,операции!$X:$X,"&lt;="&amp;$I$9,операции!$L:$L,K$9,операции!$P:$P,$F32)-SUMIFS(операции!$AF:$AF,операции!$X:$X,"&gt;="&amp;$I$8,операции!$X:$X,"&lt;="&amp;$I$9,операции!$L:$L,K$9,операции!$P:$P,$F32)/SUMIFS(операции!$V:$V,операции!$X:$X,"&gt;="&amp;$I$8,операции!$X:$X,"&lt;="&amp;$I$9,операции!$L:$L,K$9,операции!$P:$P,$F32))</f>
        <v>94.123083225596929</v>
      </c>
      <c r="L32" s="156">
        <f>IF(SUMIFS(операции!$Z:$Z,операции!$X:$X,"&gt;="&amp;$I$8,операции!$X:$X,"&lt;="&amp;$I$9,операции!$L:$L,L$9,операции!$P:$P,$F32)=0,0,SUMIFS(операции!$AG:$AG,операции!$X:$X,"&gt;="&amp;$I$8,операции!$X:$X,"&lt;="&amp;$I$9,операции!$L:$L,L$9,операции!$P:$P,$F32)/SUMIFS(операции!$Z:$Z,операции!$X:$X,"&gt;="&amp;$I$8,операции!$X:$X,"&lt;="&amp;$I$9,операции!$L:$L,L$9,операции!$P:$P,$F32)-SUMIFS(операции!$AF:$AF,операции!$X:$X,"&gt;="&amp;$I$8,операции!$X:$X,"&lt;="&amp;$I$9,операции!$L:$L,L$9,операции!$P:$P,$F32)/SUMIFS(операции!$V:$V,операции!$X:$X,"&gt;="&amp;$I$8,операции!$X:$X,"&lt;="&amp;$I$9,операции!$L:$L,L$9,операции!$P:$P,$F32))</f>
        <v>0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s="50" customFormat="1" ht="11.25">
      <c r="A33" s="48"/>
      <c r="B33" s="48"/>
      <c r="C33" s="48"/>
      <c r="D33" s="160"/>
      <c r="E33" s="160" t="s">
        <v>239</v>
      </c>
      <c r="F33" s="160" t="str">
        <f>F32</f>
        <v>Одежда и обувь</v>
      </c>
      <c r="G33" s="160" t="s">
        <v>219</v>
      </c>
      <c r="H33" s="160"/>
      <c r="I33" s="161">
        <f>IF(SUMIFS(операции!$V:$V,операции!$T:$T,"&lt;="&amp;$I$9,операции!$X:$X,"",операции!$P:$P,$F33)=0,0,$I$9-SUMIFS(операции!$AF:$AF,операции!$T:$T,"&lt;="&amp;$I$9,операции!$X:$X,"",операции!$P:$P,$F33)/SUMIFS(операции!$V:$V,операции!$T:$T,"&lt;="&amp;$I$9,операции!$X:$X,"",операции!$P:$P,$F33))</f>
        <v>161.3880757581137</v>
      </c>
      <c r="J33" s="181">
        <f>I33-SUMIFS(ПОбТЗ_2!$H:$H,ПОбТЗ_2!$D:$D,$E33,ПОбТЗ_2!$E:$E,$F33)</f>
        <v>0</v>
      </c>
      <c r="K33" s="162">
        <f>IF(SUMIFS(операции!$V:$V,операции!$T:$T,"&lt;="&amp;$I$9,операции!$X:$X,"",операции!$L:$L,K$9,операции!$P:$P,$F33)=0,0,$I$9-SUMIFS(операции!$AF:$AF,операции!$T:$T,"&lt;="&amp;$I$9,операции!$X:$X,"",операции!$L:$L,K$9,операции!$P:$P,$F33)/SUMIFS(операции!$V:$V,операции!$T:$T,"&lt;="&amp;$I$9,операции!$X:$X,"",операции!$L:$L,K$9,операции!$P:$P,$F33))</f>
        <v>161.3880757581137</v>
      </c>
      <c r="L33" s="162">
        <f>IF(SUMIFS(операции!$V:$V,операции!$T:$T,"&lt;="&amp;$I$9,операции!$X:$X,"",операции!$L:$L,L$9,операции!$P:$P,$F33)=0,0,$I$9-SUMIFS(операции!$AF:$AF,операции!$T:$T,"&lt;="&amp;$I$9,операции!$X:$X,"",операции!$L:$L,L$9,операции!$P:$P,$F33)/SUMIFS(операции!$V:$V,операции!$T:$T,"&lt;="&amp;$I$9,операции!$X:$X,"",операции!$L:$L,L$9,операции!$P:$P,$F33))</f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>
      <c r="A34" s="12"/>
      <c r="B34" s="12"/>
      <c r="C34" s="12"/>
      <c r="D34" s="124"/>
      <c r="E34" s="124"/>
      <c r="F34" s="97"/>
      <c r="G34" s="124"/>
      <c r="H34" s="97"/>
      <c r="I34" s="100"/>
      <c r="J34" s="105"/>
      <c r="K34" s="124"/>
      <c r="L34" s="124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93" customFormat="1" ht="15">
      <c r="A35" s="92"/>
      <c r="B35" s="92"/>
      <c r="C35" s="92"/>
      <c r="D35" s="151" t="s">
        <v>237</v>
      </c>
      <c r="E35" s="151"/>
      <c r="F35" s="120" t="str">
        <f>микс!$H$51</f>
        <v>Авто</v>
      </c>
      <c r="G35" s="151" t="s">
        <v>219</v>
      </c>
      <c r="H35" s="151"/>
      <c r="I35" s="152">
        <f>IF(SUMIFS(операции!$Z:$Z,операции!$X:$X,"&gt;="&amp;I$8,операции!$X:$X,"&lt;="&amp;I$9,операции!$P:$P,$F35)=0,I37,(SUMIFS(операции!$AG:$AG,операции!$X:$X,"&gt;="&amp;I$8,операции!$X:$X,"&lt;="&amp;I$9,операции!$P:$P,$F35)+I$9*SUMIFS(операции!$V:$V,операции!$T:$T,"&lt;="&amp;I$9,операции!$X:$X,"",операции!$P:$P,$F35))/(SUMIFS(операции!$Z:$Z,операции!$X:$X,"&gt;="&amp;I$8,операции!$X:$X,"&lt;="&amp;I$9,операции!$P:$P,$F35)+SUMIFS(операции!$V:$V,операции!$T:$T,"&lt;="&amp;I$9,операции!$X:$X,"",операции!$P:$P,$F35))-(SUMIFS(операции!$AF:$AF,операции!$X:$X,"&gt;="&amp;I$8,операции!$X:$X,"&lt;="&amp;I$9,операции!$P:$P,$F35)+SUMIFS(операции!$AF:$AF,операции!$T:$T,"&lt;="&amp;I$9,операции!$X:$X,"",операции!$P:$P,$F35))/(SUMIFS(операции!$V:$V,операции!$X:$X,"&gt;="&amp;I$8,операции!$X:$X,"&lt;="&amp;I$9,операции!$P:$P,$F35)+SUMIFS(операции!$V:$V,операции!$T:$T,"&lt;="&amp;I$9,операции!$X:$X,"",операции!$P:$P,$F35)))</f>
        <v>161</v>
      </c>
      <c r="J35" s="170">
        <f>I35-SUMIFS(ПОбТЗ_2!$H:$H,ПОбТЗ_2!$D:$D,$D35,ПОбТЗ_2!$E:$E,$F35)</f>
        <v>0</v>
      </c>
      <c r="K35" s="153">
        <f>IF(SUMIFS(операции!$Z:$Z,операции!$X:$X,"&gt;="&amp;$I$8,операции!$X:$X,"&lt;="&amp;$I$9,операции!$L:$L,K$9,операции!$P:$P,$F35)=0,K37,(SUMIFS(операции!$AG:$AG,операции!$X:$X,"&gt;="&amp;$I$8,операции!$X:$X,"&lt;="&amp;$I$9,операции!$L:$L,K$9,операции!$P:$P,$F35)+$I$9*SUMIFS(операции!$V:$V,операции!$T:$T,"&lt;="&amp;$I$9,операции!$X:$X,"",операции!$L:$L,K$9,операции!$P:$P,$F35))/(SUMIFS(операции!$Z:$Z,операции!$X:$X,"&gt;="&amp;$I$8,операции!$X:$X,"&lt;="&amp;$I$9,операции!$L:$L,K$9,операции!$P:$P,$F35)+SUMIFS(операции!$V:$V,операции!$T:$T,"&lt;="&amp;$I$9,операции!$X:$X,"",операции!$L:$L,K$9,операции!$P:$P,$F35))-(SUMIFS(операции!$AF:$AF,операции!$X:$X,"&gt;="&amp;$I$8,операции!$X:$X,"&lt;="&amp;$I$9,операции!$L:$L,K$9,операции!$P:$P,$F35)+SUMIFS(операции!$AF:$AF,операции!$T:$T,"&lt;="&amp;$I$9,операции!$X:$X,"",операции!$L:$L,K$9,операции!$P:$P,$F35))/(SUMIFS(операции!$V:$V,операции!$X:$X,"&gt;="&amp;$I$8,операции!$X:$X,"&lt;="&amp;$I$9,операции!$L:$L,K$9,операции!$P:$P,$F35)+SUMIFS(операции!$V:$V,операции!$T:$T,"&lt;="&amp;$I$9,операции!$X:$X,"",операции!$L:$L,K$9,операции!$P:$P,$F35)))</f>
        <v>161</v>
      </c>
      <c r="L35" s="153">
        <f>IF(SUMIFS(операции!$Z:$Z,операции!$X:$X,"&gt;="&amp;$I$8,операции!$X:$X,"&lt;="&amp;$I$9,операции!$L:$L,L$9,операции!$P:$P,$F35)=0,L37,(SUMIFS(операции!$AG:$AG,операции!$X:$X,"&gt;="&amp;$I$8,операции!$X:$X,"&lt;="&amp;$I$9,операции!$L:$L,L$9,операции!$P:$P,$F35)+$I$9*SUMIFS(операции!$V:$V,операции!$T:$T,"&lt;="&amp;$I$9,операции!$X:$X,"",операции!$L:$L,L$9,операции!$P:$P,$F35))/(SUMIFS(операции!$Z:$Z,операции!$X:$X,"&gt;="&amp;$I$8,операции!$X:$X,"&lt;="&amp;$I$9,операции!$L:$L,L$9,операции!$P:$P,$F35)+SUMIFS(операции!$V:$V,операции!$T:$T,"&lt;="&amp;$I$9,операции!$X:$X,"",операции!$L:$L,L$9,операции!$P:$P,$F35))-(SUMIFS(операции!$AF:$AF,операции!$X:$X,"&gt;="&amp;$I$8,операции!$X:$X,"&lt;="&amp;$I$9,операции!$L:$L,L$9,операции!$P:$P,$F35)+SUMIFS(операции!$AF:$AF,операции!$T:$T,"&lt;="&amp;$I$9,операции!$X:$X,"",операции!$L:$L,L$9,операции!$P:$P,$F35))/(SUMIFS(операции!$V:$V,операции!$X:$X,"&gt;="&amp;$I$8,операции!$X:$X,"&lt;="&amp;$I$9,операции!$L:$L,L$9,операции!$P:$P,$F35)+SUMIFS(операции!$V:$V,операции!$T:$T,"&lt;="&amp;$I$9,операции!$X:$X,"",операции!$L:$L,L$9,операции!$P:$P,$F35)))</f>
        <v>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</row>
    <row r="36" spans="1:27" s="50" customFormat="1" ht="11.25">
      <c r="A36" s="48"/>
      <c r="B36" s="48"/>
      <c r="C36" s="48"/>
      <c r="D36" s="154"/>
      <c r="E36" s="154" t="s">
        <v>220</v>
      </c>
      <c r="F36" s="154" t="str">
        <f>F35</f>
        <v>Авто</v>
      </c>
      <c r="G36" s="154" t="s">
        <v>219</v>
      </c>
      <c r="H36" s="154"/>
      <c r="I36" s="155">
        <f>IF(SUMIFS(операции!$Z:$Z,операции!$X:$X,"&gt;="&amp;I$8,операции!$X:$X,"&lt;="&amp;I$9,операции!$P:$P,$F36)=0,0,SUMIFS(операции!$AG:$AG,операции!$X:$X,"&gt;="&amp;I$8,операции!$X:$X,"&lt;="&amp;I$9,операции!$P:$P,$F36)/SUMIFS(операции!$Z:$Z,операции!$X:$X,"&gt;="&amp;I$8,операции!$X:$X,"&lt;="&amp;I$9,операции!$P:$P,$F36)-SUMIFS(операции!$AF:$AF,операции!$X:$X,"&gt;="&amp;I$8,операции!$X:$X,"&lt;="&amp;I$9,операции!$P:$P,$F36)/SUMIFS(операции!$V:$V,операции!$X:$X,"&gt;="&amp;I$8,операции!$X:$X,"&lt;="&amp;I$9,операции!$P:$P,$F36))</f>
        <v>161</v>
      </c>
      <c r="J36" s="173">
        <f>I36-SUMIFS(ПОбТЗ_2!$H:$H,ПОбТЗ_2!$D:$D,$E36,ПОбТЗ_2!$E:$E,$F36)</f>
        <v>0</v>
      </c>
      <c r="K36" s="156">
        <f>IF(SUMIFS(операции!$Z:$Z,операции!$X:$X,"&gt;="&amp;$I$8,операции!$X:$X,"&lt;="&amp;$I$9,операции!$L:$L,K$9,операции!$P:$P,$F36)=0,0,SUMIFS(операции!$AG:$AG,операции!$X:$X,"&gt;="&amp;$I$8,операции!$X:$X,"&lt;="&amp;$I$9,операции!$L:$L,K$9,операции!$P:$P,$F36)/SUMIFS(операции!$Z:$Z,операции!$X:$X,"&gt;="&amp;$I$8,операции!$X:$X,"&lt;="&amp;$I$9,операции!$L:$L,K$9,операции!$P:$P,$F36)-SUMIFS(операции!$AF:$AF,операции!$X:$X,"&gt;="&amp;$I$8,операции!$X:$X,"&lt;="&amp;$I$9,операции!$L:$L,K$9,операции!$P:$P,$F36)/SUMIFS(операции!$V:$V,операции!$X:$X,"&gt;="&amp;$I$8,операции!$X:$X,"&lt;="&amp;$I$9,операции!$L:$L,K$9,операции!$P:$P,$F36))</f>
        <v>161</v>
      </c>
      <c r="L36" s="156">
        <f>IF(SUMIFS(операции!$Z:$Z,операции!$X:$X,"&gt;="&amp;$I$8,операции!$X:$X,"&lt;="&amp;$I$9,операции!$L:$L,L$9,операции!$P:$P,$F36)=0,0,SUMIFS(операции!$AG:$AG,операции!$X:$X,"&gt;="&amp;$I$8,операции!$X:$X,"&lt;="&amp;$I$9,операции!$L:$L,L$9,операции!$P:$P,$F36)/SUMIFS(операции!$Z:$Z,операции!$X:$X,"&gt;="&amp;$I$8,операции!$X:$X,"&lt;="&amp;$I$9,операции!$L:$L,L$9,операции!$P:$P,$F36)-SUMIFS(операции!$AF:$AF,операции!$X:$X,"&gt;="&amp;$I$8,операции!$X:$X,"&lt;="&amp;$I$9,операции!$L:$L,L$9,операции!$P:$P,$F36)/SUMIFS(операции!$V:$V,операции!$X:$X,"&gt;="&amp;$I$8,операции!$X:$X,"&lt;="&amp;$I$9,операции!$L:$L,L$9,операции!$P:$P,$F36))</f>
        <v>0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s="50" customFormat="1" ht="11.25">
      <c r="A37" s="48"/>
      <c r="B37" s="48"/>
      <c r="C37" s="48"/>
      <c r="D37" s="160"/>
      <c r="E37" s="160" t="s">
        <v>239</v>
      </c>
      <c r="F37" s="160" t="str">
        <f>F36</f>
        <v>Авто</v>
      </c>
      <c r="G37" s="160" t="s">
        <v>219</v>
      </c>
      <c r="H37" s="160"/>
      <c r="I37" s="161">
        <f>IF(SUMIFS(операции!$V:$V,операции!$T:$T,"&lt;="&amp;$I$9,операции!$X:$X,"",операции!$P:$P,$F37)=0,0,$I$9-SUMIFS(операции!$AF:$AF,операции!$T:$T,"&lt;="&amp;$I$9,операции!$X:$X,"",операции!$P:$P,$F37)/SUMIFS(операции!$V:$V,операции!$T:$T,"&lt;="&amp;$I$9,операции!$X:$X,"",операции!$P:$P,$F37))</f>
        <v>0</v>
      </c>
      <c r="J37" s="181">
        <f>I37-SUMIFS(ПОбТЗ_2!$H:$H,ПОбТЗ_2!$D:$D,$E37,ПОбТЗ_2!$E:$E,$F37)</f>
        <v>0</v>
      </c>
      <c r="K37" s="162">
        <f>IF(SUMIFS(операции!$V:$V,операции!$T:$T,"&lt;="&amp;$I$9,операции!$X:$X,"",операции!$L:$L,K$9,операции!$P:$P,$F37)=0,0,$I$9-SUMIFS(операции!$AF:$AF,операции!$T:$T,"&lt;="&amp;$I$9,операции!$X:$X,"",операции!$L:$L,K$9,операции!$P:$P,$F37)/SUMIFS(операции!$V:$V,операции!$T:$T,"&lt;="&amp;$I$9,операции!$X:$X,"",операции!$L:$L,K$9,операции!$P:$P,$F37))</f>
        <v>0</v>
      </c>
      <c r="L37" s="162">
        <f>IF(SUMIFS(операции!$V:$V,операции!$T:$T,"&lt;="&amp;$I$9,операции!$X:$X,"",операции!$L:$L,L$9,операции!$P:$P,$F37)=0,0,$I$9-SUMIFS(операции!$AF:$AF,операции!$T:$T,"&lt;="&amp;$I$9,операции!$X:$X,"",операции!$L:$L,L$9,операции!$P:$P,$F37)/SUMIFS(операции!$V:$V,операции!$T:$T,"&lt;="&amp;$I$9,операции!$X:$X,"",операции!$L:$L,L$9,операции!$P:$P,$F37))</f>
        <v>0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>
      <c r="A38" s="12"/>
      <c r="B38" s="12"/>
      <c r="C38" s="12"/>
      <c r="D38" s="97"/>
      <c r="E38" s="97"/>
      <c r="F38" s="97"/>
      <c r="G38" s="97"/>
      <c r="H38" s="97"/>
      <c r="I38" s="100"/>
      <c r="J38" s="105"/>
      <c r="K38" s="124"/>
      <c r="L38" s="124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 s="5" customFormat="1">
      <c r="A39" s="1"/>
      <c r="B39" s="1"/>
      <c r="C39" s="102"/>
      <c r="D39" s="103" t="s">
        <v>215</v>
      </c>
      <c r="E39" s="103"/>
      <c r="F39" s="103" t="str">
        <f>микс!$G$23</f>
        <v>поставщик</v>
      </c>
      <c r="G39" s="103" t="s">
        <v>216</v>
      </c>
      <c r="H39" s="1"/>
      <c r="I39" s="1"/>
      <c r="J39" s="1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>
      <c r="A40" s="12"/>
      <c r="B40" s="12"/>
      <c r="C40" s="12"/>
      <c r="D40" s="12"/>
      <c r="E40" s="12"/>
      <c r="F40" s="12"/>
      <c r="G40" s="12"/>
      <c r="H40" s="12"/>
      <c r="I40" s="1"/>
      <c r="J40" s="104"/>
      <c r="K40" s="6"/>
      <c r="L40" s="6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s="126" customFormat="1" ht="12">
      <c r="A41" s="125"/>
      <c r="B41" s="125"/>
      <c r="C41" s="125"/>
      <c r="D41" s="128" t="s">
        <v>237</v>
      </c>
      <c r="E41" s="128"/>
      <c r="F41" s="127" t="str">
        <f>микс!$H$24</f>
        <v>АвтоКомп</v>
      </c>
      <c r="G41" s="128" t="s">
        <v>219</v>
      </c>
      <c r="H41" s="128"/>
      <c r="I41" s="129">
        <f>IF(SUMIFS(операции!$Z:$Z,операции!$X:$X,"&gt;="&amp;I$8,операции!$X:$X,"&lt;="&amp;I$9,операции!$O:$O,$F41)=0,I43,(SUMIFS(операции!$AG:$AG,операции!$X:$X,"&gt;="&amp;I$8,операции!$X:$X,"&lt;="&amp;I$9,операции!$O:$O,$F41)+I$9*SUMIFS(операции!$V:$V,операции!$T:$T,"&lt;="&amp;I$9,операции!$X:$X,"",операции!$O:$O,$F41))/(SUMIFS(операции!$Z:$Z,операции!$X:$X,"&gt;="&amp;I$8,операции!$X:$X,"&lt;="&amp;I$9,операции!$O:$O,$F41)+SUMIFS(операции!$V:$V,операции!$T:$T,"&lt;="&amp;I$9,операции!$X:$X,"",операции!$O:$O,$F41))-(SUMIFS(операции!$AF:$AF,операции!$X:$X,"&gt;="&amp;I$8,операции!$X:$X,"&lt;="&amp;I$9,операции!$O:$O,$F41)+SUMIFS(операции!$AF:$AF,операции!$T:$T,"&lt;="&amp;I$9,операции!$X:$X,"",операции!$O:$O,$F41))/(SUMIFS(операции!$V:$V,операции!$X:$X,"&gt;="&amp;I$8,операции!$X:$X,"&lt;="&amp;I$9,операции!$O:$O,$F41)+SUMIFS(операции!$V:$V,операции!$T:$T,"&lt;="&amp;I$9,операции!$X:$X,"",операции!$O:$O,$F41)))</f>
        <v>161</v>
      </c>
      <c r="J41" s="163"/>
      <c r="K41" s="130">
        <f>IF(SUMIFS(операции!$Z:$Z,операции!$X:$X,"&gt;="&amp;$I$8,операции!$X:$X,"&lt;="&amp;$I$9,операции!$L:$L,K$9,операции!$O:$O,$F41)=0,K43,(SUMIFS(операции!$AG:$AG,операции!$X:$X,"&gt;="&amp;$I$8,операции!$X:$X,"&lt;="&amp;$I$9,операции!$L:$L,K$9,операции!$O:$O,$F41)+$I$9*SUMIFS(операции!$V:$V,операции!$T:$T,"&lt;="&amp;$I$9,операции!$X:$X,"",операции!$L:$L,K$9,операции!$O:$O,$F41))/(SUMIFS(операции!$Z:$Z,операции!$X:$X,"&gt;="&amp;$I$8,операции!$X:$X,"&lt;="&amp;$I$9,операции!$L:$L,K$9,операции!$O:$O,$F41)+SUMIFS(операции!$V:$V,операции!$T:$T,"&lt;="&amp;$I$9,операции!$X:$X,"",операции!$L:$L,K$9,операции!$O:$O,$F41))-(SUMIFS(операции!$AF:$AF,операции!$X:$X,"&gt;="&amp;$I$8,операции!$X:$X,"&lt;="&amp;$I$9,операции!$L:$L,K$9,операции!$O:$O,$F41)+SUMIFS(операции!$AF:$AF,операции!$T:$T,"&lt;="&amp;$I$9,операции!$X:$X,"",операции!$L:$L,K$9,операции!$O:$O,$F41))/(SUMIFS(операции!$V:$V,операции!$X:$X,"&gt;="&amp;$I$8,операции!$X:$X,"&lt;="&amp;$I$9,операции!$L:$L,K$9,операции!$O:$O,$F41)+SUMIFS(операции!$V:$V,операции!$T:$T,"&lt;="&amp;$I$9,операции!$X:$X,"",операции!$L:$L,K$9,операции!$O:$O,$F41)))</f>
        <v>161</v>
      </c>
      <c r="L41" s="130">
        <f>IF(SUMIFS(операции!$Z:$Z,операции!$X:$X,"&gt;="&amp;$I$8,операции!$X:$X,"&lt;="&amp;$I$9,операции!$L:$L,L$9,операции!$O:$O,$F41)=0,L43,(SUMIFS(операции!$AG:$AG,операции!$X:$X,"&gt;="&amp;$I$8,операции!$X:$X,"&lt;="&amp;$I$9,операции!$L:$L,L$9,операции!$O:$O,$F41)+$I$9*SUMIFS(операции!$V:$V,операции!$T:$T,"&lt;="&amp;$I$9,операции!$X:$X,"",операции!$L:$L,L$9,операции!$O:$O,$F41))/(SUMIFS(операции!$Z:$Z,операции!$X:$X,"&gt;="&amp;$I$8,операции!$X:$X,"&lt;="&amp;$I$9,операции!$L:$L,L$9,операции!$O:$O,$F41)+SUMIFS(операции!$V:$V,операции!$T:$T,"&lt;="&amp;$I$9,операции!$X:$X,"",операции!$L:$L,L$9,операции!$O:$O,$F41))-(SUMIFS(операции!$AF:$AF,операции!$X:$X,"&gt;="&amp;$I$8,операции!$X:$X,"&lt;="&amp;$I$9,операции!$L:$L,L$9,операции!$O:$O,$F41)+SUMIFS(операции!$AF:$AF,операции!$T:$T,"&lt;="&amp;$I$9,операции!$X:$X,"",операции!$L:$L,L$9,операции!$O:$O,$F41))/(SUMIFS(операции!$V:$V,операции!$X:$X,"&gt;="&amp;$I$8,операции!$X:$X,"&lt;="&amp;$I$9,операции!$L:$L,L$9,операции!$O:$O,$F41)+SUMIFS(операции!$V:$V,операции!$T:$T,"&lt;="&amp;$I$9,операции!$X:$X,"",операции!$L:$L,L$9,операции!$O:$O,$F41)))</f>
        <v>0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</row>
    <row r="42" spans="1:27" s="50" customFormat="1" ht="11.25">
      <c r="A42" s="48"/>
      <c r="B42" s="48"/>
      <c r="C42" s="48"/>
      <c r="D42" s="154"/>
      <c r="E42" s="154" t="s">
        <v>220</v>
      </c>
      <c r="F42" s="154" t="str">
        <f>F41</f>
        <v>АвтоКомп</v>
      </c>
      <c r="G42" s="154" t="s">
        <v>219</v>
      </c>
      <c r="H42" s="154"/>
      <c r="I42" s="155">
        <f>IF(SUMIFS(операции!$Z:$Z,операции!$X:$X,"&gt;="&amp;I$8,операции!$X:$X,"&lt;="&amp;I$9,операции!$O:$O,$F42)=0,0,SUMIFS(операции!$AG:$AG,операции!$X:$X,"&gt;="&amp;I$8,операции!$X:$X,"&lt;="&amp;I$9,операции!$O:$O,$F42)/SUMIFS(операции!$Z:$Z,операции!$X:$X,"&gt;="&amp;I$8,операции!$X:$X,"&lt;="&amp;I$9,операции!$O:$O,$F42)-SUMIFS(операции!$AF:$AF,операции!$X:$X,"&gt;="&amp;I$8,операции!$X:$X,"&lt;="&amp;I$9,операции!$O:$O,$F42)/SUMIFS(операции!$V:$V,операции!$X:$X,"&gt;="&amp;I$8,операции!$X:$X,"&lt;="&amp;I$9,операции!$O:$O,$F42))</f>
        <v>161</v>
      </c>
      <c r="J42" s="171"/>
      <c r="K42" s="156">
        <f>IF(SUMIFS(операции!$Z:$Z,операции!$X:$X,"&gt;="&amp;$I$8,операции!$X:$X,"&lt;="&amp;$I$9,операции!$L:$L,K$9,операции!$O:$O,$F42)=0,0,SUMIFS(операции!$AG:$AG,операции!$X:$X,"&gt;="&amp;$I$8,операции!$X:$X,"&lt;="&amp;$I$9,операции!$L:$L,K$9,операции!$O:$O,$F42)/SUMIFS(операции!$Z:$Z,операции!$X:$X,"&gt;="&amp;$I$8,операции!$X:$X,"&lt;="&amp;$I$9,операции!$L:$L,K$9,операции!$O:$O,$F42)-SUMIFS(операции!$AF:$AF,операции!$X:$X,"&gt;="&amp;$I$8,операции!$X:$X,"&lt;="&amp;$I$9,операции!$L:$L,K$9,операции!$O:$O,$F42)/SUMIFS(операции!$V:$V,операции!$X:$X,"&gt;="&amp;$I$8,операции!$X:$X,"&lt;="&amp;$I$9,операции!$L:$L,K$9,операции!$O:$O,$F42))</f>
        <v>161</v>
      </c>
      <c r="L42" s="156">
        <f>IF(SUMIFS(операции!$Z:$Z,операции!$X:$X,"&gt;="&amp;$I$8,операции!$X:$X,"&lt;="&amp;$I$9,операции!$L:$L,L$9,операции!$O:$O,$F42)=0,0,SUMIFS(операции!$AG:$AG,операции!$X:$X,"&gt;="&amp;$I$8,операции!$X:$X,"&lt;="&amp;$I$9,операции!$L:$L,L$9,операции!$O:$O,$F42)/SUMIFS(операции!$Z:$Z,операции!$X:$X,"&gt;="&amp;$I$8,операции!$X:$X,"&lt;="&amp;$I$9,операции!$L:$L,L$9,операции!$O:$O,$F42)-SUMIFS(операции!$AF:$AF,операции!$X:$X,"&gt;="&amp;$I$8,операции!$X:$X,"&lt;="&amp;$I$9,операции!$L:$L,L$9,операции!$O:$O,$F42)/SUMIFS(операции!$V:$V,операции!$X:$X,"&gt;="&amp;$I$8,операции!$X:$X,"&lt;="&amp;$I$9,операции!$L:$L,L$9,операции!$O:$O,$F42))</f>
        <v>0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s="50" customFormat="1" ht="11.25">
      <c r="A43" s="48"/>
      <c r="B43" s="48"/>
      <c r="C43" s="48"/>
      <c r="D43" s="160"/>
      <c r="E43" s="160" t="s">
        <v>239</v>
      </c>
      <c r="F43" s="160" t="str">
        <f>F42</f>
        <v>АвтоКомп</v>
      </c>
      <c r="G43" s="160" t="s">
        <v>219</v>
      </c>
      <c r="H43" s="160"/>
      <c r="I43" s="161">
        <f>IF(SUMIFS(операции!$V:$V,операции!$T:$T,"&lt;="&amp;$I$9,операции!$X:$X,"",операции!$O:$O,$F43)=0,0,$I$9-SUMIFS(операции!$AF:$AF,операции!$T:$T,"&lt;="&amp;$I$9,операции!$X:$X,"",операции!$O:$O,$F43)/SUMIFS(операции!$V:$V,операции!$T:$T,"&lt;="&amp;$I$9,операции!$X:$X,"",операции!$O:$O,$F43))</f>
        <v>0</v>
      </c>
      <c r="J43" s="172"/>
      <c r="K43" s="162">
        <f>IF(SUMIFS(операции!$V:$V,операции!$T:$T,"&lt;="&amp;$I$9,операции!$X:$X,"",операции!$L:$L,K$9,операции!$O:$O,$F43)=0,0,$I$9-SUMIFS(операции!$AF:$AF,операции!$T:$T,"&lt;="&amp;$I$9,операции!$X:$X,"",операции!$L:$L,K$9,операции!$O:$O,$F43)/SUMIFS(операции!$V:$V,операции!$T:$T,"&lt;="&amp;$I$9,операции!$X:$X,"",операции!$L:$L,K$9,операции!$O:$O,$F43))</f>
        <v>0</v>
      </c>
      <c r="L43" s="162">
        <f>IF(SUMIFS(операции!$V:$V,операции!$T:$T,"&lt;="&amp;$I$9,операции!$X:$X,"",операции!$L:$L,L$9,операции!$O:$O,$F43)=0,0,$I$9-SUMIFS(операции!$AF:$AF,операции!$T:$T,"&lt;="&amp;$I$9,операции!$X:$X,"",операции!$L:$L,L$9,операции!$O:$O,$F43)/SUMIFS(операции!$V:$V,операции!$T:$T,"&lt;="&amp;$I$9,операции!$X:$X,"",операции!$L:$L,L$9,операции!$O:$O,$F43))</f>
        <v>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s="126" customFormat="1" ht="12">
      <c r="A44" s="125"/>
      <c r="B44" s="125"/>
      <c r="C44" s="125"/>
      <c r="D44" s="128" t="s">
        <v>237</v>
      </c>
      <c r="E44" s="128"/>
      <c r="F44" s="127" t="str">
        <f>микс!H25</f>
        <v>ВалентаСпорт</v>
      </c>
      <c r="G44" s="128" t="s">
        <v>219</v>
      </c>
      <c r="H44" s="128"/>
      <c r="I44" s="129">
        <f>IF(SUMIFS(операции!$Z:$Z,операции!$X:$X,"&gt;="&amp;I$8,операции!$X:$X,"&lt;="&amp;I$9,операции!$O:$O,$F44)=0,I50,(SUMIFS(операции!$AG:$AG,операции!$X:$X,"&gt;="&amp;I$8,операции!$X:$X,"&lt;="&amp;I$9,операции!$O:$O,$F44)+I$9*SUMIFS(операции!$V:$V,операции!$T:$T,"&lt;="&amp;I$9,операции!$X:$X,"",операции!$O:$O,$F44))/(SUMIFS(операции!$Z:$Z,операции!$X:$X,"&gt;="&amp;I$8,операции!$X:$X,"&lt;="&amp;I$9,операции!$O:$O,$F44)+SUMIFS(операции!$V:$V,операции!$T:$T,"&lt;="&amp;I$9,операции!$X:$X,"",операции!$O:$O,$F44))-(SUMIFS(операции!$AF:$AF,операции!$X:$X,"&gt;="&amp;I$8,операции!$X:$X,"&lt;="&amp;I$9,операции!$O:$O,$F44)+SUMIFS(операции!$AF:$AF,операции!$T:$T,"&lt;="&amp;I$9,операции!$X:$X,"",операции!$O:$O,$F44))/(SUMIFS(операции!$V:$V,операции!$X:$X,"&gt;="&amp;I$8,операции!$X:$X,"&lt;="&amp;I$9,операции!$O:$O,$F44)+SUMIFS(операции!$V:$V,операции!$T:$T,"&lt;="&amp;I$9,операции!$X:$X,"",операции!$O:$O,$F44)))</f>
        <v>28.373684483587567</v>
      </c>
      <c r="J44" s="163"/>
      <c r="K44" s="130">
        <f>IF(SUMIFS(операции!$Z:$Z,операции!$X:$X,"&gt;="&amp;$I$8,операции!$X:$X,"&lt;="&amp;$I$9,операции!$L:$L,K$9,операции!$O:$O,$F44)=0,K50,(SUMIFS(операции!$AG:$AG,операции!$X:$X,"&gt;="&amp;$I$8,операции!$X:$X,"&lt;="&amp;$I$9,операции!$L:$L,K$9,операции!$O:$O,$F44)+$I$9*SUMIFS(операции!$V:$V,операции!$T:$T,"&lt;="&amp;$I$9,операции!$X:$X,"",операции!$L:$L,K$9,операции!$O:$O,$F44))/(SUMIFS(операции!$Z:$Z,операции!$X:$X,"&gt;="&amp;$I$8,операции!$X:$X,"&lt;="&amp;$I$9,операции!$L:$L,K$9,операции!$O:$O,$F44)+SUMIFS(операции!$V:$V,операции!$T:$T,"&lt;="&amp;$I$9,операции!$X:$X,"",операции!$L:$L,K$9,операции!$O:$O,$F44))-(SUMIFS(операции!$AF:$AF,операции!$X:$X,"&gt;="&amp;$I$8,операции!$X:$X,"&lt;="&amp;$I$9,операции!$L:$L,K$9,операции!$O:$O,$F44)+SUMIFS(операции!$AF:$AF,операции!$T:$T,"&lt;="&amp;$I$9,операции!$X:$X,"",операции!$L:$L,K$9,операции!$O:$O,$F44))/(SUMIFS(операции!$V:$V,операции!$X:$X,"&gt;="&amp;$I$8,операции!$X:$X,"&lt;="&amp;$I$9,операции!$L:$L,K$9,операции!$O:$O,$F44)+SUMIFS(операции!$V:$V,операции!$T:$T,"&lt;="&amp;$I$9,операции!$X:$X,"",операции!$L:$L,K$9,операции!$O:$O,$F44)))</f>
        <v>155.06150219799747</v>
      </c>
      <c r="L44" s="130">
        <f>IF(SUMIFS(операции!$Z:$Z,операции!$X:$X,"&gt;="&amp;$I$8,операции!$X:$X,"&lt;="&amp;$I$9,операции!$L:$L,L$9,операции!$O:$O,$F44)=0,L50,(SUMIFS(операции!$AG:$AG,операции!$X:$X,"&gt;="&amp;$I$8,операции!$X:$X,"&lt;="&amp;$I$9,операции!$L:$L,L$9,операции!$O:$O,$F44)+$I$9*SUMIFS(операции!$V:$V,операции!$T:$T,"&lt;="&amp;$I$9,операции!$X:$X,"",операции!$L:$L,L$9,операции!$O:$O,$F44))/(SUMIFS(операции!$Z:$Z,операции!$X:$X,"&gt;="&amp;$I$8,операции!$X:$X,"&lt;="&amp;$I$9,операции!$L:$L,L$9,операции!$O:$O,$F44)+SUMIFS(операции!$V:$V,операции!$T:$T,"&lt;="&amp;$I$9,операции!$X:$X,"",операции!$L:$L,L$9,операции!$O:$O,$F44))-(SUMIFS(операции!$AF:$AF,операции!$X:$X,"&gt;="&amp;$I$8,операции!$X:$X,"&lt;="&amp;$I$9,операции!$L:$L,L$9,операции!$O:$O,$F44)+SUMIFS(операции!$AF:$AF,операции!$T:$T,"&lt;="&amp;$I$9,операции!$X:$X,"",операции!$L:$L,L$9,операции!$O:$O,$F44))/(SUMIFS(операции!$V:$V,операции!$X:$X,"&gt;="&amp;$I$8,операции!$X:$X,"&lt;="&amp;$I$9,операции!$L:$L,L$9,операции!$O:$O,$F44)+SUMIFS(операции!$V:$V,операции!$T:$T,"&lt;="&amp;$I$9,операции!$X:$X,"",операции!$L:$L,L$9,операции!$O:$O,$F44)))</f>
        <v>7.4010650661584805</v>
      </c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</row>
    <row r="45" spans="1:27" s="50" customFormat="1" ht="11.25">
      <c r="A45" s="48"/>
      <c r="B45" s="48"/>
      <c r="C45" s="48"/>
      <c r="D45" s="154"/>
      <c r="E45" s="154" t="s">
        <v>220</v>
      </c>
      <c r="F45" s="154" t="str">
        <f>F44</f>
        <v>ВалентаСпорт</v>
      </c>
      <c r="G45" s="154" t="s">
        <v>219</v>
      </c>
      <c r="H45" s="154"/>
      <c r="I45" s="155">
        <f>IF(SUMIFS(операции!$Z:$Z,операции!$X:$X,"&gt;="&amp;I$8,операции!$X:$X,"&lt;="&amp;I$9,операции!$O:$O,$F45)=0,0,SUMIFS(операции!$AG:$AG,операции!$X:$X,"&gt;="&amp;I$8,операции!$X:$X,"&lt;="&amp;I$9,операции!$O:$O,$F45)/SUMIFS(операции!$Z:$Z,операции!$X:$X,"&gt;="&amp;I$8,операции!$X:$X,"&lt;="&amp;I$9,операции!$O:$O,$F45)-SUMIFS(операции!$AF:$AF,операции!$X:$X,"&gt;="&amp;I$8,операции!$X:$X,"&lt;="&amp;I$9,операции!$O:$O,$F45)/SUMIFS(операции!$V:$V,операции!$X:$X,"&gt;="&amp;I$8,операции!$X:$X,"&lt;="&amp;I$9,операции!$O:$O,$F45))</f>
        <v>19.687220935840742</v>
      </c>
      <c r="J45" s="171"/>
      <c r="K45" s="156">
        <f>IF(SUMIFS(операции!$Z:$Z,операции!$X:$X,"&gt;="&amp;$I$8,операции!$X:$X,"&lt;="&amp;$I$9,операции!$L:$L,K$9,операции!$O:$O,$F45)=0,0,SUMIFS(операции!$AG:$AG,операции!$X:$X,"&gt;="&amp;$I$8,операции!$X:$X,"&lt;="&amp;$I$9,операции!$L:$L,K$9,операции!$O:$O,$F45)/SUMIFS(операции!$Z:$Z,операции!$X:$X,"&gt;="&amp;$I$8,операции!$X:$X,"&lt;="&amp;$I$9,операции!$L:$L,K$9,операции!$O:$O,$F45)-SUMIFS(операции!$AF:$AF,операции!$X:$X,"&gt;="&amp;$I$8,операции!$X:$X,"&lt;="&amp;$I$9,операции!$L:$L,K$9,операции!$O:$O,$F45)/SUMIFS(операции!$V:$V,операции!$X:$X,"&gt;="&amp;$I$8,операции!$X:$X,"&lt;="&amp;$I$9,операции!$L:$L,K$9,операции!$O:$O,$F45))</f>
        <v>128.89180276895058</v>
      </c>
      <c r="L45" s="156">
        <f>IF(SUMIFS(операции!$Z:$Z,операции!$X:$X,"&gt;="&amp;$I$8,операции!$X:$X,"&lt;="&amp;$I$9,операции!$L:$L,L$9,операции!$O:$O,$F45)=0,0,SUMIFS(операции!$AG:$AG,операции!$X:$X,"&gt;="&amp;$I$8,операции!$X:$X,"&lt;="&amp;$I$9,операции!$L:$L,L$9,операции!$O:$O,$F45)/SUMIFS(операции!$Z:$Z,операции!$X:$X,"&gt;="&amp;$I$8,операции!$X:$X,"&lt;="&amp;$I$9,операции!$L:$L,L$9,операции!$O:$O,$F45)-SUMIFS(операции!$AF:$AF,операции!$X:$X,"&gt;="&amp;$I$8,операции!$X:$X,"&lt;="&amp;$I$9,операции!$L:$L,L$9,операции!$O:$O,$F45)/SUMIFS(операции!$V:$V,операции!$X:$X,"&gt;="&amp;$I$8,операции!$X:$X,"&lt;="&amp;$I$9,операции!$L:$L,L$9,операции!$O:$O,$F45))</f>
        <v>7.2357979581138352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50" customFormat="1" ht="11.25">
      <c r="A46" s="48"/>
      <c r="B46" s="48"/>
      <c r="C46" s="48"/>
      <c r="D46" s="160"/>
      <c r="E46" s="160" t="s">
        <v>239</v>
      </c>
      <c r="F46" s="160" t="str">
        <f>F45</f>
        <v>ВалентаСпорт</v>
      </c>
      <c r="G46" s="160" t="s">
        <v>219</v>
      </c>
      <c r="H46" s="160"/>
      <c r="I46" s="161">
        <f>IF(SUMIFS(операции!$V:$V,операции!$T:$T,"&lt;="&amp;$I$9,операции!$X:$X,"",операции!$O:$O,$F46)=0,0,$I$9-SUMIFS(операции!$AF:$AF,операции!$T:$T,"&lt;="&amp;$I$9,операции!$X:$X,"",операции!$O:$O,$F46)/SUMIFS(операции!$V:$V,операции!$T:$T,"&lt;="&amp;$I$9,операции!$X:$X,"",операции!$O:$O,$F46))</f>
        <v>69.822146247570345</v>
      </c>
      <c r="J46" s="172"/>
      <c r="K46" s="162">
        <f>IF(SUMIFS(операции!$V:$V,операции!$T:$T,"&lt;="&amp;$I$9,операции!$X:$X,"",операции!$L:$L,K$9,операции!$O:$O,$F46)=0,0,$I$9-SUMIFS(операции!$AF:$AF,операции!$T:$T,"&lt;="&amp;$I$9,операции!$X:$X,"",операции!$L:$L,K$9,операции!$O:$O,$F46)/SUMIFS(операции!$V:$V,операции!$T:$T,"&lt;="&amp;$I$9,операции!$X:$X,"",операции!$L:$L,K$9,операции!$O:$O,$F46))</f>
        <v>198.11372326982382</v>
      </c>
      <c r="L46" s="162">
        <f>IF(SUMIFS(операции!$V:$V,операции!$T:$T,"&lt;="&amp;$I$9,операции!$X:$X,"",операции!$L:$L,L$9,операции!$O:$O,$F46)=0,0,$I$9-SUMIFS(операции!$AF:$AF,операции!$T:$T,"&lt;="&amp;$I$9,операции!$X:$X,"",операции!$L:$L,L$9,операции!$O:$O,$F46)/SUMIFS(операции!$V:$V,операции!$T:$T,"&lt;="&amp;$I$9,операции!$X:$X,"",операции!$L:$L,L$9,операции!$O:$O,$F46))</f>
        <v>12.980185420834459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s="126" customFormat="1" ht="12">
      <c r="A47" s="125"/>
      <c r="B47" s="125"/>
      <c r="C47" s="125"/>
      <c r="D47" s="128" t="s">
        <v>237</v>
      </c>
      <c r="E47" s="128"/>
      <c r="F47" s="127" t="str">
        <f>микс!H26</f>
        <v>Вега</v>
      </c>
      <c r="G47" s="128" t="s">
        <v>219</v>
      </c>
      <c r="H47" s="128"/>
      <c r="I47" s="129">
        <f>IF(SUMIFS(операции!$Z:$Z,операции!$X:$X,"&gt;="&amp;I$8,операции!$X:$X,"&lt;="&amp;I$9,операции!$O:$O,$F47)=0,I53,(SUMIFS(операции!$AG:$AG,операции!$X:$X,"&gt;="&amp;I$8,операции!$X:$X,"&lt;="&amp;I$9,операции!$O:$O,$F47)+I$9*SUMIFS(операции!$V:$V,операции!$T:$T,"&lt;="&amp;I$9,операции!$X:$X,"",операции!$O:$O,$F47))/(SUMIFS(операции!$Z:$Z,операции!$X:$X,"&gt;="&amp;I$8,операции!$X:$X,"&lt;="&amp;I$9,операции!$O:$O,$F47)+SUMIFS(операции!$V:$V,операции!$T:$T,"&lt;="&amp;I$9,операции!$X:$X,"",операции!$O:$O,$F47))-(SUMIFS(операции!$AF:$AF,операции!$X:$X,"&gt;="&amp;I$8,операции!$X:$X,"&lt;="&amp;I$9,операции!$O:$O,$F47)+SUMIFS(операции!$AF:$AF,операции!$T:$T,"&lt;="&amp;I$9,операции!$X:$X,"",операции!$O:$O,$F47))/(SUMIFS(операции!$V:$V,операции!$X:$X,"&gt;="&amp;I$8,операции!$X:$X,"&lt;="&amp;I$9,операции!$O:$O,$F47)+SUMIFS(операции!$V:$V,операции!$T:$T,"&lt;="&amp;I$9,операции!$X:$X,"",операции!$O:$O,$F47)))</f>
        <v>52.512305264172028</v>
      </c>
      <c r="J47" s="163"/>
      <c r="K47" s="130">
        <f>IF(SUMIFS(операции!$Z:$Z,операции!$X:$X,"&gt;="&amp;$I$8,операции!$X:$X,"&lt;="&amp;$I$9,операции!$L:$L,K$9,операции!$O:$O,$F47)=0,K53,(SUMIFS(операции!$AG:$AG,операции!$X:$X,"&gt;="&amp;$I$8,операции!$X:$X,"&lt;="&amp;$I$9,операции!$L:$L,K$9,операции!$O:$O,$F47)+$I$9*SUMIFS(операции!$V:$V,операции!$T:$T,"&lt;="&amp;$I$9,операции!$X:$X,"",операции!$L:$L,K$9,операции!$O:$O,$F47))/(SUMIFS(операции!$Z:$Z,операции!$X:$X,"&gt;="&amp;$I$8,операции!$X:$X,"&lt;="&amp;$I$9,операции!$L:$L,K$9,операции!$O:$O,$F47)+SUMIFS(операции!$V:$V,операции!$T:$T,"&lt;="&amp;$I$9,операции!$X:$X,"",операции!$L:$L,K$9,операции!$O:$O,$F47))-(SUMIFS(операции!$AF:$AF,операции!$X:$X,"&gt;="&amp;$I$8,операции!$X:$X,"&lt;="&amp;$I$9,операции!$L:$L,K$9,операции!$O:$O,$F47)+SUMIFS(операции!$AF:$AF,операции!$T:$T,"&lt;="&amp;$I$9,операции!$X:$X,"",операции!$L:$L,K$9,операции!$O:$O,$F47))/(SUMIFS(операции!$V:$V,операции!$X:$X,"&gt;="&amp;$I$8,операции!$X:$X,"&lt;="&amp;$I$9,операции!$L:$L,K$9,операции!$O:$O,$F47)+SUMIFS(операции!$V:$V,операции!$T:$T,"&lt;="&amp;$I$9,операции!$X:$X,"",операции!$L:$L,K$9,операции!$O:$O,$F47)))</f>
        <v>232.80162090013619</v>
      </c>
      <c r="L47" s="130">
        <f>IF(SUMIFS(операции!$Z:$Z,операции!$X:$X,"&gt;="&amp;$I$8,операции!$X:$X,"&lt;="&amp;$I$9,операции!$L:$L,L$9,операции!$O:$O,$F47)=0,L53,(SUMIFS(операции!$AG:$AG,операции!$X:$X,"&gt;="&amp;$I$8,операции!$X:$X,"&lt;="&amp;$I$9,операции!$L:$L,L$9,операции!$O:$O,$F47)+$I$9*SUMIFS(операции!$V:$V,операции!$T:$T,"&lt;="&amp;$I$9,операции!$X:$X,"",операции!$L:$L,L$9,операции!$O:$O,$F47))/(SUMIFS(операции!$Z:$Z,операции!$X:$X,"&gt;="&amp;$I$8,операции!$X:$X,"&lt;="&amp;$I$9,операции!$L:$L,L$9,операции!$O:$O,$F47)+SUMIFS(операции!$V:$V,операции!$T:$T,"&lt;="&amp;$I$9,операции!$X:$X,"",операции!$L:$L,L$9,операции!$O:$O,$F47))-(SUMIFS(операции!$AF:$AF,операции!$X:$X,"&gt;="&amp;$I$8,операции!$X:$X,"&lt;="&amp;$I$9,операции!$L:$L,L$9,операции!$O:$O,$F47)+SUMIFS(операции!$AF:$AF,операции!$T:$T,"&lt;="&amp;$I$9,операции!$X:$X,"",операции!$L:$L,L$9,операции!$O:$O,$F47))/(SUMIFS(операции!$V:$V,операции!$X:$X,"&gt;="&amp;$I$8,операции!$X:$X,"&lt;="&amp;$I$9,операции!$L:$L,L$9,операции!$O:$O,$F47)+SUMIFS(операции!$V:$V,операции!$T:$T,"&lt;="&amp;$I$9,операции!$X:$X,"",операции!$L:$L,L$9,операции!$O:$O,$F47)))</f>
        <v>3.9123938748743967</v>
      </c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</row>
    <row r="48" spans="1:27" s="50" customFormat="1" ht="11.25">
      <c r="A48" s="48"/>
      <c r="B48" s="48"/>
      <c r="C48" s="48"/>
      <c r="D48" s="154"/>
      <c r="E48" s="154" t="s">
        <v>220</v>
      </c>
      <c r="F48" s="154" t="str">
        <f>F47</f>
        <v>Вега</v>
      </c>
      <c r="G48" s="154" t="s">
        <v>219</v>
      </c>
      <c r="H48" s="154"/>
      <c r="I48" s="155">
        <f>IF(SUMIFS(операции!$Z:$Z,операции!$X:$X,"&gt;="&amp;I$8,операции!$X:$X,"&lt;="&amp;I$9,операции!$O:$O,$F48)=0,0,SUMIFS(операции!$AG:$AG,операции!$X:$X,"&gt;="&amp;I$8,операции!$X:$X,"&lt;="&amp;I$9,операции!$O:$O,$F48)/SUMIFS(операции!$Z:$Z,операции!$X:$X,"&gt;="&amp;I$8,операции!$X:$X,"&lt;="&amp;I$9,операции!$O:$O,$F48)-SUMIFS(операции!$AF:$AF,операции!$X:$X,"&gt;="&amp;I$8,операции!$X:$X,"&lt;="&amp;I$9,операции!$O:$O,$F48)/SUMIFS(операции!$V:$V,операции!$X:$X,"&gt;="&amp;I$8,операции!$X:$X,"&lt;="&amp;I$9,операции!$O:$O,$F48))</f>
        <v>35.604552056080138</v>
      </c>
      <c r="J48" s="171"/>
      <c r="K48" s="156">
        <f>IF(SUMIFS(операции!$Z:$Z,операции!$X:$X,"&gt;="&amp;$I$8,операции!$X:$X,"&lt;="&amp;$I$9,операции!$L:$L,K$9,операции!$O:$O,$F48)=0,0,SUMIFS(операции!$AG:$AG,операции!$X:$X,"&gt;="&amp;$I$8,операции!$X:$X,"&lt;="&amp;$I$9,операции!$L:$L,K$9,операции!$O:$O,$F48)/SUMIFS(операции!$Z:$Z,операции!$X:$X,"&gt;="&amp;$I$8,операции!$X:$X,"&lt;="&amp;$I$9,операции!$L:$L,K$9,операции!$O:$O,$F48)-SUMIFS(операции!$AF:$AF,операции!$X:$X,"&gt;="&amp;$I$8,операции!$X:$X,"&lt;="&amp;$I$9,операции!$L:$L,K$9,операции!$O:$O,$F48)/SUMIFS(операции!$V:$V,операции!$X:$X,"&gt;="&amp;$I$8,операции!$X:$X,"&lt;="&amp;$I$9,операции!$L:$L,K$9,операции!$O:$O,$F48))</f>
        <v>214.37531498025055</v>
      </c>
      <c r="L48" s="156">
        <f>IF(SUMIFS(операции!$Z:$Z,операции!$X:$X,"&gt;="&amp;$I$8,операции!$X:$X,"&lt;="&amp;$I$9,операции!$L:$L,L$9,операции!$O:$O,$F48)=0,0,SUMIFS(операции!$AG:$AG,операции!$X:$X,"&gt;="&amp;$I$8,операции!$X:$X,"&lt;="&amp;$I$9,операции!$L:$L,L$9,операции!$O:$O,$F48)/SUMIFS(операции!$Z:$Z,операции!$X:$X,"&gt;="&amp;$I$8,операции!$X:$X,"&lt;="&amp;$I$9,операции!$L:$L,L$9,операции!$O:$O,$F48)-SUMIFS(операции!$AF:$AF,операции!$X:$X,"&gt;="&amp;$I$8,операции!$X:$X,"&lt;="&amp;$I$9,операции!$L:$L,L$9,операции!$O:$O,$F48)/SUMIFS(операции!$V:$V,операции!$X:$X,"&gt;="&amp;$I$8,операции!$X:$X,"&lt;="&amp;$I$9,операции!$L:$L,L$9,операции!$O:$O,$F48))</f>
        <v>3.7370345945455483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s="50" customFormat="1" ht="11.25">
      <c r="A49" s="48"/>
      <c r="B49" s="48"/>
      <c r="C49" s="48"/>
      <c r="D49" s="160"/>
      <c r="E49" s="160" t="s">
        <v>239</v>
      </c>
      <c r="F49" s="160" t="str">
        <f>F48</f>
        <v>Вега</v>
      </c>
      <c r="G49" s="160" t="s">
        <v>219</v>
      </c>
      <c r="H49" s="160"/>
      <c r="I49" s="161">
        <f>IF(SUMIFS(операции!$V:$V,операции!$T:$T,"&lt;="&amp;$I$9,операции!$X:$X,"",операции!$O:$O,$F49)=0,0,$I$9-SUMIFS(операции!$AF:$AF,операции!$T:$T,"&lt;="&amp;$I$9,операции!$X:$X,"",операции!$O:$O,$F49)/SUMIFS(операции!$V:$V,операции!$T:$T,"&lt;="&amp;$I$9,операции!$X:$X,"",операции!$O:$O,$F49))</f>
        <v>103.9364874843086</v>
      </c>
      <c r="J49" s="172"/>
      <c r="K49" s="162">
        <f>IF(SUMIFS(операции!$V:$V,операции!$T:$T,"&lt;="&amp;$I$9,операции!$X:$X,"",операции!$L:$L,K$9,операции!$O:$O,$F49)=0,0,$I$9-SUMIFS(операции!$AF:$AF,операции!$T:$T,"&lt;="&amp;$I$9,операции!$X:$X,"",операции!$L:$L,K$9,операции!$O:$O,$F49)/SUMIFS(операции!$V:$V,операции!$T:$T,"&lt;="&amp;$I$9,операции!$X:$X,"",операции!$L:$L,K$9,операции!$O:$O,$F49))</f>
        <v>259.97696254673065</v>
      </c>
      <c r="L49" s="162">
        <f>IF(SUMIFS(операции!$V:$V,операции!$T:$T,"&lt;="&amp;$I$9,операции!$X:$X,"",операции!$L:$L,L$9,операции!$O:$O,$F49)=0,0,$I$9-SUMIFS(операции!$AF:$AF,операции!$T:$T,"&lt;="&amp;$I$9,операции!$X:$X,"",операции!$L:$L,L$9,операции!$O:$O,$F49)/SUMIFS(операции!$V:$V,операции!$T:$T,"&lt;="&amp;$I$9,операции!$X:$X,"",операции!$L:$L,L$9,операции!$O:$O,$F49))</f>
        <v>10.542243032163242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s="126" customFormat="1" ht="12">
      <c r="A50" s="125"/>
      <c r="B50" s="125"/>
      <c r="C50" s="125"/>
      <c r="D50" s="128" t="s">
        <v>237</v>
      </c>
      <c r="E50" s="128"/>
      <c r="F50" s="127" t="str">
        <f>микс!H27</f>
        <v>Гранта</v>
      </c>
      <c r="G50" s="128" t="s">
        <v>219</v>
      </c>
      <c r="H50" s="128"/>
      <c r="I50" s="129">
        <f>IF(SUMIFS(операции!$Z:$Z,операции!$X:$X,"&gt;="&amp;I$8,операции!$X:$X,"&lt;="&amp;I$9,операции!$O:$O,$F50)=0,I56,(SUMIFS(операции!$AG:$AG,операции!$X:$X,"&gt;="&amp;I$8,операции!$X:$X,"&lt;="&amp;I$9,операции!$O:$O,$F50)+I$9*SUMIFS(операции!$V:$V,операции!$T:$T,"&lt;="&amp;I$9,операции!$X:$X,"",операции!$O:$O,$F50))/(SUMIFS(операции!$Z:$Z,операции!$X:$X,"&gt;="&amp;I$8,операции!$X:$X,"&lt;="&amp;I$9,операции!$O:$O,$F50)+SUMIFS(операции!$V:$V,операции!$T:$T,"&lt;="&amp;I$9,операции!$X:$X,"",операции!$O:$O,$F50))-(SUMIFS(операции!$AF:$AF,операции!$X:$X,"&gt;="&amp;I$8,операции!$X:$X,"&lt;="&amp;I$9,операции!$O:$O,$F50)+SUMIFS(операции!$AF:$AF,операции!$T:$T,"&lt;="&amp;I$9,операции!$X:$X,"",операции!$O:$O,$F50))/(SUMIFS(операции!$V:$V,операции!$X:$X,"&gt;="&amp;I$8,операции!$X:$X,"&lt;="&amp;I$9,операции!$O:$O,$F50)+SUMIFS(операции!$V:$V,операции!$T:$T,"&lt;="&amp;I$9,операции!$X:$X,"",операции!$O:$O,$F50)))</f>
        <v>93.277841079005157</v>
      </c>
      <c r="J50" s="163"/>
      <c r="K50" s="130">
        <f>IF(SUMIFS(операции!$Z:$Z,операции!$X:$X,"&gt;="&amp;$I$8,операции!$X:$X,"&lt;="&amp;$I$9,операции!$L:$L,K$9,операции!$O:$O,$F50)=0,K56,(SUMIFS(операции!$AG:$AG,операции!$X:$X,"&gt;="&amp;$I$8,операции!$X:$X,"&lt;="&amp;$I$9,операции!$L:$L,K$9,операции!$O:$O,$F50)+$I$9*SUMIFS(операции!$V:$V,операции!$T:$T,"&lt;="&amp;$I$9,операции!$X:$X,"",операции!$L:$L,K$9,операции!$O:$O,$F50))/(SUMIFS(операции!$Z:$Z,операции!$X:$X,"&gt;="&amp;$I$8,операции!$X:$X,"&lt;="&amp;$I$9,операции!$L:$L,K$9,операции!$O:$O,$F50)+SUMIFS(операции!$V:$V,операции!$T:$T,"&lt;="&amp;$I$9,операции!$X:$X,"",операции!$L:$L,K$9,операции!$O:$O,$F50))-(SUMIFS(операции!$AF:$AF,операции!$X:$X,"&gt;="&amp;$I$8,операции!$X:$X,"&lt;="&amp;$I$9,операции!$L:$L,K$9,операции!$O:$O,$F50)+SUMIFS(операции!$AF:$AF,операции!$T:$T,"&lt;="&amp;$I$9,операции!$X:$X,"",операции!$L:$L,K$9,операции!$O:$O,$F50))/(SUMIFS(операции!$V:$V,операции!$X:$X,"&gt;="&amp;$I$8,операции!$X:$X,"&lt;="&amp;$I$9,операции!$L:$L,K$9,операции!$O:$O,$F50)+SUMIFS(операции!$V:$V,операции!$T:$T,"&lt;="&amp;$I$9,операции!$X:$X,"",операции!$L:$L,K$9,операции!$O:$O,$F50)))</f>
        <v>140.25233134916925</v>
      </c>
      <c r="L50" s="130">
        <f>IF(SUMIFS(операции!$Z:$Z,операции!$X:$X,"&gt;="&amp;$I$8,операции!$X:$X,"&lt;="&amp;$I$9,операции!$L:$L,L$9,операции!$O:$O,$F50)=0,L56,(SUMIFS(операции!$AG:$AG,операции!$X:$X,"&gt;="&amp;$I$8,операции!$X:$X,"&lt;="&amp;$I$9,операции!$L:$L,L$9,операции!$O:$O,$F50)+$I$9*SUMIFS(операции!$V:$V,операции!$T:$T,"&lt;="&amp;$I$9,операции!$X:$X,"",операции!$L:$L,L$9,операции!$O:$O,$F50))/(SUMIFS(операции!$Z:$Z,операции!$X:$X,"&gt;="&amp;$I$8,операции!$X:$X,"&lt;="&amp;$I$9,операции!$L:$L,L$9,операции!$O:$O,$F50)+SUMIFS(операции!$V:$V,операции!$T:$T,"&lt;="&amp;$I$9,операции!$X:$X,"",операции!$L:$L,L$9,операции!$O:$O,$F50))-(SUMIFS(операции!$AF:$AF,операции!$X:$X,"&gt;="&amp;$I$8,операции!$X:$X,"&lt;="&amp;$I$9,операции!$L:$L,L$9,операции!$O:$O,$F50)+SUMIFS(операции!$AF:$AF,операции!$T:$T,"&lt;="&amp;$I$9,операции!$X:$X,"",операции!$L:$L,L$9,операции!$O:$O,$F50))/(SUMIFS(операции!$V:$V,операции!$X:$X,"&gt;="&amp;$I$8,операции!$X:$X,"&lt;="&amp;$I$9,операции!$L:$L,L$9,операции!$O:$O,$F50)+SUMIFS(операции!$V:$V,операции!$T:$T,"&lt;="&amp;$I$9,операции!$X:$X,"",операции!$L:$L,L$9,операции!$O:$O,$F50)))</f>
        <v>5.4081818027698318</v>
      </c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</row>
    <row r="51" spans="1:27" s="50" customFormat="1" ht="11.25">
      <c r="A51" s="48"/>
      <c r="B51" s="48"/>
      <c r="C51" s="48"/>
      <c r="D51" s="154"/>
      <c r="E51" s="154" t="s">
        <v>220</v>
      </c>
      <c r="F51" s="154" t="str">
        <f>F50</f>
        <v>Гранта</v>
      </c>
      <c r="G51" s="154" t="s">
        <v>219</v>
      </c>
      <c r="H51" s="154"/>
      <c r="I51" s="155">
        <f>IF(SUMIFS(операции!$Z:$Z,операции!$X:$X,"&gt;="&amp;I$8,операции!$X:$X,"&lt;="&amp;I$9,операции!$O:$O,$F51)=0,0,SUMIFS(операции!$AG:$AG,операции!$X:$X,"&gt;="&amp;I$8,операции!$X:$X,"&lt;="&amp;I$9,операции!$O:$O,$F51)/SUMIFS(операции!$Z:$Z,операции!$X:$X,"&gt;="&amp;I$8,операции!$X:$X,"&lt;="&amp;I$9,операции!$O:$O,$F51)-SUMIFS(операции!$AF:$AF,операции!$X:$X,"&gt;="&amp;I$8,операции!$X:$X,"&lt;="&amp;I$9,операции!$O:$O,$F51)/SUMIFS(операции!$V:$V,операции!$X:$X,"&gt;="&amp;I$8,операции!$X:$X,"&lt;="&amp;I$9,операции!$O:$O,$F51))</f>
        <v>65.426797516338411</v>
      </c>
      <c r="J51" s="171"/>
      <c r="K51" s="156">
        <f>IF(SUMIFS(операции!$Z:$Z,операции!$X:$X,"&gt;="&amp;$I$8,операции!$X:$X,"&lt;="&amp;$I$9,операции!$L:$L,K$9,операции!$O:$O,$F51)=0,0,SUMIFS(операции!$AG:$AG,операции!$X:$X,"&gt;="&amp;$I$8,операции!$X:$X,"&lt;="&amp;$I$9,операции!$L:$L,K$9,операции!$O:$O,$F51)/SUMIFS(операции!$Z:$Z,операции!$X:$X,"&gt;="&amp;$I$8,операции!$X:$X,"&lt;="&amp;$I$9,операции!$L:$L,K$9,операции!$O:$O,$F51)-SUMIFS(операции!$AF:$AF,операции!$X:$X,"&gt;="&amp;$I$8,операции!$X:$X,"&lt;="&amp;$I$9,операции!$L:$L,K$9,операции!$O:$O,$F51)/SUMIFS(операции!$V:$V,операции!$X:$X,"&gt;="&amp;$I$8,операции!$X:$X,"&lt;="&amp;$I$9,операции!$L:$L,K$9,операции!$O:$O,$F51))</f>
        <v>115.44384815226658</v>
      </c>
      <c r="L51" s="156">
        <f>IF(SUMIFS(операции!$Z:$Z,операции!$X:$X,"&gt;="&amp;$I$8,операции!$X:$X,"&lt;="&amp;$I$9,операции!$L:$L,L$9,операции!$O:$O,$F51)=0,0,SUMIFS(операции!$AG:$AG,операции!$X:$X,"&gt;="&amp;$I$8,операции!$X:$X,"&lt;="&amp;$I$9,операции!$L:$L,L$9,операции!$O:$O,$F51)/SUMIFS(операции!$Z:$Z,операции!$X:$X,"&gt;="&amp;$I$8,операции!$X:$X,"&lt;="&amp;$I$9,операции!$L:$L,L$9,операции!$O:$O,$F51)-SUMIFS(операции!$AF:$AF,операции!$X:$X,"&gt;="&amp;$I$8,операции!$X:$X,"&lt;="&amp;$I$9,операции!$L:$L,L$9,операции!$O:$O,$F51)/SUMIFS(операции!$V:$V,операции!$X:$X,"&gt;="&amp;$I$8,операции!$X:$X,"&lt;="&amp;$I$9,операции!$L:$L,L$9,операции!$O:$O,$F51))</f>
        <v>6.4427329793034005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s="50" customFormat="1" ht="11.25">
      <c r="A52" s="48"/>
      <c r="B52" s="48"/>
      <c r="C52" s="48"/>
      <c r="D52" s="160"/>
      <c r="E52" s="160" t="s">
        <v>239</v>
      </c>
      <c r="F52" s="160" t="str">
        <f>F51</f>
        <v>Гранта</v>
      </c>
      <c r="G52" s="160" t="s">
        <v>219</v>
      </c>
      <c r="H52" s="160"/>
      <c r="I52" s="161">
        <f>IF(SUMIFS(операции!$V:$V,операции!$T:$T,"&lt;="&amp;$I$9,операции!$X:$X,"",операции!$O:$O,$F52)=0,0,$I$9-SUMIFS(операции!$AF:$AF,операции!$T:$T,"&lt;="&amp;$I$9,операции!$X:$X,"",операции!$O:$O,$F52)/SUMIFS(операции!$V:$V,операции!$T:$T,"&lt;="&amp;$I$9,операции!$X:$X,"",операции!$O:$O,$F52))</f>
        <v>141.19241722456354</v>
      </c>
      <c r="J52" s="172"/>
      <c r="K52" s="162">
        <f>IF(SUMIFS(операции!$V:$V,операции!$T:$T,"&lt;="&amp;$I$9,операции!$X:$X,"",операции!$L:$L,K$9,операции!$O:$O,$F52)=0,0,$I$9-SUMIFS(операции!$AF:$AF,операции!$T:$T,"&lt;="&amp;$I$9,операции!$X:$X,"",операции!$L:$L,K$9,операции!$O:$O,$F52)/SUMIFS(операции!$V:$V,операции!$T:$T,"&lt;="&amp;$I$9,операции!$X:$X,"",операции!$L:$L,K$9,операции!$O:$O,$F52))</f>
        <v>167.60526227882656</v>
      </c>
      <c r="L52" s="162">
        <f>IF(SUMIFS(операции!$V:$V,операции!$T:$T,"&lt;="&amp;$I$9,операции!$X:$X,"",операции!$L:$L,L$9,операции!$O:$O,$F52)=0,0,$I$9-SUMIFS(операции!$AF:$AF,операции!$T:$T,"&lt;="&amp;$I$9,операции!$X:$X,"",операции!$L:$L,L$9,операции!$O:$O,$F52)/SUMIFS(операции!$V:$V,операции!$T:$T,"&lt;="&amp;$I$9,операции!$X:$X,"",операции!$L:$L,L$9,операции!$O:$O,$F52))</f>
        <v>2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s="126" customFormat="1" ht="12">
      <c r="A53" s="125"/>
      <c r="B53" s="125"/>
      <c r="C53" s="125"/>
      <c r="D53" s="128" t="s">
        <v>237</v>
      </c>
      <c r="E53" s="128"/>
      <c r="F53" s="127" t="str">
        <f>микс!H28</f>
        <v>Гуливерт</v>
      </c>
      <c r="G53" s="128" t="s">
        <v>219</v>
      </c>
      <c r="H53" s="128"/>
      <c r="I53" s="129">
        <f>IF(SUMIFS(операции!$Z:$Z,операции!$X:$X,"&gt;="&amp;I$8,операции!$X:$X,"&lt;="&amp;I$9,операции!$O:$O,$F53)=0,I59,(SUMIFS(операции!$AG:$AG,операции!$X:$X,"&gt;="&amp;I$8,операции!$X:$X,"&lt;="&amp;I$9,операции!$O:$O,$F53)+I$9*SUMIFS(операции!$V:$V,операции!$T:$T,"&lt;="&amp;I$9,операции!$X:$X,"",операции!$O:$O,$F53))/(SUMIFS(операции!$Z:$Z,операции!$X:$X,"&gt;="&amp;I$8,операции!$X:$X,"&lt;="&amp;I$9,операции!$O:$O,$F53)+SUMIFS(операции!$V:$V,операции!$T:$T,"&lt;="&amp;I$9,операции!$X:$X,"",операции!$O:$O,$F53))-(SUMIFS(операции!$AF:$AF,операции!$X:$X,"&gt;="&amp;I$8,операции!$X:$X,"&lt;="&amp;I$9,операции!$O:$O,$F53)+SUMIFS(операции!$AF:$AF,операции!$T:$T,"&lt;="&amp;I$9,операции!$X:$X,"",операции!$O:$O,$F53))/(SUMIFS(операции!$V:$V,операции!$X:$X,"&gt;="&amp;I$8,операции!$X:$X,"&lt;="&amp;I$9,операции!$O:$O,$F53)+SUMIFS(операции!$V:$V,операции!$T:$T,"&lt;="&amp;I$9,операции!$X:$X,"",операции!$O:$O,$F53)))</f>
        <v>114.46926409719163</v>
      </c>
      <c r="J53" s="163"/>
      <c r="K53" s="130">
        <f>IF(SUMIFS(операции!$Z:$Z,операции!$X:$X,"&gt;="&amp;$I$8,операции!$X:$X,"&lt;="&amp;$I$9,операции!$L:$L,K$9,операции!$O:$O,$F53)=0,K59,(SUMIFS(операции!$AG:$AG,операции!$X:$X,"&gt;="&amp;$I$8,операции!$X:$X,"&lt;="&amp;$I$9,операции!$L:$L,K$9,операции!$O:$O,$F53)+$I$9*SUMIFS(операции!$V:$V,операции!$T:$T,"&lt;="&amp;$I$9,операции!$X:$X,"",операции!$L:$L,K$9,операции!$O:$O,$F53))/(SUMIFS(операции!$Z:$Z,операции!$X:$X,"&gt;="&amp;$I$8,операции!$X:$X,"&lt;="&amp;$I$9,операции!$L:$L,K$9,операции!$O:$O,$F53)+SUMIFS(операции!$V:$V,операции!$T:$T,"&lt;="&amp;$I$9,операции!$X:$X,"",операции!$L:$L,K$9,операции!$O:$O,$F53))-(SUMIFS(операции!$AF:$AF,операции!$X:$X,"&gt;="&amp;$I$8,операции!$X:$X,"&lt;="&amp;$I$9,операции!$L:$L,K$9,операции!$O:$O,$F53)+SUMIFS(операции!$AF:$AF,операции!$T:$T,"&lt;="&amp;$I$9,операции!$X:$X,"",операции!$L:$L,K$9,операции!$O:$O,$F53))/(SUMIFS(операции!$V:$V,операции!$X:$X,"&gt;="&amp;$I$8,операции!$X:$X,"&lt;="&amp;$I$9,операции!$L:$L,K$9,операции!$O:$O,$F53)+SUMIFS(операции!$V:$V,операции!$T:$T,"&lt;="&amp;$I$9,операции!$X:$X,"",операции!$L:$L,K$9,операции!$O:$O,$F53)))</f>
        <v>323.4479899532962</v>
      </c>
      <c r="L53" s="130">
        <f>IF(SUMIFS(операции!$Z:$Z,операции!$X:$X,"&gt;="&amp;$I$8,операции!$X:$X,"&lt;="&amp;$I$9,операции!$L:$L,L$9,операции!$O:$O,$F53)=0,L59,(SUMIFS(операции!$AG:$AG,операции!$X:$X,"&gt;="&amp;$I$8,операции!$X:$X,"&lt;="&amp;$I$9,операции!$L:$L,L$9,операции!$O:$O,$F53)+$I$9*SUMIFS(операции!$V:$V,операции!$T:$T,"&lt;="&amp;$I$9,операции!$X:$X,"",операции!$L:$L,L$9,операции!$O:$O,$F53))/(SUMIFS(операции!$Z:$Z,операции!$X:$X,"&gt;="&amp;$I$8,операции!$X:$X,"&lt;="&amp;$I$9,операции!$L:$L,L$9,операции!$O:$O,$F53)+SUMIFS(операции!$V:$V,операции!$T:$T,"&lt;="&amp;$I$9,операции!$X:$X,"",операции!$L:$L,L$9,операции!$O:$O,$F53))-(SUMIFS(операции!$AF:$AF,операции!$X:$X,"&gt;="&amp;$I$8,операции!$X:$X,"&lt;="&amp;$I$9,операции!$L:$L,L$9,операции!$O:$O,$F53)+SUMIFS(операции!$AF:$AF,операции!$T:$T,"&lt;="&amp;$I$9,операции!$X:$X,"",операции!$L:$L,L$9,операции!$O:$O,$F53))/(SUMIFS(операции!$V:$V,операции!$X:$X,"&gt;="&amp;$I$8,операции!$X:$X,"&lt;="&amp;$I$9,операции!$L:$L,L$9,операции!$O:$O,$F53)+SUMIFS(операции!$V:$V,операции!$T:$T,"&lt;="&amp;$I$9,операции!$X:$X,"",операции!$L:$L,L$9,операции!$O:$O,$F53)))</f>
        <v>4.0632417657689075</v>
      </c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</row>
    <row r="54" spans="1:27" s="50" customFormat="1" ht="11.25">
      <c r="A54" s="48"/>
      <c r="B54" s="48"/>
      <c r="C54" s="48"/>
      <c r="D54" s="154"/>
      <c r="E54" s="154" t="s">
        <v>220</v>
      </c>
      <c r="F54" s="154" t="str">
        <f>F53</f>
        <v>Гуливерт</v>
      </c>
      <c r="G54" s="154" t="s">
        <v>219</v>
      </c>
      <c r="H54" s="154"/>
      <c r="I54" s="155">
        <f>IF(SUMIFS(операции!$Z:$Z,операции!$X:$X,"&gt;="&amp;I$8,операции!$X:$X,"&lt;="&amp;I$9,операции!$O:$O,$F54)=0,0,SUMIFS(операции!$AG:$AG,операции!$X:$X,"&gt;="&amp;I$8,операции!$X:$X,"&lt;="&amp;I$9,операции!$O:$O,$F54)/SUMIFS(операции!$Z:$Z,операции!$X:$X,"&gt;="&amp;I$8,операции!$X:$X,"&lt;="&amp;I$9,операции!$O:$O,$F54)-SUMIFS(операции!$AF:$AF,операции!$X:$X,"&gt;="&amp;I$8,операции!$X:$X,"&lt;="&amp;I$9,операции!$O:$O,$F54)/SUMIFS(операции!$V:$V,операции!$X:$X,"&gt;="&amp;I$8,операции!$X:$X,"&lt;="&amp;I$9,операции!$O:$O,$F54))</f>
        <v>130.43215359643364</v>
      </c>
      <c r="J54" s="171"/>
      <c r="K54" s="156">
        <f>IF(SUMIFS(операции!$Z:$Z,операции!$X:$X,"&gt;="&amp;$I$8,операции!$X:$X,"&lt;="&amp;$I$9,операции!$L:$L,K$9,операции!$O:$O,$F54)=0,0,SUMIFS(операции!$AG:$AG,операции!$X:$X,"&gt;="&amp;$I$8,операции!$X:$X,"&lt;="&amp;$I$9,операции!$L:$L,K$9,операции!$O:$O,$F54)/SUMIFS(операции!$Z:$Z,операции!$X:$X,"&gt;="&amp;$I$8,операции!$X:$X,"&lt;="&amp;$I$9,операции!$L:$L,K$9,операции!$O:$O,$F54)-SUMIFS(операции!$AF:$AF,операции!$X:$X,"&gt;="&amp;$I$8,операции!$X:$X,"&lt;="&amp;$I$9,операции!$L:$L,K$9,операции!$O:$O,$F54)/SUMIFS(операции!$V:$V,операции!$X:$X,"&gt;="&amp;$I$8,операции!$X:$X,"&lt;="&amp;$I$9,операции!$L:$L,K$9,операции!$O:$O,$F54))</f>
        <v>308.09417878416571</v>
      </c>
      <c r="L54" s="156">
        <f>IF(SUMIFS(операции!$Z:$Z,операции!$X:$X,"&gt;="&amp;$I$8,операции!$X:$X,"&lt;="&amp;$I$9,операции!$L:$L,L$9,операции!$O:$O,$F54)=0,0,SUMIFS(операции!$AG:$AG,операции!$X:$X,"&gt;="&amp;$I$8,операции!$X:$X,"&lt;="&amp;$I$9,операции!$L:$L,L$9,операции!$O:$O,$F54)/SUMIFS(операции!$Z:$Z,операции!$X:$X,"&gt;="&amp;$I$8,операции!$X:$X,"&lt;="&amp;$I$9,операции!$L:$L,L$9,операции!$O:$O,$F54)-SUMIFS(операции!$AF:$AF,операции!$X:$X,"&gt;="&amp;$I$8,операции!$X:$X,"&lt;="&amp;$I$9,операции!$L:$L,L$9,операции!$O:$O,$F54)/SUMIFS(операции!$V:$V,операции!$X:$X,"&gt;="&amp;$I$8,операции!$X:$X,"&lt;="&amp;$I$9,операции!$L:$L,L$9,операции!$O:$O,$F54))</f>
        <v>5.5094911282649264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s="50" customFormat="1" ht="11.25">
      <c r="A55" s="48"/>
      <c r="B55" s="48"/>
      <c r="C55" s="48"/>
      <c r="D55" s="160"/>
      <c r="E55" s="160" t="s">
        <v>239</v>
      </c>
      <c r="F55" s="160" t="str">
        <f>F54</f>
        <v>Гуливерт</v>
      </c>
      <c r="G55" s="160" t="s">
        <v>219</v>
      </c>
      <c r="H55" s="160"/>
      <c r="I55" s="161">
        <f>IF(SUMIFS(операции!$V:$V,операции!$T:$T,"&lt;="&amp;$I$9,операции!$X:$X,"",операции!$O:$O,$F55)=0,0,$I$9-SUMIFS(операции!$AF:$AF,операции!$T:$T,"&lt;="&amp;$I$9,операции!$X:$X,"",операции!$O:$O,$F55)/SUMIFS(операции!$V:$V,операции!$T:$T,"&lt;="&amp;$I$9,операции!$X:$X,"",операции!$O:$O,$F55))</f>
        <v>89.264551396503521</v>
      </c>
      <c r="J55" s="172"/>
      <c r="K55" s="162">
        <f>IF(SUMIFS(операции!$V:$V,операции!$T:$T,"&lt;="&amp;$I$9,операции!$X:$X,"",операции!$L:$L,K$9,операции!$O:$O,$F55)=0,0,$I$9-SUMIFS(операции!$AF:$AF,операции!$T:$T,"&lt;="&amp;$I$9,операции!$X:$X,"",операции!$L:$L,K$9,операции!$O:$O,$F55)/SUMIFS(операции!$V:$V,операции!$T:$T,"&lt;="&amp;$I$9,операции!$X:$X,"",операции!$L:$L,K$9,операции!$O:$O,$F55))</f>
        <v>379.68330589865946</v>
      </c>
      <c r="L55" s="162">
        <f>IF(SUMIFS(операции!$V:$V,операции!$T:$T,"&lt;="&amp;$I$9,операции!$X:$X,"",операции!$L:$L,L$9,операции!$O:$O,$F55)=0,0,$I$9-SUMIFS(операции!$AF:$AF,операции!$T:$T,"&lt;="&amp;$I$9,операции!$X:$X,"",операции!$L:$L,L$9,операции!$O:$O,$F55)/SUMIFS(операции!$V:$V,операции!$T:$T,"&lt;="&amp;$I$9,операции!$X:$X,"",операции!$L:$L,L$9,операции!$O:$O,$F55))</f>
        <v>5.8938220525888028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s="126" customFormat="1" ht="12">
      <c r="A56" s="125"/>
      <c r="B56" s="125"/>
      <c r="C56" s="125"/>
      <c r="D56" s="128" t="s">
        <v>237</v>
      </c>
      <c r="E56" s="128"/>
      <c r="F56" s="127" t="str">
        <f>микс!H29</f>
        <v>Детство</v>
      </c>
      <c r="G56" s="128" t="s">
        <v>219</v>
      </c>
      <c r="H56" s="128"/>
      <c r="I56" s="129">
        <f>IF(SUMIFS(операции!$Z:$Z,операции!$X:$X,"&gt;="&amp;I$8,операции!$X:$X,"&lt;="&amp;I$9,операции!$O:$O,$F56)=0,I62,(SUMIFS(операции!$AG:$AG,операции!$X:$X,"&gt;="&amp;I$8,операции!$X:$X,"&lt;="&amp;I$9,операции!$O:$O,$F56)+I$9*SUMIFS(операции!$V:$V,операции!$T:$T,"&lt;="&amp;I$9,операции!$X:$X,"",операции!$O:$O,$F56))/(SUMIFS(операции!$Z:$Z,операции!$X:$X,"&gt;="&amp;I$8,операции!$X:$X,"&lt;="&amp;I$9,операции!$O:$O,$F56)+SUMIFS(операции!$V:$V,операции!$T:$T,"&lt;="&amp;I$9,операции!$X:$X,"",операции!$O:$O,$F56))-(SUMIFS(операции!$AF:$AF,операции!$X:$X,"&gt;="&amp;I$8,операции!$X:$X,"&lt;="&amp;I$9,операции!$O:$O,$F56)+SUMIFS(операции!$AF:$AF,операции!$T:$T,"&lt;="&amp;I$9,операции!$X:$X,"",операции!$O:$O,$F56))/(SUMIFS(операции!$V:$V,операции!$X:$X,"&gt;="&amp;I$8,операции!$X:$X,"&lt;="&amp;I$9,операции!$O:$O,$F56)+SUMIFS(операции!$V:$V,операции!$T:$T,"&lt;="&amp;I$9,операции!$X:$X,"",операции!$O:$O,$F56)))</f>
        <v>59.985756745518302</v>
      </c>
      <c r="J56" s="163"/>
      <c r="K56" s="130">
        <f>IF(SUMIFS(операции!$Z:$Z,операции!$X:$X,"&gt;="&amp;$I$8,операции!$X:$X,"&lt;="&amp;$I$9,операции!$L:$L,K$9,операции!$O:$O,$F56)=0,K62,(SUMIFS(операции!$AG:$AG,операции!$X:$X,"&gt;="&amp;$I$8,операции!$X:$X,"&lt;="&amp;$I$9,операции!$L:$L,K$9,операции!$O:$O,$F56)+$I$9*SUMIFS(операции!$V:$V,операции!$T:$T,"&lt;="&amp;$I$9,операции!$X:$X,"",операции!$L:$L,K$9,операции!$O:$O,$F56))/(SUMIFS(операции!$Z:$Z,операции!$X:$X,"&gt;="&amp;$I$8,операции!$X:$X,"&lt;="&amp;$I$9,операции!$L:$L,K$9,операции!$O:$O,$F56)+SUMIFS(операции!$V:$V,операции!$T:$T,"&lt;="&amp;$I$9,операции!$X:$X,"",операции!$L:$L,K$9,операции!$O:$O,$F56))-(SUMIFS(операции!$AF:$AF,операции!$X:$X,"&gt;="&amp;$I$8,операции!$X:$X,"&lt;="&amp;$I$9,операции!$L:$L,K$9,операции!$O:$O,$F56)+SUMIFS(операции!$AF:$AF,операции!$T:$T,"&lt;="&amp;$I$9,операции!$X:$X,"",операции!$L:$L,K$9,операции!$O:$O,$F56))/(SUMIFS(операции!$V:$V,операции!$X:$X,"&gt;="&amp;$I$8,операции!$X:$X,"&lt;="&amp;$I$9,операции!$L:$L,K$9,операции!$O:$O,$F56)+SUMIFS(операции!$V:$V,операции!$T:$T,"&lt;="&amp;$I$9,операции!$X:$X,"",операции!$L:$L,K$9,операции!$O:$O,$F56)))</f>
        <v>139.14687333344045</v>
      </c>
      <c r="L56" s="130">
        <f>IF(SUMIFS(операции!$Z:$Z,операции!$X:$X,"&gt;="&amp;$I$8,операции!$X:$X,"&lt;="&amp;$I$9,операции!$L:$L,L$9,операции!$O:$O,$F56)=0,L62,(SUMIFS(операции!$AG:$AG,операции!$X:$X,"&gt;="&amp;$I$8,операции!$X:$X,"&lt;="&amp;$I$9,операции!$L:$L,L$9,операции!$O:$O,$F56)+$I$9*SUMIFS(операции!$V:$V,операции!$T:$T,"&lt;="&amp;$I$9,операции!$X:$X,"",операции!$L:$L,L$9,операции!$O:$O,$F56))/(SUMIFS(операции!$Z:$Z,операции!$X:$X,"&gt;="&amp;$I$8,операции!$X:$X,"&lt;="&amp;$I$9,операции!$L:$L,L$9,операции!$O:$O,$F56)+SUMIFS(операции!$V:$V,операции!$T:$T,"&lt;="&amp;$I$9,операции!$X:$X,"",операции!$L:$L,L$9,операции!$O:$O,$F56))-(SUMIFS(операции!$AF:$AF,операции!$X:$X,"&gt;="&amp;$I$8,операции!$X:$X,"&lt;="&amp;$I$9,операции!$L:$L,L$9,операции!$O:$O,$F56)+SUMIFS(операции!$AF:$AF,операции!$T:$T,"&lt;="&amp;$I$9,операции!$X:$X,"",операции!$L:$L,L$9,операции!$O:$O,$F56))/(SUMIFS(операции!$V:$V,операции!$X:$X,"&gt;="&amp;$I$8,операции!$X:$X,"&lt;="&amp;$I$9,операции!$L:$L,L$9,операции!$O:$O,$F56)+SUMIFS(операции!$V:$V,операции!$T:$T,"&lt;="&amp;$I$9,операции!$X:$X,"",операции!$L:$L,L$9,операции!$O:$O,$F56)))</f>
        <v>5.0757110764388926</v>
      </c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</row>
    <row r="57" spans="1:27" s="50" customFormat="1" ht="11.25">
      <c r="A57" s="48"/>
      <c r="B57" s="48"/>
      <c r="C57" s="48"/>
      <c r="D57" s="154"/>
      <c r="E57" s="154" t="s">
        <v>220</v>
      </c>
      <c r="F57" s="154" t="str">
        <f>F56</f>
        <v>Детство</v>
      </c>
      <c r="G57" s="154" t="s">
        <v>219</v>
      </c>
      <c r="H57" s="154"/>
      <c r="I57" s="155">
        <f>IF(SUMIFS(операции!$Z:$Z,операции!$X:$X,"&gt;="&amp;I$8,операции!$X:$X,"&lt;="&amp;I$9,операции!$O:$O,$F57)=0,0,SUMIFS(операции!$AG:$AG,операции!$X:$X,"&gt;="&amp;I$8,операции!$X:$X,"&lt;="&amp;I$9,операции!$O:$O,$F57)/SUMIFS(операции!$Z:$Z,операции!$X:$X,"&gt;="&amp;I$8,операции!$X:$X,"&lt;="&amp;I$9,операции!$O:$O,$F57)-SUMIFS(операции!$AF:$AF,операции!$X:$X,"&gt;="&amp;I$8,операции!$X:$X,"&lt;="&amp;I$9,операции!$O:$O,$F57)/SUMIFS(операции!$V:$V,операции!$X:$X,"&gt;="&amp;I$8,операции!$X:$X,"&lt;="&amp;I$9,операции!$O:$O,$F57))</f>
        <v>41.030381620083062</v>
      </c>
      <c r="J57" s="171"/>
      <c r="K57" s="156">
        <f>IF(SUMIFS(операции!$Z:$Z,операции!$X:$X,"&gt;="&amp;$I$8,операции!$X:$X,"&lt;="&amp;$I$9,операции!$L:$L,K$9,операции!$O:$O,$F57)=0,0,SUMIFS(операции!$AG:$AG,операции!$X:$X,"&gt;="&amp;$I$8,операции!$X:$X,"&lt;="&amp;$I$9,операции!$L:$L,K$9,операции!$O:$O,$F57)/SUMIFS(операции!$Z:$Z,операции!$X:$X,"&gt;="&amp;$I$8,операции!$X:$X,"&lt;="&amp;$I$9,операции!$L:$L,K$9,операции!$O:$O,$F57)-SUMIFS(операции!$AF:$AF,операции!$X:$X,"&gt;="&amp;$I$8,операции!$X:$X,"&lt;="&amp;$I$9,операции!$L:$L,K$9,операции!$O:$O,$F57)/SUMIFS(операции!$V:$V,операции!$X:$X,"&gt;="&amp;$I$8,операции!$X:$X,"&lt;="&amp;$I$9,операции!$L:$L,K$9,операции!$O:$O,$F57))</f>
        <v>120.32905732285144</v>
      </c>
      <c r="L57" s="156">
        <f>IF(SUMIFS(операции!$Z:$Z,операции!$X:$X,"&gt;="&amp;$I$8,операции!$X:$X,"&lt;="&amp;$I$9,операции!$L:$L,L$9,операции!$O:$O,$F57)=0,0,SUMIFS(операции!$AG:$AG,операции!$X:$X,"&gt;="&amp;$I$8,операции!$X:$X,"&lt;="&amp;$I$9,операции!$L:$L,L$9,операции!$O:$O,$F57)/SUMIFS(операции!$Z:$Z,операции!$X:$X,"&gt;="&amp;$I$8,операции!$X:$X,"&lt;="&amp;$I$9,операции!$L:$L,L$9,операции!$O:$O,$F57)-SUMIFS(операции!$AF:$AF,операции!$X:$X,"&gt;="&amp;$I$8,операции!$X:$X,"&lt;="&amp;$I$9,операции!$L:$L,L$9,операции!$O:$O,$F57)/SUMIFS(операции!$V:$V,операции!$X:$X,"&gt;="&amp;$I$8,операции!$X:$X,"&lt;="&amp;$I$9,операции!$L:$L,L$9,операции!$O:$O,$F57))</f>
        <v>5.2799264318746282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s="50" customFormat="1" ht="11.25">
      <c r="A58" s="48"/>
      <c r="B58" s="48"/>
      <c r="C58" s="48"/>
      <c r="D58" s="160"/>
      <c r="E58" s="160" t="s">
        <v>239</v>
      </c>
      <c r="F58" s="160" t="str">
        <f>F57</f>
        <v>Детство</v>
      </c>
      <c r="G58" s="160" t="s">
        <v>219</v>
      </c>
      <c r="H58" s="160"/>
      <c r="I58" s="161">
        <f>IF(SUMIFS(операции!$V:$V,операции!$T:$T,"&lt;="&amp;$I$9,операции!$X:$X,"",операции!$O:$O,$F58)=0,0,$I$9-SUMIFS(операции!$AF:$AF,операции!$T:$T,"&lt;="&amp;$I$9,операции!$X:$X,"",операции!$O:$O,$F58)/SUMIFS(операции!$V:$V,операции!$T:$T,"&lt;="&amp;$I$9,операции!$X:$X,"",операции!$O:$O,$F58))</f>
        <v>148.8522738930842</v>
      </c>
      <c r="J58" s="172"/>
      <c r="K58" s="162">
        <f>IF(SUMIFS(операции!$V:$V,операции!$T:$T,"&lt;="&amp;$I$9,операции!$X:$X,"",операции!$L:$L,K$9,операции!$O:$O,$F58)=0,0,$I$9-SUMIFS(операции!$AF:$AF,операции!$T:$T,"&lt;="&amp;$I$9,операции!$X:$X,"",операции!$L:$L,K$9,операции!$O:$O,$F58)/SUMIFS(операции!$V:$V,операции!$T:$T,"&lt;="&amp;$I$9,операции!$X:$X,"",операции!$L:$L,K$9,операции!$O:$O,$F58))</f>
        <v>173.7915669222275</v>
      </c>
      <c r="L58" s="162">
        <f>IF(SUMIFS(операции!$V:$V,операции!$T:$T,"&lt;="&amp;$I$9,операции!$X:$X,"",операции!$L:$L,L$9,операции!$O:$O,$F58)=0,0,$I$9-SUMIFS(операции!$AF:$AF,операции!$T:$T,"&lt;="&amp;$I$9,операции!$X:$X,"",операции!$L:$L,L$9,операции!$O:$O,$F58)/SUMIFS(операции!$V:$V,операции!$T:$T,"&lt;="&amp;$I$9,операции!$X:$X,"",операции!$L:$L,L$9,операции!$O:$O,$F58))</f>
        <v>3.9449898889215547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s="126" customFormat="1" ht="12">
      <c r="A59" s="125"/>
      <c r="B59" s="125"/>
      <c r="C59" s="125"/>
      <c r="D59" s="128" t="s">
        <v>237</v>
      </c>
      <c r="E59" s="128"/>
      <c r="F59" s="127" t="str">
        <f>микс!H30</f>
        <v>ИгрушкаФест</v>
      </c>
      <c r="G59" s="128" t="s">
        <v>219</v>
      </c>
      <c r="H59" s="128"/>
      <c r="I59" s="129">
        <f>IF(SUMIFS(операции!$Z:$Z,операции!$X:$X,"&gt;="&amp;I$8,операции!$X:$X,"&lt;="&amp;I$9,операции!$O:$O,$F59)=0,I65,(SUMIFS(операции!$AG:$AG,операции!$X:$X,"&gt;="&amp;I$8,операции!$X:$X,"&lt;="&amp;I$9,операции!$O:$O,$F59)+I$9*SUMIFS(операции!$V:$V,операции!$T:$T,"&lt;="&amp;I$9,операции!$X:$X,"",операции!$O:$O,$F59))/(SUMIFS(операции!$Z:$Z,операции!$X:$X,"&gt;="&amp;I$8,операции!$X:$X,"&lt;="&amp;I$9,операции!$O:$O,$F59)+SUMIFS(операции!$V:$V,операции!$T:$T,"&lt;="&amp;I$9,операции!$X:$X,"",операции!$O:$O,$F59))-(SUMIFS(операции!$AF:$AF,операции!$X:$X,"&gt;="&amp;I$8,операции!$X:$X,"&lt;="&amp;I$9,операции!$O:$O,$F59)+SUMIFS(операции!$AF:$AF,операции!$T:$T,"&lt;="&amp;I$9,операции!$X:$X,"",операции!$O:$O,$F59))/(SUMIFS(операции!$V:$V,операции!$X:$X,"&gt;="&amp;I$8,операции!$X:$X,"&lt;="&amp;I$9,операции!$O:$O,$F59)+SUMIFS(операции!$V:$V,операции!$T:$T,"&lt;="&amp;I$9,операции!$X:$X,"",операции!$O:$O,$F59)))</f>
        <v>43.238988902121491</v>
      </c>
      <c r="J59" s="163"/>
      <c r="K59" s="130">
        <f>IF(SUMIFS(операции!$Z:$Z,операции!$X:$X,"&gt;="&amp;$I$8,операции!$X:$X,"&lt;="&amp;$I$9,операции!$L:$L,K$9,операции!$O:$O,$F59)=0,K65,(SUMIFS(операции!$AG:$AG,операции!$X:$X,"&gt;="&amp;$I$8,операции!$X:$X,"&lt;="&amp;$I$9,операции!$L:$L,K$9,операции!$O:$O,$F59)+$I$9*SUMIFS(операции!$V:$V,операции!$T:$T,"&lt;="&amp;$I$9,операции!$X:$X,"",операции!$L:$L,K$9,операции!$O:$O,$F59))/(SUMIFS(операции!$Z:$Z,операции!$X:$X,"&gt;="&amp;$I$8,операции!$X:$X,"&lt;="&amp;$I$9,операции!$L:$L,K$9,операции!$O:$O,$F59)+SUMIFS(операции!$V:$V,операции!$T:$T,"&lt;="&amp;$I$9,операции!$X:$X,"",операции!$L:$L,K$9,операции!$O:$O,$F59))-(SUMIFS(операции!$AF:$AF,операции!$X:$X,"&gt;="&amp;$I$8,операции!$X:$X,"&lt;="&amp;$I$9,операции!$L:$L,K$9,операции!$O:$O,$F59)+SUMIFS(операции!$AF:$AF,операции!$T:$T,"&lt;="&amp;$I$9,операции!$X:$X,"",операции!$L:$L,K$9,операции!$O:$O,$F59))/(SUMIFS(операции!$V:$V,операции!$X:$X,"&gt;="&amp;$I$8,операции!$X:$X,"&lt;="&amp;$I$9,операции!$L:$L,K$9,операции!$O:$O,$F59)+SUMIFS(операции!$V:$V,операции!$T:$T,"&lt;="&amp;$I$9,операции!$X:$X,"",операции!$L:$L,K$9,операции!$O:$O,$F59)))</f>
        <v>145.15691625328327</v>
      </c>
      <c r="L59" s="130">
        <f>IF(SUMIFS(операции!$Z:$Z,операции!$X:$X,"&gt;="&amp;$I$8,операции!$X:$X,"&lt;="&amp;$I$9,операции!$L:$L,L$9,операции!$O:$O,$F59)=0,L65,(SUMIFS(операции!$AG:$AG,операции!$X:$X,"&gt;="&amp;$I$8,операции!$X:$X,"&lt;="&amp;$I$9,операции!$L:$L,L$9,операции!$O:$O,$F59)+$I$9*SUMIFS(операции!$V:$V,операции!$T:$T,"&lt;="&amp;$I$9,операции!$X:$X,"",операции!$L:$L,L$9,операции!$O:$O,$F59))/(SUMIFS(операции!$Z:$Z,операции!$X:$X,"&gt;="&amp;$I$8,операции!$X:$X,"&lt;="&amp;$I$9,операции!$L:$L,L$9,операции!$O:$O,$F59)+SUMIFS(операции!$V:$V,операции!$T:$T,"&lt;="&amp;$I$9,операции!$X:$X,"",операции!$L:$L,L$9,операции!$O:$O,$F59))-(SUMIFS(операции!$AF:$AF,операции!$X:$X,"&gt;="&amp;$I$8,операции!$X:$X,"&lt;="&amp;$I$9,операции!$L:$L,L$9,операции!$O:$O,$F59)+SUMIFS(операции!$AF:$AF,операции!$T:$T,"&lt;="&amp;$I$9,операции!$X:$X,"",операции!$L:$L,L$9,операции!$O:$O,$F59))/(SUMIFS(операции!$V:$V,операции!$X:$X,"&gt;="&amp;$I$8,операции!$X:$X,"&lt;="&amp;$I$9,операции!$L:$L,L$9,операции!$O:$O,$F59)+SUMIFS(операции!$V:$V,операции!$T:$T,"&lt;="&amp;$I$9,операции!$X:$X,"",операции!$L:$L,L$9,операции!$O:$O,$F59)))</f>
        <v>5.8272639664064627</v>
      </c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</row>
    <row r="60" spans="1:27" s="50" customFormat="1" ht="11.25">
      <c r="A60" s="48"/>
      <c r="B60" s="48"/>
      <c r="C60" s="48"/>
      <c r="D60" s="154"/>
      <c r="E60" s="154" t="s">
        <v>220</v>
      </c>
      <c r="F60" s="154" t="str">
        <f>F59</f>
        <v>ИгрушкаФест</v>
      </c>
      <c r="G60" s="154" t="s">
        <v>219</v>
      </c>
      <c r="H60" s="154"/>
      <c r="I60" s="155">
        <f>IF(SUMIFS(операции!$Z:$Z,операции!$X:$X,"&gt;="&amp;I$8,операции!$X:$X,"&lt;="&amp;I$9,операции!$O:$O,$F60)=0,0,SUMIFS(операции!$AG:$AG,операции!$X:$X,"&gt;="&amp;I$8,операции!$X:$X,"&lt;="&amp;I$9,операции!$O:$O,$F60)/SUMIFS(операции!$Z:$Z,операции!$X:$X,"&gt;="&amp;I$8,операции!$X:$X,"&lt;="&amp;I$9,операции!$O:$O,$F60)-SUMIFS(операции!$AF:$AF,операции!$X:$X,"&gt;="&amp;I$8,операции!$X:$X,"&lt;="&amp;I$9,операции!$O:$O,$F60)/SUMIFS(операции!$V:$V,операции!$X:$X,"&gt;="&amp;I$8,операции!$X:$X,"&lt;="&amp;I$9,операции!$O:$O,$F60))</f>
        <v>26.30780221754685</v>
      </c>
      <c r="J60" s="171"/>
      <c r="K60" s="156">
        <f>IF(SUMIFS(операции!$Z:$Z,операции!$X:$X,"&gt;="&amp;$I$8,операции!$X:$X,"&lt;="&amp;$I$9,операции!$L:$L,K$9,операции!$O:$O,$F60)=0,0,SUMIFS(операции!$AG:$AG,операции!$X:$X,"&gt;="&amp;$I$8,операции!$X:$X,"&lt;="&amp;$I$9,операции!$L:$L,K$9,операции!$O:$O,$F60)/SUMIFS(операции!$Z:$Z,операции!$X:$X,"&gt;="&amp;$I$8,операции!$X:$X,"&lt;="&amp;$I$9,операции!$L:$L,K$9,операции!$O:$O,$F60)-SUMIFS(операции!$AF:$AF,операции!$X:$X,"&gt;="&amp;$I$8,операции!$X:$X,"&lt;="&amp;$I$9,операции!$L:$L,K$9,операции!$O:$O,$F60)/SUMIFS(операции!$V:$V,операции!$X:$X,"&gt;="&amp;$I$8,операции!$X:$X,"&lt;="&amp;$I$9,операции!$L:$L,K$9,операции!$O:$O,$F60))</f>
        <v>113.12190447796456</v>
      </c>
      <c r="L60" s="156">
        <f>IF(SUMIFS(операции!$Z:$Z,операции!$X:$X,"&gt;="&amp;$I$8,операции!$X:$X,"&lt;="&amp;$I$9,операции!$L:$L,L$9,операции!$O:$O,$F60)=0,0,SUMIFS(операции!$AG:$AG,операции!$X:$X,"&gt;="&amp;$I$8,операции!$X:$X,"&lt;="&amp;$I$9,операции!$L:$L,L$9,операции!$O:$O,$F60)/SUMIFS(операции!$Z:$Z,операции!$X:$X,"&gt;="&amp;$I$8,операции!$X:$X,"&lt;="&amp;$I$9,операции!$L:$L,L$9,операции!$O:$O,$F60)-SUMIFS(операции!$AF:$AF,операции!$X:$X,"&gt;="&amp;$I$8,операции!$X:$X,"&lt;="&amp;$I$9,операции!$L:$L,L$9,операции!$O:$O,$F60)/SUMIFS(операции!$V:$V,операции!$X:$X,"&gt;="&amp;$I$8,операции!$X:$X,"&lt;="&amp;$I$9,операции!$L:$L,L$9,операции!$O:$O,$F60))</f>
        <v>5.7797671308362624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s="50" customFormat="1" ht="11.25">
      <c r="A61" s="48"/>
      <c r="B61" s="48"/>
      <c r="C61" s="48"/>
      <c r="D61" s="160"/>
      <c r="E61" s="160" t="s">
        <v>239</v>
      </c>
      <c r="F61" s="160" t="str">
        <f>F60</f>
        <v>ИгрушкаФест</v>
      </c>
      <c r="G61" s="160" t="s">
        <v>219</v>
      </c>
      <c r="H61" s="160"/>
      <c r="I61" s="161">
        <f>IF(SUMIFS(операции!$V:$V,операции!$T:$T,"&lt;="&amp;$I$9,операции!$X:$X,"",операции!$O:$O,$F61)=0,0,$I$9-SUMIFS(операции!$AF:$AF,операции!$T:$T,"&lt;="&amp;$I$9,операции!$X:$X,"",операции!$O:$O,$F61)/SUMIFS(операции!$V:$V,операции!$T:$T,"&lt;="&amp;$I$9,операции!$X:$X,"",операции!$O:$O,$F61))</f>
        <v>158.10592636345973</v>
      </c>
      <c r="J61" s="172"/>
      <c r="K61" s="162">
        <f>IF(SUMIFS(операции!$V:$V,операции!$T:$T,"&lt;="&amp;$I$9,операции!$X:$X,"",операции!$L:$L,K$9,операции!$O:$O,$F61)=0,0,$I$9-SUMIFS(операции!$AF:$AF,операции!$T:$T,"&lt;="&amp;$I$9,операции!$X:$X,"",операции!$L:$L,K$9,операции!$O:$O,$F61)/SUMIFS(операции!$V:$V,операции!$T:$T,"&lt;="&amp;$I$9,операции!$X:$X,"",операции!$L:$L,K$9,операции!$O:$O,$F61))</f>
        <v>198.30765344783867</v>
      </c>
      <c r="L61" s="162">
        <f>IF(SUMIFS(операции!$V:$V,операции!$T:$T,"&lt;="&amp;$I$9,операции!$X:$X,"",операции!$L:$L,L$9,операции!$O:$O,$F61)=0,0,$I$9-SUMIFS(операции!$AF:$AF,операции!$T:$T,"&lt;="&amp;$I$9,операции!$X:$X,"",операции!$L:$L,L$9,операции!$O:$O,$F61)/SUMIFS(операции!$V:$V,операции!$T:$T,"&lt;="&amp;$I$9,операции!$X:$X,"",операции!$L:$L,L$9,операции!$O:$O,$F61))</f>
        <v>16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s="126" customFormat="1" ht="12">
      <c r="A62" s="125"/>
      <c r="B62" s="125"/>
      <c r="C62" s="125"/>
      <c r="D62" s="128" t="s">
        <v>237</v>
      </c>
      <c r="E62" s="128"/>
      <c r="F62" s="127" t="str">
        <f>микс!H31</f>
        <v>ИнтКид</v>
      </c>
      <c r="G62" s="128" t="s">
        <v>219</v>
      </c>
      <c r="H62" s="128"/>
      <c r="I62" s="129">
        <f>IF(SUMIFS(операции!$Z:$Z,операции!$X:$X,"&gt;="&amp;I$8,операции!$X:$X,"&lt;="&amp;I$9,операции!$O:$O,$F62)=0,I68,(SUMIFS(операции!$AG:$AG,операции!$X:$X,"&gt;="&amp;I$8,операции!$X:$X,"&lt;="&amp;I$9,операции!$O:$O,$F62)+I$9*SUMIFS(операции!$V:$V,операции!$T:$T,"&lt;="&amp;I$9,операции!$X:$X,"",операции!$O:$O,$F62))/(SUMIFS(операции!$Z:$Z,операции!$X:$X,"&gt;="&amp;I$8,операции!$X:$X,"&lt;="&amp;I$9,операции!$O:$O,$F62)+SUMIFS(операции!$V:$V,операции!$T:$T,"&lt;="&amp;I$9,операции!$X:$X,"",операции!$O:$O,$F62))-(SUMIFS(операции!$AF:$AF,операции!$X:$X,"&gt;="&amp;I$8,операции!$X:$X,"&lt;="&amp;I$9,операции!$O:$O,$F62)+SUMIFS(операции!$AF:$AF,операции!$T:$T,"&lt;="&amp;I$9,операции!$X:$X,"",операции!$O:$O,$F62))/(SUMIFS(операции!$V:$V,операции!$X:$X,"&gt;="&amp;I$8,операции!$X:$X,"&lt;="&amp;I$9,операции!$O:$O,$F62)+SUMIFS(операции!$V:$V,операции!$T:$T,"&lt;="&amp;I$9,операции!$X:$X,"",операции!$O:$O,$F62)))</f>
        <v>12.871996363523067</v>
      </c>
      <c r="J62" s="163"/>
      <c r="K62" s="130">
        <f>IF(SUMIFS(операции!$Z:$Z,операции!$X:$X,"&gt;="&amp;$I$8,операции!$X:$X,"&lt;="&amp;$I$9,операции!$L:$L,K$9,операции!$O:$O,$F62)=0,K68,(SUMIFS(операции!$AG:$AG,операции!$X:$X,"&gt;="&amp;$I$8,операции!$X:$X,"&lt;="&amp;$I$9,операции!$L:$L,K$9,операции!$O:$O,$F62)+$I$9*SUMIFS(операции!$V:$V,операции!$T:$T,"&lt;="&amp;$I$9,операции!$X:$X,"",операции!$L:$L,K$9,операции!$O:$O,$F62))/(SUMIFS(операции!$Z:$Z,операции!$X:$X,"&gt;="&amp;$I$8,операции!$X:$X,"&lt;="&amp;$I$9,операции!$L:$L,K$9,операции!$O:$O,$F62)+SUMIFS(операции!$V:$V,операции!$T:$T,"&lt;="&amp;$I$9,операции!$X:$X,"",операции!$L:$L,K$9,операции!$O:$O,$F62))-(SUMIFS(операции!$AF:$AF,операции!$X:$X,"&gt;="&amp;$I$8,операции!$X:$X,"&lt;="&amp;$I$9,операции!$L:$L,K$9,операции!$O:$O,$F62)+SUMIFS(операции!$AF:$AF,операции!$T:$T,"&lt;="&amp;$I$9,операции!$X:$X,"",операции!$L:$L,K$9,операции!$O:$O,$F62))/(SUMIFS(операции!$V:$V,операции!$X:$X,"&gt;="&amp;$I$8,операции!$X:$X,"&lt;="&amp;$I$9,операции!$L:$L,K$9,операции!$O:$O,$F62)+SUMIFS(операции!$V:$V,операции!$T:$T,"&lt;="&amp;$I$9,операции!$X:$X,"",операции!$L:$L,K$9,операции!$O:$O,$F62)))</f>
        <v>97.527354044097592</v>
      </c>
      <c r="L62" s="130">
        <f>IF(SUMIFS(операции!$Z:$Z,операции!$X:$X,"&gt;="&amp;$I$8,операции!$X:$X,"&lt;="&amp;$I$9,операции!$L:$L,L$9,операции!$O:$O,$F62)=0,L68,(SUMIFS(операции!$AG:$AG,операции!$X:$X,"&gt;="&amp;$I$8,операции!$X:$X,"&lt;="&amp;$I$9,операции!$L:$L,L$9,операции!$O:$O,$F62)+$I$9*SUMIFS(операции!$V:$V,операции!$T:$T,"&lt;="&amp;$I$9,операции!$X:$X,"",операции!$L:$L,L$9,операции!$O:$O,$F62))/(SUMIFS(операции!$Z:$Z,операции!$X:$X,"&gt;="&amp;$I$8,операции!$X:$X,"&lt;="&amp;$I$9,операции!$L:$L,L$9,операции!$O:$O,$F62)+SUMIFS(операции!$V:$V,операции!$T:$T,"&lt;="&amp;$I$9,операции!$X:$X,"",операции!$L:$L,L$9,операции!$O:$O,$F62))-(SUMIFS(операции!$AF:$AF,операции!$X:$X,"&gt;="&amp;$I$8,операции!$X:$X,"&lt;="&amp;$I$9,операции!$L:$L,L$9,операции!$O:$O,$F62)+SUMIFS(операции!$AF:$AF,операции!$T:$T,"&lt;="&amp;$I$9,операции!$X:$X,"",операции!$L:$L,L$9,операции!$O:$O,$F62))/(SUMIFS(операции!$V:$V,операции!$X:$X,"&gt;="&amp;$I$8,операции!$X:$X,"&lt;="&amp;$I$9,операции!$L:$L,L$9,операции!$O:$O,$F62)+SUMIFS(операции!$V:$V,операции!$T:$T,"&lt;="&amp;$I$9,операции!$X:$X,"",операции!$L:$L,L$9,операции!$O:$O,$F62)))</f>
        <v>4.0229441966948798</v>
      </c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</row>
    <row r="63" spans="1:27" s="50" customFormat="1" ht="11.25">
      <c r="A63" s="48"/>
      <c r="B63" s="48"/>
      <c r="C63" s="48"/>
      <c r="D63" s="154"/>
      <c r="E63" s="154" t="s">
        <v>220</v>
      </c>
      <c r="F63" s="154" t="str">
        <f>F62</f>
        <v>ИнтКид</v>
      </c>
      <c r="G63" s="154" t="s">
        <v>219</v>
      </c>
      <c r="H63" s="154"/>
      <c r="I63" s="155">
        <f>IF(SUMIFS(операции!$Z:$Z,операции!$X:$X,"&gt;="&amp;I$8,операции!$X:$X,"&lt;="&amp;I$9,операции!$O:$O,$F63)=0,0,SUMIFS(операции!$AG:$AG,операции!$X:$X,"&gt;="&amp;I$8,операции!$X:$X,"&lt;="&amp;I$9,операции!$O:$O,$F63)/SUMIFS(операции!$Z:$Z,операции!$X:$X,"&gt;="&amp;I$8,операции!$X:$X,"&lt;="&amp;I$9,операции!$O:$O,$F63)-SUMIFS(операции!$AF:$AF,операции!$X:$X,"&gt;="&amp;I$8,операции!$X:$X,"&lt;="&amp;I$9,операции!$O:$O,$F63)/SUMIFS(операции!$V:$V,операции!$X:$X,"&gt;="&amp;I$8,операции!$X:$X,"&lt;="&amp;I$9,операции!$O:$O,$F63))</f>
        <v>14.302015086301253</v>
      </c>
      <c r="J63" s="171"/>
      <c r="K63" s="156">
        <f>IF(SUMIFS(операции!$Z:$Z,операции!$X:$X,"&gt;="&amp;$I$8,операции!$X:$X,"&lt;="&amp;$I$9,операции!$L:$L,K$9,операции!$O:$O,$F63)=0,0,SUMIFS(операции!$AG:$AG,операции!$X:$X,"&gt;="&amp;$I$8,операции!$X:$X,"&lt;="&amp;$I$9,операции!$L:$L,K$9,операции!$O:$O,$F63)/SUMIFS(операции!$Z:$Z,операции!$X:$X,"&gt;="&amp;$I$8,операции!$X:$X,"&lt;="&amp;$I$9,операции!$L:$L,K$9,операции!$O:$O,$F63)-SUMIFS(операции!$AF:$AF,операции!$X:$X,"&gt;="&amp;$I$8,операции!$X:$X,"&lt;="&amp;$I$9,операции!$L:$L,K$9,операции!$O:$O,$F63)/SUMIFS(операции!$V:$V,операции!$X:$X,"&gt;="&amp;$I$8,операции!$X:$X,"&lt;="&amp;$I$9,операции!$L:$L,K$9,операции!$O:$O,$F63))</f>
        <v>91.690732091999962</v>
      </c>
      <c r="L63" s="156">
        <f>IF(SUMIFS(операции!$Z:$Z,операции!$X:$X,"&gt;="&amp;$I$8,операции!$X:$X,"&lt;="&amp;$I$9,операции!$L:$L,L$9,операции!$O:$O,$F63)=0,0,SUMIFS(операции!$AG:$AG,операции!$X:$X,"&gt;="&amp;$I$8,операции!$X:$X,"&lt;="&amp;$I$9,операции!$L:$L,L$9,операции!$O:$O,$F63)/SUMIFS(операции!$Z:$Z,операции!$X:$X,"&gt;="&amp;$I$8,операции!$X:$X,"&lt;="&amp;$I$9,операции!$L:$L,L$9,операции!$O:$O,$F63)-SUMIFS(операции!$AF:$AF,операции!$X:$X,"&gt;="&amp;$I$8,операции!$X:$X,"&lt;="&amp;$I$9,операции!$L:$L,L$9,операции!$O:$O,$F63)/SUMIFS(операции!$V:$V,операции!$X:$X,"&gt;="&amp;$I$8,операции!$X:$X,"&lt;="&amp;$I$9,операции!$L:$L,L$9,операции!$O:$O,$F63))</f>
        <v>5.5404684246750548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s="50" customFormat="1" ht="11.25">
      <c r="A64" s="48"/>
      <c r="B64" s="48"/>
      <c r="C64" s="48"/>
      <c r="D64" s="160"/>
      <c r="E64" s="160" t="s">
        <v>239</v>
      </c>
      <c r="F64" s="160" t="str">
        <f>F63</f>
        <v>ИнтКид</v>
      </c>
      <c r="G64" s="160" t="s">
        <v>219</v>
      </c>
      <c r="H64" s="160"/>
      <c r="I64" s="161">
        <f>IF(SUMIFS(операции!$V:$V,операции!$T:$T,"&lt;="&amp;$I$9,операции!$X:$X,"",операции!$O:$O,$F64)=0,0,$I$9-SUMIFS(операции!$AF:$AF,операции!$T:$T,"&lt;="&amp;$I$9,операции!$X:$X,"",операции!$O:$O,$F64)/SUMIFS(операции!$V:$V,операции!$T:$T,"&lt;="&amp;$I$9,операции!$X:$X,"",операции!$O:$O,$F64))</f>
        <v>11.921089896044577</v>
      </c>
      <c r="J64" s="172"/>
      <c r="K64" s="162">
        <f>IF(SUMIFS(операции!$V:$V,операции!$T:$T,"&lt;="&amp;$I$9,операции!$X:$X,"",операции!$L:$L,K$9,операции!$O:$O,$F64)=0,0,$I$9-SUMIFS(операции!$AF:$AF,операции!$T:$T,"&lt;="&amp;$I$9,операции!$X:$X,"",операции!$L:$L,K$9,операции!$O:$O,$F64)/SUMIFS(операции!$V:$V,операции!$T:$T,"&lt;="&amp;$I$9,операции!$X:$X,"",операции!$L:$L,K$9,операции!$O:$O,$F64))</f>
        <v>146.5212674924187</v>
      </c>
      <c r="L64" s="162">
        <f>IF(SUMIFS(операции!$V:$V,операции!$T:$T,"&lt;="&amp;$I$9,операции!$X:$X,"",операции!$L:$L,L$9,операции!$O:$O,$F64)=0,0,$I$9-SUMIFS(операции!$AF:$AF,операции!$T:$T,"&lt;="&amp;$I$9,операции!$X:$X,"",операции!$L:$L,L$9,операции!$O:$O,$F64)/SUMIFS(операции!$V:$V,операции!$T:$T,"&lt;="&amp;$I$9,операции!$X:$X,"",операции!$L:$L,L$9,операции!$O:$O,$F64))</f>
        <v>1.6631825450240285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s="126" customFormat="1" ht="12">
      <c r="A65" s="125"/>
      <c r="B65" s="125"/>
      <c r="C65" s="125"/>
      <c r="D65" s="128" t="s">
        <v>237</v>
      </c>
      <c r="E65" s="128"/>
      <c r="F65" s="127" t="str">
        <f>микс!H32</f>
        <v>КидсТрейд</v>
      </c>
      <c r="G65" s="128" t="s">
        <v>219</v>
      </c>
      <c r="H65" s="128"/>
      <c r="I65" s="129">
        <f>IF(SUMIFS(операции!$Z:$Z,операции!$X:$X,"&gt;="&amp;I$8,операции!$X:$X,"&lt;="&amp;I$9,операции!$O:$O,$F65)=0,I71,(SUMIFS(операции!$AG:$AG,операции!$X:$X,"&gt;="&amp;I$8,операции!$X:$X,"&lt;="&amp;I$9,операции!$O:$O,$F65)+I$9*SUMIFS(операции!$V:$V,операции!$T:$T,"&lt;="&amp;I$9,операции!$X:$X,"",операции!$O:$O,$F65))/(SUMIFS(операции!$Z:$Z,операции!$X:$X,"&gt;="&amp;I$8,операции!$X:$X,"&lt;="&amp;I$9,операции!$O:$O,$F65)+SUMIFS(операции!$V:$V,операции!$T:$T,"&lt;="&amp;I$9,операции!$X:$X,"",операции!$O:$O,$F65))-(SUMIFS(операции!$AF:$AF,операции!$X:$X,"&gt;="&amp;I$8,операции!$X:$X,"&lt;="&amp;I$9,операции!$O:$O,$F65)+SUMIFS(операции!$AF:$AF,операции!$T:$T,"&lt;="&amp;I$9,операции!$X:$X,"",операции!$O:$O,$F65))/(SUMIFS(операции!$V:$V,операции!$X:$X,"&gt;="&amp;I$8,операции!$X:$X,"&lt;="&amp;I$9,операции!$O:$O,$F65)+SUMIFS(операции!$V:$V,операции!$T:$T,"&lt;="&amp;I$9,операции!$X:$X,"",операции!$O:$O,$F65)))</f>
        <v>65.025556949462043</v>
      </c>
      <c r="J65" s="163"/>
      <c r="K65" s="130">
        <f>IF(SUMIFS(операции!$Z:$Z,операции!$X:$X,"&gt;="&amp;$I$8,операции!$X:$X,"&lt;="&amp;$I$9,операции!$L:$L,K$9,операции!$O:$O,$F65)=0,K71,(SUMIFS(операции!$AG:$AG,операции!$X:$X,"&gt;="&amp;$I$8,операции!$X:$X,"&lt;="&amp;$I$9,операции!$L:$L,K$9,операции!$O:$O,$F65)+$I$9*SUMIFS(операции!$V:$V,операции!$T:$T,"&lt;="&amp;$I$9,операции!$X:$X,"",операции!$L:$L,K$9,операции!$O:$O,$F65))/(SUMIFS(операции!$Z:$Z,операции!$X:$X,"&gt;="&amp;$I$8,операции!$X:$X,"&lt;="&amp;$I$9,операции!$L:$L,K$9,операции!$O:$O,$F65)+SUMIFS(операции!$V:$V,операции!$T:$T,"&lt;="&amp;$I$9,операции!$X:$X,"",операции!$L:$L,K$9,операции!$O:$O,$F65))-(SUMIFS(операции!$AF:$AF,операции!$X:$X,"&gt;="&amp;$I$8,операции!$X:$X,"&lt;="&amp;$I$9,операции!$L:$L,K$9,операции!$O:$O,$F65)+SUMIFS(операции!$AF:$AF,операции!$T:$T,"&lt;="&amp;$I$9,операции!$X:$X,"",операции!$L:$L,K$9,операции!$O:$O,$F65))/(SUMIFS(операции!$V:$V,операции!$X:$X,"&gt;="&amp;$I$8,операции!$X:$X,"&lt;="&amp;$I$9,операции!$L:$L,K$9,операции!$O:$O,$F65)+SUMIFS(операции!$V:$V,операции!$T:$T,"&lt;="&amp;$I$9,операции!$X:$X,"",операции!$L:$L,K$9,операции!$O:$O,$F65)))</f>
        <v>153.85980857852701</v>
      </c>
      <c r="L65" s="130">
        <f>IF(SUMIFS(операции!$Z:$Z,операции!$X:$X,"&gt;="&amp;$I$8,операции!$X:$X,"&lt;="&amp;$I$9,операции!$L:$L,L$9,операции!$O:$O,$F65)=0,L71,(SUMIFS(операции!$AG:$AG,операции!$X:$X,"&gt;="&amp;$I$8,операции!$X:$X,"&lt;="&amp;$I$9,операции!$L:$L,L$9,операции!$O:$O,$F65)+$I$9*SUMIFS(операции!$V:$V,операции!$T:$T,"&lt;="&amp;$I$9,операции!$X:$X,"",операции!$L:$L,L$9,операции!$O:$O,$F65))/(SUMIFS(операции!$Z:$Z,операции!$X:$X,"&gt;="&amp;$I$8,операции!$X:$X,"&lt;="&amp;$I$9,операции!$L:$L,L$9,операции!$O:$O,$F65)+SUMIFS(операции!$V:$V,операции!$T:$T,"&lt;="&amp;$I$9,операции!$X:$X,"",операции!$L:$L,L$9,операции!$O:$O,$F65))-(SUMIFS(операции!$AF:$AF,операции!$X:$X,"&gt;="&amp;$I$8,операции!$X:$X,"&lt;="&amp;$I$9,операции!$L:$L,L$9,операции!$O:$O,$F65)+SUMIFS(операции!$AF:$AF,операции!$T:$T,"&lt;="&amp;$I$9,операции!$X:$X,"",операции!$L:$L,L$9,операции!$O:$O,$F65))/(SUMIFS(операции!$V:$V,операции!$X:$X,"&gt;="&amp;$I$8,операции!$X:$X,"&lt;="&amp;$I$9,операции!$L:$L,L$9,операции!$O:$O,$F65)+SUMIFS(операции!$V:$V,операции!$T:$T,"&lt;="&amp;$I$9,операции!$X:$X,"",операции!$L:$L,L$9,операции!$O:$O,$F65)))</f>
        <v>9.9323815630923491</v>
      </c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</row>
    <row r="66" spans="1:27" s="50" customFormat="1" ht="11.25">
      <c r="A66" s="48"/>
      <c r="B66" s="48"/>
      <c r="C66" s="48"/>
      <c r="D66" s="154"/>
      <c r="E66" s="154" t="s">
        <v>220</v>
      </c>
      <c r="F66" s="154" t="str">
        <f>F65</f>
        <v>КидсТрейд</v>
      </c>
      <c r="G66" s="154" t="s">
        <v>219</v>
      </c>
      <c r="H66" s="154"/>
      <c r="I66" s="155">
        <f>IF(SUMIFS(операции!$Z:$Z,операции!$X:$X,"&gt;="&amp;I$8,операции!$X:$X,"&lt;="&amp;I$9,операции!$O:$O,$F66)=0,0,SUMIFS(операции!$AG:$AG,операции!$X:$X,"&gt;="&amp;I$8,операции!$X:$X,"&lt;="&amp;I$9,операции!$O:$O,$F66)/SUMIFS(операции!$Z:$Z,операции!$X:$X,"&gt;="&amp;I$8,операции!$X:$X,"&lt;="&amp;I$9,операции!$O:$O,$F66)-SUMIFS(операции!$AF:$AF,операции!$X:$X,"&gt;="&amp;I$8,операции!$X:$X,"&lt;="&amp;I$9,операции!$O:$O,$F66)/SUMIFS(операции!$V:$V,операции!$X:$X,"&gt;="&amp;I$8,операции!$X:$X,"&lt;="&amp;I$9,операции!$O:$O,$F66))</f>
        <v>45.34755277352815</v>
      </c>
      <c r="J66" s="171"/>
      <c r="K66" s="156">
        <f>IF(SUMIFS(операции!$Z:$Z,операции!$X:$X,"&gt;="&amp;$I$8,операции!$X:$X,"&lt;="&amp;$I$9,операции!$L:$L,K$9,операции!$O:$O,$F66)=0,0,SUMIFS(операции!$AG:$AG,операции!$X:$X,"&gt;="&amp;$I$8,операции!$X:$X,"&lt;="&amp;$I$9,операции!$L:$L,K$9,операции!$O:$O,$F66)/SUMIFS(операции!$Z:$Z,операции!$X:$X,"&gt;="&amp;$I$8,операции!$X:$X,"&lt;="&amp;$I$9,операции!$L:$L,K$9,операции!$O:$O,$F66)-SUMIFS(операции!$AF:$AF,операции!$X:$X,"&gt;="&amp;$I$8,операции!$X:$X,"&lt;="&amp;$I$9,операции!$L:$L,K$9,операции!$O:$O,$F66)/SUMIFS(операции!$V:$V,операции!$X:$X,"&gt;="&amp;$I$8,операции!$X:$X,"&lt;="&amp;$I$9,операции!$L:$L,K$9,операции!$O:$O,$F66))</f>
        <v>129.03838621516479</v>
      </c>
      <c r="L66" s="156">
        <f>IF(SUMIFS(операции!$Z:$Z,операции!$X:$X,"&gt;="&amp;$I$8,операции!$X:$X,"&lt;="&amp;$I$9,операции!$L:$L,L$9,операции!$O:$O,$F66)=0,0,SUMIFS(операции!$AG:$AG,операции!$X:$X,"&gt;="&amp;$I$8,операции!$X:$X,"&lt;="&amp;$I$9,операции!$L:$L,L$9,операции!$O:$O,$F66)/SUMIFS(операции!$Z:$Z,операции!$X:$X,"&gt;="&amp;$I$8,операции!$X:$X,"&lt;="&amp;$I$9,операции!$L:$L,L$9,операции!$O:$O,$F66)-SUMIFS(операции!$AF:$AF,операции!$X:$X,"&gt;="&amp;$I$8,операции!$X:$X,"&lt;="&amp;$I$9,операции!$L:$L,L$9,операции!$O:$O,$F66)/SUMIFS(операции!$V:$V,операции!$X:$X,"&gt;="&amp;$I$8,операции!$X:$X,"&lt;="&amp;$I$9,операции!$L:$L,L$9,операции!$O:$O,$F66))</f>
        <v>10.248350901158119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s="50" customFormat="1" ht="11.25">
      <c r="A67" s="48"/>
      <c r="B67" s="48"/>
      <c r="C67" s="48"/>
      <c r="D67" s="160"/>
      <c r="E67" s="160" t="s">
        <v>239</v>
      </c>
      <c r="F67" s="160" t="str">
        <f>F66</f>
        <v>КидсТрейд</v>
      </c>
      <c r="G67" s="160" t="s">
        <v>219</v>
      </c>
      <c r="H67" s="160"/>
      <c r="I67" s="161">
        <f>IF(SUMIFS(операции!$V:$V,операции!$T:$T,"&lt;="&amp;$I$9,операции!$X:$X,"",операции!$O:$O,$F67)=0,0,$I$9-SUMIFS(операции!$AF:$AF,операции!$T:$T,"&lt;="&amp;$I$9,операции!$X:$X,"",операции!$O:$O,$F67)/SUMIFS(операции!$V:$V,операции!$T:$T,"&lt;="&amp;$I$9,операции!$X:$X,"",операции!$O:$O,$F67))</f>
        <v>145.94165731799148</v>
      </c>
      <c r="J67" s="172"/>
      <c r="K67" s="162">
        <f>IF(SUMIFS(операции!$V:$V,операции!$T:$T,"&lt;="&amp;$I$9,операции!$X:$X,"",операции!$L:$L,K$9,операции!$O:$O,$F67)=0,0,$I$9-SUMIFS(операции!$AF:$AF,операции!$T:$T,"&lt;="&amp;$I$9,операции!$X:$X,"",операции!$L:$L,K$9,операции!$O:$O,$F67)/SUMIFS(операции!$V:$V,операции!$T:$T,"&lt;="&amp;$I$9,операции!$X:$X,"",операции!$L:$L,K$9,операции!$O:$O,$F67))</f>
        <v>197.08025707894558</v>
      </c>
      <c r="L67" s="162">
        <f>IF(SUMIFS(операции!$V:$V,операции!$T:$T,"&lt;="&amp;$I$9,операции!$X:$X,"",операции!$L:$L,L$9,операции!$O:$O,$F67)=0,0,$I$9-SUMIFS(операции!$AF:$AF,операции!$T:$T,"&lt;="&amp;$I$9,операции!$X:$X,"",операции!$L:$L,L$9,операции!$O:$O,$F67)/SUMIFS(операции!$V:$V,операции!$T:$T,"&lt;="&amp;$I$9,операции!$X:$X,"",операции!$L:$L,L$9,операции!$O:$O,$F67))</f>
        <v>12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s="126" customFormat="1" ht="12">
      <c r="A68" s="125"/>
      <c r="B68" s="125"/>
      <c r="C68" s="125"/>
      <c r="D68" s="128" t="s">
        <v>237</v>
      </c>
      <c r="E68" s="128"/>
      <c r="F68" s="127" t="str">
        <f>микс!H33</f>
        <v>КлиматКо</v>
      </c>
      <c r="G68" s="128" t="s">
        <v>219</v>
      </c>
      <c r="H68" s="128"/>
      <c r="I68" s="129">
        <f>IF(SUMIFS(операции!$Z:$Z,операции!$X:$X,"&gt;="&amp;I$8,операции!$X:$X,"&lt;="&amp;I$9,операции!$O:$O,$F68)=0,I74,(SUMIFS(операции!$AG:$AG,операции!$X:$X,"&gt;="&amp;I$8,операции!$X:$X,"&lt;="&amp;I$9,операции!$O:$O,$F68)+I$9*SUMIFS(операции!$V:$V,операции!$T:$T,"&lt;="&amp;I$9,операции!$X:$X,"",операции!$O:$O,$F68))/(SUMIFS(операции!$Z:$Z,операции!$X:$X,"&gt;="&amp;I$8,операции!$X:$X,"&lt;="&amp;I$9,операции!$O:$O,$F68)+SUMIFS(операции!$V:$V,операции!$T:$T,"&lt;="&amp;I$9,операции!$X:$X,"",операции!$O:$O,$F68))-(SUMIFS(операции!$AF:$AF,операции!$X:$X,"&gt;="&amp;I$8,операции!$X:$X,"&lt;="&amp;I$9,операции!$O:$O,$F68)+SUMIFS(операции!$AF:$AF,операции!$T:$T,"&lt;="&amp;I$9,операции!$X:$X,"",операции!$O:$O,$F68))/(SUMIFS(операции!$V:$V,операции!$X:$X,"&gt;="&amp;I$8,операции!$X:$X,"&lt;="&amp;I$9,операции!$O:$O,$F68)+SUMIFS(операции!$V:$V,операции!$T:$T,"&lt;="&amp;I$9,операции!$X:$X,"",операции!$O:$O,$F68)))</f>
        <v>43.508917116450903</v>
      </c>
      <c r="J68" s="163"/>
      <c r="K68" s="130">
        <f>IF(SUMIFS(операции!$Z:$Z,операции!$X:$X,"&gt;="&amp;$I$8,операции!$X:$X,"&lt;="&amp;$I$9,операции!$L:$L,K$9,операции!$O:$O,$F68)=0,K74,(SUMIFS(операции!$AG:$AG,операции!$X:$X,"&gt;="&amp;$I$8,операции!$X:$X,"&lt;="&amp;$I$9,операции!$L:$L,K$9,операции!$O:$O,$F68)+$I$9*SUMIFS(операции!$V:$V,операции!$T:$T,"&lt;="&amp;$I$9,операции!$X:$X,"",операции!$L:$L,K$9,операции!$O:$O,$F68))/(SUMIFS(операции!$Z:$Z,операции!$X:$X,"&gt;="&amp;$I$8,операции!$X:$X,"&lt;="&amp;$I$9,операции!$L:$L,K$9,операции!$O:$O,$F68)+SUMIFS(операции!$V:$V,операции!$T:$T,"&lt;="&amp;$I$9,операции!$X:$X,"",операции!$L:$L,K$9,операции!$O:$O,$F68))-(SUMIFS(операции!$AF:$AF,операции!$X:$X,"&gt;="&amp;$I$8,операции!$X:$X,"&lt;="&amp;$I$9,операции!$L:$L,K$9,операции!$O:$O,$F68)+SUMIFS(операции!$AF:$AF,операции!$T:$T,"&lt;="&amp;$I$9,операции!$X:$X,"",операции!$L:$L,K$9,операции!$O:$O,$F68))/(SUMIFS(операции!$V:$V,операции!$X:$X,"&gt;="&amp;$I$8,операции!$X:$X,"&lt;="&amp;$I$9,операции!$L:$L,K$9,операции!$O:$O,$F68)+SUMIFS(операции!$V:$V,операции!$T:$T,"&lt;="&amp;$I$9,операции!$X:$X,"",операции!$L:$L,K$9,операции!$O:$O,$F68)))</f>
        <v>87.650315131795651</v>
      </c>
      <c r="L68" s="130">
        <f>IF(SUMIFS(операции!$Z:$Z,операции!$X:$X,"&gt;="&amp;$I$8,операции!$X:$X,"&lt;="&amp;$I$9,операции!$L:$L,L$9,операции!$O:$O,$F68)=0,L74,(SUMIFS(операции!$AG:$AG,операции!$X:$X,"&gt;="&amp;$I$8,операции!$X:$X,"&lt;="&amp;$I$9,операции!$L:$L,L$9,операции!$O:$O,$F68)+$I$9*SUMIFS(операции!$V:$V,операции!$T:$T,"&lt;="&amp;$I$9,операции!$X:$X,"",операции!$L:$L,L$9,операции!$O:$O,$F68))/(SUMIFS(операции!$Z:$Z,операции!$X:$X,"&gt;="&amp;$I$8,операции!$X:$X,"&lt;="&amp;$I$9,операции!$L:$L,L$9,операции!$O:$O,$F68)+SUMIFS(операции!$V:$V,операции!$T:$T,"&lt;="&amp;$I$9,операции!$X:$X,"",операции!$L:$L,L$9,операции!$O:$O,$F68))-(SUMIFS(операции!$AF:$AF,операции!$X:$X,"&gt;="&amp;$I$8,операции!$X:$X,"&lt;="&amp;$I$9,операции!$L:$L,L$9,операции!$O:$O,$F68)+SUMIFS(операции!$AF:$AF,операции!$T:$T,"&lt;="&amp;$I$9,операции!$X:$X,"",операции!$L:$L,L$9,операции!$O:$O,$F68))/(SUMIFS(операции!$V:$V,операции!$X:$X,"&gt;="&amp;$I$8,операции!$X:$X,"&lt;="&amp;$I$9,операции!$L:$L,L$9,операции!$O:$O,$F68)+SUMIFS(операции!$V:$V,операции!$T:$T,"&lt;="&amp;$I$9,операции!$X:$X,"",операции!$L:$L,L$9,операции!$O:$O,$F68)))</f>
        <v>4.1451165730759385</v>
      </c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</row>
    <row r="69" spans="1:27" s="50" customFormat="1" ht="11.25">
      <c r="A69" s="48"/>
      <c r="B69" s="48"/>
      <c r="C69" s="48"/>
      <c r="D69" s="154"/>
      <c r="E69" s="154" t="s">
        <v>220</v>
      </c>
      <c r="F69" s="154" t="str">
        <f>F68</f>
        <v>КлиматКо</v>
      </c>
      <c r="G69" s="154" t="s">
        <v>219</v>
      </c>
      <c r="H69" s="154"/>
      <c r="I69" s="155">
        <f>IF(SUMIFS(операции!$Z:$Z,операции!$X:$X,"&gt;="&amp;I$8,операции!$X:$X,"&lt;="&amp;I$9,операции!$O:$O,$F69)=0,0,SUMIFS(операции!$AG:$AG,операции!$X:$X,"&gt;="&amp;I$8,операции!$X:$X,"&lt;="&amp;I$9,операции!$O:$O,$F69)/SUMIFS(операции!$Z:$Z,операции!$X:$X,"&gt;="&amp;I$8,операции!$X:$X,"&lt;="&amp;I$9,операции!$O:$O,$F69)-SUMIFS(операции!$AF:$AF,операции!$X:$X,"&gt;="&amp;I$8,операции!$X:$X,"&lt;="&amp;I$9,операции!$O:$O,$F69)/SUMIFS(операции!$V:$V,операции!$X:$X,"&gt;="&amp;I$8,операции!$X:$X,"&lt;="&amp;I$9,операции!$O:$O,$F69))</f>
        <v>35.144859785883455</v>
      </c>
      <c r="J69" s="171"/>
      <c r="K69" s="156">
        <f>IF(SUMIFS(операции!$Z:$Z,операции!$X:$X,"&gt;="&amp;$I$8,операции!$X:$X,"&lt;="&amp;$I$9,операции!$L:$L,K$9,операции!$O:$O,$F69)=0,0,SUMIFS(операции!$AG:$AG,операции!$X:$X,"&gt;="&amp;$I$8,операции!$X:$X,"&lt;="&amp;$I$9,операции!$L:$L,K$9,операции!$O:$O,$F69)/SUMIFS(операции!$Z:$Z,операции!$X:$X,"&gt;="&amp;$I$8,операции!$X:$X,"&lt;="&amp;$I$9,операции!$L:$L,K$9,операции!$O:$O,$F69)-SUMIFS(операции!$AF:$AF,операции!$X:$X,"&gt;="&amp;$I$8,операции!$X:$X,"&lt;="&amp;$I$9,операции!$L:$L,K$9,операции!$O:$O,$F69)/SUMIFS(операции!$V:$V,операции!$X:$X,"&gt;="&amp;$I$8,операции!$X:$X,"&lt;="&amp;$I$9,операции!$L:$L,K$9,операции!$O:$O,$F69))</f>
        <v>74.705119963873585</v>
      </c>
      <c r="L69" s="156">
        <f>IF(SUMIFS(операции!$Z:$Z,операции!$X:$X,"&gt;="&amp;$I$8,операции!$X:$X,"&lt;="&amp;$I$9,операции!$L:$L,L$9,операции!$O:$O,$F69)=0,0,SUMIFS(операции!$AG:$AG,операции!$X:$X,"&gt;="&amp;$I$8,операции!$X:$X,"&lt;="&amp;$I$9,операции!$L:$L,L$9,операции!$O:$O,$F69)/SUMIFS(операции!$Z:$Z,операции!$X:$X,"&gt;="&amp;$I$8,операции!$X:$X,"&lt;="&amp;$I$9,операции!$L:$L,L$9,операции!$O:$O,$F69)-SUMIFS(операции!$AF:$AF,операции!$X:$X,"&gt;="&amp;$I$8,операции!$X:$X,"&lt;="&amp;$I$9,операции!$L:$L,L$9,операции!$O:$O,$F69)/SUMIFS(операции!$V:$V,операции!$X:$X,"&gt;="&amp;$I$8,операции!$X:$X,"&lt;="&amp;$I$9,операции!$L:$L,L$9,операции!$O:$O,$F69))</f>
        <v>4.0355677257903153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s="50" customFormat="1" ht="11.25">
      <c r="A70" s="48"/>
      <c r="B70" s="48"/>
      <c r="C70" s="48"/>
      <c r="D70" s="160"/>
      <c r="E70" s="160" t="s">
        <v>239</v>
      </c>
      <c r="F70" s="160" t="str">
        <f>F69</f>
        <v>КлиматКо</v>
      </c>
      <c r="G70" s="160" t="s">
        <v>219</v>
      </c>
      <c r="H70" s="160"/>
      <c r="I70" s="161">
        <f>IF(SUMIFS(операции!$V:$V,операции!$T:$T,"&lt;="&amp;$I$9,операции!$X:$X,"",операции!$O:$O,$F70)=0,0,$I$9-SUMIFS(операции!$AF:$AF,операции!$T:$T,"&lt;="&amp;$I$9,операции!$X:$X,"",операции!$O:$O,$F70)/SUMIFS(операции!$V:$V,операции!$T:$T,"&lt;="&amp;$I$9,операции!$X:$X,"",операции!$O:$O,$F70))</f>
        <v>64.908010222679877</v>
      </c>
      <c r="J70" s="172"/>
      <c r="K70" s="162">
        <f>IF(SUMIFS(операции!$V:$V,операции!$T:$T,"&lt;="&amp;$I$9,операции!$X:$X,"",операции!$L:$L,K$9,операции!$O:$O,$F70)=0,0,$I$9-SUMIFS(операции!$AF:$AF,операции!$T:$T,"&lt;="&amp;$I$9,операции!$X:$X,"",операции!$L:$L,K$9,операции!$O:$O,$F70)/SUMIFS(операции!$V:$V,операции!$T:$T,"&lt;="&amp;$I$9,операции!$X:$X,"",операции!$L:$L,K$9,операции!$O:$O,$F70))</f>
        <v>114.90037318272516</v>
      </c>
      <c r="L70" s="162">
        <f>IF(SUMIFS(операции!$V:$V,операции!$T:$T,"&lt;="&amp;$I$9,операции!$X:$X,"",операции!$L:$L,L$9,операции!$O:$O,$F70)=0,0,$I$9-SUMIFS(операции!$AF:$AF,операции!$T:$T,"&lt;="&amp;$I$9,операции!$X:$X,"",операции!$L:$L,L$9,операции!$O:$O,$F70)/SUMIFS(операции!$V:$V,операции!$T:$T,"&lt;="&amp;$I$9,операции!$X:$X,"",операции!$L:$L,L$9,операции!$O:$O,$F70))</f>
        <v>6.2435389899037546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s="126" customFormat="1" ht="12">
      <c r="A71" s="125"/>
      <c r="B71" s="125"/>
      <c r="C71" s="125"/>
      <c r="D71" s="128" t="s">
        <v>237</v>
      </c>
      <c r="E71" s="128"/>
      <c r="F71" s="127" t="str">
        <f>микс!H34</f>
        <v>Лайтс</v>
      </c>
      <c r="G71" s="128" t="s">
        <v>219</v>
      </c>
      <c r="H71" s="128"/>
      <c r="I71" s="129">
        <f>IF(SUMIFS(операции!$Z:$Z,операции!$X:$X,"&gt;="&amp;I$8,операции!$X:$X,"&lt;="&amp;I$9,операции!$O:$O,$F71)=0,I77,(SUMIFS(операции!$AG:$AG,операции!$X:$X,"&gt;="&amp;I$8,операции!$X:$X,"&lt;="&amp;I$9,операции!$O:$O,$F71)+I$9*SUMIFS(операции!$V:$V,операции!$T:$T,"&lt;="&amp;I$9,операции!$X:$X,"",операции!$O:$O,$F71))/(SUMIFS(операции!$Z:$Z,операции!$X:$X,"&gt;="&amp;I$8,операции!$X:$X,"&lt;="&amp;I$9,операции!$O:$O,$F71)+SUMIFS(операции!$V:$V,операции!$T:$T,"&lt;="&amp;I$9,операции!$X:$X,"",операции!$O:$O,$F71))-(SUMIFS(операции!$AF:$AF,операции!$X:$X,"&gt;="&amp;I$8,операции!$X:$X,"&lt;="&amp;I$9,операции!$O:$O,$F71)+SUMIFS(операции!$AF:$AF,операции!$T:$T,"&lt;="&amp;I$9,операции!$X:$X,"",операции!$O:$O,$F71))/(SUMIFS(операции!$V:$V,операции!$X:$X,"&gt;="&amp;I$8,операции!$X:$X,"&lt;="&amp;I$9,операции!$O:$O,$F71)+SUMIFS(операции!$V:$V,операции!$T:$T,"&lt;="&amp;I$9,операции!$X:$X,"",операции!$O:$O,$F71)))</f>
        <v>28.094299718461116</v>
      </c>
      <c r="J71" s="163"/>
      <c r="K71" s="130">
        <f>IF(SUMIFS(операции!$Z:$Z,операции!$X:$X,"&gt;="&amp;$I$8,операции!$X:$X,"&lt;="&amp;$I$9,операции!$L:$L,K$9,операции!$O:$O,$F71)=0,K77,(SUMIFS(операции!$AG:$AG,операции!$X:$X,"&gt;="&amp;$I$8,операции!$X:$X,"&lt;="&amp;$I$9,операции!$L:$L,K$9,операции!$O:$O,$F71)+$I$9*SUMIFS(операции!$V:$V,операции!$T:$T,"&lt;="&amp;$I$9,операции!$X:$X,"",операции!$L:$L,K$9,операции!$O:$O,$F71))/(SUMIFS(операции!$Z:$Z,операции!$X:$X,"&gt;="&amp;$I$8,операции!$X:$X,"&lt;="&amp;$I$9,операции!$L:$L,K$9,операции!$O:$O,$F71)+SUMIFS(операции!$V:$V,операции!$T:$T,"&lt;="&amp;$I$9,операции!$X:$X,"",операции!$L:$L,K$9,операции!$O:$O,$F71))-(SUMIFS(операции!$AF:$AF,операции!$X:$X,"&gt;="&amp;$I$8,операции!$X:$X,"&lt;="&amp;$I$9,операции!$L:$L,K$9,операции!$O:$O,$F71)+SUMIFS(операции!$AF:$AF,операции!$T:$T,"&lt;="&amp;$I$9,операции!$X:$X,"",операции!$L:$L,K$9,операции!$O:$O,$F71))/(SUMIFS(операции!$V:$V,операции!$X:$X,"&gt;="&amp;$I$8,операции!$X:$X,"&lt;="&amp;$I$9,операции!$L:$L,K$9,операции!$O:$O,$F71)+SUMIFS(операции!$V:$V,операции!$T:$T,"&lt;="&amp;$I$9,операции!$X:$X,"",операции!$L:$L,K$9,операции!$O:$O,$F71)))</f>
        <v>76.123368856831803</v>
      </c>
      <c r="L71" s="130">
        <f>IF(SUMIFS(операции!$Z:$Z,операции!$X:$X,"&gt;="&amp;$I$8,операции!$X:$X,"&lt;="&amp;$I$9,операции!$L:$L,L$9,операции!$O:$O,$F71)=0,L77,(SUMIFS(операции!$AG:$AG,операции!$X:$X,"&gt;="&amp;$I$8,операции!$X:$X,"&lt;="&amp;$I$9,операции!$L:$L,L$9,операции!$O:$O,$F71)+$I$9*SUMIFS(операции!$V:$V,операции!$T:$T,"&lt;="&amp;$I$9,операции!$X:$X,"",операции!$L:$L,L$9,операции!$O:$O,$F71))/(SUMIFS(операции!$Z:$Z,операции!$X:$X,"&gt;="&amp;$I$8,операции!$X:$X,"&lt;="&amp;$I$9,операции!$L:$L,L$9,операции!$O:$O,$F71)+SUMIFS(операции!$V:$V,операции!$T:$T,"&lt;="&amp;$I$9,операции!$X:$X,"",операции!$L:$L,L$9,операции!$O:$O,$F71))-(SUMIFS(операции!$AF:$AF,операции!$X:$X,"&gt;="&amp;$I$8,операции!$X:$X,"&lt;="&amp;$I$9,операции!$L:$L,L$9,операции!$O:$O,$F71)+SUMIFS(операции!$AF:$AF,операции!$T:$T,"&lt;="&amp;$I$9,операции!$X:$X,"",операции!$L:$L,L$9,операции!$O:$O,$F71))/(SUMIFS(операции!$V:$V,операции!$X:$X,"&gt;="&amp;$I$8,операции!$X:$X,"&lt;="&amp;$I$9,операции!$L:$L,L$9,операции!$O:$O,$F71)+SUMIFS(операции!$V:$V,операции!$T:$T,"&lt;="&amp;$I$9,операции!$X:$X,"",операции!$L:$L,L$9,операции!$O:$O,$F71)))</f>
        <v>6.8009866115025943</v>
      </c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</row>
    <row r="72" spans="1:27" s="50" customFormat="1" ht="11.25">
      <c r="A72" s="48"/>
      <c r="B72" s="48"/>
      <c r="C72" s="48"/>
      <c r="D72" s="154"/>
      <c r="E72" s="154" t="s">
        <v>220</v>
      </c>
      <c r="F72" s="154" t="str">
        <f>F71</f>
        <v>Лайтс</v>
      </c>
      <c r="G72" s="154" t="s">
        <v>219</v>
      </c>
      <c r="H72" s="154"/>
      <c r="I72" s="155">
        <f>IF(SUMIFS(операции!$Z:$Z,операции!$X:$X,"&gt;="&amp;I$8,операции!$X:$X,"&lt;="&amp;I$9,операции!$O:$O,$F72)=0,0,SUMIFS(операции!$AG:$AG,операции!$X:$X,"&gt;="&amp;I$8,операции!$X:$X,"&lt;="&amp;I$9,операции!$O:$O,$F72)/SUMIFS(операции!$Z:$Z,операции!$X:$X,"&gt;="&amp;I$8,операции!$X:$X,"&lt;="&amp;I$9,операции!$O:$O,$F72)-SUMIFS(операции!$AF:$AF,операции!$X:$X,"&gt;="&amp;I$8,операции!$X:$X,"&lt;="&amp;I$9,операции!$O:$O,$F72)/SUMIFS(операции!$V:$V,операции!$X:$X,"&gt;="&amp;I$8,операции!$X:$X,"&lt;="&amp;I$9,операции!$O:$O,$F72))</f>
        <v>21.945011961484852</v>
      </c>
      <c r="J72" s="171"/>
      <c r="K72" s="156">
        <f>IF(SUMIFS(операции!$Z:$Z,операции!$X:$X,"&gt;="&amp;$I$8,операции!$X:$X,"&lt;="&amp;$I$9,операции!$L:$L,K$9,операции!$O:$O,$F72)=0,0,SUMIFS(операции!$AG:$AG,операции!$X:$X,"&gt;="&amp;$I$8,операции!$X:$X,"&lt;="&amp;$I$9,операции!$L:$L,K$9,операции!$O:$O,$F72)/SUMIFS(операции!$Z:$Z,операции!$X:$X,"&gt;="&amp;$I$8,операции!$X:$X,"&lt;="&amp;$I$9,операции!$L:$L,K$9,операции!$O:$O,$F72)-SUMIFS(операции!$AF:$AF,операции!$X:$X,"&gt;="&amp;$I$8,операции!$X:$X,"&lt;="&amp;$I$9,операции!$L:$L,K$9,операции!$O:$O,$F72)/SUMIFS(операции!$V:$V,операции!$X:$X,"&gt;="&amp;$I$8,операции!$X:$X,"&lt;="&amp;$I$9,операции!$L:$L,K$9,операции!$O:$O,$F72))</f>
        <v>60.290474001616531</v>
      </c>
      <c r="L72" s="156">
        <f>IF(SUMIFS(операции!$Z:$Z,операции!$X:$X,"&gt;="&amp;$I$8,операции!$X:$X,"&lt;="&amp;$I$9,операции!$L:$L,L$9,операции!$O:$O,$F72)=0,0,SUMIFS(операции!$AG:$AG,операции!$X:$X,"&gt;="&amp;$I$8,операции!$X:$X,"&lt;="&amp;$I$9,операции!$L:$L,L$9,операции!$O:$O,$F72)/SUMIFS(операции!$Z:$Z,операции!$X:$X,"&gt;="&amp;$I$8,операции!$X:$X,"&lt;="&amp;$I$9,операции!$L:$L,L$9,операции!$O:$O,$F72)-SUMIFS(операции!$AF:$AF,операции!$X:$X,"&gt;="&amp;$I$8,операции!$X:$X,"&lt;="&amp;$I$9,операции!$L:$L,L$9,операции!$O:$O,$F72)/SUMIFS(операции!$V:$V,операции!$X:$X,"&gt;="&amp;$I$8,операции!$X:$X,"&lt;="&amp;$I$9,операции!$L:$L,L$9,операции!$O:$O,$F72))</f>
        <v>8.3376350330145215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s="50" customFormat="1" ht="11.25">
      <c r="A73" s="48"/>
      <c r="B73" s="48"/>
      <c r="C73" s="48"/>
      <c r="D73" s="160"/>
      <c r="E73" s="160" t="s">
        <v>239</v>
      </c>
      <c r="F73" s="160" t="str">
        <f>F72</f>
        <v>Лайтс</v>
      </c>
      <c r="G73" s="160" t="s">
        <v>219</v>
      </c>
      <c r="H73" s="160"/>
      <c r="I73" s="161">
        <f>IF(SUMIFS(операции!$V:$V,операции!$T:$T,"&lt;="&amp;$I$9,операции!$X:$X,"",операции!$O:$O,$F73)=0,0,$I$9-SUMIFS(операции!$AF:$AF,операции!$T:$T,"&lt;="&amp;$I$9,операции!$X:$X,"",операции!$O:$O,$F73)/SUMIFS(операции!$V:$V,операции!$T:$T,"&lt;="&amp;$I$9,операции!$X:$X,"",операции!$O:$O,$F73))</f>
        <v>52.09000282343186</v>
      </c>
      <c r="J73" s="172"/>
      <c r="K73" s="162">
        <f>IF(SUMIFS(операции!$V:$V,операции!$T:$T,"&lt;="&amp;$I$9,операции!$X:$X,"",операции!$L:$L,K$9,операции!$O:$O,$F73)=0,0,$I$9-SUMIFS(операции!$AF:$AF,операции!$T:$T,"&lt;="&amp;$I$9,операции!$X:$X,"",операции!$L:$L,K$9,операции!$O:$O,$F73)/SUMIFS(операции!$V:$V,операции!$T:$T,"&lt;="&amp;$I$9,операции!$X:$X,"",операции!$L:$L,K$9,операции!$O:$O,$F73))</f>
        <v>108.00029286204517</v>
      </c>
      <c r="L73" s="162">
        <f>IF(SUMIFS(операции!$V:$V,операции!$T:$T,"&lt;="&amp;$I$9,операции!$X:$X,"",операции!$L:$L,L$9,операции!$O:$O,$F73)=0,0,$I$9-SUMIFS(операции!$AF:$AF,операции!$T:$T,"&lt;="&amp;$I$9,операции!$X:$X,"",операции!$L:$L,L$9,операции!$O:$O,$F73)/SUMIFS(операции!$V:$V,операции!$T:$T,"&lt;="&amp;$I$9,операции!$X:$X,"",операции!$L:$L,L$9,операции!$O:$O,$F73))</f>
        <v>5.9688862645343761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s="126" customFormat="1" ht="12">
      <c r="A74" s="125"/>
      <c r="B74" s="125"/>
      <c r="C74" s="125"/>
      <c r="D74" s="128" t="s">
        <v>237</v>
      </c>
      <c r="E74" s="128"/>
      <c r="F74" s="127" t="str">
        <f>микс!H35</f>
        <v>Лекс</v>
      </c>
      <c r="G74" s="128" t="s">
        <v>219</v>
      </c>
      <c r="H74" s="128"/>
      <c r="I74" s="129">
        <f>IF(SUMIFS(операции!$Z:$Z,операции!$X:$X,"&gt;="&amp;I$8,операции!$X:$X,"&lt;="&amp;I$9,операции!$O:$O,$F74)=0,I80,(SUMIFS(операции!$AG:$AG,операции!$X:$X,"&gt;="&amp;I$8,операции!$X:$X,"&lt;="&amp;I$9,операции!$O:$O,$F74)+I$9*SUMIFS(операции!$V:$V,операции!$T:$T,"&lt;="&amp;I$9,операции!$X:$X,"",операции!$O:$O,$F74))/(SUMIFS(операции!$Z:$Z,операции!$X:$X,"&gt;="&amp;I$8,операции!$X:$X,"&lt;="&amp;I$9,операции!$O:$O,$F74)+SUMIFS(операции!$V:$V,операции!$T:$T,"&lt;="&amp;I$9,операции!$X:$X,"",операции!$O:$O,$F74))-(SUMIFS(операции!$AF:$AF,операции!$X:$X,"&gt;="&amp;I$8,операции!$X:$X,"&lt;="&amp;I$9,операции!$O:$O,$F74)+SUMIFS(операции!$AF:$AF,операции!$T:$T,"&lt;="&amp;I$9,операции!$X:$X,"",операции!$O:$O,$F74))/(SUMIFS(операции!$V:$V,операции!$X:$X,"&gt;="&amp;I$8,операции!$X:$X,"&lt;="&amp;I$9,операции!$O:$O,$F74)+SUMIFS(операции!$V:$V,операции!$T:$T,"&lt;="&amp;I$9,операции!$X:$X,"",операции!$O:$O,$F74)))</f>
        <v>85.10645118568209</v>
      </c>
      <c r="J74" s="163"/>
      <c r="K74" s="130">
        <f>IF(SUMIFS(операции!$Z:$Z,операции!$X:$X,"&gt;="&amp;$I$8,операции!$X:$X,"&lt;="&amp;$I$9,операции!$L:$L,K$9,операции!$O:$O,$F74)=0,K80,(SUMIFS(операции!$AG:$AG,операции!$X:$X,"&gt;="&amp;$I$8,операции!$X:$X,"&lt;="&amp;$I$9,операции!$L:$L,K$9,операции!$O:$O,$F74)+$I$9*SUMIFS(операции!$V:$V,операции!$T:$T,"&lt;="&amp;$I$9,операции!$X:$X,"",операции!$L:$L,K$9,операции!$O:$O,$F74))/(SUMIFS(операции!$Z:$Z,операции!$X:$X,"&gt;="&amp;$I$8,операции!$X:$X,"&lt;="&amp;$I$9,операции!$L:$L,K$9,операции!$O:$O,$F74)+SUMIFS(операции!$V:$V,операции!$T:$T,"&lt;="&amp;$I$9,операции!$X:$X,"",операции!$L:$L,K$9,операции!$O:$O,$F74))-(SUMIFS(операции!$AF:$AF,операции!$X:$X,"&gt;="&amp;$I$8,операции!$X:$X,"&lt;="&amp;$I$9,операции!$L:$L,K$9,операции!$O:$O,$F74)+SUMIFS(операции!$AF:$AF,операции!$T:$T,"&lt;="&amp;$I$9,операции!$X:$X,"",операции!$L:$L,K$9,операции!$O:$O,$F74))/(SUMIFS(операции!$V:$V,операции!$X:$X,"&gt;="&amp;$I$8,операции!$X:$X,"&lt;="&amp;$I$9,операции!$L:$L,K$9,операции!$O:$O,$F74)+SUMIFS(операции!$V:$V,операции!$T:$T,"&lt;="&amp;$I$9,операции!$X:$X,"",операции!$L:$L,K$9,операции!$O:$O,$F74)))</f>
        <v>98.274709939352761</v>
      </c>
      <c r="L74" s="130">
        <f>IF(SUMIFS(операции!$Z:$Z,операции!$X:$X,"&gt;="&amp;$I$8,операции!$X:$X,"&lt;="&amp;$I$9,операции!$L:$L,L$9,операции!$O:$O,$F74)=0,L80,(SUMIFS(операции!$AG:$AG,операции!$X:$X,"&gt;="&amp;$I$8,операции!$X:$X,"&lt;="&amp;$I$9,операции!$L:$L,L$9,операции!$O:$O,$F74)+$I$9*SUMIFS(операции!$V:$V,операции!$T:$T,"&lt;="&amp;$I$9,операции!$X:$X,"",операции!$L:$L,L$9,операции!$O:$O,$F74))/(SUMIFS(операции!$Z:$Z,операции!$X:$X,"&gt;="&amp;$I$8,операции!$X:$X,"&lt;="&amp;$I$9,операции!$L:$L,L$9,операции!$O:$O,$F74)+SUMIFS(операции!$V:$V,операции!$T:$T,"&lt;="&amp;$I$9,операции!$X:$X,"",операции!$L:$L,L$9,операции!$O:$O,$F74))-(SUMIFS(операции!$AF:$AF,операции!$X:$X,"&gt;="&amp;$I$8,операции!$X:$X,"&lt;="&amp;$I$9,операции!$L:$L,L$9,операции!$O:$O,$F74)+SUMIFS(операции!$AF:$AF,операции!$T:$T,"&lt;="&amp;$I$9,операции!$X:$X,"",операции!$L:$L,L$9,операции!$O:$O,$F74))/(SUMIFS(операции!$V:$V,операции!$X:$X,"&gt;="&amp;$I$8,операции!$X:$X,"&lt;="&amp;$I$9,операции!$L:$L,L$9,операции!$O:$O,$F74)+SUMIFS(операции!$V:$V,операции!$T:$T,"&lt;="&amp;$I$9,операции!$X:$X,"",операции!$L:$L,L$9,операции!$O:$O,$F74)))</f>
        <v>5.0118274599226424</v>
      </c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</row>
    <row r="75" spans="1:27" s="50" customFormat="1" ht="11.25">
      <c r="A75" s="48"/>
      <c r="B75" s="48"/>
      <c r="C75" s="48"/>
      <c r="D75" s="154"/>
      <c r="E75" s="154" t="s">
        <v>220</v>
      </c>
      <c r="F75" s="154" t="str">
        <f>F74</f>
        <v>Лекс</v>
      </c>
      <c r="G75" s="154" t="s">
        <v>219</v>
      </c>
      <c r="H75" s="154"/>
      <c r="I75" s="155">
        <f>IF(SUMIFS(операции!$Z:$Z,операции!$X:$X,"&gt;="&amp;I$8,операции!$X:$X,"&lt;="&amp;I$9,операции!$O:$O,$F75)=0,0,SUMIFS(операции!$AG:$AG,операции!$X:$X,"&gt;="&amp;I$8,операции!$X:$X,"&lt;="&amp;I$9,операции!$O:$O,$F75)/SUMIFS(операции!$Z:$Z,операции!$X:$X,"&gt;="&amp;I$8,операции!$X:$X,"&lt;="&amp;I$9,операции!$O:$O,$F75)-SUMIFS(операции!$AF:$AF,операции!$X:$X,"&gt;="&amp;I$8,операции!$X:$X,"&lt;="&amp;I$9,операции!$O:$O,$F75)/SUMIFS(операции!$V:$V,операции!$X:$X,"&gt;="&amp;I$8,операции!$X:$X,"&lt;="&amp;I$9,операции!$O:$O,$F75))</f>
        <v>69.736039998584602</v>
      </c>
      <c r="J75" s="171"/>
      <c r="K75" s="156">
        <f>IF(SUMIFS(операции!$Z:$Z,операции!$X:$X,"&gt;="&amp;$I$8,операции!$X:$X,"&lt;="&amp;$I$9,операции!$L:$L,K$9,операции!$O:$O,$F75)=0,0,SUMIFS(операции!$AG:$AG,операции!$X:$X,"&gt;="&amp;$I$8,операции!$X:$X,"&lt;="&amp;$I$9,операции!$L:$L,K$9,операции!$O:$O,$F75)/SUMIFS(операции!$Z:$Z,операции!$X:$X,"&gt;="&amp;$I$8,операции!$X:$X,"&lt;="&amp;$I$9,операции!$L:$L,K$9,операции!$O:$O,$F75)-SUMIFS(операции!$AF:$AF,операции!$X:$X,"&gt;="&amp;$I$8,операции!$X:$X,"&lt;="&amp;$I$9,операции!$L:$L,K$9,операции!$O:$O,$F75)/SUMIFS(операции!$V:$V,операции!$X:$X,"&gt;="&amp;$I$8,операции!$X:$X,"&lt;="&amp;$I$9,операции!$L:$L,K$9,операции!$O:$O,$F75))</f>
        <v>83.45478084016213</v>
      </c>
      <c r="L75" s="156">
        <f>IF(SUMIFS(операции!$Z:$Z,операции!$X:$X,"&gt;="&amp;$I$8,операции!$X:$X,"&lt;="&amp;$I$9,операции!$L:$L,L$9,операции!$O:$O,$F75)=0,0,SUMIFS(операции!$AG:$AG,операции!$X:$X,"&gt;="&amp;$I$8,операции!$X:$X,"&lt;="&amp;$I$9,операции!$L:$L,L$9,операции!$O:$O,$F75)/SUMIFS(операции!$Z:$Z,операции!$X:$X,"&gt;="&amp;$I$8,операции!$X:$X,"&lt;="&amp;$I$9,операции!$L:$L,L$9,операции!$O:$O,$F75)-SUMIFS(операции!$AF:$AF,операции!$X:$X,"&gt;="&amp;$I$8,операции!$X:$X,"&lt;="&amp;$I$9,операции!$L:$L,L$9,операции!$O:$O,$F75)/SUMIFS(операции!$V:$V,операции!$X:$X,"&gt;="&amp;$I$8,операции!$X:$X,"&lt;="&amp;$I$9,операции!$L:$L,L$9,операции!$O:$O,$F75))</f>
        <v>5.0118274599226424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27" s="50" customFormat="1" ht="11.25">
      <c r="A76" s="48"/>
      <c r="B76" s="48"/>
      <c r="C76" s="48"/>
      <c r="D76" s="160"/>
      <c r="E76" s="160" t="s">
        <v>239</v>
      </c>
      <c r="F76" s="160" t="str">
        <f>F75</f>
        <v>Лекс</v>
      </c>
      <c r="G76" s="160" t="s">
        <v>219</v>
      </c>
      <c r="H76" s="160"/>
      <c r="I76" s="161">
        <f>IF(SUMIFS(операции!$V:$V,операции!$T:$T,"&lt;="&amp;$I$9,операции!$X:$X,"",операции!$O:$O,$F76)=0,0,$I$9-SUMIFS(операции!$AF:$AF,операции!$T:$T,"&lt;="&amp;$I$9,операции!$X:$X,"",операции!$O:$O,$F76)/SUMIFS(операции!$V:$V,операции!$T:$T,"&lt;="&amp;$I$9,операции!$X:$X,"",операции!$O:$O,$F76))</f>
        <v>147.29995406753005</v>
      </c>
      <c r="J76" s="172"/>
      <c r="K76" s="162">
        <f>IF(SUMIFS(операции!$V:$V,операции!$T:$T,"&lt;="&amp;$I$9,операции!$X:$X,"",операции!$L:$L,K$9,операции!$O:$O,$F76)=0,0,$I$9-SUMIFS(операции!$AF:$AF,операции!$T:$T,"&lt;="&amp;$I$9,операции!$X:$X,"",операции!$L:$L,K$9,операции!$O:$O,$F76)/SUMIFS(операции!$V:$V,операции!$T:$T,"&lt;="&amp;$I$9,операции!$X:$X,"",операции!$L:$L,K$9,операции!$O:$O,$F76))</f>
        <v>147.29995406753005</v>
      </c>
      <c r="L76" s="162">
        <f>IF(SUMIFS(операции!$V:$V,операции!$T:$T,"&lt;="&amp;$I$9,операции!$X:$X,"",операции!$L:$L,L$9,операции!$O:$O,$F76)=0,0,$I$9-SUMIFS(операции!$AF:$AF,операции!$T:$T,"&lt;="&amp;$I$9,операции!$X:$X,"",операции!$L:$L,L$9,операции!$O:$O,$F76)/SUMIFS(операции!$V:$V,операции!$T:$T,"&lt;="&amp;$I$9,операции!$X:$X,"",операции!$L:$L,L$9,операции!$O:$O,$F76))</f>
        <v>0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27" s="126" customFormat="1" ht="12">
      <c r="A77" s="125"/>
      <c r="B77" s="125"/>
      <c r="C77" s="125"/>
      <c r="D77" s="128" t="s">
        <v>237</v>
      </c>
      <c r="E77" s="128"/>
      <c r="F77" s="127" t="str">
        <f>микс!H36</f>
        <v>ОдеждаКомп</v>
      </c>
      <c r="G77" s="128" t="s">
        <v>219</v>
      </c>
      <c r="H77" s="128"/>
      <c r="I77" s="129">
        <f>IF(SUMIFS(операции!$Z:$Z,операции!$X:$X,"&gt;="&amp;I$8,операции!$X:$X,"&lt;="&amp;I$9,операции!$O:$O,$F77)=0,I83,(SUMIFS(операции!$AG:$AG,операции!$X:$X,"&gt;="&amp;I$8,операции!$X:$X,"&lt;="&amp;I$9,операции!$O:$O,$F77)+I$9*SUMIFS(операции!$V:$V,операции!$T:$T,"&lt;="&amp;I$9,операции!$X:$X,"",операции!$O:$O,$F77))/(SUMIFS(операции!$Z:$Z,операции!$X:$X,"&gt;="&amp;I$8,операции!$X:$X,"&lt;="&amp;I$9,операции!$O:$O,$F77)+SUMIFS(операции!$V:$V,операции!$T:$T,"&lt;="&amp;I$9,операции!$X:$X,"",операции!$O:$O,$F77))-(SUMIFS(операции!$AF:$AF,операции!$X:$X,"&gt;="&amp;I$8,операции!$X:$X,"&lt;="&amp;I$9,операции!$O:$O,$F77)+SUMIFS(операции!$AF:$AF,операции!$T:$T,"&lt;="&amp;I$9,операции!$X:$X,"",операции!$O:$O,$F77))/(SUMIFS(операции!$V:$V,операции!$X:$X,"&gt;="&amp;I$8,операции!$X:$X,"&lt;="&amp;I$9,операции!$O:$O,$F77)+SUMIFS(операции!$V:$V,операции!$T:$T,"&lt;="&amp;I$9,операции!$X:$X,"",операции!$O:$O,$F77)))</f>
        <v>122.07769934203679</v>
      </c>
      <c r="J77" s="163"/>
      <c r="K77" s="130">
        <f>IF(SUMIFS(операции!$Z:$Z,операции!$X:$X,"&gt;="&amp;$I$8,операции!$X:$X,"&lt;="&amp;$I$9,операции!$L:$L,K$9,операции!$O:$O,$F77)=0,K83,(SUMIFS(операции!$AG:$AG,операции!$X:$X,"&gt;="&amp;$I$8,операции!$X:$X,"&lt;="&amp;$I$9,операции!$L:$L,K$9,операции!$O:$O,$F77)+$I$9*SUMIFS(операции!$V:$V,операции!$T:$T,"&lt;="&amp;$I$9,операции!$X:$X,"",операции!$L:$L,K$9,операции!$O:$O,$F77))/(SUMIFS(операции!$Z:$Z,операции!$X:$X,"&gt;="&amp;$I$8,операции!$X:$X,"&lt;="&amp;$I$9,операции!$L:$L,K$9,операции!$O:$O,$F77)+SUMIFS(операции!$V:$V,операции!$T:$T,"&lt;="&amp;$I$9,операции!$X:$X,"",операции!$L:$L,K$9,операции!$O:$O,$F77))-(SUMIFS(операции!$AF:$AF,операции!$X:$X,"&gt;="&amp;$I$8,операции!$X:$X,"&lt;="&amp;$I$9,операции!$L:$L,K$9,операции!$O:$O,$F77)+SUMIFS(операции!$AF:$AF,операции!$T:$T,"&lt;="&amp;$I$9,операции!$X:$X,"",операции!$L:$L,K$9,операции!$O:$O,$F77))/(SUMIFS(операции!$V:$V,операции!$X:$X,"&gt;="&amp;$I$8,операции!$X:$X,"&lt;="&amp;$I$9,операции!$L:$L,K$9,операции!$O:$O,$F77)+SUMIFS(операции!$V:$V,операции!$T:$T,"&lt;="&amp;$I$9,операции!$X:$X,"",операции!$L:$L,K$9,операции!$O:$O,$F77)))</f>
        <v>122.07769934203679</v>
      </c>
      <c r="L77" s="130">
        <f>IF(SUMIFS(операции!$Z:$Z,операции!$X:$X,"&gt;="&amp;$I$8,операции!$X:$X,"&lt;="&amp;$I$9,операции!$L:$L,L$9,операции!$O:$O,$F77)=0,L83,(SUMIFS(операции!$AG:$AG,операции!$X:$X,"&gt;="&amp;$I$8,операции!$X:$X,"&lt;="&amp;$I$9,операции!$L:$L,L$9,операции!$O:$O,$F77)+$I$9*SUMIFS(операции!$V:$V,операции!$T:$T,"&lt;="&amp;$I$9,операции!$X:$X,"",операции!$L:$L,L$9,операции!$O:$O,$F77))/(SUMIFS(операции!$Z:$Z,операции!$X:$X,"&gt;="&amp;$I$8,операции!$X:$X,"&lt;="&amp;$I$9,операции!$L:$L,L$9,операции!$O:$O,$F77)+SUMIFS(операции!$V:$V,операции!$T:$T,"&lt;="&amp;$I$9,операции!$X:$X,"",операции!$L:$L,L$9,операции!$O:$O,$F77))-(SUMIFS(операции!$AF:$AF,операции!$X:$X,"&gt;="&amp;$I$8,операции!$X:$X,"&lt;="&amp;$I$9,операции!$L:$L,L$9,операции!$O:$O,$F77)+SUMIFS(операции!$AF:$AF,операции!$T:$T,"&lt;="&amp;$I$9,операции!$X:$X,"",операции!$L:$L,L$9,операции!$O:$O,$F77))/(SUMIFS(операции!$V:$V,операции!$X:$X,"&gt;="&amp;$I$8,операции!$X:$X,"&lt;="&amp;$I$9,операции!$L:$L,L$9,операции!$O:$O,$F77)+SUMIFS(операции!$V:$V,операции!$T:$T,"&lt;="&amp;$I$9,операции!$X:$X,"",операции!$L:$L,L$9,операции!$O:$O,$F77)))</f>
        <v>5.2786230273413821</v>
      </c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</row>
    <row r="78" spans="1:27" s="50" customFormat="1" ht="11.25">
      <c r="A78" s="48"/>
      <c r="B78" s="48"/>
      <c r="C78" s="48"/>
      <c r="D78" s="154"/>
      <c r="E78" s="154" t="s">
        <v>220</v>
      </c>
      <c r="F78" s="154" t="str">
        <f>F77</f>
        <v>ОдеждаКомп</v>
      </c>
      <c r="G78" s="154" t="s">
        <v>219</v>
      </c>
      <c r="H78" s="154"/>
      <c r="I78" s="155">
        <f>IF(SUMIFS(операции!$Z:$Z,операции!$X:$X,"&gt;="&amp;I$8,операции!$X:$X,"&lt;="&amp;I$9,операции!$O:$O,$F78)=0,0,SUMIFS(операции!$AG:$AG,операции!$X:$X,"&gt;="&amp;I$8,операции!$X:$X,"&lt;="&amp;I$9,операции!$O:$O,$F78)/SUMIFS(операции!$Z:$Z,операции!$X:$X,"&gt;="&amp;I$8,операции!$X:$X,"&lt;="&amp;I$9,операции!$O:$O,$F78)-SUMIFS(операции!$AF:$AF,операции!$X:$X,"&gt;="&amp;I$8,операции!$X:$X,"&lt;="&amp;I$9,операции!$O:$O,$F78)/SUMIFS(операции!$V:$V,операции!$X:$X,"&gt;="&amp;I$8,операции!$X:$X,"&lt;="&amp;I$9,операции!$O:$O,$F78))</f>
        <v>94.123083225596929</v>
      </c>
      <c r="J78" s="171"/>
      <c r="K78" s="156">
        <f>IF(SUMIFS(операции!$Z:$Z,операции!$X:$X,"&gt;="&amp;$I$8,операции!$X:$X,"&lt;="&amp;$I$9,операции!$L:$L,K$9,операции!$O:$O,$F78)=0,0,SUMIFS(операции!$AG:$AG,операции!$X:$X,"&gt;="&amp;$I$8,операции!$X:$X,"&lt;="&amp;$I$9,операции!$L:$L,K$9,операции!$O:$O,$F78)/SUMIFS(операции!$Z:$Z,операции!$X:$X,"&gt;="&amp;$I$8,операции!$X:$X,"&lt;="&amp;$I$9,операции!$L:$L,K$9,операции!$O:$O,$F78)-SUMIFS(операции!$AF:$AF,операции!$X:$X,"&gt;="&amp;$I$8,операции!$X:$X,"&lt;="&amp;$I$9,операции!$L:$L,K$9,операции!$O:$O,$F78)/SUMIFS(операции!$V:$V,операции!$X:$X,"&gt;="&amp;$I$8,операции!$X:$X,"&lt;="&amp;$I$9,операции!$L:$L,K$9,операции!$O:$O,$F78))</f>
        <v>94.123083225596929</v>
      </c>
      <c r="L78" s="156">
        <f>IF(SUMIFS(операции!$Z:$Z,операции!$X:$X,"&gt;="&amp;$I$8,операции!$X:$X,"&lt;="&amp;$I$9,операции!$L:$L,L$9,операции!$O:$O,$F78)=0,0,SUMIFS(операции!$AG:$AG,операции!$X:$X,"&gt;="&amp;$I$8,операции!$X:$X,"&lt;="&amp;$I$9,операции!$L:$L,L$9,операции!$O:$O,$F78)/SUMIFS(операции!$Z:$Z,операции!$X:$X,"&gt;="&amp;$I$8,операции!$X:$X,"&lt;="&amp;$I$9,операции!$L:$L,L$9,операции!$O:$O,$F78)-SUMIFS(операции!$AF:$AF,операции!$X:$X,"&gt;="&amp;$I$8,операции!$X:$X,"&lt;="&amp;$I$9,операции!$L:$L,L$9,операции!$O:$O,$F78)/SUMIFS(операции!$V:$V,операции!$X:$X,"&gt;="&amp;$I$8,операции!$X:$X,"&lt;="&amp;$I$9,операции!$L:$L,L$9,операции!$O:$O,$F78))</f>
        <v>0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1:27" s="50" customFormat="1" ht="11.25">
      <c r="A79" s="48"/>
      <c r="B79" s="48"/>
      <c r="C79" s="48"/>
      <c r="D79" s="160"/>
      <c r="E79" s="160" t="s">
        <v>239</v>
      </c>
      <c r="F79" s="160" t="str">
        <f>F78</f>
        <v>ОдеждаКомп</v>
      </c>
      <c r="G79" s="160" t="s">
        <v>219</v>
      </c>
      <c r="H79" s="160"/>
      <c r="I79" s="161">
        <f>IF(SUMIFS(операции!$V:$V,операции!$T:$T,"&lt;="&amp;$I$9,операции!$X:$X,"",операции!$O:$O,$F79)=0,0,$I$9-SUMIFS(операции!$AF:$AF,операции!$T:$T,"&lt;="&amp;$I$9,операции!$X:$X,"",операции!$O:$O,$F79)/SUMIFS(операции!$V:$V,операции!$T:$T,"&lt;="&amp;$I$9,операции!$X:$X,"",операции!$O:$O,$F79))</f>
        <v>161.3880757581137</v>
      </c>
      <c r="J79" s="172"/>
      <c r="K79" s="162">
        <f>IF(SUMIFS(операции!$V:$V,операции!$T:$T,"&lt;="&amp;$I$9,операции!$X:$X,"",операции!$L:$L,K$9,операции!$O:$O,$F79)=0,0,$I$9-SUMIFS(операции!$AF:$AF,операции!$T:$T,"&lt;="&amp;$I$9,операции!$X:$X,"",операции!$L:$L,K$9,операции!$O:$O,$F79)/SUMIFS(операции!$V:$V,операции!$T:$T,"&lt;="&amp;$I$9,операции!$X:$X,"",операции!$L:$L,K$9,операции!$O:$O,$F79))</f>
        <v>161.3880757581137</v>
      </c>
      <c r="L79" s="162">
        <f>IF(SUMIFS(операции!$V:$V,операции!$T:$T,"&lt;="&amp;$I$9,операции!$X:$X,"",операции!$L:$L,L$9,операции!$O:$O,$F79)=0,0,$I$9-SUMIFS(операции!$AF:$AF,операции!$T:$T,"&lt;="&amp;$I$9,операции!$X:$X,"",операции!$L:$L,L$9,операции!$O:$O,$F79)/SUMIFS(операции!$V:$V,операции!$T:$T,"&lt;="&amp;$I$9,операции!$X:$X,"",операции!$L:$L,L$9,операции!$O:$O,$F79))</f>
        <v>0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1:27" s="126" customFormat="1" ht="12">
      <c r="A80" s="125"/>
      <c r="B80" s="125"/>
      <c r="C80" s="125"/>
      <c r="D80" s="128" t="s">
        <v>237</v>
      </c>
      <c r="E80" s="128"/>
      <c r="F80" s="127" t="str">
        <f>микс!H37</f>
        <v>Позитив</v>
      </c>
      <c r="G80" s="128" t="s">
        <v>219</v>
      </c>
      <c r="H80" s="128"/>
      <c r="I80" s="129">
        <f>IF(SUMIFS(операции!$Z:$Z,операции!$X:$X,"&gt;="&amp;I$8,операции!$X:$X,"&lt;="&amp;I$9,операции!$O:$O,$F80)=0,I86,(SUMIFS(операции!$AG:$AG,операции!$X:$X,"&gt;="&amp;I$8,операции!$X:$X,"&lt;="&amp;I$9,операции!$O:$O,$F80)+I$9*SUMIFS(операции!$V:$V,операции!$T:$T,"&lt;="&amp;I$9,операции!$X:$X,"",операции!$O:$O,$F80))/(SUMIFS(операции!$Z:$Z,операции!$X:$X,"&gt;="&amp;I$8,операции!$X:$X,"&lt;="&amp;I$9,операции!$O:$O,$F80)+SUMIFS(операции!$V:$V,операции!$T:$T,"&lt;="&amp;I$9,операции!$X:$X,"",операции!$O:$O,$F80))-(SUMIFS(операции!$AF:$AF,операции!$X:$X,"&gt;="&amp;I$8,операции!$X:$X,"&lt;="&amp;I$9,операции!$O:$O,$F80)+SUMIFS(операции!$AF:$AF,операции!$T:$T,"&lt;="&amp;I$9,операции!$X:$X,"",операции!$O:$O,$F80))/(SUMIFS(операции!$V:$V,операции!$X:$X,"&gt;="&amp;I$8,операции!$X:$X,"&lt;="&amp;I$9,операции!$O:$O,$F80)+SUMIFS(операции!$V:$V,операции!$T:$T,"&lt;="&amp;I$9,операции!$X:$X,"",операции!$O:$O,$F80)))</f>
        <v>78.914739009189361</v>
      </c>
      <c r="J80" s="163"/>
      <c r="K80" s="130">
        <f>IF(SUMIFS(операции!$Z:$Z,операции!$X:$X,"&gt;="&amp;$I$8,операции!$X:$X,"&lt;="&amp;$I$9,операции!$L:$L,K$9,операции!$O:$O,$F80)=0,K86,(SUMIFS(операции!$AG:$AG,операции!$X:$X,"&gt;="&amp;$I$8,операции!$X:$X,"&lt;="&amp;$I$9,операции!$L:$L,K$9,операции!$O:$O,$F80)+$I$9*SUMIFS(операции!$V:$V,операции!$T:$T,"&lt;="&amp;$I$9,операции!$X:$X,"",операции!$L:$L,K$9,операции!$O:$O,$F80))/(SUMIFS(операции!$Z:$Z,операции!$X:$X,"&gt;="&amp;$I$8,операции!$X:$X,"&lt;="&amp;$I$9,операции!$L:$L,K$9,операции!$O:$O,$F80)+SUMIFS(операции!$V:$V,операции!$T:$T,"&lt;="&amp;$I$9,операции!$X:$X,"",операции!$L:$L,K$9,операции!$O:$O,$F80))-(SUMIFS(операции!$AF:$AF,операции!$X:$X,"&gt;="&amp;$I$8,операции!$X:$X,"&lt;="&amp;$I$9,операции!$L:$L,K$9,операции!$O:$O,$F80)+SUMIFS(операции!$AF:$AF,операции!$T:$T,"&lt;="&amp;$I$9,операции!$X:$X,"",операции!$L:$L,K$9,операции!$O:$O,$F80))/(SUMIFS(операции!$V:$V,операции!$X:$X,"&gt;="&amp;$I$8,операции!$X:$X,"&lt;="&amp;$I$9,операции!$L:$L,K$9,операции!$O:$O,$F80)+SUMIFS(операции!$V:$V,операции!$T:$T,"&lt;="&amp;$I$9,операции!$X:$X,"",операции!$L:$L,K$9,операции!$O:$O,$F80)))</f>
        <v>140.92002778714232</v>
      </c>
      <c r="L80" s="130">
        <f>IF(SUMIFS(операции!$Z:$Z,операции!$X:$X,"&gt;="&amp;$I$8,операции!$X:$X,"&lt;="&amp;$I$9,операции!$L:$L,L$9,операции!$O:$O,$F80)=0,L86,(SUMIFS(операции!$AG:$AG,операции!$X:$X,"&gt;="&amp;$I$8,операции!$X:$X,"&lt;="&amp;$I$9,операции!$L:$L,L$9,операции!$O:$O,$F80)+$I$9*SUMIFS(операции!$V:$V,операции!$T:$T,"&lt;="&amp;$I$9,операции!$X:$X,"",операции!$L:$L,L$9,операции!$O:$O,$F80))/(SUMIFS(операции!$Z:$Z,операции!$X:$X,"&gt;="&amp;$I$8,операции!$X:$X,"&lt;="&amp;$I$9,операции!$L:$L,L$9,операции!$O:$O,$F80)+SUMIFS(операции!$V:$V,операции!$T:$T,"&lt;="&amp;$I$9,операции!$X:$X,"",операции!$L:$L,L$9,операции!$O:$O,$F80))-(SUMIFS(операции!$AF:$AF,операции!$X:$X,"&gt;="&amp;$I$8,операции!$X:$X,"&lt;="&amp;$I$9,операции!$L:$L,L$9,операции!$O:$O,$F80)+SUMIFS(операции!$AF:$AF,операции!$T:$T,"&lt;="&amp;$I$9,операции!$X:$X,"",операции!$L:$L,L$9,операции!$O:$O,$F80))/(SUMIFS(операции!$V:$V,операции!$X:$X,"&gt;="&amp;$I$8,операции!$X:$X,"&lt;="&amp;$I$9,операции!$L:$L,L$9,операции!$O:$O,$F80)+SUMIFS(операции!$V:$V,операции!$T:$T,"&lt;="&amp;$I$9,операции!$X:$X,"",операции!$L:$L,L$9,операции!$O:$O,$F80)))</f>
        <v>7.0824015158577822</v>
      </c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</row>
    <row r="81" spans="1:27" s="50" customFormat="1" ht="11.25">
      <c r="A81" s="48"/>
      <c r="B81" s="48"/>
      <c r="C81" s="48"/>
      <c r="D81" s="154"/>
      <c r="E81" s="154" t="s">
        <v>220</v>
      </c>
      <c r="F81" s="154" t="str">
        <f>F80</f>
        <v>Позитив</v>
      </c>
      <c r="G81" s="154" t="s">
        <v>219</v>
      </c>
      <c r="H81" s="154"/>
      <c r="I81" s="155">
        <f>IF(SUMIFS(операции!$Z:$Z,операции!$X:$X,"&gt;="&amp;I$8,операции!$X:$X,"&lt;="&amp;I$9,операции!$O:$O,$F81)=0,0,SUMIFS(операции!$AG:$AG,операции!$X:$X,"&gt;="&amp;I$8,операции!$X:$X,"&lt;="&amp;I$9,операции!$O:$O,$F81)/SUMIFS(операции!$Z:$Z,операции!$X:$X,"&gt;="&amp;I$8,операции!$X:$X,"&lt;="&amp;I$9,операции!$O:$O,$F81)-SUMIFS(операции!$AF:$AF,операции!$X:$X,"&gt;="&amp;I$8,операции!$X:$X,"&lt;="&amp;I$9,операции!$O:$O,$F81)/SUMIFS(операции!$V:$V,операции!$X:$X,"&gt;="&amp;I$8,операции!$X:$X,"&lt;="&amp;I$9,операции!$O:$O,$F81))</f>
        <v>56.059311202276149</v>
      </c>
      <c r="J81" s="171"/>
      <c r="K81" s="156">
        <f>IF(SUMIFS(операции!$Z:$Z,операции!$X:$X,"&gt;="&amp;$I$8,операции!$X:$X,"&lt;="&amp;$I$9,операции!$L:$L,K$9,операции!$O:$O,$F81)=0,0,SUMIFS(операции!$AG:$AG,операции!$X:$X,"&gt;="&amp;$I$8,операции!$X:$X,"&lt;="&amp;$I$9,операции!$L:$L,K$9,операции!$O:$O,$F81)/SUMIFS(операции!$Z:$Z,операции!$X:$X,"&gt;="&amp;$I$8,операции!$X:$X,"&lt;="&amp;$I$9,операции!$L:$L,K$9,операции!$O:$O,$F81)-SUMIFS(операции!$AF:$AF,операции!$X:$X,"&gt;="&amp;$I$8,операции!$X:$X,"&lt;="&amp;$I$9,операции!$L:$L,K$9,операции!$O:$O,$F81)/SUMIFS(операции!$V:$V,операции!$X:$X,"&gt;="&amp;$I$8,операции!$X:$X,"&lt;="&amp;$I$9,операции!$L:$L,K$9,операции!$O:$O,$F81))</f>
        <v>124.06175819123746</v>
      </c>
      <c r="L81" s="156">
        <f>IF(SUMIFS(операции!$Z:$Z,операции!$X:$X,"&gt;="&amp;$I$8,операции!$X:$X,"&lt;="&amp;$I$9,операции!$L:$L,L$9,операции!$O:$O,$F81)=0,0,SUMIFS(операции!$AG:$AG,операции!$X:$X,"&gt;="&amp;$I$8,операции!$X:$X,"&lt;="&amp;$I$9,операции!$L:$L,L$9,операции!$O:$O,$F81)/SUMIFS(операции!$Z:$Z,операции!$X:$X,"&gt;="&amp;$I$8,операции!$X:$X,"&lt;="&amp;$I$9,операции!$L:$L,L$9,операции!$O:$O,$F81)-SUMIFS(операции!$AF:$AF,операции!$X:$X,"&gt;="&amp;$I$8,операции!$X:$X,"&lt;="&amp;$I$9,операции!$L:$L,L$9,операции!$O:$O,$F81)/SUMIFS(операции!$V:$V,операции!$X:$X,"&gt;="&amp;$I$8,операции!$X:$X,"&lt;="&amp;$I$9,операции!$L:$L,L$9,операции!$O:$O,$F81))</f>
        <v>7.0824015158577822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s="50" customFormat="1" ht="11.25">
      <c r="A82" s="48"/>
      <c r="B82" s="48"/>
      <c r="C82" s="48"/>
      <c r="D82" s="160"/>
      <c r="E82" s="160" t="s">
        <v>239</v>
      </c>
      <c r="F82" s="160" t="str">
        <f>F81</f>
        <v>Позитив</v>
      </c>
      <c r="G82" s="160" t="s">
        <v>219</v>
      </c>
      <c r="H82" s="160"/>
      <c r="I82" s="161">
        <f>IF(SUMIFS(операции!$V:$V,операции!$T:$T,"&lt;="&amp;$I$9,операции!$X:$X,"",операции!$O:$O,$F82)=0,0,$I$9-SUMIFS(операции!$AF:$AF,операции!$T:$T,"&lt;="&amp;$I$9,операции!$X:$X,"",операции!$O:$O,$F82)/SUMIFS(операции!$V:$V,операции!$T:$T,"&lt;="&amp;$I$9,операции!$X:$X,"",операции!$O:$O,$F82))</f>
        <v>170.55067437263642</v>
      </c>
      <c r="J82" s="172"/>
      <c r="K82" s="162">
        <f>IF(SUMIFS(операции!$V:$V,операции!$T:$T,"&lt;="&amp;$I$9,операции!$X:$X,"",операции!$L:$L,K$9,операции!$O:$O,$F82)=0,0,$I$9-SUMIFS(операции!$AF:$AF,операции!$T:$T,"&lt;="&amp;$I$9,операции!$X:$X,"",операции!$L:$L,K$9,операции!$O:$O,$F82)/SUMIFS(операции!$V:$V,операции!$T:$T,"&lt;="&amp;$I$9,операции!$X:$X,"",операции!$L:$L,K$9,операции!$O:$O,$F82))</f>
        <v>170.55067437263642</v>
      </c>
      <c r="L82" s="162">
        <f>IF(SUMIFS(операции!$V:$V,операции!$T:$T,"&lt;="&amp;$I$9,операции!$X:$X,"",операции!$L:$L,L$9,операции!$O:$O,$F82)=0,0,$I$9-SUMIFS(операции!$AF:$AF,операции!$T:$T,"&lt;="&amp;$I$9,операции!$X:$X,"",операции!$L:$L,L$9,операции!$O:$O,$F82)/SUMIFS(операции!$V:$V,операции!$T:$T,"&lt;="&amp;$I$9,операции!$X:$X,"",операции!$L:$L,L$9,операции!$O:$O,$F82))</f>
        <v>0</v>
      </c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27" s="126" customFormat="1" ht="12">
      <c r="A83" s="125"/>
      <c r="B83" s="125"/>
      <c r="C83" s="125"/>
      <c r="D83" s="128" t="s">
        <v>237</v>
      </c>
      <c r="E83" s="128"/>
      <c r="F83" s="127" t="str">
        <f>микс!H38</f>
        <v>СпортИн</v>
      </c>
      <c r="G83" s="128" t="s">
        <v>219</v>
      </c>
      <c r="H83" s="128"/>
      <c r="I83" s="129">
        <f>IF(SUMIFS(операции!$Z:$Z,операции!$X:$X,"&gt;="&amp;I$8,операции!$X:$X,"&lt;="&amp;I$9,операции!$O:$O,$F83)=0,I89,(SUMIFS(операции!$AG:$AG,операции!$X:$X,"&gt;="&amp;I$8,операции!$X:$X,"&lt;="&amp;I$9,операции!$O:$O,$F83)+I$9*SUMIFS(операции!$V:$V,операции!$T:$T,"&lt;="&amp;I$9,операции!$X:$X,"",операции!$O:$O,$F83))/(SUMIFS(операции!$Z:$Z,операции!$X:$X,"&gt;="&amp;I$8,операции!$X:$X,"&lt;="&amp;I$9,операции!$O:$O,$F83)+SUMIFS(операции!$V:$V,операции!$T:$T,"&lt;="&amp;I$9,операции!$X:$X,"",операции!$O:$O,$F83))-(SUMIFS(операции!$AF:$AF,операции!$X:$X,"&gt;="&amp;I$8,операции!$X:$X,"&lt;="&amp;I$9,операции!$O:$O,$F83)+SUMIFS(операции!$AF:$AF,операции!$T:$T,"&lt;="&amp;I$9,операции!$X:$X,"",операции!$O:$O,$F83))/(SUMIFS(операции!$V:$V,операции!$X:$X,"&gt;="&amp;I$8,операции!$X:$X,"&lt;="&amp;I$9,операции!$O:$O,$F83)+SUMIFS(операции!$V:$V,операции!$T:$T,"&lt;="&amp;I$9,операции!$X:$X,"",операции!$O:$O,$F83)))</f>
        <v>49.433041508971655</v>
      </c>
      <c r="J83" s="163"/>
      <c r="K83" s="130">
        <f>IF(SUMIFS(операции!$Z:$Z,операции!$X:$X,"&gt;="&amp;$I$8,операции!$X:$X,"&lt;="&amp;$I$9,операции!$L:$L,K$9,операции!$O:$O,$F83)=0,K89,(SUMIFS(операции!$AG:$AG,операции!$X:$X,"&gt;="&amp;$I$8,операции!$X:$X,"&lt;="&amp;$I$9,операции!$L:$L,K$9,операции!$O:$O,$F83)+$I$9*SUMIFS(операции!$V:$V,операции!$T:$T,"&lt;="&amp;$I$9,операции!$X:$X,"",операции!$L:$L,K$9,операции!$O:$O,$F83))/(SUMIFS(операции!$Z:$Z,операции!$X:$X,"&gt;="&amp;$I$8,операции!$X:$X,"&lt;="&amp;$I$9,операции!$L:$L,K$9,операции!$O:$O,$F83)+SUMIFS(операции!$V:$V,операции!$T:$T,"&lt;="&amp;$I$9,операции!$X:$X,"",операции!$L:$L,K$9,операции!$O:$O,$F83))-(SUMIFS(операции!$AF:$AF,операции!$X:$X,"&gt;="&amp;$I$8,операции!$X:$X,"&lt;="&amp;$I$9,операции!$L:$L,K$9,операции!$O:$O,$F83)+SUMIFS(операции!$AF:$AF,операции!$T:$T,"&lt;="&amp;$I$9,операции!$X:$X,"",операции!$L:$L,K$9,операции!$O:$O,$F83))/(SUMIFS(операции!$V:$V,операции!$X:$X,"&gt;="&amp;$I$8,операции!$X:$X,"&lt;="&amp;$I$9,операции!$L:$L,K$9,операции!$O:$O,$F83)+SUMIFS(операции!$V:$V,операции!$T:$T,"&lt;="&amp;$I$9,операции!$X:$X,"",операции!$L:$L,K$9,операции!$O:$O,$F83)))</f>
        <v>171.7371208041659</v>
      </c>
      <c r="L83" s="130">
        <f>IF(SUMIFS(операции!$Z:$Z,операции!$X:$X,"&gt;="&amp;$I$8,операции!$X:$X,"&lt;="&amp;$I$9,операции!$L:$L,L$9,операции!$O:$O,$F83)=0,L89,(SUMIFS(операции!$AG:$AG,операции!$X:$X,"&gt;="&amp;$I$8,операции!$X:$X,"&lt;="&amp;$I$9,операции!$L:$L,L$9,операции!$O:$O,$F83)+$I$9*SUMIFS(операции!$V:$V,операции!$T:$T,"&lt;="&amp;$I$9,операции!$X:$X,"",операции!$L:$L,L$9,операции!$O:$O,$F83))/(SUMIFS(операции!$Z:$Z,операции!$X:$X,"&gt;="&amp;$I$8,операции!$X:$X,"&lt;="&amp;$I$9,операции!$L:$L,L$9,операции!$O:$O,$F83)+SUMIFS(операции!$V:$V,операции!$T:$T,"&lt;="&amp;$I$9,операции!$X:$X,"",операции!$L:$L,L$9,операции!$O:$O,$F83))-(SUMIFS(операции!$AF:$AF,операции!$X:$X,"&gt;="&amp;$I$8,операции!$X:$X,"&lt;="&amp;$I$9,операции!$L:$L,L$9,операции!$O:$O,$F83)+SUMIFS(операции!$AF:$AF,операции!$T:$T,"&lt;="&amp;$I$9,операции!$X:$X,"",операции!$L:$L,L$9,операции!$O:$O,$F83))/(SUMIFS(операции!$V:$V,операции!$X:$X,"&gt;="&amp;$I$8,операции!$X:$X,"&lt;="&amp;$I$9,операции!$L:$L,L$9,операции!$O:$O,$F83)+SUMIFS(операции!$V:$V,операции!$T:$T,"&lt;="&amp;$I$9,операции!$X:$X,"",операции!$L:$L,L$9,операции!$O:$O,$F83)))</f>
        <v>5.2786230273413821</v>
      </c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</row>
    <row r="84" spans="1:27" s="50" customFormat="1" ht="11.25">
      <c r="A84" s="48"/>
      <c r="B84" s="48"/>
      <c r="C84" s="48"/>
      <c r="D84" s="154"/>
      <c r="E84" s="154" t="s">
        <v>220</v>
      </c>
      <c r="F84" s="154" t="str">
        <f>F83</f>
        <v>СпортИн</v>
      </c>
      <c r="G84" s="154" t="s">
        <v>219</v>
      </c>
      <c r="H84" s="154"/>
      <c r="I84" s="155">
        <f>IF(SUMIFS(операции!$Z:$Z,операции!$X:$X,"&gt;="&amp;I$8,операции!$X:$X,"&lt;="&amp;I$9,операции!$O:$O,$F84)=0,0,SUMIFS(операции!$AG:$AG,операции!$X:$X,"&gt;="&amp;I$8,операции!$X:$X,"&lt;="&amp;I$9,операции!$O:$O,$F84)/SUMIFS(операции!$Z:$Z,операции!$X:$X,"&gt;="&amp;I$8,операции!$X:$X,"&lt;="&amp;I$9,операции!$O:$O,$F84)-SUMIFS(операции!$AF:$AF,операции!$X:$X,"&gt;="&amp;I$8,операции!$X:$X,"&lt;="&amp;I$9,операции!$O:$O,$F84)/SUMIFS(операции!$V:$V,операции!$X:$X,"&gt;="&amp;I$8,операции!$X:$X,"&lt;="&amp;I$9,операции!$O:$O,$F84))</f>
        <v>27.888671328670171</v>
      </c>
      <c r="J84" s="171"/>
      <c r="K84" s="156">
        <f>IF(SUMIFS(операции!$Z:$Z,операции!$X:$X,"&gt;="&amp;$I$8,операции!$X:$X,"&lt;="&amp;$I$9,операции!$L:$L,K$9,операции!$O:$O,$F84)=0,0,SUMIFS(операции!$AG:$AG,операции!$X:$X,"&gt;="&amp;$I$8,операции!$X:$X,"&lt;="&amp;$I$9,операции!$L:$L,K$9,операции!$O:$O,$F84)/SUMIFS(операции!$Z:$Z,операции!$X:$X,"&gt;="&amp;$I$8,операции!$X:$X,"&lt;="&amp;$I$9,операции!$L:$L,K$9,операции!$O:$O,$F84)-SUMIFS(операции!$AF:$AF,операции!$X:$X,"&gt;="&amp;$I$8,операции!$X:$X,"&lt;="&amp;$I$9,операции!$L:$L,K$9,операции!$O:$O,$F84)/SUMIFS(операции!$V:$V,операции!$X:$X,"&gt;="&amp;$I$8,операции!$X:$X,"&lt;="&amp;$I$9,операции!$L:$L,K$9,операции!$O:$O,$F84))</f>
        <v>152.32323996972264</v>
      </c>
      <c r="L84" s="156">
        <f>IF(SUMIFS(операции!$Z:$Z,операции!$X:$X,"&gt;="&amp;$I$8,операции!$X:$X,"&lt;="&amp;$I$9,операции!$L:$L,L$9,операции!$O:$O,$F84)=0,0,SUMIFS(операции!$AG:$AG,операции!$X:$X,"&gt;="&amp;$I$8,операции!$X:$X,"&lt;="&amp;$I$9,операции!$L:$L,L$9,операции!$O:$O,$F84)/SUMIFS(операции!$Z:$Z,операции!$X:$X,"&gt;="&amp;$I$8,операции!$X:$X,"&lt;="&amp;$I$9,операции!$L:$L,L$9,операции!$O:$O,$F84)-SUMIFS(операции!$AF:$AF,операции!$X:$X,"&gt;="&amp;$I$8,операции!$X:$X,"&lt;="&amp;$I$9,операции!$L:$L,L$9,операции!$O:$O,$F84)/SUMIFS(операции!$V:$V,операции!$X:$X,"&gt;="&amp;$I$8,операции!$X:$X,"&lt;="&amp;$I$9,операции!$L:$L,L$9,операции!$O:$O,$F84))</f>
        <v>5.2786230273413821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s="50" customFormat="1" ht="11.25">
      <c r="A85" s="48"/>
      <c r="B85" s="48"/>
      <c r="C85" s="48"/>
      <c r="D85" s="160"/>
      <c r="E85" s="160" t="s">
        <v>239</v>
      </c>
      <c r="F85" s="160" t="str">
        <f>F84</f>
        <v>СпортИн</v>
      </c>
      <c r="G85" s="160" t="s">
        <v>219</v>
      </c>
      <c r="H85" s="160"/>
      <c r="I85" s="161">
        <f>IF(SUMIFS(операции!$V:$V,операции!$T:$T,"&lt;="&amp;$I$9,операции!$X:$X,"",операции!$O:$O,$F85)=0,0,$I$9-SUMIFS(операции!$AF:$AF,операции!$T:$T,"&lt;="&amp;$I$9,операции!$X:$X,"",операции!$O:$O,$F85)/SUMIFS(операции!$V:$V,операции!$T:$T,"&lt;="&amp;$I$9,операции!$X:$X,"",операции!$O:$O,$F85))</f>
        <v>200</v>
      </c>
      <c r="J85" s="172"/>
      <c r="K85" s="162">
        <f>IF(SUMIFS(операции!$V:$V,операции!$T:$T,"&lt;="&amp;$I$9,операции!$X:$X,"",операции!$L:$L,K$9,операции!$O:$O,$F85)=0,0,$I$9-SUMIFS(операции!$AF:$AF,операции!$T:$T,"&lt;="&amp;$I$9,операции!$X:$X,"",операции!$L:$L,K$9,операции!$O:$O,$F85)/SUMIFS(операции!$V:$V,операции!$T:$T,"&lt;="&amp;$I$9,операции!$X:$X,"",операции!$L:$L,K$9,операции!$O:$O,$F85))</f>
        <v>200</v>
      </c>
      <c r="L85" s="162">
        <f>IF(SUMIFS(операции!$V:$V,операции!$T:$T,"&lt;="&amp;$I$9,операции!$X:$X,"",операции!$L:$L,L$9,операции!$O:$O,$F85)=0,0,$I$9-SUMIFS(операции!$AF:$AF,операции!$T:$T,"&lt;="&amp;$I$9,операции!$X:$X,"",операции!$L:$L,L$9,операции!$O:$O,$F85)/SUMIFS(операции!$V:$V,операции!$T:$T,"&lt;="&amp;$I$9,операции!$X:$X,"",операции!$L:$L,L$9,операции!$O:$O,$F85))</f>
        <v>0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s="126" customFormat="1" ht="12">
      <c r="A86" s="125"/>
      <c r="B86" s="125"/>
      <c r="C86" s="125"/>
      <c r="D86" s="128" t="s">
        <v>237</v>
      </c>
      <c r="E86" s="128"/>
      <c r="F86" s="127" t="str">
        <f>микс!H39</f>
        <v>С-спортКид</v>
      </c>
      <c r="G86" s="128" t="s">
        <v>219</v>
      </c>
      <c r="H86" s="128"/>
      <c r="I86" s="129">
        <f>IF(SUMIFS(операции!$Z:$Z,операции!$X:$X,"&gt;="&amp;I$8,операции!$X:$X,"&lt;="&amp;I$9,операции!$O:$O,$F86)=0,I92,(SUMIFS(операции!$AG:$AG,операции!$X:$X,"&gt;="&amp;I$8,операции!$X:$X,"&lt;="&amp;I$9,операции!$O:$O,$F86)+I$9*SUMIFS(операции!$V:$V,операции!$T:$T,"&lt;="&amp;I$9,операции!$X:$X,"",операции!$O:$O,$F86))/(SUMIFS(операции!$Z:$Z,операции!$X:$X,"&gt;="&amp;I$8,операции!$X:$X,"&lt;="&amp;I$9,операции!$O:$O,$F86)+SUMIFS(операции!$V:$V,операции!$T:$T,"&lt;="&amp;I$9,операции!$X:$X,"",операции!$O:$O,$F86))-(SUMIFS(операции!$AF:$AF,операции!$X:$X,"&gt;="&amp;I$8,операции!$X:$X,"&lt;="&amp;I$9,операции!$O:$O,$F86)+SUMIFS(операции!$AF:$AF,операции!$T:$T,"&lt;="&amp;I$9,операции!$X:$X,"",операции!$O:$O,$F86))/(SUMIFS(операции!$V:$V,операции!$X:$X,"&gt;="&amp;I$8,операции!$X:$X,"&lt;="&amp;I$9,операции!$O:$O,$F86)+SUMIFS(операции!$V:$V,операции!$T:$T,"&lt;="&amp;I$9,операции!$X:$X,"",операции!$O:$O,$F86)))</f>
        <v>8.5135873899635044</v>
      </c>
      <c r="J86" s="163"/>
      <c r="K86" s="130">
        <f>IF(SUMIFS(операции!$Z:$Z,операции!$X:$X,"&gt;="&amp;$I$8,операции!$X:$X,"&lt;="&amp;$I$9,операции!$L:$L,K$9,операции!$O:$O,$F86)=0,K92,(SUMIFS(операции!$AG:$AG,операции!$X:$X,"&gt;="&amp;$I$8,операции!$X:$X,"&lt;="&amp;$I$9,операции!$L:$L,K$9,операции!$O:$O,$F86)+$I$9*SUMIFS(операции!$V:$V,операции!$T:$T,"&lt;="&amp;$I$9,операции!$X:$X,"",операции!$L:$L,K$9,операции!$O:$O,$F86))/(SUMIFS(операции!$Z:$Z,операции!$X:$X,"&gt;="&amp;$I$8,операции!$X:$X,"&lt;="&amp;$I$9,операции!$L:$L,K$9,операции!$O:$O,$F86)+SUMIFS(операции!$V:$V,операции!$T:$T,"&lt;="&amp;$I$9,операции!$X:$X,"",операции!$L:$L,K$9,операции!$O:$O,$F86))-(SUMIFS(операции!$AF:$AF,операции!$X:$X,"&gt;="&amp;$I$8,операции!$X:$X,"&lt;="&amp;$I$9,операции!$L:$L,K$9,операции!$O:$O,$F86)+SUMIFS(операции!$AF:$AF,операции!$T:$T,"&lt;="&amp;$I$9,операции!$X:$X,"",операции!$L:$L,K$9,операции!$O:$O,$F86))/(SUMIFS(операции!$V:$V,операции!$X:$X,"&gt;="&amp;$I$8,операции!$X:$X,"&lt;="&amp;$I$9,операции!$L:$L,K$9,операции!$O:$O,$F86)+SUMIFS(операции!$V:$V,операции!$T:$T,"&lt;="&amp;$I$9,операции!$X:$X,"",операции!$L:$L,K$9,операции!$O:$O,$F86)))</f>
        <v>118.04323556127929</v>
      </c>
      <c r="L86" s="130">
        <f>IF(SUMIFS(операции!$Z:$Z,операции!$X:$X,"&gt;="&amp;$I$8,операции!$X:$X,"&lt;="&amp;$I$9,операции!$L:$L,L$9,операции!$O:$O,$F86)=0,L92,(SUMIFS(операции!$AG:$AG,операции!$X:$X,"&gt;="&amp;$I$8,операции!$X:$X,"&lt;="&amp;$I$9,операции!$L:$L,L$9,операции!$O:$O,$F86)+$I$9*SUMIFS(операции!$V:$V,операции!$T:$T,"&lt;="&amp;$I$9,операции!$X:$X,"",операции!$L:$L,L$9,операции!$O:$O,$F86))/(SUMIFS(операции!$Z:$Z,операции!$X:$X,"&gt;="&amp;$I$8,операции!$X:$X,"&lt;="&amp;$I$9,операции!$L:$L,L$9,операции!$O:$O,$F86)+SUMIFS(операции!$V:$V,операции!$T:$T,"&lt;="&amp;$I$9,операции!$X:$X,"",операции!$L:$L,L$9,операции!$O:$O,$F86))-(SUMIFS(операции!$AF:$AF,операции!$X:$X,"&gt;="&amp;$I$8,операции!$X:$X,"&lt;="&amp;$I$9,операции!$L:$L,L$9,операции!$O:$O,$F86)+SUMIFS(операции!$AF:$AF,операции!$T:$T,"&lt;="&amp;$I$9,операции!$X:$X,"",операции!$L:$L,L$9,операции!$O:$O,$F86))/(SUMIFS(операции!$V:$V,операции!$X:$X,"&gt;="&amp;$I$8,операции!$X:$X,"&lt;="&amp;$I$9,операции!$L:$L,L$9,операции!$O:$O,$F86)+SUMIFS(операции!$V:$V,операции!$T:$T,"&lt;="&amp;$I$9,операции!$X:$X,"",операции!$L:$L,L$9,операции!$O:$O,$F86)))</f>
        <v>8.5135873899635044</v>
      </c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</row>
    <row r="87" spans="1:27" s="50" customFormat="1" ht="11.25">
      <c r="A87" s="48"/>
      <c r="B87" s="48"/>
      <c r="C87" s="48"/>
      <c r="D87" s="154"/>
      <c r="E87" s="154" t="s">
        <v>220</v>
      </c>
      <c r="F87" s="154" t="str">
        <f>F86</f>
        <v>С-спортКид</v>
      </c>
      <c r="G87" s="154" t="s">
        <v>219</v>
      </c>
      <c r="H87" s="154"/>
      <c r="I87" s="155">
        <f>IF(SUMIFS(операции!$Z:$Z,операции!$X:$X,"&gt;="&amp;I$8,операции!$X:$X,"&lt;="&amp;I$9,операции!$O:$O,$F87)=0,0,SUMIFS(операции!$AG:$AG,операции!$X:$X,"&gt;="&amp;I$8,операции!$X:$X,"&lt;="&amp;I$9,операции!$O:$O,$F87)/SUMIFS(операции!$Z:$Z,операции!$X:$X,"&gt;="&amp;I$8,операции!$X:$X,"&lt;="&amp;I$9,операции!$O:$O,$F87)-SUMIFS(операции!$AF:$AF,операции!$X:$X,"&gt;="&amp;I$8,операции!$X:$X,"&lt;="&amp;I$9,операции!$O:$O,$F87)/SUMIFS(операции!$V:$V,операции!$X:$X,"&gt;="&amp;I$8,операции!$X:$X,"&lt;="&amp;I$9,операции!$O:$O,$F87))</f>
        <v>10.925333969244093</v>
      </c>
      <c r="J87" s="171"/>
      <c r="K87" s="156">
        <f>IF(SUMIFS(операции!$Z:$Z,операции!$X:$X,"&gt;="&amp;$I$8,операции!$X:$X,"&lt;="&amp;$I$9,операции!$L:$L,K$9,операции!$O:$O,$F87)=0,0,SUMIFS(операции!$AG:$AG,операции!$X:$X,"&gt;="&amp;$I$8,операции!$X:$X,"&lt;="&amp;$I$9,операции!$L:$L,K$9,операции!$O:$O,$F87)/SUMIFS(операции!$Z:$Z,операции!$X:$X,"&gt;="&amp;$I$8,операции!$X:$X,"&lt;="&amp;$I$9,операции!$L:$L,K$9,операции!$O:$O,$F87)-SUMIFS(операции!$AF:$AF,операции!$X:$X,"&gt;="&amp;$I$8,операции!$X:$X,"&lt;="&amp;$I$9,операции!$L:$L,K$9,операции!$O:$O,$F87)/SUMIFS(операции!$V:$V,операции!$X:$X,"&gt;="&amp;$I$8,операции!$X:$X,"&lt;="&amp;$I$9,операции!$L:$L,K$9,операции!$O:$O,$F87))</f>
        <v>0</v>
      </c>
      <c r="L87" s="156">
        <f>IF(SUMIFS(операции!$Z:$Z,операции!$X:$X,"&gt;="&amp;$I$8,операции!$X:$X,"&lt;="&amp;$I$9,операции!$L:$L,L$9,операции!$O:$O,$F87)=0,0,SUMIFS(операции!$AG:$AG,операции!$X:$X,"&gt;="&amp;$I$8,операции!$X:$X,"&lt;="&amp;$I$9,операции!$L:$L,L$9,операции!$O:$O,$F87)/SUMIFS(операции!$Z:$Z,операции!$X:$X,"&gt;="&amp;$I$8,операции!$X:$X,"&lt;="&amp;$I$9,операции!$L:$L,L$9,операции!$O:$O,$F87)-SUMIFS(операции!$AF:$AF,операции!$X:$X,"&gt;="&amp;$I$8,операции!$X:$X,"&lt;="&amp;$I$9,операции!$L:$L,L$9,операции!$O:$O,$F87)/SUMIFS(операции!$V:$V,операции!$X:$X,"&gt;="&amp;$I$8,операции!$X:$X,"&lt;="&amp;$I$9,операции!$L:$L,L$9,операции!$O:$O,$F87))</f>
        <v>10.925333969244093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27" s="50" customFormat="1" ht="11.25">
      <c r="A88" s="48"/>
      <c r="B88" s="48"/>
      <c r="C88" s="48"/>
      <c r="D88" s="160"/>
      <c r="E88" s="160" t="s">
        <v>239</v>
      </c>
      <c r="F88" s="160" t="str">
        <f>F87</f>
        <v>С-спортКид</v>
      </c>
      <c r="G88" s="160" t="s">
        <v>219</v>
      </c>
      <c r="H88" s="160"/>
      <c r="I88" s="161">
        <f>IF(SUMIFS(операции!$V:$V,операции!$T:$T,"&lt;="&amp;$I$9,операции!$X:$X,"",операции!$O:$O,$F88)=0,0,$I$9-SUMIFS(операции!$AF:$AF,операции!$T:$T,"&lt;="&amp;$I$9,операции!$X:$X,"",операции!$O:$O,$F88)/SUMIFS(операции!$V:$V,операции!$T:$T,"&lt;="&amp;$I$9,операции!$X:$X,"",операции!$O:$O,$F88))</f>
        <v>4</v>
      </c>
      <c r="J88" s="172"/>
      <c r="K88" s="162">
        <f>IF(SUMIFS(операции!$V:$V,операции!$T:$T,"&lt;="&amp;$I$9,операции!$X:$X,"",операции!$L:$L,K$9,операции!$O:$O,$F88)=0,0,$I$9-SUMIFS(операции!$AF:$AF,операции!$T:$T,"&lt;="&amp;$I$9,операции!$X:$X,"",операции!$L:$L,K$9,операции!$O:$O,$F88)/SUMIFS(операции!$V:$V,операции!$T:$T,"&lt;="&amp;$I$9,операции!$X:$X,"",операции!$L:$L,K$9,операции!$O:$O,$F88))</f>
        <v>0</v>
      </c>
      <c r="L88" s="162">
        <f>IF(SUMIFS(операции!$V:$V,операции!$T:$T,"&lt;="&amp;$I$9,операции!$X:$X,"",операции!$L:$L,L$9,операции!$O:$O,$F88)=0,0,$I$9-SUMIFS(операции!$AF:$AF,операции!$T:$T,"&lt;="&amp;$I$9,операции!$X:$X,"",операции!$L:$L,L$9,операции!$O:$O,$F88)/SUMIFS(операции!$V:$V,операции!$T:$T,"&lt;="&amp;$I$9,операции!$X:$X,"",операции!$L:$L,L$9,операции!$O:$O,$F88))</f>
        <v>4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s="126" customFormat="1" ht="12">
      <c r="A89" s="125"/>
      <c r="B89" s="125"/>
      <c r="C89" s="125"/>
      <c r="D89" s="128" t="s">
        <v>237</v>
      </c>
      <c r="E89" s="128"/>
      <c r="F89" s="127" t="str">
        <f>микс!H40</f>
        <v>С-Тойз</v>
      </c>
      <c r="G89" s="128" t="s">
        <v>219</v>
      </c>
      <c r="H89" s="128"/>
      <c r="I89" s="129">
        <f>IF(SUMIFS(операции!$Z:$Z,операции!$X:$X,"&gt;="&amp;I$8,операции!$X:$X,"&lt;="&amp;I$9,операции!$O:$O,$F89)=0,I95,(SUMIFS(операции!$AG:$AG,операции!$X:$X,"&gt;="&amp;I$8,операции!$X:$X,"&lt;="&amp;I$9,операции!$O:$O,$F89)+I$9*SUMIFS(операции!$V:$V,операции!$T:$T,"&lt;="&amp;I$9,операции!$X:$X,"",операции!$O:$O,$F89))/(SUMIFS(операции!$Z:$Z,операции!$X:$X,"&gt;="&amp;I$8,операции!$X:$X,"&lt;="&amp;I$9,операции!$O:$O,$F89)+SUMIFS(операции!$V:$V,операции!$T:$T,"&lt;="&amp;I$9,операции!$X:$X,"",операции!$O:$O,$F89))-(SUMIFS(операции!$AF:$AF,операции!$X:$X,"&gt;="&amp;I$8,операции!$X:$X,"&lt;="&amp;I$9,операции!$O:$O,$F89)+SUMIFS(операции!$AF:$AF,операции!$T:$T,"&lt;="&amp;I$9,операции!$X:$X,"",операции!$O:$O,$F89))/(SUMIFS(операции!$V:$V,операции!$X:$X,"&gt;="&amp;I$8,операции!$X:$X,"&lt;="&amp;I$9,операции!$O:$O,$F89)+SUMIFS(операции!$V:$V,операции!$T:$T,"&lt;="&amp;I$9,операции!$X:$X,"",операции!$O:$O,$F89)))</f>
        <v>97.49382715048705</v>
      </c>
      <c r="J89" s="163"/>
      <c r="K89" s="130">
        <f>IF(SUMIFS(операции!$Z:$Z,операции!$X:$X,"&gt;="&amp;$I$8,операции!$X:$X,"&lt;="&amp;$I$9,операции!$L:$L,K$9,операции!$O:$O,$F89)=0,K95,(SUMIFS(операции!$AG:$AG,операции!$X:$X,"&gt;="&amp;$I$8,операции!$X:$X,"&lt;="&amp;$I$9,операции!$L:$L,K$9,операции!$O:$O,$F89)+$I$9*SUMIFS(операции!$V:$V,операции!$T:$T,"&lt;="&amp;$I$9,операции!$X:$X,"",операции!$L:$L,K$9,операции!$O:$O,$F89))/(SUMIFS(операции!$Z:$Z,операции!$X:$X,"&gt;="&amp;$I$8,операции!$X:$X,"&lt;="&amp;$I$9,операции!$L:$L,K$9,операции!$O:$O,$F89)+SUMIFS(операции!$V:$V,операции!$T:$T,"&lt;="&amp;$I$9,операции!$X:$X,"",операции!$L:$L,K$9,операции!$O:$O,$F89))-(SUMIFS(операции!$AF:$AF,операции!$X:$X,"&gt;="&amp;$I$8,операции!$X:$X,"&lt;="&amp;$I$9,операции!$L:$L,K$9,операции!$O:$O,$F89)+SUMIFS(операции!$AF:$AF,операции!$T:$T,"&lt;="&amp;$I$9,операции!$X:$X,"",операции!$L:$L,K$9,операции!$O:$O,$F89))/(SUMIFS(операции!$V:$V,операции!$X:$X,"&gt;="&amp;$I$8,операции!$X:$X,"&lt;="&amp;$I$9,операции!$L:$L,K$9,операции!$O:$O,$F89)+SUMIFS(операции!$V:$V,операции!$T:$T,"&lt;="&amp;$I$9,операции!$X:$X,"",операции!$L:$L,K$9,операции!$O:$O,$F89)))</f>
        <v>188.8209692090968</v>
      </c>
      <c r="L89" s="130">
        <f>IF(SUMIFS(операции!$Z:$Z,операции!$X:$X,"&gt;="&amp;$I$8,операции!$X:$X,"&lt;="&amp;$I$9,операции!$L:$L,L$9,операции!$O:$O,$F89)=0,L95,(SUMIFS(операции!$AG:$AG,операции!$X:$X,"&gt;="&amp;$I$8,операции!$X:$X,"&lt;="&amp;$I$9,операции!$L:$L,L$9,операции!$O:$O,$F89)+$I$9*SUMIFS(операции!$V:$V,операции!$T:$T,"&lt;="&amp;$I$9,операции!$X:$X,"",операции!$L:$L,L$9,операции!$O:$O,$F89))/(SUMIFS(операции!$Z:$Z,операции!$X:$X,"&gt;="&amp;$I$8,операции!$X:$X,"&lt;="&amp;$I$9,операции!$L:$L,L$9,операции!$O:$O,$F89)+SUMIFS(операции!$V:$V,операции!$T:$T,"&lt;="&amp;$I$9,операции!$X:$X,"",операции!$L:$L,L$9,операции!$O:$O,$F89))-(SUMIFS(операции!$AF:$AF,операции!$X:$X,"&gt;="&amp;$I$8,операции!$X:$X,"&lt;="&amp;$I$9,операции!$L:$L,L$9,операции!$O:$O,$F89)+SUMIFS(операции!$AF:$AF,операции!$T:$T,"&lt;="&amp;$I$9,операции!$X:$X,"",операции!$L:$L,L$9,операции!$O:$O,$F89))/(SUMIFS(операции!$V:$V,операции!$X:$X,"&gt;="&amp;$I$8,операции!$X:$X,"&lt;="&amp;$I$9,операции!$L:$L,L$9,операции!$O:$O,$F89)+SUMIFS(операции!$V:$V,операции!$T:$T,"&lt;="&amp;$I$9,операции!$X:$X,"",операции!$L:$L,L$9,операции!$O:$O,$F89)))</f>
        <v>5.2040072176750982</v>
      </c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</row>
    <row r="90" spans="1:27" s="50" customFormat="1" ht="11.25">
      <c r="A90" s="48"/>
      <c r="B90" s="48"/>
      <c r="C90" s="48"/>
      <c r="D90" s="154"/>
      <c r="E90" s="154" t="s">
        <v>220</v>
      </c>
      <c r="F90" s="154" t="str">
        <f>F89</f>
        <v>С-Тойз</v>
      </c>
      <c r="G90" s="154" t="s">
        <v>219</v>
      </c>
      <c r="H90" s="154"/>
      <c r="I90" s="155">
        <f>IF(SUMIFS(операции!$Z:$Z,операции!$X:$X,"&gt;="&amp;I$8,операции!$X:$X,"&lt;="&amp;I$9,операции!$O:$O,$F90)=0,0,SUMIFS(операции!$AG:$AG,операции!$X:$X,"&gt;="&amp;I$8,операции!$X:$X,"&lt;="&amp;I$9,операции!$O:$O,$F90)/SUMIFS(операции!$Z:$Z,операции!$X:$X,"&gt;="&amp;I$8,операции!$X:$X,"&lt;="&amp;I$9,операции!$O:$O,$F90)-SUMIFS(операции!$AF:$AF,операции!$X:$X,"&gt;="&amp;I$8,операции!$X:$X,"&lt;="&amp;I$9,операции!$O:$O,$F90)/SUMIFS(операции!$V:$V,операции!$X:$X,"&gt;="&amp;I$8,операции!$X:$X,"&lt;="&amp;I$9,операции!$O:$O,$F90))</f>
        <v>65.350963183227577</v>
      </c>
      <c r="J90" s="171"/>
      <c r="K90" s="156">
        <f>IF(SUMIFS(операции!$Z:$Z,операции!$X:$X,"&gt;="&amp;$I$8,операции!$X:$X,"&lt;="&amp;$I$9,операции!$L:$L,K$9,операции!$O:$O,$F90)=0,0,SUMIFS(операции!$AG:$AG,операции!$X:$X,"&gt;="&amp;$I$8,операции!$X:$X,"&lt;="&amp;$I$9,операции!$L:$L,K$9,операции!$O:$O,$F90)/SUMIFS(операции!$Z:$Z,операции!$X:$X,"&gt;="&amp;$I$8,операции!$X:$X,"&lt;="&amp;$I$9,операции!$L:$L,K$9,операции!$O:$O,$F90)-SUMIFS(операции!$AF:$AF,операции!$X:$X,"&gt;="&amp;$I$8,операции!$X:$X,"&lt;="&amp;$I$9,операции!$L:$L,K$9,операции!$O:$O,$F90)/SUMIFS(операции!$V:$V,операции!$X:$X,"&gt;="&amp;$I$8,операции!$X:$X,"&lt;="&amp;$I$9,операции!$L:$L,K$9,операции!$O:$O,$F90))</f>
        <v>164.49202843054809</v>
      </c>
      <c r="L90" s="156">
        <f>IF(SUMIFS(операции!$Z:$Z,операции!$X:$X,"&gt;="&amp;$I$8,операции!$X:$X,"&lt;="&amp;$I$9,операции!$L:$L,L$9,операции!$O:$O,$F90)=0,0,SUMIFS(операции!$AG:$AG,операции!$X:$X,"&gt;="&amp;$I$8,операции!$X:$X,"&lt;="&amp;$I$9,операции!$L:$L,L$9,операции!$O:$O,$F90)/SUMIFS(операции!$Z:$Z,операции!$X:$X,"&gt;="&amp;$I$8,операции!$X:$X,"&lt;="&amp;$I$9,операции!$L:$L,L$9,операции!$O:$O,$F90)-SUMIFS(операции!$AF:$AF,операции!$X:$X,"&gt;="&amp;$I$8,операции!$X:$X,"&lt;="&amp;$I$9,операции!$L:$L,L$9,операции!$O:$O,$F90)/SUMIFS(операции!$V:$V,операции!$X:$X,"&gt;="&amp;$I$8,операции!$X:$X,"&lt;="&amp;$I$9,операции!$L:$L,L$9,операции!$O:$O,$F90))</f>
        <v>5.6764621039619669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s="50" customFormat="1" ht="11.25">
      <c r="A91" s="48"/>
      <c r="B91" s="48"/>
      <c r="C91" s="48"/>
      <c r="D91" s="160"/>
      <c r="E91" s="160" t="s">
        <v>239</v>
      </c>
      <c r="F91" s="160" t="str">
        <f>F90</f>
        <v>С-Тойз</v>
      </c>
      <c r="G91" s="160" t="s">
        <v>219</v>
      </c>
      <c r="H91" s="160"/>
      <c r="I91" s="161">
        <f>IF(SUMIFS(операции!$V:$V,операции!$T:$T,"&lt;="&amp;$I$9,операции!$X:$X,"",операции!$O:$O,$F91)=0,0,$I$9-SUMIFS(операции!$AF:$AF,операции!$T:$T,"&lt;="&amp;$I$9,операции!$X:$X,"",операции!$O:$O,$F91)/SUMIFS(операции!$V:$V,операции!$T:$T,"&lt;="&amp;$I$9,операции!$X:$X,"",операции!$O:$O,$F91))</f>
        <v>196.23000080727797</v>
      </c>
      <c r="J91" s="172"/>
      <c r="K91" s="162">
        <f>IF(SUMIFS(операции!$V:$V,операции!$T:$T,"&lt;="&amp;$I$9,операции!$X:$X,"",операции!$L:$L,K$9,операции!$O:$O,$F91)=0,0,$I$9-SUMIFS(операции!$AF:$AF,операции!$T:$T,"&lt;="&amp;$I$9,операции!$X:$X,"",операции!$L:$L,K$9,операции!$O:$O,$F91)/SUMIFS(операции!$V:$V,операции!$T:$T,"&lt;="&amp;$I$9,операции!$X:$X,"",операции!$L:$L,K$9,операции!$O:$O,$F91))</f>
        <v>221.59581290838105</v>
      </c>
      <c r="L91" s="162">
        <f>IF(SUMIFS(операции!$V:$V,операции!$T:$T,"&lt;="&amp;$I$9,операции!$X:$X,"",операции!$L:$L,L$9,операции!$O:$O,$F91)=0,0,$I$9-SUMIFS(операции!$AF:$AF,операции!$T:$T,"&lt;="&amp;$I$9,операции!$X:$X,"",операции!$L:$L,L$9,операции!$O:$O,$F91)/SUMIFS(операции!$V:$V,операции!$T:$T,"&lt;="&amp;$I$9,операции!$X:$X,"",операции!$L:$L,L$9,операции!$O:$O,$F91))</f>
        <v>7.6808846761414316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s="126" customFormat="1" ht="12">
      <c r="A92" s="125"/>
      <c r="B92" s="125"/>
      <c r="C92" s="125"/>
      <c r="D92" s="128" t="s">
        <v>237</v>
      </c>
      <c r="E92" s="128"/>
      <c r="F92" s="127" t="str">
        <f>микс!H41</f>
        <v>СуперСпорт</v>
      </c>
      <c r="G92" s="128" t="s">
        <v>219</v>
      </c>
      <c r="H92" s="128"/>
      <c r="I92" s="129">
        <f>IF(SUMIFS(операции!$Z:$Z,операции!$X:$X,"&gt;="&amp;I$8,операции!$X:$X,"&lt;="&amp;I$9,операции!$O:$O,$F92)=0,I98,(SUMIFS(операции!$AG:$AG,операции!$X:$X,"&gt;="&amp;I$8,операции!$X:$X,"&lt;="&amp;I$9,операции!$O:$O,$F92)+I$9*SUMIFS(операции!$V:$V,операции!$T:$T,"&lt;="&amp;I$9,операции!$X:$X,"",операции!$O:$O,$F92))/(SUMIFS(операции!$Z:$Z,операции!$X:$X,"&gt;="&amp;I$8,операции!$X:$X,"&lt;="&amp;I$9,операции!$O:$O,$F92)+SUMIFS(операции!$V:$V,операции!$T:$T,"&lt;="&amp;I$9,операции!$X:$X,"",операции!$O:$O,$F92))-(SUMIFS(операции!$AF:$AF,операции!$X:$X,"&gt;="&amp;I$8,операции!$X:$X,"&lt;="&amp;I$9,операции!$O:$O,$F92)+SUMIFS(операции!$AF:$AF,операции!$T:$T,"&lt;="&amp;I$9,операции!$X:$X,"",операции!$O:$O,$F92))/(SUMIFS(операции!$V:$V,операции!$X:$X,"&gt;="&amp;I$8,операции!$X:$X,"&lt;="&amp;I$9,операции!$O:$O,$F92)+SUMIFS(операции!$V:$V,операции!$T:$T,"&lt;="&amp;I$9,операции!$X:$X,"",операции!$O:$O,$F92)))</f>
        <v>78.655832712836855</v>
      </c>
      <c r="J92" s="163"/>
      <c r="K92" s="130">
        <f>IF(SUMIFS(операции!$Z:$Z,операции!$X:$X,"&gt;="&amp;$I$8,операции!$X:$X,"&lt;="&amp;$I$9,операции!$L:$L,K$9,операции!$O:$O,$F92)=0,K98,(SUMIFS(операции!$AG:$AG,операции!$X:$X,"&gt;="&amp;$I$8,операции!$X:$X,"&lt;="&amp;$I$9,операции!$L:$L,K$9,операции!$O:$O,$F92)+$I$9*SUMIFS(операции!$V:$V,операции!$T:$T,"&lt;="&amp;$I$9,операции!$X:$X,"",операции!$L:$L,K$9,операции!$O:$O,$F92))/(SUMIFS(операции!$Z:$Z,операции!$X:$X,"&gt;="&amp;$I$8,операции!$X:$X,"&lt;="&amp;$I$9,операции!$L:$L,K$9,операции!$O:$O,$F92)+SUMIFS(операции!$V:$V,операции!$T:$T,"&lt;="&amp;$I$9,операции!$X:$X,"",операции!$L:$L,K$9,операции!$O:$O,$F92))-(SUMIFS(операции!$AF:$AF,операции!$X:$X,"&gt;="&amp;$I$8,операции!$X:$X,"&lt;="&amp;$I$9,операции!$L:$L,K$9,операции!$O:$O,$F92)+SUMIFS(операции!$AF:$AF,операции!$T:$T,"&lt;="&amp;$I$9,операции!$X:$X,"",операции!$L:$L,K$9,операции!$O:$O,$F92))/(SUMIFS(операции!$V:$V,операции!$X:$X,"&gt;="&amp;$I$8,операции!$X:$X,"&lt;="&amp;$I$9,операции!$L:$L,K$9,операции!$O:$O,$F92)+SUMIFS(операции!$V:$V,операции!$T:$T,"&lt;="&amp;$I$9,операции!$X:$X,"",операции!$L:$L,K$9,операции!$O:$O,$F92)))</f>
        <v>118.04323556127929</v>
      </c>
      <c r="L92" s="130">
        <f>IF(SUMIFS(операции!$Z:$Z,операции!$X:$X,"&gt;="&amp;$I$8,операции!$X:$X,"&lt;="&amp;$I$9,операции!$L:$L,L$9,операции!$O:$O,$F92)=0,L98,(SUMIFS(операции!$AG:$AG,операции!$X:$X,"&gt;="&amp;$I$8,операции!$X:$X,"&lt;="&amp;$I$9,операции!$L:$L,L$9,операции!$O:$O,$F92)+$I$9*SUMIFS(операции!$V:$V,операции!$T:$T,"&lt;="&amp;$I$9,операции!$X:$X,"",операции!$L:$L,L$9,операции!$O:$O,$F92))/(SUMIFS(операции!$Z:$Z,операции!$X:$X,"&gt;="&amp;$I$8,операции!$X:$X,"&lt;="&amp;$I$9,операции!$L:$L,L$9,операции!$O:$O,$F92)+SUMIFS(операции!$V:$V,операции!$T:$T,"&lt;="&amp;$I$9,операции!$X:$X,"",операции!$L:$L,L$9,операции!$O:$O,$F92))-(SUMIFS(операции!$AF:$AF,операции!$X:$X,"&gt;="&amp;$I$8,операции!$X:$X,"&lt;="&amp;$I$9,операции!$L:$L,L$9,операции!$O:$O,$F92)+SUMIFS(операции!$AF:$AF,операции!$T:$T,"&lt;="&amp;$I$9,операции!$X:$X,"",операции!$L:$L,L$9,операции!$O:$O,$F92))/(SUMIFS(операции!$V:$V,операции!$X:$X,"&gt;="&amp;$I$8,операции!$X:$X,"&lt;="&amp;$I$9,операции!$L:$L,L$9,операции!$O:$O,$F92)+SUMIFS(операции!$V:$V,операции!$T:$T,"&lt;="&amp;$I$9,операции!$X:$X,"",операции!$L:$L,L$9,операции!$O:$O,$F92)))</f>
        <v>5.5273729459804599</v>
      </c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</row>
    <row r="93" spans="1:27" s="50" customFormat="1" ht="11.25">
      <c r="A93" s="48"/>
      <c r="B93" s="48"/>
      <c r="C93" s="48"/>
      <c r="D93" s="154"/>
      <c r="E93" s="154" t="s">
        <v>220</v>
      </c>
      <c r="F93" s="154" t="str">
        <f>F92</f>
        <v>СуперСпорт</v>
      </c>
      <c r="G93" s="154" t="s">
        <v>219</v>
      </c>
      <c r="H93" s="154"/>
      <c r="I93" s="155">
        <f>IF(SUMIFS(операции!$Z:$Z,операции!$X:$X,"&gt;="&amp;I$8,операции!$X:$X,"&lt;="&amp;I$9,операции!$O:$O,$F93)=0,0,SUMIFS(операции!$AG:$AG,операции!$X:$X,"&gt;="&amp;I$8,операции!$X:$X,"&lt;="&amp;I$9,операции!$O:$O,$F93)/SUMIFS(операции!$Z:$Z,операции!$X:$X,"&gt;="&amp;I$8,операции!$X:$X,"&lt;="&amp;I$9,операции!$O:$O,$F93)-SUMIFS(операции!$AF:$AF,операции!$X:$X,"&gt;="&amp;I$8,операции!$X:$X,"&lt;="&amp;I$9,операции!$O:$O,$F93)/SUMIFS(операции!$V:$V,операции!$X:$X,"&gt;="&amp;I$8,операции!$X:$X,"&lt;="&amp;I$9,операции!$O:$O,$F93))</f>
        <v>58.483753637112386</v>
      </c>
      <c r="J93" s="171"/>
      <c r="K93" s="156">
        <f>IF(SUMIFS(операции!$Z:$Z,операции!$X:$X,"&gt;="&amp;$I$8,операции!$X:$X,"&lt;="&amp;$I$9,операции!$L:$L,K$9,операции!$O:$O,$F93)=0,0,SUMIFS(операции!$AG:$AG,операции!$X:$X,"&gt;="&amp;$I$8,операции!$X:$X,"&lt;="&amp;$I$9,операции!$L:$L,K$9,операции!$O:$O,$F93)/SUMIFS(операции!$Z:$Z,операции!$X:$X,"&gt;="&amp;$I$8,операции!$X:$X,"&lt;="&amp;$I$9,операции!$L:$L,K$9,операции!$O:$O,$F93)-SUMIFS(операции!$AF:$AF,операции!$X:$X,"&gt;="&amp;$I$8,операции!$X:$X,"&lt;="&amp;$I$9,операции!$L:$L,K$9,операции!$O:$O,$F93)/SUMIFS(операции!$V:$V,операции!$X:$X,"&gt;="&amp;$I$8,операции!$X:$X,"&lt;="&amp;$I$9,операции!$L:$L,K$9,операции!$O:$O,$F93))</f>
        <v>99.007317884599615</v>
      </c>
      <c r="L93" s="156">
        <f>IF(SUMIFS(операции!$Z:$Z,операции!$X:$X,"&gt;="&amp;$I$8,операции!$X:$X,"&lt;="&amp;$I$9,операции!$L:$L,L$9,операции!$O:$O,$F93)=0,0,SUMIFS(операции!$AG:$AG,операции!$X:$X,"&gt;="&amp;$I$8,операции!$X:$X,"&lt;="&amp;$I$9,операции!$L:$L,L$9,операции!$O:$O,$F93)/SUMIFS(операции!$Z:$Z,операции!$X:$X,"&gt;="&amp;$I$8,операции!$X:$X,"&lt;="&amp;$I$9,операции!$L:$L,L$9,операции!$O:$O,$F93)-SUMIFS(операции!$AF:$AF,операции!$X:$X,"&gt;="&amp;$I$8,операции!$X:$X,"&lt;="&amp;$I$9,операции!$L:$L,L$9,операции!$O:$O,$F93)/SUMIFS(операции!$V:$V,операции!$X:$X,"&gt;="&amp;$I$8,операции!$X:$X,"&lt;="&amp;$I$9,операции!$L:$L,L$9,операции!$O:$O,$F93))</f>
        <v>5.4857810002285987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s="50" customFormat="1" ht="11.25">
      <c r="A94" s="48"/>
      <c r="B94" s="48"/>
      <c r="C94" s="48"/>
      <c r="D94" s="160"/>
      <c r="E94" s="160" t="s">
        <v>239</v>
      </c>
      <c r="F94" s="160" t="str">
        <f>F93</f>
        <v>СуперСпорт</v>
      </c>
      <c r="G94" s="160" t="s">
        <v>219</v>
      </c>
      <c r="H94" s="160"/>
      <c r="I94" s="161">
        <f>IF(SUMIFS(операции!$V:$V,операции!$T:$T,"&lt;="&amp;$I$9,операции!$X:$X,"",операции!$O:$O,$F94)=0,0,$I$9-SUMIFS(операции!$AF:$AF,операции!$T:$T,"&lt;="&amp;$I$9,операции!$X:$X,"",операции!$O:$O,$F94)/SUMIFS(операции!$V:$V,операции!$T:$T,"&lt;="&amp;$I$9,операции!$X:$X,"",операции!$O:$O,$F94))</f>
        <v>148.96965712571546</v>
      </c>
      <c r="J94" s="172"/>
      <c r="K94" s="162">
        <f>IF(SUMIFS(операции!$V:$V,операции!$T:$T,"&lt;="&amp;$I$9,операции!$X:$X,"",операции!$L:$L,K$9,операции!$O:$O,$F94)=0,0,$I$9-SUMIFS(операции!$AF:$AF,операции!$T:$T,"&lt;="&amp;$I$9,операции!$X:$X,"",операции!$L:$L,K$9,операции!$O:$O,$F94)/SUMIFS(операции!$V:$V,операции!$T:$T,"&lt;="&amp;$I$9,операции!$X:$X,"",операции!$L:$L,K$9,операции!$O:$O,$F94))</f>
        <v>160.43210296052712</v>
      </c>
      <c r="L94" s="162">
        <f>IF(SUMIFS(операции!$V:$V,операции!$T:$T,"&lt;="&amp;$I$9,операции!$X:$X,"",операции!$L:$L,L$9,операции!$O:$O,$F94)=0,0,$I$9-SUMIFS(операции!$AF:$AF,операции!$T:$T,"&lt;="&amp;$I$9,операции!$X:$X,"",операции!$L:$L,L$9,операции!$O:$O,$F94)/SUMIFS(операции!$V:$V,операции!$T:$T,"&lt;="&amp;$I$9,операции!$X:$X,"",операции!$L:$L,L$9,операции!$O:$O,$F94))</f>
        <v>9.8851339804314193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s="126" customFormat="1" ht="12">
      <c r="A95" s="125"/>
      <c r="B95" s="125"/>
      <c r="C95" s="125"/>
      <c r="D95" s="128" t="s">
        <v>237</v>
      </c>
      <c r="E95" s="128"/>
      <c r="F95" s="127" t="str">
        <f>микс!H42</f>
        <v>ФорКидс</v>
      </c>
      <c r="G95" s="128" t="s">
        <v>219</v>
      </c>
      <c r="H95" s="128"/>
      <c r="I95" s="129">
        <f>IF(SUMIFS(операции!$Z:$Z,операции!$X:$X,"&gt;="&amp;I$8,операции!$X:$X,"&lt;="&amp;I$9,операции!$O:$O,$F95)=0,#REF!,(SUMIFS(операции!$AG:$AG,операции!$X:$X,"&gt;="&amp;I$8,операции!$X:$X,"&lt;="&amp;I$9,операции!$O:$O,$F95)+I$9*SUMIFS(операции!$V:$V,операции!$T:$T,"&lt;="&amp;I$9,операции!$X:$X,"",операции!$O:$O,$F95))/(SUMIFS(операции!$Z:$Z,операции!$X:$X,"&gt;="&amp;I$8,операции!$X:$X,"&lt;="&amp;I$9,операции!$O:$O,$F95)+SUMIFS(операции!$V:$V,операции!$T:$T,"&lt;="&amp;I$9,операции!$X:$X,"",операции!$O:$O,$F95))-(SUMIFS(операции!$AF:$AF,операции!$X:$X,"&gt;="&amp;I$8,операции!$X:$X,"&lt;="&amp;I$9,операции!$O:$O,$F95)+SUMIFS(операции!$AF:$AF,операции!$T:$T,"&lt;="&amp;I$9,операции!$X:$X,"",операции!$O:$O,$F95))/(SUMIFS(операции!$V:$V,операции!$X:$X,"&gt;="&amp;I$8,операции!$X:$X,"&lt;="&amp;I$9,операции!$O:$O,$F95)+SUMIFS(операции!$V:$V,операции!$T:$T,"&lt;="&amp;I$9,операции!$X:$X,"",операции!$O:$O,$F95)))</f>
        <v>53.924221530018258</v>
      </c>
      <c r="J95" s="163"/>
      <c r="K95" s="130">
        <f>IF(SUMIFS(операции!$Z:$Z,операции!$X:$X,"&gt;="&amp;$I$8,операции!$X:$X,"&lt;="&amp;$I$9,операции!$L:$L,K$9,операции!$O:$O,$F95)=0,#REF!,(SUMIFS(операции!$AG:$AG,операции!$X:$X,"&gt;="&amp;$I$8,операции!$X:$X,"&lt;="&amp;$I$9,операции!$L:$L,K$9,операции!$O:$O,$F95)+$I$9*SUMIFS(операции!$V:$V,операции!$T:$T,"&lt;="&amp;$I$9,операции!$X:$X,"",операции!$L:$L,K$9,операции!$O:$O,$F95))/(SUMIFS(операции!$Z:$Z,операции!$X:$X,"&gt;="&amp;$I$8,операции!$X:$X,"&lt;="&amp;$I$9,операции!$L:$L,K$9,операции!$O:$O,$F95)+SUMIFS(операции!$V:$V,операции!$T:$T,"&lt;="&amp;$I$9,операции!$X:$X,"",операции!$L:$L,K$9,операции!$O:$O,$F95))-(SUMIFS(операции!$AF:$AF,операции!$X:$X,"&gt;="&amp;$I$8,операции!$X:$X,"&lt;="&amp;$I$9,операции!$L:$L,K$9,операции!$O:$O,$F95)+SUMIFS(операции!$AF:$AF,операции!$T:$T,"&lt;="&amp;$I$9,операции!$X:$X,"",операции!$L:$L,K$9,операции!$O:$O,$F95))/(SUMIFS(операции!$V:$V,операции!$X:$X,"&gt;="&amp;$I$8,операции!$X:$X,"&lt;="&amp;$I$9,операции!$L:$L,K$9,операции!$O:$O,$F95)+SUMIFS(операции!$V:$V,операции!$T:$T,"&lt;="&amp;$I$9,операции!$X:$X,"",операции!$L:$L,K$9,операции!$O:$O,$F95)))</f>
        <v>134.68639121543674</v>
      </c>
      <c r="L95" s="130">
        <f>IF(SUMIFS(операции!$Z:$Z,операции!$X:$X,"&gt;="&amp;$I$8,операции!$X:$X,"&lt;="&amp;$I$9,операции!$L:$L,L$9,операции!$O:$O,$F95)=0,#REF!,(SUMIFS(операции!$AG:$AG,операции!$X:$X,"&gt;="&amp;$I$8,операции!$X:$X,"&lt;="&amp;$I$9,операции!$L:$L,L$9,операции!$O:$O,$F95)+$I$9*SUMIFS(операции!$V:$V,операции!$T:$T,"&lt;="&amp;$I$9,операции!$X:$X,"",операции!$L:$L,L$9,операции!$O:$O,$F95))/(SUMIFS(операции!$Z:$Z,операции!$X:$X,"&gt;="&amp;$I$8,операции!$X:$X,"&lt;="&amp;$I$9,операции!$L:$L,L$9,операции!$O:$O,$F95)+SUMIFS(операции!$V:$V,операции!$T:$T,"&lt;="&amp;$I$9,операции!$X:$X,"",операции!$L:$L,L$9,операции!$O:$O,$F95))-(SUMIFS(операции!$AF:$AF,операции!$X:$X,"&gt;="&amp;$I$8,операции!$X:$X,"&lt;="&amp;$I$9,операции!$L:$L,L$9,операции!$O:$O,$F95)+SUMIFS(операции!$AF:$AF,операции!$T:$T,"&lt;="&amp;$I$9,операции!$X:$X,"",операции!$L:$L,L$9,операции!$O:$O,$F95))/(SUMIFS(операции!$V:$V,операции!$X:$X,"&gt;="&amp;$I$8,операции!$X:$X,"&lt;="&amp;$I$9,операции!$L:$L,L$9,операции!$O:$O,$F95)+SUMIFS(операции!$V:$V,операции!$T:$T,"&lt;="&amp;$I$9,операции!$X:$X,"",операции!$L:$L,L$9,операции!$O:$O,$F95)))</f>
        <v>5.3030670359657961</v>
      </c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</row>
    <row r="96" spans="1:27" s="50" customFormat="1" ht="11.25">
      <c r="A96" s="48"/>
      <c r="B96" s="48"/>
      <c r="C96" s="48"/>
      <c r="D96" s="154"/>
      <c r="E96" s="154" t="s">
        <v>220</v>
      </c>
      <c r="F96" s="154" t="str">
        <f>F95</f>
        <v>ФорКидс</v>
      </c>
      <c r="G96" s="154" t="s">
        <v>219</v>
      </c>
      <c r="H96" s="154"/>
      <c r="I96" s="155">
        <f>IF(SUMIFS(операции!$Z:$Z,операции!$X:$X,"&gt;="&amp;I$8,операции!$X:$X,"&lt;="&amp;I$9,операции!$O:$O,$F96)=0,0,SUMIFS(операции!$AG:$AG,операции!$X:$X,"&gt;="&amp;I$8,операции!$X:$X,"&lt;="&amp;I$9,операции!$O:$O,$F96)/SUMIFS(операции!$Z:$Z,операции!$X:$X,"&gt;="&amp;I$8,операции!$X:$X,"&lt;="&amp;I$9,операции!$O:$O,$F96)-SUMIFS(операции!$AF:$AF,операции!$X:$X,"&gt;="&amp;I$8,операции!$X:$X,"&lt;="&amp;I$9,операции!$O:$O,$F96)/SUMIFS(операции!$V:$V,операции!$X:$X,"&gt;="&amp;I$8,операции!$X:$X,"&lt;="&amp;I$9,операции!$O:$O,$F96))</f>
        <v>36.209591077611549</v>
      </c>
      <c r="J96" s="171"/>
      <c r="K96" s="156">
        <f>IF(SUMIFS(операции!$Z:$Z,операции!$X:$X,"&gt;="&amp;$I$8,операции!$X:$X,"&lt;="&amp;$I$9,операции!$L:$L,K$9,операции!$O:$O,$F96)=0,0,SUMIFS(операции!$AG:$AG,операции!$X:$X,"&gt;="&amp;$I$8,операции!$X:$X,"&lt;="&amp;$I$9,операции!$L:$L,K$9,операции!$O:$O,$F96)/SUMIFS(операции!$Z:$Z,операции!$X:$X,"&gt;="&amp;$I$8,операции!$X:$X,"&lt;="&amp;$I$9,операции!$L:$L,K$9,операции!$O:$O,$F96)-SUMIFS(операции!$AF:$AF,операции!$X:$X,"&gt;="&amp;$I$8,операции!$X:$X,"&lt;="&amp;$I$9,операции!$L:$L,K$9,операции!$O:$O,$F96)/SUMIFS(операции!$V:$V,операции!$X:$X,"&gt;="&amp;$I$8,операции!$X:$X,"&lt;="&amp;$I$9,операции!$L:$L,K$9,операции!$O:$O,$F96))</f>
        <v>115.19411292644509</v>
      </c>
      <c r="L96" s="156">
        <f>IF(SUMIFS(операции!$Z:$Z,операции!$X:$X,"&gt;="&amp;$I$8,операции!$X:$X,"&lt;="&amp;$I$9,операции!$L:$L,L$9,операции!$O:$O,$F96)=0,0,SUMIFS(операции!$AG:$AG,операции!$X:$X,"&gt;="&amp;$I$8,операции!$X:$X,"&lt;="&amp;$I$9,операции!$L:$L,L$9,операции!$O:$O,$F96)/SUMIFS(операции!$Z:$Z,операции!$X:$X,"&gt;="&amp;$I$8,операции!$X:$X,"&lt;="&amp;$I$9,операции!$L:$L,L$9,операции!$O:$O,$F96)-SUMIFS(операции!$AF:$AF,операции!$X:$X,"&gt;="&amp;$I$8,операции!$X:$X,"&lt;="&amp;$I$9,операции!$L:$L,L$9,операции!$O:$O,$F96)/SUMIFS(операции!$V:$V,операции!$X:$X,"&gt;="&amp;$I$8,операции!$X:$X,"&lt;="&amp;$I$9,операции!$L:$L,L$9,операции!$O:$O,$F96))</f>
        <v>5.3141821803437779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s="50" customFormat="1" ht="11.25">
      <c r="A97" s="48"/>
      <c r="B97" s="48"/>
      <c r="C97" s="48"/>
      <c r="D97" s="160"/>
      <c r="E97" s="160" t="s">
        <v>239</v>
      </c>
      <c r="F97" s="160" t="str">
        <f>F96</f>
        <v>ФорКидс</v>
      </c>
      <c r="G97" s="160" t="s">
        <v>219</v>
      </c>
      <c r="H97" s="160"/>
      <c r="I97" s="161">
        <f>IF(SUMIFS(операции!$V:$V,операции!$T:$T,"&lt;="&amp;$I$9,операции!$X:$X,"",операции!$O:$O,$F97)=0,0,$I$9-SUMIFS(операции!$AF:$AF,операции!$T:$T,"&lt;="&amp;$I$9,операции!$X:$X,"",операции!$O:$O,$F97)/SUMIFS(операции!$V:$V,операции!$T:$T,"&lt;="&amp;$I$9,операции!$X:$X,"",операции!$O:$O,$F97))</f>
        <v>154.92321508834721</v>
      </c>
      <c r="J97" s="172"/>
      <c r="K97" s="162">
        <f>IF(SUMIFS(операции!$V:$V,операции!$T:$T,"&lt;="&amp;$I$9,операции!$X:$X,"",операции!$L:$L,K$9,операции!$O:$O,$F97)=0,0,$I$9-SUMIFS(операции!$AF:$AF,операции!$T:$T,"&lt;="&amp;$I$9,операции!$X:$X,"",операции!$L:$L,K$9,операции!$O:$O,$F97)/SUMIFS(операции!$V:$V,операции!$T:$T,"&lt;="&amp;$I$9,операции!$X:$X,"",операции!$L:$L,K$9,операции!$O:$O,$F97))</f>
        <v>171.04211312613916</v>
      </c>
      <c r="L97" s="162">
        <f>IF(SUMIFS(операции!$V:$V,операции!$T:$T,"&lt;="&amp;$I$9,операции!$X:$X,"",операции!$L:$L,L$9,операции!$O:$O,$F97)=0,0,$I$9-SUMIFS(операции!$AF:$AF,операции!$T:$T,"&lt;="&amp;$I$9,операции!$X:$X,"",операции!$L:$L,L$9,операции!$O:$O,$F97)/SUMIFS(операции!$V:$V,операции!$T:$T,"&lt;="&amp;$I$9,операции!$X:$X,"",операции!$L:$L,L$9,операции!$O:$O,$F97))</f>
        <v>8.6650003893737448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s="126" customFormat="1" ht="12">
      <c r="A98" s="125"/>
      <c r="B98" s="125"/>
      <c r="C98" s="125"/>
      <c r="D98" s="128" t="s">
        <v>237</v>
      </c>
      <c r="E98" s="128"/>
      <c r="F98" s="127" t="str">
        <f>микс!H43</f>
        <v>ЭлектроФор</v>
      </c>
      <c r="G98" s="128" t="s">
        <v>219</v>
      </c>
      <c r="H98" s="128"/>
      <c r="I98" s="129">
        <f>IF(SUMIFS(операции!$Z:$Z,операции!$X:$X,"&gt;="&amp;I$8,операции!$X:$X,"&lt;="&amp;I$9,операции!$O:$O,$F98)=0,#REF!,(SUMIFS(операции!$AG:$AG,операции!$X:$X,"&gt;="&amp;I$8,операции!$X:$X,"&lt;="&amp;I$9,операции!$O:$O,$F98)+I$9*SUMIFS(операции!$V:$V,операции!$T:$T,"&lt;="&amp;I$9,операции!$X:$X,"",операции!$O:$O,$F98))/(SUMIFS(операции!$Z:$Z,операции!$X:$X,"&gt;="&amp;I$8,операции!$X:$X,"&lt;="&amp;I$9,операции!$O:$O,$F98)+SUMIFS(операции!$V:$V,операции!$T:$T,"&lt;="&amp;I$9,операции!$X:$X,"",операции!$O:$O,$F98))-(SUMIFS(операции!$AF:$AF,операции!$X:$X,"&gt;="&amp;I$8,операции!$X:$X,"&lt;="&amp;I$9,операции!$O:$O,$F98)+SUMIFS(операции!$AF:$AF,операции!$T:$T,"&lt;="&amp;I$9,операции!$X:$X,"",операции!$O:$O,$F98))/(SUMIFS(операции!$V:$V,операции!$X:$X,"&gt;="&amp;I$8,операции!$X:$X,"&lt;="&amp;I$9,операции!$O:$O,$F98)+SUMIFS(операции!$V:$V,операции!$T:$T,"&lt;="&amp;I$9,операции!$X:$X,"",операции!$O:$O,$F98)))</f>
        <v>33.644075582924415</v>
      </c>
      <c r="J98" s="163"/>
      <c r="K98" s="130">
        <f>IF(SUMIFS(операции!$Z:$Z,операции!$X:$X,"&gt;="&amp;$I$8,операции!$X:$X,"&lt;="&amp;$I$9,операции!$L:$L,K$9,операции!$O:$O,$F98)=0,#REF!,(SUMIFS(операции!$AG:$AG,операции!$X:$X,"&gt;="&amp;$I$8,операции!$X:$X,"&lt;="&amp;$I$9,операции!$L:$L,K$9,операции!$O:$O,$F98)+$I$9*SUMIFS(операции!$V:$V,операции!$T:$T,"&lt;="&amp;$I$9,операции!$X:$X,"",операции!$L:$L,K$9,операции!$O:$O,$F98))/(SUMIFS(операции!$Z:$Z,операции!$X:$X,"&gt;="&amp;$I$8,операции!$X:$X,"&lt;="&amp;$I$9,операции!$L:$L,K$9,операции!$O:$O,$F98)+SUMIFS(операции!$V:$V,операции!$T:$T,"&lt;="&amp;$I$9,операции!$X:$X,"",операции!$L:$L,K$9,операции!$O:$O,$F98))-(SUMIFS(операции!$AF:$AF,операции!$X:$X,"&gt;="&amp;$I$8,операции!$X:$X,"&lt;="&amp;$I$9,операции!$L:$L,K$9,операции!$O:$O,$F98)+SUMIFS(операции!$AF:$AF,операции!$T:$T,"&lt;="&amp;$I$9,операции!$X:$X,"",операции!$L:$L,K$9,операции!$O:$O,$F98))/(SUMIFS(операции!$V:$V,операции!$X:$X,"&gt;="&amp;$I$8,операции!$X:$X,"&lt;="&amp;$I$9,операции!$L:$L,K$9,операции!$O:$O,$F98)+SUMIFS(операции!$V:$V,операции!$T:$T,"&lt;="&amp;$I$9,операции!$X:$X,"",операции!$L:$L,K$9,операции!$O:$O,$F98)))</f>
        <v>96.0969574413175</v>
      </c>
      <c r="L98" s="130">
        <f>IF(SUMIFS(операции!$Z:$Z,операции!$X:$X,"&gt;="&amp;$I$8,операции!$X:$X,"&lt;="&amp;$I$9,операции!$L:$L,L$9,операции!$O:$O,$F98)=0,#REF!,(SUMIFS(операции!$AG:$AG,операции!$X:$X,"&gt;="&amp;$I$8,операции!$X:$X,"&lt;="&amp;$I$9,операции!$L:$L,L$9,операции!$O:$O,$F98)+$I$9*SUMIFS(операции!$V:$V,операции!$T:$T,"&lt;="&amp;$I$9,операции!$X:$X,"",операции!$L:$L,L$9,операции!$O:$O,$F98))/(SUMIFS(операции!$Z:$Z,операции!$X:$X,"&gt;="&amp;$I$8,операции!$X:$X,"&lt;="&amp;$I$9,операции!$L:$L,L$9,операции!$O:$O,$F98)+SUMIFS(операции!$V:$V,операции!$T:$T,"&lt;="&amp;$I$9,операции!$X:$X,"",операции!$L:$L,L$9,операции!$O:$O,$F98))-(SUMIFS(операции!$AF:$AF,операции!$X:$X,"&gt;="&amp;$I$8,операции!$X:$X,"&lt;="&amp;$I$9,операции!$L:$L,L$9,операции!$O:$O,$F98)+SUMIFS(операции!$AF:$AF,операции!$T:$T,"&lt;="&amp;$I$9,операции!$X:$X,"",операции!$L:$L,L$9,операции!$O:$O,$F98))/(SUMIFS(операции!$V:$V,операции!$X:$X,"&gt;="&amp;$I$8,операции!$X:$X,"&lt;="&amp;$I$9,операции!$L:$L,L$9,операции!$O:$O,$F98)+SUMIFS(операции!$V:$V,операции!$T:$T,"&lt;="&amp;$I$9,операции!$X:$X,"",операции!$L:$L,L$9,операции!$O:$O,$F98)))</f>
        <v>5.7534186394914286</v>
      </c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</row>
    <row r="99" spans="1:27" s="50" customFormat="1" ht="11.25">
      <c r="A99" s="48"/>
      <c r="B99" s="48"/>
      <c r="C99" s="48"/>
      <c r="D99" s="154"/>
      <c r="E99" s="154" t="s">
        <v>220</v>
      </c>
      <c r="F99" s="154" t="str">
        <f>F98</f>
        <v>ЭлектроФор</v>
      </c>
      <c r="G99" s="154" t="s">
        <v>219</v>
      </c>
      <c r="H99" s="154"/>
      <c r="I99" s="155">
        <f>IF(SUMIFS(операции!$Z:$Z,операции!$X:$X,"&gt;="&amp;I$8,операции!$X:$X,"&lt;="&amp;I$9,операции!$O:$O,$F99)=0,0,SUMIFS(операции!$AG:$AG,операции!$X:$X,"&gt;="&amp;I$8,операции!$X:$X,"&lt;="&amp;I$9,операции!$O:$O,$F99)/SUMIFS(операции!$Z:$Z,операции!$X:$X,"&gt;="&amp;I$8,операции!$X:$X,"&lt;="&amp;I$9,операции!$O:$O,$F99)-SUMIFS(операции!$AF:$AF,операции!$X:$X,"&gt;="&amp;I$8,операции!$X:$X,"&lt;="&amp;I$9,операции!$O:$O,$F99)/SUMIFS(операции!$V:$V,операции!$X:$X,"&gt;="&amp;I$8,операции!$X:$X,"&lt;="&amp;I$9,операции!$O:$O,$F99))</f>
        <v>19.840095062507316</v>
      </c>
      <c r="J99" s="171"/>
      <c r="K99" s="156">
        <f>IF(SUMIFS(операции!$Z:$Z,операции!$X:$X,"&gt;="&amp;$I$8,операции!$X:$X,"&lt;="&amp;$I$9,операции!$L:$L,K$9,операции!$O:$O,$F99)=0,0,SUMIFS(операции!$AG:$AG,операции!$X:$X,"&gt;="&amp;$I$8,операции!$X:$X,"&lt;="&amp;$I$9,операции!$L:$L,K$9,операции!$O:$O,$F99)/SUMIFS(операции!$Z:$Z,операции!$X:$X,"&gt;="&amp;$I$8,операции!$X:$X,"&lt;="&amp;$I$9,операции!$L:$L,K$9,операции!$O:$O,$F99)-SUMIFS(операции!$AF:$AF,операции!$X:$X,"&gt;="&amp;$I$8,операции!$X:$X,"&lt;="&amp;$I$9,операции!$L:$L,K$9,операции!$O:$O,$F99)/SUMIFS(операции!$V:$V,операции!$X:$X,"&gt;="&amp;$I$8,операции!$X:$X,"&lt;="&amp;$I$9,операции!$L:$L,K$9,операции!$O:$O,$F99))</f>
        <v>83.03201744092803</v>
      </c>
      <c r="L99" s="156">
        <f>IF(SUMIFS(операции!$Z:$Z,операции!$X:$X,"&gt;="&amp;$I$8,операции!$X:$X,"&lt;="&amp;$I$9,операции!$L:$L,L$9,операции!$O:$O,$F99)=0,0,SUMIFS(операции!$AG:$AG,операции!$X:$X,"&gt;="&amp;$I$8,операции!$X:$X,"&lt;="&amp;$I$9,операции!$L:$L,L$9,операции!$O:$O,$F99)/SUMIFS(операции!$Z:$Z,операции!$X:$X,"&gt;="&amp;$I$8,операции!$X:$X,"&lt;="&amp;$I$9,операции!$L:$L,L$9,операции!$O:$O,$F99)-SUMIFS(операции!$AF:$AF,операции!$X:$X,"&gt;="&amp;$I$8,операции!$X:$X,"&lt;="&amp;$I$9,операции!$L:$L,L$9,операции!$O:$O,$F99)/SUMIFS(операции!$V:$V,операции!$X:$X,"&gt;="&amp;$I$8,операции!$X:$X,"&lt;="&amp;$I$9,операции!$L:$L,L$9,операции!$O:$O,$F99))</f>
        <v>5.7534186394914286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s="50" customFormat="1" ht="11.25">
      <c r="A100" s="48"/>
      <c r="B100" s="48"/>
      <c r="C100" s="48"/>
      <c r="D100" s="160"/>
      <c r="E100" s="160" t="s">
        <v>239</v>
      </c>
      <c r="F100" s="160" t="str">
        <f>F99</f>
        <v>ЭлектроФор</v>
      </c>
      <c r="G100" s="160" t="s">
        <v>219</v>
      </c>
      <c r="H100" s="160"/>
      <c r="I100" s="161">
        <f>IF(SUMIFS(операции!$V:$V,операции!$T:$T,"&lt;="&amp;$I$9,операции!$X:$X,"",операции!$O:$O,$F100)=0,0,$I$9-SUMIFS(операции!$AF:$AF,операции!$T:$T,"&lt;="&amp;$I$9,операции!$X:$X,"",операции!$O:$O,$F100)/SUMIFS(операции!$V:$V,операции!$T:$T,"&lt;="&amp;$I$9,операции!$X:$X,"",операции!$O:$O,$F100))</f>
        <v>110.60945812414138</v>
      </c>
      <c r="J100" s="172"/>
      <c r="K100" s="162">
        <f>IF(SUMIFS(операции!$V:$V,операции!$T:$T,"&lt;="&amp;$I$9,операции!$X:$X,"",операции!$L:$L,K$9,операции!$O:$O,$F100)=0,0,$I$9-SUMIFS(операции!$AF:$AF,операции!$T:$T,"&lt;="&amp;$I$9,операции!$X:$X,"",операции!$L:$L,K$9,операции!$O:$O,$F100)/SUMIFS(операции!$V:$V,операции!$T:$T,"&lt;="&amp;$I$9,операции!$X:$X,"",операции!$L:$L,K$9,операции!$O:$O,$F100))</f>
        <v>110.60945812414138</v>
      </c>
      <c r="L100" s="162">
        <f>IF(SUMIFS(операции!$V:$V,операции!$T:$T,"&lt;="&amp;$I$9,операции!$X:$X,"",операции!$L:$L,L$9,операции!$O:$O,$F100)=0,0,$I$9-SUMIFS(операции!$AF:$AF,операции!$T:$T,"&lt;="&amp;$I$9,операции!$X:$X,"",операции!$L:$L,L$9,операции!$O:$O,$F100)/SUMIFS(операции!$V:$V,операции!$T:$T,"&lt;="&amp;$I$9,операции!$X:$X,"",операции!$L:$L,L$9,операции!$O:$O,$F100))</f>
        <v>0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27">
      <c r="A101" s="12"/>
      <c r="B101" s="12"/>
      <c r="C101" s="12"/>
      <c r="D101" s="131"/>
      <c r="E101" s="131"/>
      <c r="F101" s="131"/>
      <c r="G101" s="131"/>
      <c r="H101" s="131"/>
      <c r="I101" s="132"/>
      <c r="J101" s="133"/>
      <c r="K101" s="134"/>
      <c r="L101" s="13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>
      <c r="A102" s="12"/>
      <c r="B102" s="12"/>
      <c r="C102" s="12"/>
      <c r="D102" s="12"/>
      <c r="E102" s="12"/>
      <c r="F102" s="12"/>
      <c r="G102" s="12"/>
      <c r="H102" s="12"/>
      <c r="I102" s="1"/>
      <c r="J102" s="104"/>
      <c r="K102" s="6"/>
      <c r="L102" s="6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>
      <c r="A103" s="12"/>
      <c r="B103" s="12"/>
      <c r="C103" s="12"/>
      <c r="D103" s="12"/>
      <c r="E103" s="12"/>
      <c r="F103" s="12"/>
      <c r="G103" s="12"/>
      <c r="H103" s="12"/>
      <c r="I103" s="1"/>
      <c r="J103" s="104"/>
      <c r="K103" s="6"/>
      <c r="L103" s="6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>
      <c r="A104" s="12"/>
      <c r="B104" s="12"/>
      <c r="C104" s="12"/>
      <c r="D104" s="12"/>
      <c r="E104" s="12"/>
      <c r="F104" s="12"/>
      <c r="G104" s="12"/>
      <c r="H104" s="12"/>
      <c r="I104" s="1"/>
      <c r="J104" s="104"/>
      <c r="K104" s="6"/>
      <c r="L104" s="6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>
      <c r="A105" s="12"/>
      <c r="B105" s="12"/>
      <c r="C105" s="12"/>
      <c r="D105" s="12"/>
      <c r="E105" s="12"/>
      <c r="F105" s="12"/>
      <c r="G105" s="12"/>
      <c r="H105" s="12"/>
      <c r="I105" s="1"/>
      <c r="J105" s="104"/>
      <c r="K105" s="6"/>
      <c r="L105" s="6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>
      <c r="A106" s="12"/>
      <c r="B106" s="12"/>
      <c r="C106" s="12"/>
      <c r="D106" s="12"/>
      <c r="E106" s="12"/>
      <c r="F106" s="12"/>
      <c r="G106" s="12"/>
      <c r="H106" s="12"/>
      <c r="I106" s="1"/>
      <c r="J106" s="104"/>
      <c r="K106" s="6"/>
      <c r="L106" s="6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>
      <c r="A107" s="12"/>
      <c r="B107" s="12"/>
      <c r="C107" s="12"/>
      <c r="D107" s="12"/>
      <c r="E107" s="12"/>
      <c r="F107" s="12"/>
      <c r="G107" s="12"/>
      <c r="H107" s="12"/>
      <c r="I107" s="1"/>
      <c r="J107" s="104"/>
      <c r="K107" s="6"/>
      <c r="L107" s="6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>
      <c r="A108" s="12"/>
      <c r="B108" s="12"/>
      <c r="C108" s="12"/>
      <c r="D108" s="12"/>
      <c r="E108" s="12"/>
      <c r="F108" s="12"/>
      <c r="G108" s="12"/>
      <c r="H108" s="12"/>
      <c r="I108" s="1"/>
      <c r="J108" s="104"/>
      <c r="K108" s="6"/>
      <c r="L108" s="6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>
      <c r="A109" s="12"/>
      <c r="B109" s="12"/>
      <c r="C109" s="12"/>
      <c r="D109" s="12"/>
      <c r="E109" s="12"/>
      <c r="F109" s="12"/>
      <c r="G109" s="12"/>
      <c r="H109" s="12"/>
      <c r="I109" s="1"/>
      <c r="J109" s="104"/>
      <c r="K109" s="6"/>
      <c r="L109" s="6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>
      <c r="A110" s="12"/>
      <c r="B110" s="12"/>
      <c r="C110" s="12"/>
      <c r="D110" s="12"/>
      <c r="E110" s="12"/>
      <c r="F110" s="12"/>
      <c r="G110" s="12"/>
      <c r="H110" s="12"/>
      <c r="I110" s="1"/>
      <c r="J110" s="104"/>
      <c r="K110" s="6"/>
      <c r="L110" s="6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>
      <c r="A111" s="12"/>
      <c r="B111" s="12"/>
      <c r="C111" s="12"/>
      <c r="D111" s="12"/>
      <c r="E111" s="12"/>
      <c r="F111" s="12"/>
      <c r="G111" s="12"/>
      <c r="H111" s="12"/>
      <c r="I111" s="1"/>
      <c r="J111" s="104"/>
      <c r="K111" s="6"/>
      <c r="L111" s="6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>
      <c r="A112" s="12"/>
      <c r="B112" s="12"/>
      <c r="C112" s="12"/>
      <c r="D112" s="12"/>
      <c r="E112" s="12"/>
      <c r="F112" s="12"/>
      <c r="G112" s="12"/>
      <c r="H112" s="12"/>
      <c r="I112" s="1"/>
      <c r="J112" s="104"/>
      <c r="K112" s="6"/>
      <c r="L112" s="6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>
      <c r="A113" s="12"/>
      <c r="B113" s="12"/>
      <c r="C113" s="12"/>
      <c r="D113" s="12"/>
      <c r="E113" s="12"/>
      <c r="F113" s="12"/>
      <c r="G113" s="12"/>
      <c r="H113" s="12"/>
      <c r="I113" s="1"/>
      <c r="J113" s="104"/>
      <c r="K113" s="6"/>
      <c r="L113" s="6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>
      <c r="A114" s="12"/>
      <c r="B114" s="12"/>
      <c r="C114" s="12"/>
      <c r="D114" s="12"/>
      <c r="E114" s="12"/>
      <c r="F114" s="12"/>
      <c r="G114" s="12"/>
      <c r="H114" s="12"/>
      <c r="I114" s="1"/>
      <c r="J114" s="104"/>
      <c r="K114" s="6"/>
      <c r="L114" s="6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>
      <c r="A115" s="12"/>
      <c r="B115" s="12"/>
      <c r="C115" s="12"/>
      <c r="D115" s="12"/>
      <c r="E115" s="12"/>
      <c r="F115" s="12"/>
      <c r="G115" s="12"/>
      <c r="H115" s="12"/>
      <c r="I115" s="1"/>
      <c r="J115" s="104"/>
      <c r="K115" s="6"/>
      <c r="L115" s="6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>
      <c r="A116" s="12"/>
      <c r="B116" s="12"/>
      <c r="C116" s="12"/>
      <c r="D116" s="12"/>
      <c r="E116" s="12"/>
      <c r="F116" s="12"/>
      <c r="G116" s="12"/>
      <c r="H116" s="12"/>
      <c r="I116" s="1"/>
      <c r="J116" s="104"/>
      <c r="K116" s="6"/>
      <c r="L116" s="6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>
      <c r="A117" s="12"/>
      <c r="B117" s="12"/>
      <c r="C117" s="12"/>
      <c r="D117" s="12"/>
      <c r="E117" s="12"/>
      <c r="F117" s="12"/>
      <c r="G117" s="12"/>
      <c r="H117" s="12"/>
      <c r="I117" s="1"/>
      <c r="J117" s="104"/>
      <c r="K117" s="6"/>
      <c r="L117" s="6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>
      <c r="A118" s="12"/>
      <c r="B118" s="12"/>
      <c r="C118" s="12"/>
      <c r="D118" s="12"/>
      <c r="E118" s="12"/>
      <c r="F118" s="12"/>
      <c r="G118" s="12"/>
      <c r="H118" s="12"/>
      <c r="I118" s="1"/>
      <c r="J118" s="104"/>
      <c r="K118" s="6"/>
      <c r="L118" s="6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>
      <c r="A119" s="12"/>
      <c r="B119" s="12"/>
      <c r="C119" s="12"/>
      <c r="D119" s="12"/>
      <c r="E119" s="12"/>
      <c r="F119" s="12"/>
      <c r="G119" s="12"/>
      <c r="H119" s="12"/>
      <c r="I119" s="1"/>
      <c r="J119" s="104"/>
      <c r="K119" s="6"/>
      <c r="L119" s="6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>
      <c r="A120" s="12"/>
      <c r="B120" s="12"/>
      <c r="C120" s="12"/>
      <c r="D120" s="12"/>
      <c r="E120" s="12"/>
      <c r="F120" s="12"/>
      <c r="G120" s="12"/>
      <c r="H120" s="12"/>
      <c r="I120" s="1"/>
      <c r="J120" s="104"/>
      <c r="K120" s="6"/>
      <c r="L120" s="6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>
      <c r="A121" s="12"/>
      <c r="B121" s="12"/>
      <c r="C121" s="12"/>
      <c r="D121" s="12"/>
      <c r="E121" s="12"/>
      <c r="F121" s="12"/>
      <c r="G121" s="12"/>
      <c r="H121" s="12"/>
      <c r="I121" s="1"/>
      <c r="J121" s="104"/>
      <c r="K121" s="6"/>
      <c r="L121" s="6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>
      <c r="A122" s="12"/>
      <c r="B122" s="12"/>
      <c r="C122" s="12"/>
      <c r="D122" s="12"/>
      <c r="E122" s="12"/>
      <c r="F122" s="12"/>
      <c r="G122" s="12"/>
      <c r="H122" s="12"/>
      <c r="I122" s="1"/>
      <c r="J122" s="104"/>
      <c r="K122" s="6"/>
      <c r="L122" s="6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</row>
    <row r="123" spans="1:27">
      <c r="A123" s="12"/>
      <c r="B123" s="12"/>
      <c r="C123" s="12"/>
      <c r="D123" s="12"/>
      <c r="E123" s="12"/>
      <c r="F123" s="12"/>
      <c r="G123" s="12"/>
      <c r="H123" s="12"/>
      <c r="I123" s="1"/>
      <c r="J123" s="104"/>
      <c r="K123" s="6"/>
      <c r="L123" s="6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</row>
    <row r="124" spans="1:27">
      <c r="A124" s="12"/>
      <c r="B124" s="12"/>
      <c r="C124" s="12"/>
      <c r="D124" s="12"/>
      <c r="E124" s="12"/>
      <c r="F124" s="12"/>
      <c r="G124" s="12"/>
      <c r="H124" s="12"/>
      <c r="I124" s="1"/>
      <c r="J124" s="104"/>
      <c r="K124" s="6"/>
      <c r="L124" s="6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>
      <c r="A125" s="12"/>
      <c r="B125" s="12"/>
      <c r="C125" s="12"/>
      <c r="D125" s="12"/>
      <c r="E125" s="12"/>
      <c r="F125" s="12"/>
      <c r="G125" s="12"/>
      <c r="H125" s="12"/>
      <c r="I125" s="1"/>
      <c r="J125" s="104"/>
      <c r="K125" s="6"/>
      <c r="L125" s="6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>
      <c r="A126" s="12"/>
      <c r="B126" s="12"/>
      <c r="C126" s="12"/>
      <c r="D126" s="12"/>
      <c r="E126" s="12"/>
      <c r="F126" s="12"/>
      <c r="G126" s="12"/>
      <c r="H126" s="12"/>
      <c r="I126" s="1"/>
      <c r="J126" s="104"/>
      <c r="K126" s="6"/>
      <c r="L126" s="6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>
      <c r="A127" s="12"/>
      <c r="B127" s="12"/>
      <c r="C127" s="12"/>
      <c r="D127" s="12"/>
      <c r="E127" s="12"/>
      <c r="F127" s="12"/>
      <c r="G127" s="12"/>
      <c r="H127" s="12"/>
      <c r="I127" s="1"/>
      <c r="J127" s="104"/>
      <c r="K127" s="6"/>
      <c r="L127" s="6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>
      <c r="A128" s="12"/>
      <c r="B128" s="12"/>
      <c r="C128" s="12"/>
      <c r="D128" s="12"/>
      <c r="E128" s="12"/>
      <c r="F128" s="12"/>
      <c r="G128" s="12"/>
      <c r="H128" s="12"/>
      <c r="I128" s="1"/>
      <c r="J128" s="104"/>
      <c r="K128" s="6"/>
      <c r="L128" s="6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>
      <c r="A129" s="12"/>
      <c r="B129" s="12"/>
      <c r="C129" s="12"/>
      <c r="D129" s="12"/>
      <c r="E129" s="12"/>
      <c r="F129" s="12"/>
      <c r="G129" s="12"/>
      <c r="H129" s="12"/>
      <c r="I129" s="1"/>
      <c r="J129" s="104"/>
      <c r="K129" s="6"/>
      <c r="L129" s="6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>
      <c r="A130" s="12"/>
      <c r="B130" s="12"/>
      <c r="C130" s="12"/>
      <c r="D130" s="12"/>
      <c r="E130" s="12"/>
      <c r="F130" s="12"/>
      <c r="G130" s="12"/>
      <c r="H130" s="12"/>
      <c r="I130" s="1"/>
      <c r="J130" s="104"/>
      <c r="K130" s="6"/>
      <c r="L130" s="6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>
      <c r="A131" s="12"/>
      <c r="B131" s="12"/>
      <c r="C131" s="12"/>
      <c r="D131" s="12"/>
      <c r="E131" s="12"/>
      <c r="F131" s="12"/>
      <c r="G131" s="12"/>
      <c r="H131" s="12"/>
      <c r="I131" s="1"/>
      <c r="J131" s="104"/>
      <c r="K131" s="6"/>
      <c r="L131" s="6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</row>
    <row r="132" spans="1:27">
      <c r="A132" s="12"/>
      <c r="B132" s="12"/>
      <c r="C132" s="12"/>
      <c r="D132" s="12"/>
      <c r="E132" s="12"/>
      <c r="F132" s="12"/>
      <c r="G132" s="12"/>
      <c r="H132" s="12"/>
      <c r="I132" s="1"/>
      <c r="J132" s="104"/>
      <c r="K132" s="6"/>
      <c r="L132" s="6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</row>
    <row r="133" spans="1:27">
      <c r="A133" s="12"/>
      <c r="B133" s="12"/>
      <c r="C133" s="12"/>
      <c r="D133" s="12"/>
      <c r="E133" s="12"/>
      <c r="F133" s="12"/>
      <c r="G133" s="12"/>
      <c r="H133" s="12"/>
      <c r="I133" s="1"/>
      <c r="J133" s="104"/>
      <c r="K133" s="6"/>
      <c r="L133" s="6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>
      <c r="A134" s="12"/>
      <c r="B134" s="12"/>
      <c r="C134" s="12"/>
      <c r="D134" s="12"/>
      <c r="E134" s="12"/>
      <c r="F134" s="12"/>
      <c r="G134" s="12"/>
      <c r="H134" s="12"/>
      <c r="I134" s="1"/>
      <c r="J134" s="104"/>
      <c r="K134" s="6"/>
      <c r="L134" s="6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</row>
    <row r="135" spans="1:27">
      <c r="A135" s="12"/>
      <c r="B135" s="12"/>
      <c r="C135" s="12"/>
      <c r="D135" s="12"/>
      <c r="E135" s="12"/>
      <c r="F135" s="12"/>
      <c r="G135" s="12"/>
      <c r="H135" s="12"/>
      <c r="I135" s="1"/>
      <c r="J135" s="104"/>
      <c r="K135" s="6"/>
      <c r="L135" s="6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</row>
    <row r="136" spans="1:27">
      <c r="A136" s="12"/>
      <c r="B136" s="12"/>
      <c r="C136" s="12"/>
      <c r="D136" s="12"/>
      <c r="E136" s="12"/>
      <c r="F136" s="12"/>
      <c r="G136" s="12"/>
      <c r="H136" s="12"/>
      <c r="I136" s="1"/>
      <c r="J136" s="104"/>
      <c r="K136" s="6"/>
      <c r="L136" s="6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>
      <c r="A137" s="12"/>
      <c r="B137" s="12"/>
      <c r="C137" s="12"/>
      <c r="D137" s="12"/>
      <c r="E137" s="12"/>
      <c r="F137" s="12"/>
      <c r="G137" s="12"/>
      <c r="H137" s="12"/>
      <c r="I137" s="1"/>
      <c r="J137" s="104"/>
      <c r="K137" s="6"/>
      <c r="L137" s="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>
      <c r="A138" s="12"/>
      <c r="B138" s="12"/>
      <c r="C138" s="12"/>
      <c r="D138" s="12"/>
      <c r="E138" s="12"/>
      <c r="F138" s="12"/>
      <c r="G138" s="12"/>
      <c r="H138" s="12"/>
      <c r="I138" s="1"/>
      <c r="J138" s="104"/>
      <c r="K138" s="6"/>
      <c r="L138" s="6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>
      <c r="A139" s="12"/>
      <c r="B139" s="12"/>
      <c r="C139" s="12"/>
      <c r="D139" s="12"/>
      <c r="E139" s="12"/>
      <c r="F139" s="12"/>
      <c r="G139" s="12"/>
      <c r="H139" s="12"/>
      <c r="I139" s="1"/>
      <c r="J139" s="104"/>
      <c r="K139" s="6"/>
      <c r="L139" s="6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>
      <c r="A140" s="12"/>
      <c r="B140" s="12"/>
      <c r="C140" s="12"/>
      <c r="D140" s="12"/>
      <c r="E140" s="12"/>
      <c r="F140" s="12"/>
      <c r="G140" s="12"/>
      <c r="H140" s="12"/>
      <c r="I140" s="1"/>
      <c r="J140" s="104"/>
      <c r="K140" s="6"/>
      <c r="L140" s="6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</row>
    <row r="141" spans="1:27">
      <c r="A141" s="12"/>
      <c r="B141" s="12"/>
      <c r="C141" s="12"/>
      <c r="D141" s="12"/>
      <c r="E141" s="12"/>
      <c r="F141" s="12"/>
      <c r="G141" s="12"/>
      <c r="H141" s="12"/>
      <c r="I141" s="1"/>
      <c r="J141" s="104"/>
      <c r="K141" s="6"/>
      <c r="L141" s="6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</row>
    <row r="142" spans="1:27">
      <c r="A142" s="12"/>
      <c r="B142" s="12"/>
      <c r="C142" s="12"/>
      <c r="D142" s="12"/>
      <c r="E142" s="12"/>
      <c r="F142" s="12"/>
      <c r="G142" s="12"/>
      <c r="H142" s="12"/>
      <c r="I142" s="1"/>
      <c r="J142" s="104"/>
      <c r="K142" s="6"/>
      <c r="L142" s="6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>
      <c r="A143" s="12"/>
      <c r="B143" s="12"/>
      <c r="C143" s="12"/>
      <c r="D143" s="12"/>
      <c r="E143" s="12"/>
      <c r="F143" s="12"/>
      <c r="G143" s="12"/>
      <c r="H143" s="12"/>
      <c r="I143" s="1"/>
      <c r="J143" s="104"/>
      <c r="K143" s="6"/>
      <c r="L143" s="6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</row>
    <row r="144" spans="1:27">
      <c r="A144" s="12"/>
      <c r="B144" s="12"/>
      <c r="C144" s="12"/>
      <c r="D144" s="12"/>
      <c r="E144" s="12"/>
      <c r="F144" s="12"/>
      <c r="G144" s="12"/>
      <c r="H144" s="12"/>
      <c r="I144" s="1"/>
      <c r="J144" s="104"/>
      <c r="K144" s="6"/>
      <c r="L144" s="6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</row>
    <row r="145" spans="1:27">
      <c r="A145" s="12"/>
      <c r="B145" s="12"/>
      <c r="C145" s="12"/>
      <c r="D145" s="12"/>
      <c r="E145" s="12"/>
      <c r="F145" s="12"/>
      <c r="G145" s="12"/>
      <c r="H145" s="12"/>
      <c r="I145" s="1"/>
      <c r="J145" s="104"/>
      <c r="K145" s="6"/>
      <c r="L145" s="6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  <row r="146" spans="1:27">
      <c r="A146" s="12"/>
      <c r="B146" s="12"/>
      <c r="C146" s="12"/>
      <c r="D146" s="12"/>
      <c r="E146" s="12"/>
      <c r="F146" s="12"/>
      <c r="G146" s="12"/>
      <c r="H146" s="12"/>
      <c r="I146" s="1"/>
      <c r="J146" s="104"/>
      <c r="K146" s="6"/>
      <c r="L146" s="6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</row>
    <row r="147" spans="1:27">
      <c r="A147" s="12"/>
      <c r="B147" s="12"/>
      <c r="C147" s="12"/>
      <c r="D147" s="12"/>
      <c r="E147" s="12"/>
      <c r="F147" s="12"/>
      <c r="G147" s="12"/>
      <c r="H147" s="12"/>
      <c r="I147" s="1"/>
      <c r="J147" s="104"/>
      <c r="K147" s="6"/>
      <c r="L147" s="6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</row>
    <row r="148" spans="1:27">
      <c r="A148" s="12"/>
      <c r="B148" s="12"/>
      <c r="C148" s="12"/>
      <c r="D148" s="12"/>
      <c r="E148" s="12"/>
      <c r="F148" s="12"/>
      <c r="G148" s="12"/>
      <c r="H148" s="12"/>
      <c r="I148" s="1"/>
      <c r="J148" s="104"/>
      <c r="K148" s="6"/>
      <c r="L148" s="6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</row>
    <row r="149" spans="1:27">
      <c r="A149" s="12"/>
      <c r="B149" s="12"/>
      <c r="C149" s="12"/>
      <c r="D149" s="12"/>
      <c r="E149" s="12"/>
      <c r="F149" s="12"/>
      <c r="G149" s="12"/>
      <c r="H149" s="12"/>
      <c r="I149" s="1"/>
      <c r="J149" s="104"/>
      <c r="K149" s="6"/>
      <c r="L149" s="6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27">
      <c r="A150" s="12"/>
      <c r="B150" s="12"/>
      <c r="C150" s="12"/>
      <c r="D150" s="12"/>
      <c r="E150" s="12"/>
      <c r="F150" s="12"/>
      <c r="G150" s="12"/>
      <c r="H150" s="12"/>
      <c r="I150" s="1"/>
      <c r="J150" s="104"/>
      <c r="K150" s="6"/>
      <c r="L150" s="6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</row>
    <row r="151" spans="1:27">
      <c r="A151" s="12"/>
      <c r="B151" s="12"/>
      <c r="C151" s="12"/>
      <c r="D151" s="12"/>
      <c r="E151" s="12"/>
      <c r="F151" s="12"/>
      <c r="G151" s="12"/>
      <c r="H151" s="12"/>
      <c r="I151" s="1"/>
      <c r="J151" s="104"/>
      <c r="K151" s="6"/>
      <c r="L151" s="6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</row>
    <row r="152" spans="1:27">
      <c r="A152" s="12"/>
      <c r="B152" s="12"/>
      <c r="C152" s="12"/>
      <c r="D152" s="12"/>
      <c r="E152" s="12"/>
      <c r="F152" s="12"/>
      <c r="G152" s="12"/>
      <c r="H152" s="12"/>
      <c r="I152" s="1"/>
      <c r="J152" s="104"/>
      <c r="K152" s="6"/>
      <c r="L152" s="6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</row>
    <row r="153" spans="1:27">
      <c r="A153" s="12"/>
      <c r="B153" s="12"/>
      <c r="C153" s="12"/>
      <c r="D153" s="12"/>
      <c r="E153" s="12"/>
      <c r="F153" s="12"/>
      <c r="G153" s="12"/>
      <c r="H153" s="12"/>
      <c r="I153" s="1"/>
      <c r="J153" s="104"/>
      <c r="K153" s="6"/>
      <c r="L153" s="6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</row>
    <row r="154" spans="1:27">
      <c r="A154" s="12"/>
      <c r="B154" s="12"/>
      <c r="C154" s="12"/>
      <c r="D154" s="12"/>
      <c r="E154" s="12"/>
      <c r="F154" s="12"/>
      <c r="G154" s="12"/>
      <c r="H154" s="12"/>
      <c r="I154" s="1"/>
      <c r="J154" s="104"/>
      <c r="K154" s="6"/>
      <c r="L154" s="6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</row>
    <row r="155" spans="1:27">
      <c r="A155" s="12"/>
      <c r="B155" s="12"/>
      <c r="C155" s="12"/>
      <c r="D155" s="12"/>
      <c r="E155" s="12"/>
      <c r="F155" s="12"/>
      <c r="G155" s="12"/>
      <c r="H155" s="12"/>
      <c r="I155" s="1"/>
      <c r="J155" s="104"/>
      <c r="K155" s="6"/>
      <c r="L155" s="6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</row>
    <row r="156" spans="1:27">
      <c r="A156" s="12"/>
      <c r="B156" s="12"/>
      <c r="C156" s="12"/>
      <c r="D156" s="12"/>
      <c r="E156" s="12"/>
      <c r="F156" s="12"/>
      <c r="G156" s="12"/>
      <c r="H156" s="12"/>
      <c r="I156" s="1"/>
      <c r="J156" s="104"/>
      <c r="K156" s="6"/>
      <c r="L156" s="6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</row>
    <row r="157" spans="1:27">
      <c r="A157" s="12"/>
      <c r="B157" s="12"/>
      <c r="C157" s="12"/>
      <c r="D157" s="12"/>
      <c r="E157" s="12"/>
      <c r="F157" s="12"/>
      <c r="G157" s="12"/>
      <c r="H157" s="12"/>
      <c r="I157" s="1"/>
      <c r="J157" s="104"/>
      <c r="K157" s="6"/>
      <c r="L157" s="6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</row>
    <row r="158" spans="1:27">
      <c r="A158" s="12"/>
      <c r="B158" s="12"/>
      <c r="C158" s="12"/>
      <c r="D158" s="12"/>
      <c r="E158" s="12"/>
      <c r="F158" s="12"/>
      <c r="G158" s="12"/>
      <c r="H158" s="12"/>
      <c r="I158" s="1"/>
      <c r="J158" s="104"/>
      <c r="K158" s="6"/>
      <c r="L158" s="6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</row>
    <row r="159" spans="1:27">
      <c r="A159" s="12"/>
      <c r="B159" s="12"/>
      <c r="C159" s="12"/>
      <c r="D159" s="12"/>
      <c r="E159" s="12"/>
      <c r="F159" s="12"/>
      <c r="G159" s="12"/>
      <c r="H159" s="12"/>
      <c r="I159" s="1"/>
      <c r="J159" s="104"/>
      <c r="K159" s="6"/>
      <c r="L159" s="6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</row>
    <row r="160" spans="1:27">
      <c r="A160" s="12"/>
      <c r="B160" s="12"/>
      <c r="C160" s="12"/>
      <c r="D160" s="12"/>
      <c r="E160" s="12"/>
      <c r="F160" s="12"/>
      <c r="G160" s="12"/>
      <c r="H160" s="12"/>
      <c r="I160" s="1"/>
      <c r="J160" s="104"/>
      <c r="K160" s="6"/>
      <c r="L160" s="6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</row>
    <row r="161" spans="1:27">
      <c r="A161" s="12"/>
      <c r="B161" s="12"/>
      <c r="C161" s="12"/>
      <c r="D161" s="12"/>
      <c r="E161" s="12"/>
      <c r="F161" s="12"/>
      <c r="G161" s="12"/>
      <c r="H161" s="12"/>
      <c r="I161" s="1"/>
      <c r="J161" s="104"/>
      <c r="K161" s="6"/>
      <c r="L161" s="6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</row>
    <row r="162" spans="1:27">
      <c r="A162" s="12"/>
      <c r="B162" s="12"/>
      <c r="C162" s="12"/>
      <c r="D162" s="12"/>
      <c r="E162" s="12"/>
      <c r="F162" s="12"/>
      <c r="G162" s="12"/>
      <c r="H162" s="12"/>
      <c r="I162" s="1"/>
      <c r="J162" s="104"/>
      <c r="K162" s="6"/>
      <c r="L162" s="6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</row>
    <row r="163" spans="1:27">
      <c r="A163" s="12"/>
      <c r="B163" s="12"/>
      <c r="C163" s="12"/>
      <c r="D163" s="12"/>
      <c r="E163" s="12"/>
      <c r="F163" s="12"/>
      <c r="G163" s="12"/>
      <c r="H163" s="12"/>
      <c r="I163" s="1"/>
      <c r="J163" s="104"/>
      <c r="K163" s="6"/>
      <c r="L163" s="6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</row>
    <row r="164" spans="1:27">
      <c r="A164" s="12"/>
      <c r="B164" s="12"/>
      <c r="C164" s="12"/>
      <c r="D164" s="12"/>
      <c r="E164" s="12"/>
      <c r="F164" s="12"/>
      <c r="G164" s="12"/>
      <c r="H164" s="12"/>
      <c r="I164" s="1"/>
      <c r="J164" s="104"/>
      <c r="K164" s="6"/>
      <c r="L164" s="6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</row>
    <row r="165" spans="1:27">
      <c r="A165" s="12"/>
      <c r="B165" s="12"/>
      <c r="C165" s="12"/>
      <c r="D165" s="12"/>
      <c r="E165" s="12"/>
      <c r="F165" s="12"/>
      <c r="G165" s="12"/>
      <c r="H165" s="12"/>
      <c r="I165" s="1"/>
      <c r="J165" s="104"/>
      <c r="K165" s="6"/>
      <c r="L165" s="6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</row>
    <row r="166" spans="1:27">
      <c r="A166" s="12"/>
      <c r="B166" s="12"/>
      <c r="C166" s="12"/>
      <c r="D166" s="12"/>
      <c r="E166" s="12"/>
      <c r="F166" s="12"/>
      <c r="G166" s="12"/>
      <c r="H166" s="12"/>
      <c r="I166" s="1"/>
      <c r="J166" s="104"/>
      <c r="K166" s="6"/>
      <c r="L166" s="6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</row>
    <row r="167" spans="1:27">
      <c r="A167" s="12"/>
      <c r="B167" s="12"/>
      <c r="C167" s="12"/>
      <c r="D167" s="12"/>
      <c r="E167" s="12"/>
      <c r="F167" s="12"/>
      <c r="G167" s="12"/>
      <c r="H167" s="12"/>
      <c r="I167" s="1"/>
      <c r="J167" s="104"/>
      <c r="K167" s="6"/>
      <c r="L167" s="6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</row>
    <row r="168" spans="1:27">
      <c r="A168" s="12"/>
      <c r="B168" s="12"/>
      <c r="C168" s="12"/>
      <c r="D168" s="12"/>
      <c r="E168" s="12"/>
      <c r="F168" s="12"/>
      <c r="G168" s="12"/>
      <c r="H168" s="12"/>
      <c r="I168" s="1"/>
      <c r="J168" s="104"/>
      <c r="K168" s="6"/>
      <c r="L168" s="6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</row>
    <row r="169" spans="1:27">
      <c r="A169" s="12"/>
      <c r="B169" s="12"/>
      <c r="C169" s="12"/>
      <c r="D169" s="12"/>
      <c r="E169" s="12"/>
      <c r="F169" s="12"/>
      <c r="G169" s="12"/>
      <c r="H169" s="12"/>
      <c r="I169" s="1"/>
      <c r="J169" s="104"/>
      <c r="K169" s="6"/>
      <c r="L169" s="6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</row>
    <row r="170" spans="1:27">
      <c r="A170" s="12"/>
      <c r="B170" s="12"/>
      <c r="C170" s="12"/>
      <c r="D170" s="12"/>
      <c r="E170" s="12"/>
      <c r="F170" s="12"/>
      <c r="G170" s="12"/>
      <c r="H170" s="12"/>
      <c r="I170" s="1"/>
      <c r="J170" s="104"/>
      <c r="K170" s="6"/>
      <c r="L170" s="6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</row>
    <row r="171" spans="1:27">
      <c r="A171" s="12"/>
      <c r="B171" s="12"/>
      <c r="C171" s="12"/>
      <c r="D171" s="12"/>
      <c r="E171" s="12"/>
      <c r="F171" s="12"/>
      <c r="G171" s="12"/>
      <c r="H171" s="12"/>
      <c r="I171" s="1"/>
      <c r="J171" s="104"/>
      <c r="K171" s="6"/>
      <c r="L171" s="6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</row>
    <row r="172" spans="1:27">
      <c r="A172" s="12"/>
      <c r="B172" s="12"/>
      <c r="C172" s="12"/>
      <c r="D172" s="12"/>
      <c r="E172" s="12"/>
      <c r="F172" s="12"/>
      <c r="G172" s="12"/>
      <c r="H172" s="12"/>
      <c r="I172" s="1"/>
      <c r="J172" s="104"/>
      <c r="K172" s="6"/>
      <c r="L172" s="6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27">
      <c r="A173" s="12"/>
      <c r="B173" s="12"/>
      <c r="C173" s="12"/>
      <c r="D173" s="12"/>
      <c r="E173" s="12"/>
      <c r="F173" s="12"/>
      <c r="G173" s="12"/>
      <c r="H173" s="12"/>
      <c r="I173" s="1"/>
      <c r="J173" s="104"/>
      <c r="K173" s="6"/>
      <c r="L173" s="6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</row>
    <row r="174" spans="1:27">
      <c r="A174" s="12"/>
      <c r="B174" s="12"/>
      <c r="C174" s="12"/>
      <c r="D174" s="12"/>
      <c r="E174" s="12"/>
      <c r="F174" s="12"/>
      <c r="G174" s="12"/>
      <c r="H174" s="12"/>
      <c r="I174" s="1"/>
      <c r="J174" s="104"/>
      <c r="K174" s="6"/>
      <c r="L174" s="6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</row>
    <row r="175" spans="1:27">
      <c r="A175" s="12"/>
      <c r="B175" s="12"/>
      <c r="C175" s="12"/>
      <c r="D175" s="12"/>
      <c r="E175" s="12"/>
      <c r="F175" s="12"/>
      <c r="G175" s="12"/>
      <c r="H175" s="12"/>
      <c r="I175" s="1"/>
      <c r="J175" s="104"/>
      <c r="K175" s="6"/>
      <c r="L175" s="6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</row>
    <row r="176" spans="1:27">
      <c r="A176" s="12"/>
      <c r="B176" s="12"/>
      <c r="C176" s="12"/>
      <c r="D176" s="12"/>
      <c r="E176" s="12"/>
      <c r="F176" s="12"/>
      <c r="G176" s="12"/>
      <c r="H176" s="12"/>
      <c r="I176" s="1"/>
      <c r="J176" s="104"/>
      <c r="K176" s="6"/>
      <c r="L176" s="6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</row>
    <row r="177" spans="1:27">
      <c r="A177" s="12"/>
      <c r="B177" s="12"/>
      <c r="C177" s="12"/>
      <c r="D177" s="12"/>
      <c r="E177" s="12"/>
      <c r="F177" s="12"/>
      <c r="G177" s="12"/>
      <c r="H177" s="12"/>
      <c r="I177" s="1"/>
      <c r="J177" s="104"/>
      <c r="K177" s="6"/>
      <c r="L177" s="6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</row>
    <row r="178" spans="1:27">
      <c r="A178" s="12"/>
      <c r="B178" s="12"/>
      <c r="C178" s="12"/>
      <c r="D178" s="12"/>
      <c r="E178" s="12"/>
      <c r="F178" s="12"/>
      <c r="G178" s="12"/>
      <c r="H178" s="12"/>
      <c r="I178" s="1"/>
      <c r="J178" s="104"/>
      <c r="K178" s="6"/>
      <c r="L178" s="6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</row>
    <row r="179" spans="1:27">
      <c r="A179" s="12"/>
      <c r="B179" s="12"/>
      <c r="C179" s="12"/>
      <c r="D179" s="12"/>
      <c r="E179" s="12"/>
      <c r="F179" s="12"/>
      <c r="G179" s="12"/>
      <c r="H179" s="12"/>
      <c r="I179" s="1"/>
      <c r="J179" s="104"/>
      <c r="K179" s="6"/>
      <c r="L179" s="6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</row>
    <row r="180" spans="1:27">
      <c r="A180" s="12"/>
      <c r="B180" s="12"/>
      <c r="C180" s="12"/>
      <c r="D180" s="12"/>
      <c r="E180" s="12"/>
      <c r="F180" s="12"/>
      <c r="G180" s="12"/>
      <c r="H180" s="12"/>
      <c r="I180" s="1"/>
      <c r="J180" s="104"/>
      <c r="K180" s="6"/>
      <c r="L180" s="6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</row>
    <row r="181" spans="1:27">
      <c r="A181" s="12"/>
      <c r="B181" s="12"/>
      <c r="C181" s="12"/>
      <c r="D181" s="12"/>
      <c r="E181" s="12"/>
      <c r="F181" s="12"/>
      <c r="G181" s="12"/>
      <c r="H181" s="12"/>
      <c r="I181" s="1"/>
      <c r="J181" s="104"/>
      <c r="K181" s="6"/>
      <c r="L181" s="6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</row>
  </sheetData>
  <hyperlinks>
    <hyperlink ref="A1:F1" location="оглавление!A1" tooltip="в оглавление" display="в оглавление"/>
    <hyperlink ref="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F120"/>
  <sheetViews>
    <sheetView workbookViewId="0">
      <pane xSplit="9" ySplit="9" topLeftCell="J10" activePane="bottomRight" state="frozen"/>
      <selection pane="topRight" activeCell="J1" sqref="J1"/>
      <selection pane="bottomLeft" activeCell="A8" sqref="A8"/>
      <selection pane="bottomRight" activeCell="A2" sqref="A2"/>
    </sheetView>
  </sheetViews>
  <sheetFormatPr defaultRowHeight="12.75"/>
  <cols>
    <col min="1" max="3" width="2.7109375" style="13" customWidth="1"/>
    <col min="4" max="4" width="33.28515625" style="13" bestFit="1" customWidth="1"/>
    <col min="5" max="5" width="18.7109375" style="13" bestFit="1" customWidth="1"/>
    <col min="6" max="6" width="7.7109375" style="13" customWidth="1"/>
    <col min="7" max="7" width="2.7109375" style="13" customWidth="1"/>
    <col min="8" max="8" width="12.7109375" style="5" customWidth="1"/>
    <col min="9" max="9" width="2.7109375" style="111" customWidth="1"/>
    <col min="10" max="12" width="12.7109375" style="13" customWidth="1"/>
    <col min="13" max="16384" width="9.140625" style="13"/>
  </cols>
  <sheetData>
    <row r="1" spans="1:32" s="139" customFormat="1" ht="12">
      <c r="A1" s="145" t="s">
        <v>235</v>
      </c>
      <c r="B1" s="145"/>
      <c r="C1" s="145"/>
      <c r="D1" s="145"/>
      <c r="E1" s="146"/>
      <c r="F1" s="137"/>
      <c r="G1" s="137"/>
      <c r="H1" s="137"/>
      <c r="I1" s="14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>
      <c r="A2" s="12"/>
      <c r="B2" s="12"/>
      <c r="C2" s="12"/>
      <c r="D2" s="12"/>
      <c r="E2" s="12"/>
      <c r="F2" s="12"/>
      <c r="G2" s="12"/>
      <c r="H2" s="1"/>
      <c r="I2" s="10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>
      <c r="A3" s="1"/>
      <c r="B3" s="1"/>
      <c r="C3" s="1" t="s">
        <v>236</v>
      </c>
      <c r="D3" s="1"/>
      <c r="E3" s="1"/>
      <c r="F3" s="1"/>
      <c r="G3" s="1"/>
      <c r="H3" s="1"/>
      <c r="I3" s="1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>
      <c r="A4" s="1"/>
      <c r="B4" s="1"/>
      <c r="C4" s="1" t="s">
        <v>209</v>
      </c>
      <c r="D4" s="1"/>
      <c r="E4" s="12"/>
      <c r="F4" s="1"/>
      <c r="G4" s="1"/>
      <c r="H4" s="1"/>
      <c r="I4" s="10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>
      <c r="A5" s="12"/>
      <c r="B5" s="12"/>
      <c r="C5" s="87" t="str">
        <f>"в разрезе "&amp;микс!$G$9</f>
        <v>в разрезе бизнес-модель</v>
      </c>
      <c r="D5" s="12"/>
      <c r="E5" s="12"/>
      <c r="F5" s="12"/>
      <c r="G5" s="12"/>
      <c r="H5" s="1"/>
      <c r="I5" s="10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>
      <c r="A6" s="1"/>
      <c r="B6" s="1"/>
      <c r="C6" s="1" t="s">
        <v>240</v>
      </c>
      <c r="D6" s="1"/>
      <c r="E6" s="12"/>
      <c r="F6" s="1"/>
      <c r="G6" s="1"/>
      <c r="H6" s="1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>
      <c r="A7" s="48"/>
      <c r="B7" s="48"/>
      <c r="C7" s="107" t="s">
        <v>222</v>
      </c>
      <c r="D7" s="48"/>
      <c r="E7" s="48"/>
      <c r="F7" s="48"/>
      <c r="G7" s="48"/>
      <c r="H7" s="89" t="s">
        <v>221</v>
      </c>
      <c r="I7" s="108"/>
      <c r="J7" s="49">
        <f>J8</f>
        <v>42278</v>
      </c>
      <c r="K7" s="49">
        <f t="shared" ref="K7:L7" si="0">K8</f>
        <v>42309</v>
      </c>
      <c r="L7" s="49">
        <f t="shared" si="0"/>
        <v>42339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>
      <c r="A8" s="48"/>
      <c r="B8" s="48"/>
      <c r="C8" s="115">
        <f>H10+SUM(I:I)</f>
        <v>-4.6566128730773926E-10</v>
      </c>
      <c r="D8" s="48"/>
      <c r="E8" s="48"/>
      <c r="F8" s="48"/>
      <c r="G8" s="48"/>
      <c r="H8" s="88">
        <v>42278</v>
      </c>
      <c r="I8" s="108"/>
      <c r="J8" s="86">
        <f>H8</f>
        <v>42278</v>
      </c>
      <c r="K8" s="86">
        <f>J9+1</f>
        <v>42309</v>
      </c>
      <c r="L8" s="86">
        <f>K9+1</f>
        <v>42339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>
      <c r="A9" s="48"/>
      <c r="B9" s="48"/>
      <c r="C9" s="102"/>
      <c r="D9" s="103" t="s">
        <v>215</v>
      </c>
      <c r="E9" s="121" t="str">
        <f>микс!$G$9</f>
        <v>бизнес-модель</v>
      </c>
      <c r="F9" s="103" t="s">
        <v>216</v>
      </c>
      <c r="G9" s="94"/>
      <c r="H9" s="95">
        <f>L9</f>
        <v>42369</v>
      </c>
      <c r="I9" s="175"/>
      <c r="J9" s="96">
        <f>EOMONTH(J8,0)</f>
        <v>42308</v>
      </c>
      <c r="K9" s="96">
        <f>EOMONTH(K8,0)</f>
        <v>42338</v>
      </c>
      <c r="L9" s="96">
        <f>EOMONTH(L8,0)</f>
        <v>42369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>
      <c r="A10" s="108"/>
      <c r="B10" s="108"/>
      <c r="C10" s="108"/>
      <c r="D10" s="109"/>
      <c r="E10" s="109"/>
      <c r="F10" s="109"/>
      <c r="G10" s="109"/>
      <c r="H10" s="110">
        <f>H11-SUM(J11:M11)</f>
        <v>0</v>
      </c>
      <c r="I10" s="109"/>
      <c r="J10" s="109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>
      <c r="A11" s="12"/>
      <c r="B11" s="12"/>
      <c r="C11" s="12"/>
      <c r="D11" s="12" t="s">
        <v>210</v>
      </c>
      <c r="E11" s="12" t="s">
        <v>214</v>
      </c>
      <c r="F11" s="12" t="s">
        <v>217</v>
      </c>
      <c r="G11" s="12"/>
      <c r="H11" s="90">
        <f>SUMIFS(операции!$Z:$Z,операции!$X:$X,"&gt;="&amp;H$8,операции!$X:$X,"&lt;="&amp;H$9)</f>
        <v>3709776</v>
      </c>
      <c r="I11" s="176">
        <f>H11-SUMIFS(H$19:H$37,$D$19:$D$37,$D11)</f>
        <v>0</v>
      </c>
      <c r="J11" s="53">
        <f>SUMIFS(операции!$Z:$Z,операции!$X:$X,"&gt;="&amp;J$8,операции!$X:$X,"&lt;="&amp;J$9)</f>
        <v>775003</v>
      </c>
      <c r="K11" s="53">
        <f>SUMIFS(операции!$Z:$Z,операции!$X:$X,"&gt;="&amp;K$8,операции!$X:$X,"&lt;="&amp;K$9)</f>
        <v>1774695</v>
      </c>
      <c r="L11" s="53">
        <f>SUMIFS(операции!$Z:$Z,операции!$X:$X,"&gt;="&amp;L$8,операции!$X:$X,"&lt;="&amp;L$9)</f>
        <v>1160078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32">
      <c r="A12" s="12"/>
      <c r="B12" s="12"/>
      <c r="C12" s="12"/>
      <c r="D12" s="12" t="s">
        <v>211</v>
      </c>
      <c r="E12" s="12" t="s">
        <v>214</v>
      </c>
      <c r="F12" s="12" t="s">
        <v>217</v>
      </c>
      <c r="G12" s="12"/>
      <c r="H12" s="90">
        <f>SUMIFS(операции!$V:$V,операции!$X:$X,"&gt;="&amp;H$8,операции!$X:$X,"&lt;="&amp;H$9)</f>
        <v>3281881.1100000008</v>
      </c>
      <c r="I12" s="176">
        <f>H12-SUMIFS(H$19:H$37,$D$19:$D$37,$D12)</f>
        <v>0</v>
      </c>
      <c r="J12" s="53">
        <f>SUMIFS(операции!$V:$V,операции!$X:$X,"&gt;="&amp;J$8,операции!$X:$X,"&lt;="&amp;J$9)</f>
        <v>695840.68000000063</v>
      </c>
      <c r="K12" s="53">
        <f>SUMIFS(операции!$V:$V,операции!$X:$X,"&gt;="&amp;K$8,операции!$X:$X,"&lt;="&amp;K$9)</f>
        <v>1533189.2299999986</v>
      </c>
      <c r="L12" s="53">
        <f>SUMIFS(операции!$V:$V,операции!$X:$X,"&gt;="&amp;L$8,операции!$X:$X,"&lt;="&amp;L$9)</f>
        <v>1052851.199999999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32">
      <c r="A13" s="12"/>
      <c r="B13" s="12"/>
      <c r="C13" s="12"/>
      <c r="D13" s="12" t="s">
        <v>212</v>
      </c>
      <c r="E13" s="12" t="s">
        <v>214</v>
      </c>
      <c r="F13" s="12" t="s">
        <v>217</v>
      </c>
      <c r="G13" s="12"/>
      <c r="H13" s="90">
        <f>H11-H12</f>
        <v>427894.8899999992</v>
      </c>
      <c r="I13" s="176">
        <f>H13-SUMIFS(H$19:H$37,$D$19:$D$37,$D13)</f>
        <v>-4.6566128730773926E-10</v>
      </c>
      <c r="J13" s="53">
        <f>J11-J12</f>
        <v>79162.319999999367</v>
      </c>
      <c r="K13" s="53">
        <f t="shared" ref="K13:L13" si="1">K11-K12</f>
        <v>241505.77000000142</v>
      </c>
      <c r="L13" s="53">
        <f t="shared" si="1"/>
        <v>107226.80000000098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32" s="119" customFormat="1">
      <c r="A14" s="87"/>
      <c r="B14" s="87"/>
      <c r="C14" s="87"/>
      <c r="D14" s="87" t="s">
        <v>213</v>
      </c>
      <c r="E14" s="87" t="s">
        <v>214</v>
      </c>
      <c r="F14" s="87" t="s">
        <v>218</v>
      </c>
      <c r="G14" s="87"/>
      <c r="H14" s="116">
        <f>IF(H11=0,0,H13/H11)</f>
        <v>0.11534251394154235</v>
      </c>
      <c r="I14" s="117"/>
      <c r="J14" s="118">
        <f>IF(J11=0,0,J13/J11)</f>
        <v>0.10214453363406253</v>
      </c>
      <c r="K14" s="118">
        <f t="shared" ref="K14:L14" si="2">IF(K11=0,0,K13/K11)</f>
        <v>0.13608297200364086</v>
      </c>
      <c r="L14" s="118">
        <f t="shared" si="2"/>
        <v>9.2430681385218039E-2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32" s="5" customFormat="1">
      <c r="A15" s="1"/>
      <c r="B15" s="1"/>
      <c r="C15" s="1"/>
      <c r="D15" s="168" t="s">
        <v>220</v>
      </c>
      <c r="E15" s="168" t="s">
        <v>214</v>
      </c>
      <c r="F15" s="168" t="s">
        <v>219</v>
      </c>
      <c r="G15" s="168"/>
      <c r="H15" s="169">
        <f>IF(H11=0,0,SUMIFS(операции!$AG:$AG,операции!$X:$X,"&gt;="&amp;H$8,операции!$X:$X,"&lt;="&amp;H$9)/H11-SUMIFS(операции!$AF:$AF,операции!$X:$X,"&gt;="&amp;H$8,операции!$X:$X,"&lt;="&amp;H$9)/H12)</f>
        <v>44.170271222967131</v>
      </c>
      <c r="I15" s="177"/>
      <c r="J15" s="169">
        <f>IF(J11=0,0,SUMIFS(операции!$AG:$AG,операции!$X:$X,"&gt;="&amp;J$8,операции!$X:$X,"&lt;="&amp;J$9)/J11-SUMIFS(операции!$AF:$AF,операции!$X:$X,"&gt;="&amp;J$8,операции!$X:$X,"&lt;="&amp;J$9)/J12)</f>
        <v>68.095689724919794</v>
      </c>
      <c r="K15" s="169">
        <f>IF(K11=0,0,SUMIFS(операции!$AG:$AG,операции!$X:$X,"&gt;="&amp;K$8,операции!$X:$X,"&lt;="&amp;K$9)/K11-SUMIFS(операции!$AF:$AF,операции!$X:$X,"&gt;="&amp;K$8,операции!$X:$X,"&lt;="&amp;K$9)/K12)</f>
        <v>46.975307434026035</v>
      </c>
      <c r="L15" s="169">
        <f>IF(L11=0,0,SUMIFS(операции!$AG:$AG,операции!$X:$X,"&gt;="&amp;L$8,операции!$X:$X,"&lt;="&amp;L$9)/L11-SUMIFS(операции!$AF:$AF,операции!$X:$X,"&gt;="&amp;L$8,операции!$X:$X,"&lt;="&amp;L$9)/L12)</f>
        <v>24.472686407214496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32">
      <c r="A16" s="12"/>
      <c r="B16" s="12"/>
      <c r="C16" s="12"/>
      <c r="D16" s="131" t="s">
        <v>238</v>
      </c>
      <c r="E16" s="131" t="s">
        <v>214</v>
      </c>
      <c r="F16" s="131" t="s">
        <v>217</v>
      </c>
      <c r="G16" s="131"/>
      <c r="H16" s="166">
        <f>SUMIFS(операции!$V:$V,операции!$T:$T,"&lt;="&amp;$H$9,операции!$X:$X,"")</f>
        <v>914632.67000000062</v>
      </c>
      <c r="I16" s="178">
        <f>H16-SUMIFS(H$19:H$37,$D$19:$D$37,$D16)+H16-L16</f>
        <v>0</v>
      </c>
      <c r="J16" s="167">
        <f>SUMIFS(операции!$V:$V,операции!$T:$T,"&lt;="&amp;J$9,операции!$X:$X,"")+SUMIFS(операции!$V:$V,операции!$T:$T,"&lt;="&amp;J$9,операции!$X:$X,"&gt;"&amp;J$9)</f>
        <v>1494105.1600000004</v>
      </c>
      <c r="K16" s="167">
        <f>SUMIFS(операции!$V:$V,операции!$T:$T,"&lt;="&amp;K$9,операции!$X:$X,"")+SUMIFS(операции!$V:$V,операции!$T:$T,"&lt;="&amp;K$9,операции!$X:$X,"&gt;"&amp;K$9)</f>
        <v>1748502.0699999996</v>
      </c>
      <c r="L16" s="167">
        <f>SUMIFS(операции!$V:$V,операции!$T:$T,"&lt;="&amp;L$9,операции!$X:$X,"")+SUMIFS(операции!$V:$V,операции!$T:$T,"&lt;="&amp;L$9,операции!$X:$X,"&gt;"&amp;L$9)</f>
        <v>914632.67000000062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5" customFormat="1">
      <c r="A17" s="1"/>
      <c r="B17" s="1"/>
      <c r="C17" s="1"/>
      <c r="D17" s="168" t="s">
        <v>239</v>
      </c>
      <c r="E17" s="168" t="s">
        <v>214</v>
      </c>
      <c r="F17" s="168" t="s">
        <v>219</v>
      </c>
      <c r="G17" s="168"/>
      <c r="H17" s="169">
        <f>IF(H16=0,0,$H$9-SUMIFS(операции!$AF:$AF,операции!$T:$T,"&lt;="&amp;$H$9,операции!$X:$X,"")/H16)</f>
        <v>131.23125652184535</v>
      </c>
      <c r="I17" s="177"/>
      <c r="J17" s="169">
        <f>IF(J16=0,0,J$9-(SUMIFS(операции!$AF:$AF,операции!$T:$T,"&lt;="&amp;J$9,операции!$X:$X,"")+SUMIFS(операции!$AF:$AF,операции!$T:$T,"&lt;="&amp;J$9,операции!$X:$X,"&gt;"&amp;J$9))/J16)</f>
        <v>98.515001715146354</v>
      </c>
      <c r="K17" s="169">
        <f>IF(K16=0,0,K$9-(SUMIFS(операции!$AF:$AF,операции!$T:$T,"&lt;="&amp;K$9,операции!$X:$X,"")+SUMIFS(операции!$AF:$AF,операции!$T:$T,"&lt;="&amp;K$9,операции!$X:$X,"&gt;"&amp;K$9))/K16)</f>
        <v>67.352078153366165</v>
      </c>
      <c r="L17" s="169">
        <f>IF(L16=0,0,L$9-(SUMIFS(операции!$AF:$AF,операции!$T:$T,"&lt;="&amp;L$9,операции!$X:$X,"")+SUMIFS(операции!$AF:$AF,операции!$T:$T,"&lt;="&amp;L$9,операции!$X:$X,"&gt;"&amp;L$9))/L16)</f>
        <v>131.23125652184535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93" customFormat="1" ht="15.75" thickBot="1">
      <c r="A18" s="92"/>
      <c r="B18" s="92"/>
      <c r="C18" s="92"/>
      <c r="D18" s="164" t="s">
        <v>237</v>
      </c>
      <c r="E18" s="164" t="s">
        <v>214</v>
      </c>
      <c r="F18" s="164" t="s">
        <v>219</v>
      </c>
      <c r="G18" s="164"/>
      <c r="H18" s="165">
        <f>IF(H11=0,H17,(SUMIFS(операции!$AG:$AG,операции!$X:$X,"&gt;="&amp;$H$8,операции!$X:$X,"&lt;="&amp;$H$9)+$H$9*H16)/(H11+H16)-(SUMIFS(операции!$AF:$AF,операции!$X:$X,"&gt;="&amp;$H$8,операции!$X:$X,"&lt;="&amp;$H$9)+SUMIFS(операции!$AF:$AF,операции!$T:$T,"&lt;="&amp;$H$9,операции!$X:$X,""))/(H12+H16))</f>
        <v>62.28391637349705</v>
      </c>
      <c r="I18" s="179"/>
      <c r="J18" s="165">
        <f>IF(J11=0,J17,(SUMIFS(операции!$AG:$AG,операции!$X:$X,"&gt;="&amp;J$8,операции!$X:$X,"&lt;="&amp;J$9)+J$9*J16)/(J11+J16)-(SUMIFS(операции!$AF:$AF,операции!$X:$X,"&gt;="&amp;J$8,операции!$X:$X,"&lt;="&amp;J$9)+SUMIFS(операции!$AF:$AF,операции!$T:$T,"&lt;="&amp;J$9,операции!$X:$X,"")+SUMIFS(операции!$AF:$AF,операции!$T:$T,"&lt;="&amp;J$9,операции!$X:$X,"&gt;"&amp;J$9))/(J12+J16))</f>
        <v>88.715862287805066</v>
      </c>
      <c r="K18" s="165">
        <f>IF(K11=0,K17,(SUMIFS(операции!$AG:$AG,операции!$X:$X,"&gt;="&amp;K$8,операции!$X:$X,"&lt;="&amp;K$9)+K$9*K16)/(K11+K16)-(SUMIFS(операции!$AF:$AF,операции!$X:$X,"&gt;="&amp;K$8,операции!$X:$X,"&lt;="&amp;K$9)+SUMIFS(операции!$AF:$AF,операции!$T:$T,"&lt;="&amp;K$9,операции!$X:$X,"")+SUMIFS(операции!$AF:$AF,операции!$T:$T,"&lt;="&amp;K$9,операции!$X:$X,"&gt;"&amp;K$9))/(K12+K16))</f>
        <v>57.390128011633351</v>
      </c>
      <c r="L18" s="165">
        <f>IF(L11=0,L17,(SUMIFS(операции!$AG:$AG,операции!$X:$X,"&gt;="&amp;L$8,операции!$X:$X,"&lt;="&amp;L$9)+L$9*L16)/(L11+L16)-(SUMIFS(операции!$AF:$AF,операции!$X:$X,"&gt;="&amp;L$8,операции!$X:$X,"&lt;="&amp;L$9)+SUMIFS(операции!$AF:$AF,операции!$T:$T,"&lt;="&amp;L$9,операции!$X:$X,"")+SUMIFS(операции!$AF:$AF,операции!$T:$T,"&lt;="&amp;L$9,операции!$X:$X,"&gt;"&amp;L$9))/(L12+L16))</f>
        <v>73.473882944512297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</row>
    <row r="19" spans="1:27" ht="13.5" thickTop="1">
      <c r="A19" s="12"/>
      <c r="B19" s="12"/>
      <c r="C19" s="12"/>
      <c r="D19" s="91"/>
      <c r="E19" s="91"/>
      <c r="F19" s="91"/>
      <c r="G19" s="91"/>
      <c r="H19" s="101"/>
      <c r="I19" s="180"/>
      <c r="J19" s="91"/>
      <c r="K19" s="91"/>
      <c r="L19" s="9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>
      <c r="A20" s="12"/>
      <c r="B20" s="12"/>
      <c r="C20" s="12"/>
      <c r="D20" s="12" t="s">
        <v>210</v>
      </c>
      <c r="E20" s="12" t="str">
        <f>микс!$H$10</f>
        <v>продажа со склада</v>
      </c>
      <c r="F20" s="12" t="s">
        <v>217</v>
      </c>
      <c r="G20" s="12"/>
      <c r="H20" s="90">
        <f>SUMIFS(операции!$Z:$Z,операции!$X:$X,"&gt;="&amp;H$8,операции!$X:$X,"&lt;="&amp;H$9,операции!$L:$L,$E20)</f>
        <v>1301874</v>
      </c>
      <c r="I20" s="108"/>
      <c r="J20" s="53">
        <f>SUMIFS(операции!$Z:$Z,операции!$X:$X,"&gt;="&amp;J$8,операции!$X:$X,"&lt;="&amp;J$9,операции!$L:$L,$E20)</f>
        <v>500476</v>
      </c>
      <c r="K20" s="53">
        <f>SUMIFS(операции!$Z:$Z,операции!$X:$X,"&gt;="&amp;K$8,операции!$X:$X,"&lt;="&amp;K$9,операции!$L:$L,$E20)</f>
        <v>629755</v>
      </c>
      <c r="L20" s="53">
        <f>SUMIFS(операции!$Z:$Z,операции!$X:$X,"&gt;="&amp;L$8,операции!$X:$X,"&lt;="&amp;L$9,операции!$L:$L,$E20)</f>
        <v>171643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>
      <c r="A21" s="12"/>
      <c r="B21" s="12"/>
      <c r="C21" s="12"/>
      <c r="D21" s="12" t="s">
        <v>211</v>
      </c>
      <c r="E21" s="12" t="str">
        <f>микс!$H$10</f>
        <v>продажа со склада</v>
      </c>
      <c r="F21" s="12" t="s">
        <v>217</v>
      </c>
      <c r="G21" s="12"/>
      <c r="H21" s="90">
        <f>SUMIFS(операции!$V:$V,операции!$X:$X,"&gt;="&amp;H$8,операции!$X:$X,"&lt;="&amp;H$9,операции!$L:$L,$E21)</f>
        <v>1143540.6999999997</v>
      </c>
      <c r="I21" s="108"/>
      <c r="J21" s="53">
        <f>SUMIFS(операции!$V:$V,операции!$X:$X,"&gt;="&amp;J$8,операции!$X:$X,"&lt;="&amp;J$9,операции!$L:$L,$E21)</f>
        <v>460581.25999999989</v>
      </c>
      <c r="K21" s="53">
        <f>SUMIFS(операции!$V:$V,операции!$X:$X,"&gt;="&amp;K$8,операции!$X:$X,"&lt;="&amp;K$9,операции!$L:$L,$E21)</f>
        <v>537393.31999999995</v>
      </c>
      <c r="L21" s="53">
        <f>SUMIFS(операции!$V:$V,операции!$X:$X,"&gt;="&amp;L$8,операции!$X:$X,"&lt;="&amp;L$9,операции!$L:$L,$E21)</f>
        <v>145566.12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>
      <c r="A22" s="12"/>
      <c r="B22" s="12"/>
      <c r="C22" s="12"/>
      <c r="D22" s="12" t="s">
        <v>212</v>
      </c>
      <c r="E22" s="12" t="str">
        <f>микс!$H$10</f>
        <v>продажа со склада</v>
      </c>
      <c r="F22" s="12" t="s">
        <v>217</v>
      </c>
      <c r="G22" s="12"/>
      <c r="H22" s="90">
        <f>H20-H21</f>
        <v>158333.30000000028</v>
      </c>
      <c r="I22" s="108"/>
      <c r="J22" s="53">
        <f>J20-J21</f>
        <v>39894.740000000107</v>
      </c>
      <c r="K22" s="53">
        <f t="shared" ref="K22" si="3">K20-K21</f>
        <v>92361.680000000051</v>
      </c>
      <c r="L22" s="53">
        <f t="shared" ref="L22" si="4">L20-L21</f>
        <v>26076.880000000005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9" customFormat="1">
      <c r="A23" s="87"/>
      <c r="B23" s="87"/>
      <c r="C23" s="87"/>
      <c r="D23" s="87" t="s">
        <v>213</v>
      </c>
      <c r="E23" s="87" t="str">
        <f>микс!$H$10</f>
        <v>продажа со склада</v>
      </c>
      <c r="F23" s="87" t="s">
        <v>218</v>
      </c>
      <c r="G23" s="87"/>
      <c r="H23" s="116">
        <f>IF(H20=0,0,H22/H20)</f>
        <v>0.12161952692810539</v>
      </c>
      <c r="I23" s="117"/>
      <c r="J23" s="118">
        <f>IF(J20=0,0,J22/J20)</f>
        <v>7.9713592659788099E-2</v>
      </c>
      <c r="K23" s="118">
        <f t="shared" ref="K23" si="5">IF(K20=0,0,K22/K20)</f>
        <v>0.14666287683305421</v>
      </c>
      <c r="L23" s="118">
        <f t="shared" ref="L23" si="6">IF(L20=0,0,L22/L20)</f>
        <v>0.15192510035364101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s="5" customFormat="1">
      <c r="A24" s="1"/>
      <c r="B24" s="1"/>
      <c r="C24" s="1"/>
      <c r="D24" s="168" t="s">
        <v>220</v>
      </c>
      <c r="E24" s="168" t="str">
        <f>микс!$H$10</f>
        <v>продажа со склада</v>
      </c>
      <c r="F24" s="168" t="s">
        <v>219</v>
      </c>
      <c r="G24" s="168"/>
      <c r="H24" s="169">
        <f>IF(H20=0,0,SUMIFS(операции!$AG:$AG,операции!$X:$X,"&gt;="&amp;H$8,операции!$X:$X,"&lt;="&amp;H$9,операции!$L:$L,$E24)/H20-SUMIFS(операции!$AF:$AF,операции!$X:$X,"&gt;="&amp;H$8,операции!$X:$X,"&lt;="&amp;H$9,операции!$L:$L,$E24)/H21)</f>
        <v>115.74716894339508</v>
      </c>
      <c r="I24" s="177"/>
      <c r="J24" s="169">
        <f>IF(J20=0,0,SUMIFS(операции!$AG:$AG,операции!$X:$X,"&gt;="&amp;J$8,операции!$X:$X,"&lt;="&amp;J$9,операции!$L:$L,$E24)/J20-SUMIFS(операции!$AF:$AF,операции!$X:$X,"&gt;="&amp;J$8,операции!$X:$X,"&lt;="&amp;J$9,операции!$L:$L,$E24)/J21)</f>
        <v>101.03450404001342</v>
      </c>
      <c r="K24" s="169">
        <f>IF(K20=0,0,SUMIFS(операции!$AG:$AG,операции!$X:$X,"&gt;="&amp;K$8,операции!$X:$X,"&lt;="&amp;K$9,операции!$L:$L,$E24)/K20-SUMIFS(операции!$AF:$AF,операции!$X:$X,"&gt;="&amp;K$8,операции!$X:$X,"&lt;="&amp;K$9,операции!$L:$L,$E24)/K21)</f>
        <v>122.92534737784445</v>
      </c>
      <c r="L24" s="169">
        <f>IF(L20=0,0,SUMIFS(операции!$AG:$AG,операции!$X:$X,"&gt;="&amp;L$8,операции!$X:$X,"&lt;="&amp;L$9,операции!$L:$L,$E24)/L20-SUMIFS(операции!$AF:$AF,операции!$X:$X,"&gt;="&amp;L$8,операции!$X:$X,"&lt;="&amp;L$9,операции!$L:$L,$E24)/L21)</f>
        <v>131.70617045021936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12"/>
      <c r="B25" s="12"/>
      <c r="C25" s="12"/>
      <c r="D25" s="131" t="s">
        <v>238</v>
      </c>
      <c r="E25" s="131" t="str">
        <f>микс!$H$10</f>
        <v>продажа со склада</v>
      </c>
      <c r="F25" s="131" t="s">
        <v>217</v>
      </c>
      <c r="G25" s="131"/>
      <c r="H25" s="166">
        <f>SUMIFS(операции!$V:$V,операции!$T:$T,"&lt;="&amp;$H$9,операции!$X:$X,"",операции!$L:$L,$E25)</f>
        <v>695650.87000000058</v>
      </c>
      <c r="I25" s="178">
        <f>H25-L25</f>
        <v>0</v>
      </c>
      <c r="J25" s="167">
        <f>SUMIFS(операции!$V:$V,операции!$T:$T,"&lt;="&amp;J$9,операции!$X:$X,"",операции!$L:$L,$E25)+SUMIFS(операции!$V:$V,операции!$T:$T,"&lt;="&amp;J$9,операции!$X:$X,"&gt;"&amp;J$9,операции!$L:$L,$E25)</f>
        <v>1347125.2300000004</v>
      </c>
      <c r="K25" s="167">
        <f>SUMIFS(операции!$V:$V,операции!$T:$T,"&lt;="&amp;K$9,операции!$X:$X,"",операции!$L:$L,$E25)+SUMIFS(операции!$V:$V,операции!$T:$T,"&lt;="&amp;K$9,операции!$X:$X,"&gt;"&amp;K$9,операции!$L:$L,$E25)</f>
        <v>841216.99000000057</v>
      </c>
      <c r="L25" s="167">
        <f>SUMIFS(операции!$V:$V,операции!$T:$T,"&lt;="&amp;L$9,операции!$X:$X,"",операции!$L:$L,$E25)+SUMIFS(операции!$V:$V,операции!$T:$T,"&lt;="&amp;L$9,операции!$X:$X,"&gt;"&amp;L$9,операции!$L:$L,$E25)</f>
        <v>695650.87000000058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5" customFormat="1">
      <c r="A26" s="1"/>
      <c r="B26" s="1"/>
      <c r="C26" s="1"/>
      <c r="D26" s="168" t="s">
        <v>239</v>
      </c>
      <c r="E26" s="168" t="str">
        <f>микс!$H$10</f>
        <v>продажа со склада</v>
      </c>
      <c r="F26" s="168" t="s">
        <v>219</v>
      </c>
      <c r="G26" s="168"/>
      <c r="H26" s="169">
        <f>IF(H25=0,0,$H$9-SUMIFS(операции!$AF:$AF,операции!$T:$T,"&lt;="&amp;$H$9,операции!$X:$X,"",операции!$L:$L,$E26)/H25)</f>
        <v>170.59956756760221</v>
      </c>
      <c r="I26" s="177">
        <f>H26-L26</f>
        <v>0</v>
      </c>
      <c r="J26" s="169">
        <f>IF(J25=0,0,J$9-(SUMIFS(операции!$AF:$AF,операции!$T:$T,"&lt;="&amp;J$9,операции!$X:$X,"",операции!$L:$L,$E26)+SUMIFS(операции!$AF:$AF,операции!$T:$T,"&lt;="&amp;J$9,операции!$X:$X,"&gt;"&amp;J$9,операции!$L:$L,$E26))/J25)</f>
        <v>109.04035445168847</v>
      </c>
      <c r="K26" s="169">
        <f>IF(K25=0,0,K$9-(SUMIFS(операции!$AF:$AF,операции!$T:$T,"&lt;="&amp;K$9,операции!$X:$X,"",операции!$L:$L,$E26)+SUMIFS(операции!$AF:$AF,операции!$T:$T,"&lt;="&amp;K$9,операции!$X:$X,"&gt;"&amp;K$9,операции!$L:$L,$E26))/K25)</f>
        <v>137.61633793204965</v>
      </c>
      <c r="L26" s="169">
        <f>IF(L25=0,0,L$9-(SUMIFS(операции!$AF:$AF,операции!$T:$T,"&lt;="&amp;L$9,операции!$X:$X,"",операции!$L:$L,$E26)+SUMIFS(операции!$AF:$AF,операции!$T:$T,"&lt;="&amp;L$9,операции!$X:$X,"&gt;"&amp;L$9,операции!$L:$L,$E26))/L25)</f>
        <v>170.59956756760221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93" customFormat="1" ht="15">
      <c r="A27" s="92"/>
      <c r="B27" s="92"/>
      <c r="C27" s="92"/>
      <c r="D27" s="98" t="s">
        <v>237</v>
      </c>
      <c r="E27" s="120" t="str">
        <f>микс!$H$10</f>
        <v>продажа со склада</v>
      </c>
      <c r="F27" s="98" t="s">
        <v>219</v>
      </c>
      <c r="G27" s="98"/>
      <c r="H27" s="99">
        <f>IF(H20=0,H26,(SUMIFS(операции!$AG:$AG,операции!$X:$X,"&gt;="&amp;$H$8,операции!$X:$X,"&lt;="&amp;$H$9,операции!$L:$L,$E27)+$H$9*H25)/(H20+H25)-(SUMIFS(операции!$AF:$AF,операции!$X:$X,"&gt;="&amp;$H$8,операции!$X:$X,"&lt;="&amp;$H$9,операции!$L:$L,$E27)+SUMIFS(операции!$AF:$AF,операции!$T:$T,"&lt;="&amp;$H$9,операции!$X:$X,"",операции!$L:$L,$E27))/(H21+H25))</f>
        <v>134.99160541298625</v>
      </c>
      <c r="I27" s="175"/>
      <c r="J27" s="99">
        <f>IF(J20=0,J26,(SUMIFS(операции!$AG:$AG,операции!$X:$X,"&gt;="&amp;J$8,операции!$X:$X,"&lt;="&amp;J$9,операции!$L:$L,$E27)+J$9*J25)/(J20+J25)-(SUMIFS(операции!$AF:$AF,операции!$X:$X,"&gt;="&amp;J$8,операции!$X:$X,"&lt;="&amp;J$9,операции!$L:$L,$E27)+SUMIFS(операции!$AF:$AF,операции!$T:$T,"&lt;="&amp;J$9,операции!$X:$X,"",операции!$L:$L,$E27)+SUMIFS(операции!$AF:$AF,операции!$T:$T,"&lt;="&amp;J$9,операции!$X:$X,"&gt;"&amp;J$9,операции!$L:$L,$E27))/(J21+J25))</f>
        <v>106.89928118605167</v>
      </c>
      <c r="K27" s="99">
        <f>IF(K20=0,K26,(SUMIFS(операции!$AG:$AG,операции!$X:$X,"&gt;="&amp;K$8,операции!$X:$X,"&lt;="&amp;K$9,операции!$L:$L,$E27)+K$9*K25)/(K20+K25)-(SUMIFS(операции!$AF:$AF,операции!$X:$X,"&gt;="&amp;K$8,операции!$X:$X,"&lt;="&amp;K$9,операции!$L:$L,$E27)+SUMIFS(операции!$AF:$AF,операции!$T:$T,"&lt;="&amp;K$9,операции!$X:$X,"",операции!$L:$L,$E27)+SUMIFS(операции!$AF:$AF,операции!$T:$T,"&lt;="&amp;K$9,операции!$X:$X,"&gt;"&amp;K$9,операции!$L:$L,$E27))/(K21+K25))</f>
        <v>131.44274328800384</v>
      </c>
      <c r="L27" s="99">
        <f>IF(L20=0,L26,(SUMIFS(операции!$AG:$AG,операции!$X:$X,"&gt;="&amp;L$8,операции!$X:$X,"&lt;="&amp;L$9,операции!$L:$L,$E27)+L$9*L25)/(L20+L25)-(SUMIFS(операции!$AF:$AF,операции!$X:$X,"&gt;="&amp;L$8,операции!$X:$X,"&lt;="&amp;L$9,операции!$L:$L,$E27)+SUMIFS(операции!$AF:$AF,операции!$T:$T,"&lt;="&amp;L$9,операции!$X:$X,"",операции!$L:$L,$E27)+SUMIFS(операции!$AF:$AF,операции!$T:$T,"&lt;="&amp;L$9,операции!$X:$X,"&gt;"&amp;L$9,операции!$L:$L,$E27))/(L21+L25))</f>
        <v>163.18728191901027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>
      <c r="A28" s="12"/>
      <c r="B28" s="12"/>
      <c r="C28" s="12"/>
      <c r="D28" s="97"/>
      <c r="E28" s="97"/>
      <c r="F28" s="97"/>
      <c r="G28" s="97"/>
      <c r="H28" s="100"/>
      <c r="I28" s="109"/>
      <c r="J28" s="97"/>
      <c r="K28" s="97"/>
      <c r="L28" s="9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>
      <c r="A29" s="12"/>
      <c r="B29" s="12"/>
      <c r="C29" s="12"/>
      <c r="D29" s="12" t="s">
        <v>210</v>
      </c>
      <c r="E29" s="12" t="str">
        <f>микс!$H$11</f>
        <v>продажа под заказ</v>
      </c>
      <c r="F29" s="12" t="s">
        <v>217</v>
      </c>
      <c r="G29" s="12"/>
      <c r="H29" s="90">
        <f>SUMIFS(операции!$Z:$Z,операции!$X:$X,"&gt;="&amp;H$8,операции!$X:$X,"&lt;="&amp;H$9,операции!$L:$L,$E29)</f>
        <v>2407902</v>
      </c>
      <c r="I29" s="108"/>
      <c r="J29" s="53">
        <f>SUMIFS(операции!$Z:$Z,операции!$X:$X,"&gt;="&amp;J$8,операции!$X:$X,"&lt;="&amp;J$9,операции!$L:$L,$E29)</f>
        <v>274527</v>
      </c>
      <c r="K29" s="53">
        <f>SUMIFS(операции!$Z:$Z,операции!$X:$X,"&gt;="&amp;K$8,операции!$X:$X,"&lt;="&amp;K$9,операции!$L:$L,$E29)</f>
        <v>1144940</v>
      </c>
      <c r="L29" s="53">
        <f>SUMIFS(операции!$Z:$Z,операции!$X:$X,"&gt;="&amp;L$8,операции!$X:$X,"&lt;="&amp;L$9,операции!$L:$L,$E29)</f>
        <v>988435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>
      <c r="A30" s="12"/>
      <c r="B30" s="12"/>
      <c r="C30" s="12"/>
      <c r="D30" s="12" t="s">
        <v>211</v>
      </c>
      <c r="E30" s="12" t="str">
        <f>микс!$H$11</f>
        <v>продажа под заказ</v>
      </c>
      <c r="F30" s="12" t="s">
        <v>217</v>
      </c>
      <c r="G30" s="12"/>
      <c r="H30" s="90">
        <f>SUMIFS(операции!$V:$V,операции!$X:$X,"&gt;="&amp;H$8,операции!$X:$X,"&lt;="&amp;H$9,операции!$L:$L,$E30)</f>
        <v>2138340.4100000006</v>
      </c>
      <c r="I30" s="108"/>
      <c r="J30" s="53">
        <f>SUMIFS(операции!$V:$V,операции!$X:$X,"&gt;="&amp;J$8,операции!$X:$X,"&lt;="&amp;J$9,операции!$L:$L,$E30)</f>
        <v>235259.42000000004</v>
      </c>
      <c r="K30" s="53">
        <f>SUMIFS(операции!$V:$V,операции!$X:$X,"&gt;="&amp;K$8,операции!$X:$X,"&lt;="&amp;K$9,операции!$L:$L,$E30)</f>
        <v>995795.90999999992</v>
      </c>
      <c r="L30" s="53">
        <f>SUMIFS(операции!$V:$V,операции!$X:$X,"&gt;="&amp;L$8,операции!$X:$X,"&lt;="&amp;L$9,операции!$L:$L,$E30)</f>
        <v>907285.08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>
      <c r="A31" s="12"/>
      <c r="B31" s="12"/>
      <c r="C31" s="12"/>
      <c r="D31" s="12" t="s">
        <v>212</v>
      </c>
      <c r="E31" s="12" t="str">
        <f>микс!$H$11</f>
        <v>продажа под заказ</v>
      </c>
      <c r="F31" s="12" t="s">
        <v>217</v>
      </c>
      <c r="G31" s="12"/>
      <c r="H31" s="90">
        <f>H29-H30</f>
        <v>269561.58999999939</v>
      </c>
      <c r="I31" s="108"/>
      <c r="J31" s="53">
        <f>J29-J30</f>
        <v>39267.579999999958</v>
      </c>
      <c r="K31" s="53">
        <f t="shared" ref="K31" si="7">K29-K30</f>
        <v>149144.09000000008</v>
      </c>
      <c r="L31" s="53">
        <f t="shared" ref="L31" si="8">L29-L30</f>
        <v>81149.920000000042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119" customFormat="1">
      <c r="A32" s="87"/>
      <c r="B32" s="87"/>
      <c r="C32" s="87"/>
      <c r="D32" s="87" t="s">
        <v>213</v>
      </c>
      <c r="E32" s="87" t="str">
        <f>микс!$H$11</f>
        <v>продажа под заказ</v>
      </c>
      <c r="F32" s="87" t="s">
        <v>218</v>
      </c>
      <c r="G32" s="87"/>
      <c r="H32" s="116">
        <f>IF(H29=0,0,H31/H29)</f>
        <v>0.11194873794697599</v>
      </c>
      <c r="I32" s="117"/>
      <c r="J32" s="118">
        <f>IF(J29=0,0,J31/J29)</f>
        <v>0.1430372240253234</v>
      </c>
      <c r="K32" s="118">
        <f t="shared" ref="K32" si="9">IF(K29=0,0,K31/K29)</f>
        <v>0.13026367320558291</v>
      </c>
      <c r="L32" s="118">
        <f t="shared" ref="L32" si="10">IF(L29=0,0,L31/L29)</f>
        <v>8.2099399555863609E-2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5" customFormat="1">
      <c r="A33" s="1"/>
      <c r="B33" s="1"/>
      <c r="C33" s="1"/>
      <c r="D33" s="168" t="s">
        <v>220</v>
      </c>
      <c r="E33" s="168" t="str">
        <f>микс!$H$11</f>
        <v>продажа под заказ</v>
      </c>
      <c r="F33" s="168" t="s">
        <v>219</v>
      </c>
      <c r="G33" s="168"/>
      <c r="H33" s="169">
        <f>IF(H29=0,0,SUMIFS(операции!$AG:$AG,операции!$X:$X,"&gt;="&amp;H$8,операции!$X:$X,"&lt;="&amp;H$9,операции!$L:$L,$E33)/H29-SUMIFS(операции!$AF:$AF,операции!$X:$X,"&gt;="&amp;H$8,операции!$X:$X,"&lt;="&amp;H$9,операции!$L:$L,$E33)/H30)</f>
        <v>5.9360620886291144</v>
      </c>
      <c r="I33" s="177"/>
      <c r="J33" s="169">
        <f>IF(J29=0,0,SUMIFS(операции!$AG:$AG,операции!$X:$X,"&gt;="&amp;J$8,операции!$X:$X,"&lt;="&amp;J$9,операции!$L:$L,$E33)/J29-SUMIFS(операции!$AF:$AF,операции!$X:$X,"&gt;="&amp;J$8,операции!$X:$X,"&lt;="&amp;J$9,операции!$L:$L,$E33)/J30)</f>
        <v>3.5176923983890447</v>
      </c>
      <c r="K33" s="169">
        <f>IF(K29=0,0,SUMIFS(операции!$AG:$AG,операции!$X:$X,"&gt;="&amp;K$8,операции!$X:$X,"&lt;="&amp;K$9,операции!$L:$L,$E33)/K29-SUMIFS(операции!$AF:$AF,операции!$X:$X,"&gt;="&amp;K$8,операции!$X:$X,"&lt;="&amp;K$9,операции!$L:$L,$E33)/K30)</f>
        <v>5.9834068471827777</v>
      </c>
      <c r="L33" s="169">
        <f>IF(L29=0,0,SUMIFS(операции!$AG:$AG,операции!$X:$X,"&gt;="&amp;L$8,операции!$X:$X,"&lt;="&amp;L$9,операции!$L:$L,$E33)/L29-SUMIFS(операции!$AF:$AF,операции!$X:$X,"&gt;="&amp;L$8,операции!$X:$X,"&lt;="&amp;L$9,операции!$L:$L,$E33)/L30)</f>
        <v>7.2850221033222624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>
      <c r="A34" s="12"/>
      <c r="B34" s="12"/>
      <c r="C34" s="12"/>
      <c r="D34" s="131" t="s">
        <v>238</v>
      </c>
      <c r="E34" s="131" t="str">
        <f>микс!$H$11</f>
        <v>продажа под заказ</v>
      </c>
      <c r="F34" s="131" t="s">
        <v>217</v>
      </c>
      <c r="G34" s="131"/>
      <c r="H34" s="166">
        <f>SUMIFS(операции!$V:$V,операции!$T:$T,"&lt;="&amp;$H$9,операции!$X:$X,"",операции!$L:$L,$E34)</f>
        <v>218981.79999999993</v>
      </c>
      <c r="I34" s="178">
        <f>H34-L34</f>
        <v>0</v>
      </c>
      <c r="J34" s="167">
        <f>SUMIFS(операции!$V:$V,операции!$T:$T,"&lt;="&amp;J$9,операции!$X:$X,"",операции!$L:$L,$E34)+SUMIFS(операции!$V:$V,операции!$T:$T,"&lt;="&amp;J$9,операции!$X:$X,"&gt;"&amp;J$9,операции!$L:$L,$E34)</f>
        <v>146979.93000000002</v>
      </c>
      <c r="K34" s="167">
        <f>SUMIFS(операции!$V:$V,операции!$T:$T,"&lt;="&amp;K$9,операции!$X:$X,"",операции!$L:$L,$E34)+SUMIFS(операции!$V:$V,операции!$T:$T,"&lt;="&amp;K$9,операции!$X:$X,"&gt;"&amp;K$9,операции!$L:$L,$E34)</f>
        <v>907285.08</v>
      </c>
      <c r="L34" s="167">
        <f>SUMIFS(операции!$V:$V,операции!$T:$T,"&lt;="&amp;L$9,операции!$X:$X,"",операции!$L:$L,$E34)+SUMIFS(операции!$V:$V,операции!$T:$T,"&lt;="&amp;L$9,операции!$X:$X,"&gt;"&amp;L$9,операции!$L:$L,$E34)</f>
        <v>218981.79999999993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5" customFormat="1">
      <c r="A35" s="1"/>
      <c r="B35" s="1"/>
      <c r="C35" s="1"/>
      <c r="D35" s="168" t="s">
        <v>239</v>
      </c>
      <c r="E35" s="168" t="str">
        <f>микс!$H$11</f>
        <v>продажа под заказ</v>
      </c>
      <c r="F35" s="168" t="s">
        <v>219</v>
      </c>
      <c r="G35" s="168"/>
      <c r="H35" s="169">
        <f>IF(H34=0,0,$H$9-SUMIFS(операции!$AF:$AF,операции!$T:$T,"&lt;="&amp;$H$9,операции!$X:$X,"",операции!$L:$L,$E35)/H34)</f>
        <v>6.1678958707852871</v>
      </c>
      <c r="I35" s="177">
        <f>H35-L35</f>
        <v>0</v>
      </c>
      <c r="J35" s="169">
        <f>IF(J34=0,0,J$9-(SUMIFS(операции!$AF:$AF,операции!$T:$T,"&lt;="&amp;J$9,операции!$X:$X,"",операции!$L:$L,$E35)+SUMIFS(операции!$AF:$AF,операции!$T:$T,"&lt;="&amp;J$9,операции!$X:$X,"&gt;"&amp;J$9,операции!$L:$L,$E35))/J34)</f>
        <v>2.0462646158557618</v>
      </c>
      <c r="K35" s="169">
        <f>IF(K34=0,0,K$9-(SUMIFS(операции!$AF:$AF,операции!$T:$T,"&lt;="&amp;K$9,операции!$X:$X,"",операции!$L:$L,$E35)+SUMIFS(операции!$AF:$AF,операции!$T:$T,"&lt;="&amp;K$9,операции!$X:$X,"&gt;"&amp;K$9,операции!$L:$L,$E35))/K34)</f>
        <v>2.2044300562993158</v>
      </c>
      <c r="L35" s="169">
        <f>IF(L34=0,0,L$9-(SUMIFS(операции!$AF:$AF,операции!$T:$T,"&lt;="&amp;L$9,операции!$X:$X,"",операции!$L:$L,$E35)+SUMIFS(операции!$AF:$AF,операции!$T:$T,"&lt;="&amp;L$9,операции!$X:$X,"&gt;"&amp;L$9,операции!$L:$L,$E35))/L34)</f>
        <v>6.1678958707852871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93" customFormat="1" ht="15">
      <c r="A36" s="92"/>
      <c r="B36" s="92"/>
      <c r="C36" s="92"/>
      <c r="D36" s="98" t="s">
        <v>237</v>
      </c>
      <c r="E36" s="120" t="str">
        <f>микс!$H$11</f>
        <v>продажа под заказ</v>
      </c>
      <c r="F36" s="98" t="s">
        <v>219</v>
      </c>
      <c r="G36" s="98"/>
      <c r="H36" s="99">
        <f>IF(H29=0,H35,(SUMIFS(операции!$AG:$AG,операции!$X:$X,"&gt;="&amp;$H$8,операции!$X:$X,"&lt;="&amp;$H$9,операции!$L:$L,$E36)+$H$9*H34)/(H29+H34)-(SUMIFS(операции!$AF:$AF,операции!$X:$X,"&gt;="&amp;$H$8,операции!$X:$X,"&lt;="&amp;$H$9,операции!$L:$L,$E36)+SUMIFS(операции!$AF:$AF,операции!$T:$T,"&lt;="&amp;$H$9,операции!$X:$X,"",операции!$L:$L,$E36))/(H30+H34))</f>
        <v>5.5886661745316815</v>
      </c>
      <c r="I36" s="175"/>
      <c r="J36" s="99">
        <f>IF(J29=0,J35,(SUMIFS(операции!$AG:$AG,операции!$X:$X,"&gt;="&amp;J$8,операции!$X:$X,"&lt;="&amp;J$9,операции!$L:$L,$E36)+J$9*J34)/(J29+J34)-(SUMIFS(операции!$AF:$AF,операции!$X:$X,"&gt;="&amp;J$8,операции!$X:$X,"&lt;="&amp;J$9,операции!$L:$L,$E36)+SUMIFS(операции!$AF:$AF,операции!$T:$T,"&lt;="&amp;J$9,операции!$X:$X,"",операции!$L:$L,$E36)+SUMIFS(операции!$AF:$AF,операции!$T:$T,"&lt;="&amp;J$9,операции!$X:$X,"&gt;"&amp;J$9,операции!$L:$L,$E36))/(J30+J34))</f>
        <v>2.7952868803840829</v>
      </c>
      <c r="K36" s="99">
        <f>IF(K29=0,K35,(SUMIFS(операции!$AG:$AG,операции!$X:$X,"&gt;="&amp;K$8,операции!$X:$X,"&lt;="&amp;K$9,операции!$L:$L,$E36)+K$9*K34)/(K29+K34)-(SUMIFS(операции!$AF:$AF,операции!$X:$X,"&gt;="&amp;K$8,операции!$X:$X,"&lt;="&amp;K$9,операции!$L:$L,$E36)+SUMIFS(операции!$AF:$AF,операции!$T:$T,"&lt;="&amp;K$9,операции!$X:$X,"",операции!$L:$L,$E36)+SUMIFS(операции!$AF:$AF,операции!$T:$T,"&lt;="&amp;K$9,операции!$X:$X,"&gt;"&amp;K$9,операции!$L:$L,$E36))/(K30+K34))</f>
        <v>3.7541188261966454</v>
      </c>
      <c r="L36" s="99">
        <f>IF(L29=0,L35,(SUMIFS(операции!$AG:$AG,операции!$X:$X,"&gt;="&amp;L$8,операции!$X:$X,"&lt;="&amp;L$9,операции!$L:$L,$E36)+L$9*L34)/(L29+L34)-(SUMIFS(операции!$AF:$AF,операции!$X:$X,"&gt;="&amp;L$8,операции!$X:$X,"&lt;="&amp;L$9,операции!$L:$L,$E36)+SUMIFS(операции!$AF:$AF,операции!$T:$T,"&lt;="&amp;L$9,операции!$X:$X,"",операции!$L:$L,$E36)+SUMIFS(операции!$AF:$AF,операции!$T:$T,"&lt;="&amp;L$9,операции!$X:$X,"&gt;"&amp;L$9,операции!$L:$L,$E36))/(L30+L34))</f>
        <v>6.7291117072672932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</row>
    <row r="37" spans="1:27">
      <c r="A37" s="12"/>
      <c r="B37" s="12"/>
      <c r="C37" s="12"/>
      <c r="D37" s="97"/>
      <c r="E37" s="97"/>
      <c r="F37" s="97"/>
      <c r="G37" s="97"/>
      <c r="H37" s="100"/>
      <c r="I37" s="109"/>
      <c r="J37" s="97"/>
      <c r="K37" s="97"/>
      <c r="L37" s="9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>
      <c r="A38" s="12"/>
      <c r="B38" s="12"/>
      <c r="C38" s="12"/>
      <c r="D38" s="12"/>
      <c r="E38" s="12"/>
      <c r="F38" s="12"/>
      <c r="G38" s="12"/>
      <c r="H38" s="1"/>
      <c r="I38" s="108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>
      <c r="A39" s="12"/>
      <c r="B39" s="12"/>
      <c r="C39" s="12"/>
      <c r="D39" s="12"/>
      <c r="E39" s="12"/>
      <c r="F39" s="12"/>
      <c r="G39" s="12"/>
      <c r="H39" s="1"/>
      <c r="I39" s="108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27">
      <c r="A40" s="12"/>
      <c r="B40" s="12"/>
      <c r="C40" s="12"/>
      <c r="D40" s="12"/>
      <c r="E40" s="12"/>
      <c r="F40" s="12"/>
      <c r="G40" s="12"/>
      <c r="H40" s="1"/>
      <c r="I40" s="108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>
      <c r="A41" s="12"/>
      <c r="B41" s="12"/>
      <c r="C41" s="12"/>
      <c r="D41" s="12"/>
      <c r="E41" s="12"/>
      <c r="F41" s="12"/>
      <c r="G41" s="12"/>
      <c r="H41" s="1"/>
      <c r="I41" s="108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27">
      <c r="A42" s="12"/>
      <c r="B42" s="12"/>
      <c r="C42" s="12"/>
      <c r="D42" s="12"/>
      <c r="E42" s="12"/>
      <c r="F42" s="12"/>
      <c r="G42" s="12"/>
      <c r="H42" s="1"/>
      <c r="I42" s="108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</row>
    <row r="43" spans="1:27">
      <c r="A43" s="12"/>
      <c r="B43" s="12"/>
      <c r="C43" s="12"/>
      <c r="D43" s="12"/>
      <c r="E43" s="12"/>
      <c r="F43" s="12"/>
      <c r="G43" s="12"/>
      <c r="H43" s="1"/>
      <c r="I43" s="108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27">
      <c r="A44" s="12"/>
      <c r="B44" s="12"/>
      <c r="C44" s="12"/>
      <c r="D44" s="12"/>
      <c r="E44" s="12"/>
      <c r="F44" s="12"/>
      <c r="G44" s="12"/>
      <c r="H44" s="1"/>
      <c r="I44" s="108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>
      <c r="A45" s="12"/>
      <c r="B45" s="12"/>
      <c r="C45" s="12"/>
      <c r="D45" s="12"/>
      <c r="E45" s="12"/>
      <c r="F45" s="12"/>
      <c r="G45" s="12"/>
      <c r="H45" s="1"/>
      <c r="I45" s="108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</row>
    <row r="46" spans="1:27">
      <c r="A46" s="12"/>
      <c r="B46" s="12"/>
      <c r="C46" s="12"/>
      <c r="D46" s="12"/>
      <c r="E46" s="12"/>
      <c r="F46" s="12"/>
      <c r="G46" s="12"/>
      <c r="H46" s="1"/>
      <c r="I46" s="108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>
      <c r="A47" s="12"/>
      <c r="B47" s="12"/>
      <c r="C47" s="12"/>
      <c r="D47" s="12"/>
      <c r="E47" s="12"/>
      <c r="F47" s="12"/>
      <c r="G47" s="12"/>
      <c r="H47" s="1"/>
      <c r="I47" s="108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>
      <c r="A48" s="12"/>
      <c r="B48" s="12"/>
      <c r="C48" s="12"/>
      <c r="D48" s="12"/>
      <c r="E48" s="12"/>
      <c r="F48" s="12"/>
      <c r="G48" s="12"/>
      <c r="H48" s="1"/>
      <c r="I48" s="108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>
      <c r="A49" s="12"/>
      <c r="B49" s="12"/>
      <c r="C49" s="12"/>
      <c r="D49" s="12"/>
      <c r="E49" s="12"/>
      <c r="F49" s="12"/>
      <c r="G49" s="12"/>
      <c r="H49" s="1"/>
      <c r="I49" s="108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>
      <c r="A50" s="12"/>
      <c r="B50" s="12"/>
      <c r="C50" s="12"/>
      <c r="D50" s="12"/>
      <c r="E50" s="12"/>
      <c r="F50" s="12"/>
      <c r="G50" s="12"/>
      <c r="H50" s="1"/>
      <c r="I50" s="108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</row>
    <row r="51" spans="1:27">
      <c r="A51" s="12"/>
      <c r="B51" s="12"/>
      <c r="C51" s="12"/>
      <c r="D51" s="12"/>
      <c r="E51" s="12"/>
      <c r="F51" s="12"/>
      <c r="G51" s="12"/>
      <c r="H51" s="1"/>
      <c r="I51" s="108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</row>
    <row r="52" spans="1:27">
      <c r="A52" s="12"/>
      <c r="B52" s="12"/>
      <c r="C52" s="12"/>
      <c r="D52" s="12"/>
      <c r="E52" s="12"/>
      <c r="F52" s="12"/>
      <c r="G52" s="12"/>
      <c r="H52" s="1"/>
      <c r="I52" s="108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>
      <c r="A53" s="12"/>
      <c r="B53" s="12"/>
      <c r="C53" s="12"/>
      <c r="D53" s="12"/>
      <c r="E53" s="12"/>
      <c r="F53" s="12"/>
      <c r="G53" s="12"/>
      <c r="H53" s="1"/>
      <c r="I53" s="108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>
      <c r="A54" s="12"/>
      <c r="B54" s="12"/>
      <c r="C54" s="12"/>
      <c r="D54" s="12"/>
      <c r="E54" s="12"/>
      <c r="F54" s="12"/>
      <c r="G54" s="12"/>
      <c r="H54" s="1"/>
      <c r="I54" s="108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</row>
    <row r="55" spans="1:27">
      <c r="A55" s="12"/>
      <c r="B55" s="12"/>
      <c r="C55" s="12"/>
      <c r="D55" s="12"/>
      <c r="E55" s="12"/>
      <c r="F55" s="12"/>
      <c r="G55" s="12"/>
      <c r="H55" s="1"/>
      <c r="I55" s="108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>
      <c r="A56" s="12"/>
      <c r="B56" s="12"/>
      <c r="C56" s="12"/>
      <c r="D56" s="12"/>
      <c r="E56" s="12"/>
      <c r="F56" s="12"/>
      <c r="G56" s="12"/>
      <c r="H56" s="1"/>
      <c r="I56" s="108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>
      <c r="A57" s="12"/>
      <c r="B57" s="12"/>
      <c r="C57" s="12"/>
      <c r="D57" s="12"/>
      <c r="E57" s="12"/>
      <c r="F57" s="12"/>
      <c r="G57" s="12"/>
      <c r="H57" s="1"/>
      <c r="I57" s="108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>
      <c r="A58" s="12"/>
      <c r="B58" s="12"/>
      <c r="C58" s="12"/>
      <c r="D58" s="12"/>
      <c r="E58" s="12"/>
      <c r="F58" s="12"/>
      <c r="G58" s="12"/>
      <c r="H58" s="1"/>
      <c r="I58" s="108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>
      <c r="A59" s="12"/>
      <c r="B59" s="12"/>
      <c r="C59" s="12"/>
      <c r="D59" s="12"/>
      <c r="E59" s="12"/>
      <c r="F59" s="12"/>
      <c r="G59" s="12"/>
      <c r="H59" s="1"/>
      <c r="I59" s="108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>
      <c r="A60" s="12"/>
      <c r="B60" s="12"/>
      <c r="C60" s="12"/>
      <c r="D60" s="12"/>
      <c r="E60" s="12"/>
      <c r="F60" s="12"/>
      <c r="G60" s="12"/>
      <c r="H60" s="1"/>
      <c r="I60" s="108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>
      <c r="A61" s="12"/>
      <c r="B61" s="12"/>
      <c r="C61" s="12"/>
      <c r="D61" s="12"/>
      <c r="E61" s="12"/>
      <c r="F61" s="12"/>
      <c r="G61" s="12"/>
      <c r="H61" s="1"/>
      <c r="I61" s="108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>
      <c r="A62" s="12"/>
      <c r="B62" s="12"/>
      <c r="C62" s="12"/>
      <c r="D62" s="12"/>
      <c r="E62" s="12"/>
      <c r="F62" s="12"/>
      <c r="G62" s="12"/>
      <c r="H62" s="1"/>
      <c r="I62" s="108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>
      <c r="A63" s="12"/>
      <c r="B63" s="12"/>
      <c r="C63" s="12"/>
      <c r="D63" s="12"/>
      <c r="E63" s="12"/>
      <c r="F63" s="12"/>
      <c r="G63" s="12"/>
      <c r="H63" s="1"/>
      <c r="I63" s="108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>
      <c r="A64" s="12"/>
      <c r="B64" s="12"/>
      <c r="C64" s="12"/>
      <c r="D64" s="12"/>
      <c r="E64" s="12"/>
      <c r="F64" s="12"/>
      <c r="G64" s="12"/>
      <c r="H64" s="1"/>
      <c r="I64" s="108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>
      <c r="A65" s="12"/>
      <c r="B65" s="12"/>
      <c r="C65" s="12"/>
      <c r="D65" s="12"/>
      <c r="E65" s="12"/>
      <c r="F65" s="12"/>
      <c r="G65" s="12"/>
      <c r="H65" s="1"/>
      <c r="I65" s="108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>
      <c r="A66" s="12"/>
      <c r="B66" s="12"/>
      <c r="C66" s="12"/>
      <c r="D66" s="12"/>
      <c r="E66" s="12"/>
      <c r="F66" s="12"/>
      <c r="G66" s="12"/>
      <c r="H66" s="1"/>
      <c r="I66" s="108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>
      <c r="A67" s="12"/>
      <c r="B67" s="12"/>
      <c r="C67" s="12"/>
      <c r="D67" s="12"/>
      <c r="E67" s="12"/>
      <c r="F67" s="12"/>
      <c r="G67" s="12"/>
      <c r="H67" s="1"/>
      <c r="I67" s="108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>
      <c r="A68" s="12"/>
      <c r="B68" s="12"/>
      <c r="C68" s="12"/>
      <c r="D68" s="12"/>
      <c r="E68" s="12"/>
      <c r="F68" s="12"/>
      <c r="G68" s="12"/>
      <c r="H68" s="1"/>
      <c r="I68" s="108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>
      <c r="A69" s="12"/>
      <c r="B69" s="12"/>
      <c r="C69" s="12"/>
      <c r="D69" s="12"/>
      <c r="E69" s="12"/>
      <c r="F69" s="12"/>
      <c r="G69" s="12"/>
      <c r="H69" s="1"/>
      <c r="I69" s="108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>
      <c r="A70" s="12"/>
      <c r="B70" s="12"/>
      <c r="C70" s="12"/>
      <c r="D70" s="12"/>
      <c r="E70" s="12"/>
      <c r="F70" s="12"/>
      <c r="G70" s="12"/>
      <c r="H70" s="1"/>
      <c r="I70" s="108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>
      <c r="A71" s="12"/>
      <c r="B71" s="12"/>
      <c r="C71" s="12"/>
      <c r="D71" s="12"/>
      <c r="E71" s="12"/>
      <c r="F71" s="12"/>
      <c r="G71" s="12"/>
      <c r="H71" s="1"/>
      <c r="I71" s="108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>
      <c r="A72" s="12"/>
      <c r="B72" s="12"/>
      <c r="C72" s="12"/>
      <c r="D72" s="12"/>
      <c r="E72" s="12"/>
      <c r="F72" s="12"/>
      <c r="G72" s="12"/>
      <c r="H72" s="1"/>
      <c r="I72" s="108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>
      <c r="A73" s="12"/>
      <c r="B73" s="12"/>
      <c r="C73" s="12"/>
      <c r="D73" s="12"/>
      <c r="E73" s="12"/>
      <c r="F73" s="12"/>
      <c r="G73" s="12"/>
      <c r="H73" s="1"/>
      <c r="I73" s="108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>
      <c r="A74" s="12"/>
      <c r="B74" s="12"/>
      <c r="C74" s="12"/>
      <c r="D74" s="12"/>
      <c r="E74" s="12"/>
      <c r="F74" s="12"/>
      <c r="G74" s="12"/>
      <c r="H74" s="1"/>
      <c r="I74" s="108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>
      <c r="A75" s="12"/>
      <c r="B75" s="12"/>
      <c r="C75" s="12"/>
      <c r="D75" s="12"/>
      <c r="E75" s="12"/>
      <c r="F75" s="12"/>
      <c r="G75" s="12"/>
      <c r="H75" s="1"/>
      <c r="I75" s="108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>
      <c r="A76" s="12"/>
      <c r="B76" s="12"/>
      <c r="C76" s="12"/>
      <c r="D76" s="12"/>
      <c r="E76" s="12"/>
      <c r="F76" s="12"/>
      <c r="G76" s="12"/>
      <c r="H76" s="1"/>
      <c r="I76" s="108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>
      <c r="A77" s="12"/>
      <c r="B77" s="12"/>
      <c r="C77" s="12"/>
      <c r="D77" s="12"/>
      <c r="E77" s="12"/>
      <c r="F77" s="12"/>
      <c r="G77" s="12"/>
      <c r="H77" s="1"/>
      <c r="I77" s="108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>
      <c r="A78" s="12"/>
      <c r="B78" s="12"/>
      <c r="C78" s="12"/>
      <c r="D78" s="12"/>
      <c r="E78" s="12"/>
      <c r="F78" s="12"/>
      <c r="G78" s="12"/>
      <c r="H78" s="1"/>
      <c r="I78" s="108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>
      <c r="A79" s="12"/>
      <c r="B79" s="12"/>
      <c r="C79" s="12"/>
      <c r="D79" s="12"/>
      <c r="E79" s="12"/>
      <c r="F79" s="12"/>
      <c r="G79" s="12"/>
      <c r="H79" s="1"/>
      <c r="I79" s="108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7">
      <c r="A80" s="12"/>
      <c r="B80" s="12"/>
      <c r="C80" s="12"/>
      <c r="D80" s="12"/>
      <c r="E80" s="12"/>
      <c r="F80" s="12"/>
      <c r="G80" s="12"/>
      <c r="H80" s="1"/>
      <c r="I80" s="108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</row>
    <row r="81" spans="1:27">
      <c r="A81" s="12"/>
      <c r="B81" s="12"/>
      <c r="C81" s="12"/>
      <c r="D81" s="12"/>
      <c r="E81" s="12"/>
      <c r="F81" s="12"/>
      <c r="G81" s="12"/>
      <c r="H81" s="1"/>
      <c r="I81" s="108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>
      <c r="A82" s="12"/>
      <c r="B82" s="12"/>
      <c r="C82" s="12"/>
      <c r="D82" s="12"/>
      <c r="E82" s="12"/>
      <c r="F82" s="12"/>
      <c r="G82" s="12"/>
      <c r="H82" s="1"/>
      <c r="I82" s="108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>
      <c r="A83" s="12"/>
      <c r="B83" s="12"/>
      <c r="C83" s="12"/>
      <c r="D83" s="12"/>
      <c r="E83" s="12"/>
      <c r="F83" s="12"/>
      <c r="G83" s="12"/>
      <c r="H83" s="1"/>
      <c r="I83" s="108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>
      <c r="A84" s="12"/>
      <c r="B84" s="12"/>
      <c r="C84" s="12"/>
      <c r="D84" s="12"/>
      <c r="E84" s="12"/>
      <c r="F84" s="12"/>
      <c r="G84" s="12"/>
      <c r="H84" s="1"/>
      <c r="I84" s="108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>
      <c r="A85" s="12"/>
      <c r="B85" s="12"/>
      <c r="C85" s="12"/>
      <c r="D85" s="12"/>
      <c r="E85" s="12"/>
      <c r="F85" s="12"/>
      <c r="G85" s="12"/>
      <c r="H85" s="1"/>
      <c r="I85" s="108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>
      <c r="A86" s="12"/>
      <c r="B86" s="12"/>
      <c r="C86" s="12"/>
      <c r="D86" s="12"/>
      <c r="E86" s="12"/>
      <c r="F86" s="12"/>
      <c r="G86" s="12"/>
      <c r="H86" s="1"/>
      <c r="I86" s="108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</row>
    <row r="87" spans="1:27">
      <c r="A87" s="12"/>
      <c r="B87" s="12"/>
      <c r="C87" s="12"/>
      <c r="D87" s="12"/>
      <c r="E87" s="12"/>
      <c r="F87" s="12"/>
      <c r="G87" s="12"/>
      <c r="H87" s="1"/>
      <c r="I87" s="108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>
      <c r="A88" s="12"/>
      <c r="B88" s="12"/>
      <c r="C88" s="12"/>
      <c r="D88" s="12"/>
      <c r="E88" s="12"/>
      <c r="F88" s="12"/>
      <c r="G88" s="12"/>
      <c r="H88" s="1"/>
      <c r="I88" s="108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>
      <c r="A89" s="12"/>
      <c r="B89" s="12"/>
      <c r="C89" s="12"/>
      <c r="D89" s="12"/>
      <c r="E89" s="12"/>
      <c r="F89" s="12"/>
      <c r="G89" s="12"/>
      <c r="H89" s="1"/>
      <c r="I89" s="108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>
      <c r="A90" s="12"/>
      <c r="B90" s="12"/>
      <c r="C90" s="12"/>
      <c r="D90" s="12"/>
      <c r="E90" s="12"/>
      <c r="F90" s="12"/>
      <c r="G90" s="12"/>
      <c r="H90" s="1"/>
      <c r="I90" s="108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>
      <c r="A91" s="12"/>
      <c r="B91" s="12"/>
      <c r="C91" s="12"/>
      <c r="D91" s="12"/>
      <c r="E91" s="12"/>
      <c r="F91" s="12"/>
      <c r="G91" s="12"/>
      <c r="H91" s="1"/>
      <c r="I91" s="108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>
      <c r="A92" s="12"/>
      <c r="B92" s="12"/>
      <c r="C92" s="12"/>
      <c r="D92" s="12"/>
      <c r="E92" s="12"/>
      <c r="F92" s="12"/>
      <c r="G92" s="12"/>
      <c r="H92" s="1"/>
      <c r="I92" s="108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>
      <c r="A93" s="12"/>
      <c r="B93" s="12"/>
      <c r="C93" s="12"/>
      <c r="D93" s="12"/>
      <c r="E93" s="12"/>
      <c r="F93" s="12"/>
      <c r="G93" s="12"/>
      <c r="H93" s="1"/>
      <c r="I93" s="108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>
      <c r="A94" s="12"/>
      <c r="B94" s="12"/>
      <c r="C94" s="12"/>
      <c r="D94" s="12"/>
      <c r="E94" s="12"/>
      <c r="F94" s="12"/>
      <c r="G94" s="12"/>
      <c r="H94" s="1"/>
      <c r="I94" s="108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>
      <c r="A95" s="12"/>
      <c r="B95" s="12"/>
      <c r="C95" s="12"/>
      <c r="D95" s="12"/>
      <c r="E95" s="12"/>
      <c r="F95" s="12"/>
      <c r="G95" s="12"/>
      <c r="H95" s="1"/>
      <c r="I95" s="108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</row>
    <row r="96" spans="1:27">
      <c r="A96" s="12"/>
      <c r="B96" s="12"/>
      <c r="C96" s="12"/>
      <c r="D96" s="12"/>
      <c r="E96" s="12"/>
      <c r="F96" s="12"/>
      <c r="G96" s="12"/>
      <c r="H96" s="1"/>
      <c r="I96" s="108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</row>
    <row r="97" spans="1:27">
      <c r="A97" s="12"/>
      <c r="B97" s="12"/>
      <c r="C97" s="12"/>
      <c r="D97" s="12"/>
      <c r="E97" s="12"/>
      <c r="F97" s="12"/>
      <c r="G97" s="12"/>
      <c r="H97" s="1"/>
      <c r="I97" s="108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>
      <c r="A98" s="12"/>
      <c r="B98" s="12"/>
      <c r="C98" s="12"/>
      <c r="D98" s="12"/>
      <c r="E98" s="12"/>
      <c r="F98" s="12"/>
      <c r="G98" s="12"/>
      <c r="H98" s="1"/>
      <c r="I98" s="108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</row>
    <row r="99" spans="1:27">
      <c r="A99" s="12"/>
      <c r="B99" s="12"/>
      <c r="C99" s="12"/>
      <c r="D99" s="12"/>
      <c r="E99" s="12"/>
      <c r="F99" s="12"/>
      <c r="G99" s="12"/>
      <c r="H99" s="1"/>
      <c r="I99" s="108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</row>
    <row r="100" spans="1:27">
      <c r="A100" s="12"/>
      <c r="B100" s="12"/>
      <c r="C100" s="12"/>
      <c r="D100" s="12"/>
      <c r="E100" s="12"/>
      <c r="F100" s="12"/>
      <c r="G100" s="12"/>
      <c r="H100" s="1"/>
      <c r="I100" s="108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>
      <c r="A101" s="12"/>
      <c r="B101" s="12"/>
      <c r="C101" s="12"/>
      <c r="D101" s="12"/>
      <c r="E101" s="12"/>
      <c r="F101" s="12"/>
      <c r="G101" s="12"/>
      <c r="H101" s="1"/>
      <c r="I101" s="108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>
      <c r="A102" s="12"/>
      <c r="B102" s="12"/>
      <c r="C102" s="12"/>
      <c r="D102" s="12"/>
      <c r="E102" s="12"/>
      <c r="F102" s="12"/>
      <c r="G102" s="12"/>
      <c r="H102" s="1"/>
      <c r="I102" s="108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>
      <c r="A103" s="12"/>
      <c r="B103" s="12"/>
      <c r="C103" s="12"/>
      <c r="D103" s="12"/>
      <c r="E103" s="12"/>
      <c r="F103" s="12"/>
      <c r="G103" s="12"/>
      <c r="H103" s="1"/>
      <c r="I103" s="108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>
      <c r="A104" s="12"/>
      <c r="B104" s="12"/>
      <c r="C104" s="12"/>
      <c r="D104" s="12"/>
      <c r="E104" s="12"/>
      <c r="F104" s="12"/>
      <c r="G104" s="12"/>
      <c r="H104" s="1"/>
      <c r="I104" s="108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>
      <c r="A105" s="12"/>
      <c r="B105" s="12"/>
      <c r="C105" s="12"/>
      <c r="D105" s="12"/>
      <c r="E105" s="12"/>
      <c r="F105" s="12"/>
      <c r="G105" s="12"/>
      <c r="H105" s="1"/>
      <c r="I105" s="108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>
      <c r="A106" s="12"/>
      <c r="B106" s="12"/>
      <c r="C106" s="12"/>
      <c r="D106" s="12"/>
      <c r="E106" s="12"/>
      <c r="F106" s="12"/>
      <c r="G106" s="12"/>
      <c r="H106" s="1"/>
      <c r="I106" s="108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>
      <c r="A107" s="12"/>
      <c r="B107" s="12"/>
      <c r="C107" s="12"/>
      <c r="D107" s="12"/>
      <c r="E107" s="12"/>
      <c r="F107" s="12"/>
      <c r="G107" s="12"/>
      <c r="H107" s="1"/>
      <c r="I107" s="108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>
      <c r="A108" s="12"/>
      <c r="B108" s="12"/>
      <c r="C108" s="12"/>
      <c r="D108" s="12"/>
      <c r="E108" s="12"/>
      <c r="F108" s="12"/>
      <c r="G108" s="12"/>
      <c r="H108" s="1"/>
      <c r="I108" s="108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>
      <c r="A109" s="12"/>
      <c r="B109" s="12"/>
      <c r="C109" s="12"/>
      <c r="D109" s="12"/>
      <c r="E109" s="12"/>
      <c r="F109" s="12"/>
      <c r="G109" s="12"/>
      <c r="H109" s="1"/>
      <c r="I109" s="108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>
      <c r="A110" s="12"/>
      <c r="B110" s="12"/>
      <c r="C110" s="12"/>
      <c r="D110" s="12"/>
      <c r="E110" s="12"/>
      <c r="F110" s="12"/>
      <c r="G110" s="12"/>
      <c r="H110" s="1"/>
      <c r="I110" s="108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>
      <c r="A111" s="12"/>
      <c r="B111" s="12"/>
      <c r="C111" s="12"/>
      <c r="D111" s="12"/>
      <c r="E111" s="12"/>
      <c r="F111" s="12"/>
      <c r="G111" s="12"/>
      <c r="H111" s="1"/>
      <c r="I111" s="108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>
      <c r="A112" s="12"/>
      <c r="B112" s="12"/>
      <c r="C112" s="12"/>
      <c r="D112" s="12"/>
      <c r="E112" s="12"/>
      <c r="F112" s="12"/>
      <c r="G112" s="12"/>
      <c r="H112" s="1"/>
      <c r="I112" s="108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>
      <c r="A113" s="12"/>
      <c r="B113" s="12"/>
      <c r="C113" s="12"/>
      <c r="D113" s="12"/>
      <c r="E113" s="12"/>
      <c r="F113" s="12"/>
      <c r="G113" s="12"/>
      <c r="H113" s="1"/>
      <c r="I113" s="108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>
      <c r="A114" s="12"/>
      <c r="B114" s="12"/>
      <c r="C114" s="12"/>
      <c r="D114" s="12"/>
      <c r="E114" s="12"/>
      <c r="F114" s="12"/>
      <c r="G114" s="12"/>
      <c r="H114" s="1"/>
      <c r="I114" s="108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>
      <c r="A115" s="12"/>
      <c r="B115" s="12"/>
      <c r="C115" s="12"/>
      <c r="D115" s="12"/>
      <c r="E115" s="12"/>
      <c r="F115" s="12"/>
      <c r="G115" s="12"/>
      <c r="H115" s="1"/>
      <c r="I115" s="108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>
      <c r="A116" s="12"/>
      <c r="B116" s="12"/>
      <c r="C116" s="12"/>
      <c r="D116" s="12"/>
      <c r="E116" s="12"/>
      <c r="F116" s="12"/>
      <c r="G116" s="12"/>
      <c r="H116" s="1"/>
      <c r="I116" s="108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>
      <c r="A117" s="12"/>
      <c r="B117" s="12"/>
      <c r="C117" s="12"/>
      <c r="D117" s="12"/>
      <c r="E117" s="12"/>
      <c r="F117" s="12"/>
      <c r="G117" s="12"/>
      <c r="H117" s="1"/>
      <c r="I117" s="108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>
      <c r="A118" s="12"/>
      <c r="B118" s="12"/>
      <c r="C118" s="12"/>
      <c r="D118" s="12"/>
      <c r="E118" s="12"/>
      <c r="F118" s="12"/>
      <c r="G118" s="12"/>
      <c r="H118" s="1"/>
      <c r="I118" s="108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>
      <c r="A119" s="12"/>
      <c r="B119" s="12"/>
      <c r="C119" s="12"/>
      <c r="D119" s="12"/>
      <c r="E119" s="12"/>
      <c r="F119" s="12"/>
      <c r="G119" s="12"/>
      <c r="H119" s="1"/>
      <c r="I119" s="108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>
      <c r="A120" s="12"/>
      <c r="B120" s="12"/>
      <c r="C120" s="12"/>
      <c r="D120" s="12"/>
      <c r="E120" s="12"/>
      <c r="F120" s="12"/>
      <c r="G120" s="12"/>
      <c r="H120" s="1"/>
      <c r="I120" s="108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F145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A2" sqref="A2"/>
    </sheetView>
  </sheetViews>
  <sheetFormatPr defaultRowHeight="12.75"/>
  <cols>
    <col min="1" max="3" width="2.7109375" style="13" customWidth="1"/>
    <col min="4" max="4" width="33.28515625" style="13" bestFit="1" customWidth="1"/>
    <col min="5" max="5" width="31" style="13" bestFit="1" customWidth="1"/>
    <col min="6" max="6" width="7.7109375" style="13" customWidth="1"/>
    <col min="7" max="7" width="2.7109375" style="13" customWidth="1"/>
    <col min="8" max="8" width="12.7109375" style="5" customWidth="1"/>
    <col min="9" max="9" width="2.7109375" style="111" customWidth="1"/>
    <col min="10" max="12" width="12.7109375" style="13" customWidth="1"/>
    <col min="13" max="16384" width="9.140625" style="13"/>
  </cols>
  <sheetData>
    <row r="1" spans="1:32" s="139" customFormat="1" ht="12">
      <c r="A1" s="145" t="s">
        <v>235</v>
      </c>
      <c r="B1" s="145"/>
      <c r="C1" s="145"/>
      <c r="D1" s="145"/>
      <c r="E1" s="146"/>
      <c r="F1" s="137"/>
      <c r="G1" s="137"/>
      <c r="H1" s="137"/>
      <c r="I1" s="14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>
      <c r="A2" s="12"/>
      <c r="B2" s="12"/>
      <c r="C2" s="12"/>
      <c r="D2" s="12"/>
      <c r="E2" s="12"/>
      <c r="F2" s="12"/>
      <c r="G2" s="12"/>
      <c r="H2" s="1"/>
      <c r="I2" s="10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>
      <c r="A3" s="1"/>
      <c r="B3" s="1"/>
      <c r="C3" s="1" t="s">
        <v>236</v>
      </c>
      <c r="D3" s="1"/>
      <c r="E3" s="1"/>
      <c r="F3" s="1"/>
      <c r="G3" s="1"/>
      <c r="H3" s="1"/>
      <c r="I3" s="1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>
      <c r="A4" s="1"/>
      <c r="B4" s="1"/>
      <c r="C4" s="1" t="s">
        <v>209</v>
      </c>
      <c r="D4" s="1"/>
      <c r="E4" s="12"/>
      <c r="F4" s="1"/>
      <c r="G4" s="1"/>
      <c r="H4" s="1"/>
      <c r="I4" s="10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>
      <c r="A5" s="12"/>
      <c r="B5" s="12"/>
      <c r="C5" s="87" t="str">
        <f>"в разрезе "&amp;микс!$G$45</f>
        <v>в разрезе категория товара</v>
      </c>
      <c r="D5" s="12"/>
      <c r="E5" s="12"/>
      <c r="F5" s="12"/>
      <c r="G5" s="12"/>
      <c r="H5" s="1"/>
      <c r="I5" s="10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>
      <c r="A6" s="1"/>
      <c r="B6" s="1"/>
      <c r="C6" s="1" t="s">
        <v>240</v>
      </c>
      <c r="D6" s="1"/>
      <c r="E6" s="12"/>
      <c r="F6" s="1"/>
      <c r="G6" s="1"/>
      <c r="H6" s="1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>
      <c r="A7" s="48"/>
      <c r="B7" s="48"/>
      <c r="C7" s="107" t="s">
        <v>222</v>
      </c>
      <c r="D7" s="48"/>
      <c r="E7" s="48"/>
      <c r="F7" s="48"/>
      <c r="G7" s="48"/>
      <c r="H7" s="89" t="s">
        <v>221</v>
      </c>
      <c r="I7" s="108"/>
      <c r="J7" s="49">
        <f>J8</f>
        <v>42278</v>
      </c>
      <c r="K7" s="49">
        <f t="shared" ref="K7:L7" si="0">K8</f>
        <v>42309</v>
      </c>
      <c r="L7" s="49">
        <f t="shared" si="0"/>
        <v>42339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>
      <c r="A8" s="48"/>
      <c r="B8" s="48"/>
      <c r="C8" s="115">
        <f>H10+SUM(I:I)</f>
        <v>-1.862645149230957E-9</v>
      </c>
      <c r="D8" s="48"/>
      <c r="E8" s="48"/>
      <c r="F8" s="48"/>
      <c r="G8" s="48"/>
      <c r="H8" s="88">
        <v>42278</v>
      </c>
      <c r="I8" s="108"/>
      <c r="J8" s="86">
        <f>H8</f>
        <v>42278</v>
      </c>
      <c r="K8" s="86">
        <f>J9+1</f>
        <v>42309</v>
      </c>
      <c r="L8" s="86">
        <f>K9+1</f>
        <v>42339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>
      <c r="A9" s="48"/>
      <c r="B9" s="48"/>
      <c r="C9" s="102"/>
      <c r="D9" s="103" t="s">
        <v>215</v>
      </c>
      <c r="E9" s="121" t="str">
        <f>микс!$G$45</f>
        <v>категория товара</v>
      </c>
      <c r="F9" s="103" t="s">
        <v>216</v>
      </c>
      <c r="G9" s="94"/>
      <c r="H9" s="95">
        <f>L9</f>
        <v>42369</v>
      </c>
      <c r="I9" s="175"/>
      <c r="J9" s="96">
        <f>EOMONTH(J8,0)</f>
        <v>42308</v>
      </c>
      <c r="K9" s="96">
        <f>EOMONTH(K8,0)</f>
        <v>42338</v>
      </c>
      <c r="L9" s="96">
        <f>EOMONTH(L8,0)</f>
        <v>42369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>
      <c r="A10" s="108"/>
      <c r="B10" s="108"/>
      <c r="C10" s="108"/>
      <c r="D10" s="109"/>
      <c r="E10" s="109"/>
      <c r="F10" s="109"/>
      <c r="G10" s="109"/>
      <c r="H10" s="110">
        <f>H11-SUM(J11:M11)</f>
        <v>0</v>
      </c>
      <c r="I10" s="109"/>
      <c r="J10" s="109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>
      <c r="A11" s="12"/>
      <c r="B11" s="12"/>
      <c r="C11" s="12"/>
      <c r="D11" s="12" t="s">
        <v>210</v>
      </c>
      <c r="E11" s="12" t="s">
        <v>214</v>
      </c>
      <c r="F11" s="12" t="s">
        <v>217</v>
      </c>
      <c r="G11" s="12"/>
      <c r="H11" s="90">
        <f>SUMIFS(операции!$Z:$Z,операции!$X:$X,"&gt;="&amp;H$8,операции!$X:$X,"&lt;="&amp;H$9)</f>
        <v>3709776</v>
      </c>
      <c r="I11" s="176">
        <f>H11-SUMIFS(H$19:H$73,$D$19:$D$73,$D11)</f>
        <v>0</v>
      </c>
      <c r="J11" s="53">
        <f>SUMIFS(операции!$Z:$Z,операции!$X:$X,"&gt;="&amp;J$8,операции!$X:$X,"&lt;="&amp;J$9)</f>
        <v>775003</v>
      </c>
      <c r="K11" s="53">
        <f>SUMIFS(операции!$Z:$Z,операции!$X:$X,"&gt;="&amp;K$8,операции!$X:$X,"&lt;="&amp;K$9)</f>
        <v>1774695</v>
      </c>
      <c r="L11" s="53">
        <f>SUMIFS(операции!$Z:$Z,операции!$X:$X,"&gt;="&amp;L$8,операции!$X:$X,"&lt;="&amp;L$9)</f>
        <v>1160078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32">
      <c r="A12" s="12"/>
      <c r="B12" s="12"/>
      <c r="C12" s="12"/>
      <c r="D12" s="12" t="s">
        <v>211</v>
      </c>
      <c r="E12" s="12" t="s">
        <v>214</v>
      </c>
      <c r="F12" s="12" t="s">
        <v>217</v>
      </c>
      <c r="G12" s="12"/>
      <c r="H12" s="90">
        <f>SUMIFS(операции!$V:$V,операции!$X:$X,"&gt;="&amp;H$8,операции!$X:$X,"&lt;="&amp;H$9)</f>
        <v>3281881.1100000008</v>
      </c>
      <c r="I12" s="176">
        <f t="shared" ref="I12:I13" si="1">H12-SUMIFS(H$19:H$73,$D$19:$D$73,$D12)</f>
        <v>0</v>
      </c>
      <c r="J12" s="53">
        <f>SUMIFS(операции!$V:$V,операции!$X:$X,"&gt;="&amp;J$8,операции!$X:$X,"&lt;="&amp;J$9)</f>
        <v>695840.68000000063</v>
      </c>
      <c r="K12" s="53">
        <f>SUMIFS(операции!$V:$V,операции!$X:$X,"&gt;="&amp;K$8,операции!$X:$X,"&lt;="&amp;K$9)</f>
        <v>1533189.2299999986</v>
      </c>
      <c r="L12" s="53">
        <f>SUMIFS(операции!$V:$V,операции!$X:$X,"&gt;="&amp;L$8,операции!$X:$X,"&lt;="&amp;L$9)</f>
        <v>1052851.199999999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32">
      <c r="A13" s="12"/>
      <c r="B13" s="12"/>
      <c r="C13" s="12"/>
      <c r="D13" s="12" t="s">
        <v>212</v>
      </c>
      <c r="E13" s="12" t="s">
        <v>214</v>
      </c>
      <c r="F13" s="12" t="s">
        <v>217</v>
      </c>
      <c r="G13" s="12"/>
      <c r="H13" s="90">
        <f>H11-H12</f>
        <v>427894.8899999992</v>
      </c>
      <c r="I13" s="176">
        <f t="shared" si="1"/>
        <v>-1.862645149230957E-9</v>
      </c>
      <c r="J13" s="53">
        <f>J11-J12</f>
        <v>79162.319999999367</v>
      </c>
      <c r="K13" s="53">
        <f t="shared" ref="K13:L13" si="2">K11-K12</f>
        <v>241505.77000000142</v>
      </c>
      <c r="L13" s="53">
        <f t="shared" si="2"/>
        <v>107226.80000000098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32" s="119" customFormat="1">
      <c r="A14" s="87"/>
      <c r="B14" s="87"/>
      <c r="C14" s="87"/>
      <c r="D14" s="87" t="s">
        <v>213</v>
      </c>
      <c r="E14" s="87" t="s">
        <v>214</v>
      </c>
      <c r="F14" s="87" t="s">
        <v>218</v>
      </c>
      <c r="G14" s="87"/>
      <c r="H14" s="116">
        <f>IF(H11=0,0,H13/H11)</f>
        <v>0.11534251394154235</v>
      </c>
      <c r="I14" s="117"/>
      <c r="J14" s="118">
        <f>IF(J11=0,0,J13/J11)</f>
        <v>0.10214453363406253</v>
      </c>
      <c r="K14" s="118">
        <f t="shared" ref="K14:L14" si="3">IF(K11=0,0,K13/K11)</f>
        <v>0.13608297200364086</v>
      </c>
      <c r="L14" s="118">
        <f t="shared" si="3"/>
        <v>9.2430681385218039E-2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32" s="5" customFormat="1">
      <c r="A15" s="1"/>
      <c r="B15" s="1"/>
      <c r="C15" s="1"/>
      <c r="D15" s="168" t="s">
        <v>220</v>
      </c>
      <c r="E15" s="168" t="s">
        <v>214</v>
      </c>
      <c r="F15" s="168" t="s">
        <v>219</v>
      </c>
      <c r="G15" s="168"/>
      <c r="H15" s="169">
        <f>IF(H11=0,0,SUMIFS(операции!$AG:$AG,операции!$X:$X,"&gt;="&amp;H$8,операции!$X:$X,"&lt;="&amp;H$9)/H11-SUMIFS(операции!$AF:$AF,операции!$X:$X,"&gt;="&amp;H$8,операции!$X:$X,"&lt;="&amp;H$9)/H12)</f>
        <v>44.170271222967131</v>
      </c>
      <c r="I15" s="177"/>
      <c r="J15" s="169">
        <f>IF(J11=0,0,SUMIFS(операции!$AG:$AG,операции!$X:$X,"&gt;="&amp;J$8,операции!$X:$X,"&lt;="&amp;J$9)/J11-SUMIFS(операции!$AF:$AF,операции!$X:$X,"&gt;="&amp;J$8,операции!$X:$X,"&lt;="&amp;J$9)/J12)</f>
        <v>68.095689724919794</v>
      </c>
      <c r="K15" s="169">
        <f>IF(K11=0,0,SUMIFS(операции!$AG:$AG,операции!$X:$X,"&gt;="&amp;K$8,операции!$X:$X,"&lt;="&amp;K$9)/K11-SUMIFS(операции!$AF:$AF,операции!$X:$X,"&gt;="&amp;K$8,операции!$X:$X,"&lt;="&amp;K$9)/K12)</f>
        <v>46.975307434026035</v>
      </c>
      <c r="L15" s="169">
        <f>IF(L11=0,0,SUMIFS(операции!$AG:$AG,операции!$X:$X,"&gt;="&amp;L$8,операции!$X:$X,"&lt;="&amp;L$9)/L11-SUMIFS(операции!$AF:$AF,операции!$X:$X,"&gt;="&amp;L$8,операции!$X:$X,"&lt;="&amp;L$9)/L12)</f>
        <v>24.472686407214496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32">
      <c r="A16" s="12"/>
      <c r="B16" s="12"/>
      <c r="C16" s="12"/>
      <c r="D16" s="131" t="s">
        <v>238</v>
      </c>
      <c r="E16" s="131" t="s">
        <v>214</v>
      </c>
      <c r="F16" s="131" t="s">
        <v>217</v>
      </c>
      <c r="G16" s="131"/>
      <c r="H16" s="166">
        <f>SUMIFS(операции!$V:$V,операции!$T:$T,"&lt;="&amp;$H$9,операции!$X:$X,"")</f>
        <v>914632.67000000062</v>
      </c>
      <c r="I16" s="178">
        <f>H16-SUMIFS(H$19:H$73,$D$19:$D$73,$D16)+H16-L16</f>
        <v>0</v>
      </c>
      <c r="J16" s="167">
        <f>SUMIFS(операции!$V:$V,операции!$T:$T,"&lt;="&amp;J$9,операции!$X:$X,"")+SUMIFS(операции!$V:$V,операции!$T:$T,"&lt;="&amp;J$9,операции!$X:$X,"&gt;"&amp;J$9)</f>
        <v>1494105.1600000004</v>
      </c>
      <c r="K16" s="167">
        <f>SUMIFS(операции!$V:$V,операции!$T:$T,"&lt;="&amp;K$9,операции!$X:$X,"")+SUMIFS(операции!$V:$V,операции!$T:$T,"&lt;="&amp;K$9,операции!$X:$X,"&gt;"&amp;K$9)</f>
        <v>1748502.0699999996</v>
      </c>
      <c r="L16" s="167">
        <f>SUMIFS(операции!$V:$V,операции!$T:$T,"&lt;="&amp;L$9,операции!$X:$X,"")+SUMIFS(операции!$V:$V,операции!$T:$T,"&lt;="&amp;L$9,операции!$X:$X,"&gt;"&amp;L$9)</f>
        <v>914632.67000000062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5" customFormat="1">
      <c r="A17" s="1"/>
      <c r="B17" s="1"/>
      <c r="C17" s="1"/>
      <c r="D17" s="168" t="s">
        <v>239</v>
      </c>
      <c r="E17" s="168" t="s">
        <v>214</v>
      </c>
      <c r="F17" s="168" t="s">
        <v>219</v>
      </c>
      <c r="G17" s="168"/>
      <c r="H17" s="169">
        <f>IF(H16=0,0,$H$9-SUMIFS(операции!$AF:$AF,операции!$T:$T,"&lt;="&amp;$H$9,операции!$X:$X,"")/H16)</f>
        <v>131.23125652184535</v>
      </c>
      <c r="I17" s="177"/>
      <c r="J17" s="169">
        <f>IF(J16=0,0,J$9-(SUMIFS(операции!$AF:$AF,операции!$T:$T,"&lt;="&amp;J$9,операции!$X:$X,"")+SUMIFS(операции!$AF:$AF,операции!$T:$T,"&lt;="&amp;J$9,операции!$X:$X,"&gt;"&amp;J$9))/J16)</f>
        <v>98.515001715146354</v>
      </c>
      <c r="K17" s="169">
        <f>IF(K16=0,0,K$9-(SUMIFS(операции!$AF:$AF,операции!$T:$T,"&lt;="&amp;K$9,операции!$X:$X,"")+SUMIFS(операции!$AF:$AF,операции!$T:$T,"&lt;="&amp;K$9,операции!$X:$X,"&gt;"&amp;K$9))/K16)</f>
        <v>67.352078153366165</v>
      </c>
      <c r="L17" s="169">
        <f>IF(L16=0,0,L$9-(SUMIFS(операции!$AF:$AF,операции!$T:$T,"&lt;="&amp;L$9,операции!$X:$X,"")+SUMIFS(операции!$AF:$AF,операции!$T:$T,"&lt;="&amp;L$9,операции!$X:$X,"&gt;"&amp;L$9))/L16)</f>
        <v>131.23125652184535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93" customFormat="1" ht="15.75" thickBot="1">
      <c r="A18" s="92"/>
      <c r="B18" s="92"/>
      <c r="C18" s="92"/>
      <c r="D18" s="164" t="s">
        <v>237</v>
      </c>
      <c r="E18" s="164" t="s">
        <v>214</v>
      </c>
      <c r="F18" s="164" t="s">
        <v>219</v>
      </c>
      <c r="G18" s="164"/>
      <c r="H18" s="165">
        <f>IF(H11=0,H17,(SUMIFS(операции!$AG:$AG,операции!$X:$X,"&gt;="&amp;$H$8,операции!$X:$X,"&lt;="&amp;$H$9)+$H$9*H16)/(H11+H16)-(SUMIFS(операции!$AF:$AF,операции!$X:$X,"&gt;="&amp;$H$8,операции!$X:$X,"&lt;="&amp;$H$9)+SUMIFS(операции!$AF:$AF,операции!$T:$T,"&lt;="&amp;$H$9,операции!$X:$X,""))/(H12+H16))</f>
        <v>62.28391637349705</v>
      </c>
      <c r="I18" s="179"/>
      <c r="J18" s="165">
        <f>IF(J11=0,J17,(SUMIFS(операции!$AG:$AG,операции!$X:$X,"&gt;="&amp;J$8,операции!$X:$X,"&lt;="&amp;J$9)+J$9*J16)/(J11+J16)-(SUMIFS(операции!$AF:$AF,операции!$X:$X,"&gt;="&amp;J$8,операции!$X:$X,"&lt;="&amp;J$9)+SUMIFS(операции!$AF:$AF,операции!$T:$T,"&lt;="&amp;J$9,операции!$X:$X,"")+SUMIFS(операции!$AF:$AF,операции!$T:$T,"&lt;="&amp;J$9,операции!$X:$X,"&gt;"&amp;J$9))/(J12+J16))</f>
        <v>88.715862287805066</v>
      </c>
      <c r="K18" s="165">
        <f>IF(K11=0,K17,(SUMIFS(операции!$AG:$AG,операции!$X:$X,"&gt;="&amp;K$8,операции!$X:$X,"&lt;="&amp;K$9)+K$9*K16)/(K11+K16)-(SUMIFS(операции!$AF:$AF,операции!$X:$X,"&gt;="&amp;K$8,операции!$X:$X,"&lt;="&amp;K$9)+SUMIFS(операции!$AF:$AF,операции!$T:$T,"&lt;="&amp;K$9,операции!$X:$X,"")+SUMIFS(операции!$AF:$AF,операции!$T:$T,"&lt;="&amp;K$9,операции!$X:$X,"&gt;"&amp;K$9))/(K12+K16))</f>
        <v>57.390128011633351</v>
      </c>
      <c r="L18" s="165">
        <f>IF(L11=0,L17,(SUMIFS(операции!$AG:$AG,операции!$X:$X,"&gt;="&amp;L$8,операции!$X:$X,"&lt;="&amp;L$9)+L$9*L16)/(L11+L16)-(SUMIFS(операции!$AF:$AF,операции!$X:$X,"&gt;="&amp;L$8,операции!$X:$X,"&lt;="&amp;L$9)+SUMIFS(операции!$AF:$AF,операции!$T:$T,"&lt;="&amp;L$9,операции!$X:$X,"")+SUMIFS(операции!$AF:$AF,операции!$T:$T,"&lt;="&amp;L$9,операции!$X:$X,"&gt;"&amp;L$9))/(L12+L16))</f>
        <v>73.473882944512297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</row>
    <row r="19" spans="1:27" ht="13.5" thickTop="1">
      <c r="A19" s="12"/>
      <c r="B19" s="12"/>
      <c r="C19" s="12"/>
      <c r="D19" s="91"/>
      <c r="E19" s="91"/>
      <c r="F19" s="91"/>
      <c r="G19" s="91"/>
      <c r="H19" s="101"/>
      <c r="I19" s="180"/>
      <c r="J19" s="91"/>
      <c r="K19" s="91"/>
      <c r="L19" s="9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>
      <c r="A20" s="12"/>
      <c r="B20" s="12"/>
      <c r="C20" s="12"/>
      <c r="D20" s="12" t="s">
        <v>210</v>
      </c>
      <c r="E20" s="12" t="str">
        <f>микс!$H$46</f>
        <v>Электроника и бытовая техника</v>
      </c>
      <c r="F20" s="12" t="s">
        <v>217</v>
      </c>
      <c r="G20" s="12"/>
      <c r="H20" s="90">
        <f>SUMIFS(операции!$Z:$Z,операции!$X:$X,"&gt;="&amp;H$8,операции!$X:$X,"&lt;="&amp;H$9,операции!$P:$P,$E20)</f>
        <v>235726</v>
      </c>
      <c r="I20" s="108"/>
      <c r="J20" s="53">
        <f>SUMIFS(операции!$Z:$Z,операции!$X:$X,"&gt;="&amp;J$8,операции!$X:$X,"&lt;="&amp;J$9,операции!$P:$P,$E20)</f>
        <v>35950</v>
      </c>
      <c r="K20" s="53">
        <f>SUMIFS(операции!$Z:$Z,операции!$X:$X,"&gt;="&amp;K$8,операции!$X:$X,"&lt;="&amp;K$9,операции!$P:$P,$E20)</f>
        <v>121355</v>
      </c>
      <c r="L20" s="53">
        <f>SUMIFS(операции!$Z:$Z,операции!$X:$X,"&gt;="&amp;L$8,операции!$X:$X,"&lt;="&amp;L$9,операции!$P:$P,$E20)</f>
        <v>78421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>
      <c r="A21" s="12"/>
      <c r="B21" s="12"/>
      <c r="C21" s="12"/>
      <c r="D21" s="12" t="s">
        <v>211</v>
      </c>
      <c r="E21" s="12" t="str">
        <f>E20</f>
        <v>Электроника и бытовая техника</v>
      </c>
      <c r="F21" s="12" t="s">
        <v>217</v>
      </c>
      <c r="G21" s="12"/>
      <c r="H21" s="90">
        <f>SUMIFS(операции!$V:$V,операции!$X:$X,"&gt;="&amp;H$8,операции!$X:$X,"&lt;="&amp;H$9,операции!$P:$P,$E21)</f>
        <v>219331.31999999992</v>
      </c>
      <c r="I21" s="108"/>
      <c r="J21" s="53">
        <f>SUMIFS(операции!$V:$V,операции!$X:$X,"&gt;="&amp;J$8,операции!$X:$X,"&lt;="&amp;J$9,операции!$P:$P,$E21)</f>
        <v>32898.399999999994</v>
      </c>
      <c r="K21" s="53">
        <f>SUMIFS(операции!$V:$V,операции!$X:$X,"&gt;="&amp;K$8,операции!$X:$X,"&lt;="&amp;K$9,операции!$P:$P,$E21)</f>
        <v>113959.24000000002</v>
      </c>
      <c r="L21" s="53">
        <f>SUMIFS(операции!$V:$V,операции!$X:$X,"&gt;="&amp;L$8,операции!$X:$X,"&lt;="&amp;L$9,операции!$P:$P,$E21)</f>
        <v>72473.679999999993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>
      <c r="A22" s="12"/>
      <c r="B22" s="12"/>
      <c r="C22" s="12"/>
      <c r="D22" s="12" t="s">
        <v>212</v>
      </c>
      <c r="E22" s="12" t="str">
        <f t="shared" ref="E22:E27" si="4">E21</f>
        <v>Электроника и бытовая техника</v>
      </c>
      <c r="F22" s="12" t="s">
        <v>217</v>
      </c>
      <c r="G22" s="12"/>
      <c r="H22" s="90">
        <f>H20-H21</f>
        <v>16394.68000000008</v>
      </c>
      <c r="I22" s="108"/>
      <c r="J22" s="53">
        <f>J20-J21</f>
        <v>3051.6000000000058</v>
      </c>
      <c r="K22" s="53">
        <f t="shared" ref="K22:L22" si="5">K20-K21</f>
        <v>7395.7599999999802</v>
      </c>
      <c r="L22" s="53">
        <f t="shared" si="5"/>
        <v>5947.320000000007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9" customFormat="1">
      <c r="A23" s="87"/>
      <c r="B23" s="87"/>
      <c r="C23" s="87"/>
      <c r="D23" s="87" t="s">
        <v>213</v>
      </c>
      <c r="E23" s="87" t="str">
        <f t="shared" si="4"/>
        <v>Электроника и бытовая техника</v>
      </c>
      <c r="F23" s="87" t="s">
        <v>218</v>
      </c>
      <c r="G23" s="87"/>
      <c r="H23" s="116">
        <f>IF(H20=0,0,H22/H20)</f>
        <v>6.9549731467891021E-2</v>
      </c>
      <c r="I23" s="117"/>
      <c r="J23" s="118">
        <f>IF(J20=0,0,J22/J20)</f>
        <v>8.488456189151615E-2</v>
      </c>
      <c r="K23" s="118">
        <f t="shared" ref="K23:L23" si="6">IF(K20=0,0,K22/K20)</f>
        <v>6.094318322277599E-2</v>
      </c>
      <c r="L23" s="118">
        <f t="shared" si="6"/>
        <v>7.5838359623060236E-2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s="5" customFormat="1">
      <c r="A24" s="1"/>
      <c r="B24" s="1"/>
      <c r="C24" s="1"/>
      <c r="D24" s="168" t="s">
        <v>220</v>
      </c>
      <c r="E24" s="168" t="str">
        <f t="shared" si="4"/>
        <v>Электроника и бытовая техника</v>
      </c>
      <c r="F24" s="168" t="s">
        <v>219</v>
      </c>
      <c r="G24" s="168"/>
      <c r="H24" s="169">
        <f>IF(H20=0,0,SUMIFS(операции!$AG:$AG,операции!$X:$X,"&gt;="&amp;H$8,операции!$X:$X,"&lt;="&amp;H$9,операции!$P:$P,$E24)/H20-SUMIFS(операции!$AF:$AF,операции!$X:$X,"&gt;="&amp;H$8,операции!$X:$X,"&lt;="&amp;H$9,операции!$P:$P,$E24)/H21)</f>
        <v>43.880572474336077</v>
      </c>
      <c r="I24" s="177"/>
      <c r="J24" s="169">
        <f>IF(J20=0,0,SUMIFS(операции!$AG:$AG,операции!$X:$X,"&gt;="&amp;J$8,операции!$X:$X,"&lt;="&amp;J$9,операции!$P:$P,$E24)/J20-SUMIFS(операции!$AF:$AF,операции!$X:$X,"&gt;="&amp;J$8,операции!$X:$X,"&lt;="&amp;J$9,операции!$P:$P,$E24)/J21)</f>
        <v>63.014108832612692</v>
      </c>
      <c r="K24" s="169">
        <f>IF(K20=0,0,SUMIFS(операции!$AG:$AG,операции!$X:$X,"&gt;="&amp;K$8,операции!$X:$X,"&lt;="&amp;K$9,операции!$P:$P,$E24)/K20-SUMIFS(операции!$AF:$AF,операции!$X:$X,"&gt;="&amp;K$8,операции!$X:$X,"&lt;="&amp;K$9,операции!$P:$P,$E24)/K21)</f>
        <v>51.413713461122825</v>
      </c>
      <c r="L24" s="169">
        <f>IF(L20=0,0,SUMIFS(операции!$AG:$AG,операции!$X:$X,"&gt;="&amp;L$8,операции!$X:$X,"&lt;="&amp;L$9,операции!$P:$P,$E24)/L20-SUMIFS(операции!$AF:$AF,операции!$X:$X,"&gt;="&amp;L$8,операции!$X:$X,"&lt;="&amp;L$9,операции!$P:$P,$E24)/L21)</f>
        <v>23.462282596308796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12"/>
      <c r="B25" s="12"/>
      <c r="C25" s="12"/>
      <c r="D25" s="131" t="s">
        <v>238</v>
      </c>
      <c r="E25" s="131" t="str">
        <f t="shared" si="4"/>
        <v>Электроника и бытовая техника</v>
      </c>
      <c r="F25" s="131" t="s">
        <v>217</v>
      </c>
      <c r="G25" s="131"/>
      <c r="H25" s="166">
        <f>SUMIFS(операции!$V:$V,операции!$T:$T,"&lt;="&amp;$H$9,операции!$X:$X,"",операции!$P:$P,$E25)</f>
        <v>102288.09000000001</v>
      </c>
      <c r="I25" s="178">
        <f>H25-L25</f>
        <v>0</v>
      </c>
      <c r="J25" s="167">
        <f>SUMIFS(операции!$V:$V,операции!$T:$T,"&lt;="&amp;J$9,операции!$X:$X,"",операции!$P:$P,$E25)+SUMIFS(операции!$V:$V,операции!$T:$T,"&lt;="&amp;J$9,операции!$X:$X,"&gt;"&amp;J$9,операции!$P:$P,$E25)</f>
        <v>131201.48000000004</v>
      </c>
      <c r="K25" s="167">
        <f>SUMIFS(операции!$V:$V,операции!$T:$T,"&lt;="&amp;K$9,операции!$X:$X,"",операции!$P:$P,$E25)+SUMIFS(операции!$V:$V,операции!$T:$T,"&lt;="&amp;K$9,операции!$X:$X,"&gt;"&amp;K$9,операции!$P:$P,$E25)</f>
        <v>143922.82</v>
      </c>
      <c r="L25" s="167">
        <f>SUMIFS(операции!$V:$V,операции!$T:$T,"&lt;="&amp;L$9,операции!$X:$X,"",операции!$P:$P,$E25)+SUMIFS(операции!$V:$V,операции!$T:$T,"&lt;="&amp;L$9,операции!$X:$X,"&gt;"&amp;L$9,операции!$P:$P,$E25)</f>
        <v>102288.09000000001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5" customFormat="1">
      <c r="A26" s="1"/>
      <c r="B26" s="1"/>
      <c r="C26" s="1"/>
      <c r="D26" s="168" t="s">
        <v>239</v>
      </c>
      <c r="E26" s="168" t="str">
        <f t="shared" si="4"/>
        <v>Электроника и бытовая техника</v>
      </c>
      <c r="F26" s="168" t="s">
        <v>219</v>
      </c>
      <c r="G26" s="168"/>
      <c r="H26" s="169">
        <f>IF(H25=0,0,$H$9-SUMIFS(операции!$AF:$AF,операции!$T:$T,"&lt;="&amp;$H$9,операции!$X:$X,"",операции!$P:$P,$E26)/H25)</f>
        <v>101.6771291750556</v>
      </c>
      <c r="I26" s="177">
        <f>H26-L26</f>
        <v>0</v>
      </c>
      <c r="J26" s="169">
        <f>IF(J25=0,0,J$9-(SUMIFS(операции!$AF:$AF,операции!$T:$T,"&lt;="&amp;J$9,операции!$X:$X,"",операции!$P:$P,$E26)+SUMIFS(операции!$AF:$AF,операции!$T:$T,"&lt;="&amp;J$9,операции!$X:$X,"&gt;"&amp;J$9,операции!$P:$P,$E26))/J25)</f>
        <v>85.136744646486477</v>
      </c>
      <c r="K26" s="169">
        <f>IF(K25=0,0,K$9-(SUMIFS(операции!$AF:$AF,операции!$T:$T,"&lt;="&amp;K$9,операции!$X:$X,"",операции!$P:$P,$E26)+SUMIFS(операции!$AF:$AF,операции!$T:$T,"&lt;="&amp;K$9,операции!$X:$X,"&gt;"&amp;K$9,операции!$P:$P,$E26))/K25)</f>
        <v>65.161428604573302</v>
      </c>
      <c r="L26" s="169">
        <f>IF(L25=0,0,L$9-(SUMIFS(операции!$AF:$AF,операции!$T:$T,"&lt;="&amp;L$9,операции!$X:$X,"",операции!$P:$P,$E26)+SUMIFS(операции!$AF:$AF,операции!$T:$T,"&lt;="&amp;L$9,операции!$X:$X,"&gt;"&amp;L$9,операции!$P:$P,$E26))/L25)</f>
        <v>101.6771291750556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93" customFormat="1" ht="15">
      <c r="A27" s="92"/>
      <c r="B27" s="92"/>
      <c r="C27" s="92"/>
      <c r="D27" s="98" t="s">
        <v>237</v>
      </c>
      <c r="E27" s="120" t="str">
        <f t="shared" si="4"/>
        <v>Электроника и бытовая техника</v>
      </c>
      <c r="F27" s="98" t="s">
        <v>219</v>
      </c>
      <c r="G27" s="98"/>
      <c r="H27" s="99">
        <f>IF(H20=0,H26,(SUMIFS(операции!$AG:$AG,операции!$X:$X,"&gt;="&amp;$H$8,операции!$X:$X,"&lt;="&amp;$H$9,операции!$P:$P,$E27)+$H$9*H25)/(H20+H25)-(SUMIFS(операции!$AF:$AF,операции!$X:$X,"&gt;="&amp;$H$8,операции!$X:$X,"&lt;="&amp;$H$9,операции!$P:$P,$E27)+SUMIFS(операции!$AF:$AF,операции!$T:$T,"&lt;="&amp;$H$9,операции!$X:$X,"",операции!$P:$P,$E27))/(H21+H25))</f>
        <v>61.651840463397093</v>
      </c>
      <c r="I27" s="175"/>
      <c r="J27" s="99">
        <f>IF(J20=0,J26,(SUMIFS(операции!$AG:$AG,операции!$X:$X,"&gt;="&amp;J$8,операции!$X:$X,"&lt;="&amp;J$9,операции!$P:$P,$E27)+J$9*J25)/(J20+J25)-(SUMIFS(операции!$AF:$AF,операции!$X:$X,"&gt;="&amp;J$8,операции!$X:$X,"&lt;="&amp;J$9,операции!$P:$P,$E27)+SUMIFS(операции!$AF:$AF,операции!$T:$T,"&lt;="&amp;J$9,операции!$X:$X,"",операции!$P:$P,$E27)+SUMIFS(операции!$AF:$AF,операции!$T:$T,"&lt;="&amp;J$9,операции!$X:$X,"&gt;"&amp;J$9,операции!$P:$P,$E27))/(J21+J25))</f>
        <v>80.611878520314349</v>
      </c>
      <c r="K27" s="99">
        <f>IF(K20=0,K26,(SUMIFS(операции!$AG:$AG,операции!$X:$X,"&gt;="&amp;K$8,операции!$X:$X,"&lt;="&amp;K$9,операции!$P:$P,$E27)+K$9*K25)/(K20+K25)-(SUMIFS(операции!$AF:$AF,операции!$X:$X,"&gt;="&amp;K$8,операции!$X:$X,"&lt;="&amp;K$9,операции!$P:$P,$E27)+SUMIFS(операции!$AF:$AF,операции!$T:$T,"&lt;="&amp;K$9,операции!$X:$X,"",операции!$P:$P,$E27)+SUMIFS(операции!$AF:$AF,операции!$T:$T,"&lt;="&amp;K$9,операции!$X:$X,"&gt;"&amp;K$9,операции!$P:$P,$E27))/(K21+K25))</f>
        <v>58.945821961257025</v>
      </c>
      <c r="L27" s="99">
        <f>IF(L20=0,L26,(SUMIFS(операции!$AG:$AG,операции!$X:$X,"&gt;="&amp;L$8,операции!$X:$X,"&lt;="&amp;L$9,операции!$P:$P,$E27)+L$9*L25)/(L20+L25)-(SUMIFS(операции!$AF:$AF,операции!$X:$X,"&gt;="&amp;L$8,операции!$X:$X,"&lt;="&amp;L$9,операции!$P:$P,$E27)+SUMIFS(операции!$AF:$AF,операции!$T:$T,"&lt;="&amp;L$9,операции!$X:$X,"",операции!$P:$P,$E27)+SUMIFS(операции!$AF:$AF,операции!$T:$T,"&lt;="&amp;L$9,операции!$X:$X,"&gt;"&amp;L$9,операции!$P:$P,$E27))/(L21+L25))</f>
        <v>68.736369182799535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>
      <c r="A28" s="12"/>
      <c r="B28" s="12"/>
      <c r="C28" s="12"/>
      <c r="D28" s="97"/>
      <c r="E28" s="97"/>
      <c r="F28" s="97"/>
      <c r="G28" s="97"/>
      <c r="H28" s="100"/>
      <c r="I28" s="109"/>
      <c r="J28" s="97"/>
      <c r="K28" s="97"/>
      <c r="L28" s="9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>
      <c r="A29" s="12"/>
      <c r="B29" s="12"/>
      <c r="C29" s="12"/>
      <c r="D29" s="12" t="s">
        <v>210</v>
      </c>
      <c r="E29" s="12" t="str">
        <f>микс!$H$47</f>
        <v>Домашнее хозяйство</v>
      </c>
      <c r="F29" s="12" t="s">
        <v>217</v>
      </c>
      <c r="G29" s="12"/>
      <c r="H29" s="90">
        <f>SUMIFS(операции!$Z:$Z,операции!$X:$X,"&gt;="&amp;H$8,операции!$X:$X,"&lt;="&amp;H$9,операции!$P:$P,$E29)</f>
        <v>286234</v>
      </c>
      <c r="I29" s="108"/>
      <c r="J29" s="53">
        <f>SUMIFS(операции!$Z:$Z,операции!$X:$X,"&gt;="&amp;J$8,операции!$X:$X,"&lt;="&amp;J$9,операции!$P:$P,$E29)</f>
        <v>60396</v>
      </c>
      <c r="K29" s="53">
        <f>SUMIFS(операции!$Z:$Z,операции!$X:$X,"&gt;="&amp;K$8,операции!$X:$X,"&lt;="&amp;K$9,операции!$P:$P,$E29)</f>
        <v>192210</v>
      </c>
      <c r="L29" s="53">
        <f>SUMIFS(операции!$Z:$Z,операции!$X:$X,"&gt;="&amp;L$8,операции!$X:$X,"&lt;="&amp;L$9,операции!$P:$P,$E29)</f>
        <v>33628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>
      <c r="A30" s="12"/>
      <c r="B30" s="12"/>
      <c r="C30" s="12"/>
      <c r="D30" s="12" t="s">
        <v>211</v>
      </c>
      <c r="E30" s="12" t="str">
        <f>E29</f>
        <v>Домашнее хозяйство</v>
      </c>
      <c r="F30" s="12" t="s">
        <v>217</v>
      </c>
      <c r="G30" s="12"/>
      <c r="H30" s="90">
        <f>SUMIFS(операции!$V:$V,операции!$X:$X,"&gt;="&amp;H$8,операции!$X:$X,"&lt;="&amp;H$9,операции!$P:$P,$E30)</f>
        <v>254071.12000000002</v>
      </c>
      <c r="I30" s="108"/>
      <c r="J30" s="53">
        <f>SUMIFS(операции!$V:$V,операции!$X:$X,"&gt;="&amp;J$8,операции!$X:$X,"&lt;="&amp;J$9,операции!$P:$P,$E30)</f>
        <v>52243.6</v>
      </c>
      <c r="K30" s="53">
        <f>SUMIFS(операции!$V:$V,операции!$X:$X,"&gt;="&amp;K$8,операции!$X:$X,"&lt;="&amp;K$9,операции!$P:$P,$E30)</f>
        <v>176511.90000000002</v>
      </c>
      <c r="L30" s="53">
        <f>SUMIFS(операции!$V:$V,операции!$X:$X,"&gt;="&amp;L$8,операции!$X:$X,"&lt;="&amp;L$9,операции!$P:$P,$E30)</f>
        <v>25315.62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>
      <c r="A31" s="12"/>
      <c r="B31" s="12"/>
      <c r="C31" s="12"/>
      <c r="D31" s="12" t="s">
        <v>212</v>
      </c>
      <c r="E31" s="12" t="str">
        <f t="shared" ref="E31:E36" si="7">E30</f>
        <v>Домашнее хозяйство</v>
      </c>
      <c r="F31" s="12" t="s">
        <v>217</v>
      </c>
      <c r="G31" s="12"/>
      <c r="H31" s="90">
        <f>H29-H30</f>
        <v>32162.879999999976</v>
      </c>
      <c r="I31" s="108"/>
      <c r="J31" s="53">
        <f>J29-J30</f>
        <v>8152.4000000000015</v>
      </c>
      <c r="K31" s="53">
        <f t="shared" ref="K31:L31" si="8">K29-K30</f>
        <v>15698.099999999977</v>
      </c>
      <c r="L31" s="53">
        <f t="shared" si="8"/>
        <v>8312.380000000001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119" customFormat="1">
      <c r="A32" s="87"/>
      <c r="B32" s="87"/>
      <c r="C32" s="87"/>
      <c r="D32" s="87" t="s">
        <v>213</v>
      </c>
      <c r="E32" s="87" t="str">
        <f t="shared" si="7"/>
        <v>Домашнее хозяйство</v>
      </c>
      <c r="F32" s="87" t="s">
        <v>218</v>
      </c>
      <c r="G32" s="87"/>
      <c r="H32" s="116">
        <f>IF(H29=0,0,H31/H29)</f>
        <v>0.11236568681568219</v>
      </c>
      <c r="I32" s="117"/>
      <c r="J32" s="118">
        <f>IF(J29=0,0,J31/J29)</f>
        <v>0.13498244916881916</v>
      </c>
      <c r="K32" s="118">
        <f t="shared" ref="K32:L32" si="9">IF(K29=0,0,K31/K29)</f>
        <v>8.1671609177462023E-2</v>
      </c>
      <c r="L32" s="118">
        <f t="shared" si="9"/>
        <v>0.24718627334364224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5" customFormat="1">
      <c r="A33" s="1"/>
      <c r="B33" s="1"/>
      <c r="C33" s="1"/>
      <c r="D33" s="168" t="s">
        <v>220</v>
      </c>
      <c r="E33" s="168" t="str">
        <f t="shared" si="7"/>
        <v>Домашнее хозяйство</v>
      </c>
      <c r="F33" s="168" t="s">
        <v>219</v>
      </c>
      <c r="G33" s="168"/>
      <c r="H33" s="169">
        <f>IF(H29=0,0,SUMIFS(операции!$AG:$AG,операции!$X:$X,"&gt;="&amp;H$8,операции!$X:$X,"&lt;="&amp;H$9,операции!$P:$P,$E33)/H29-SUMIFS(операции!$AF:$AF,операции!$X:$X,"&gt;="&amp;H$8,операции!$X:$X,"&lt;="&amp;H$9,операции!$P:$P,$E33)/H30)</f>
        <v>32.25845444152219</v>
      </c>
      <c r="I33" s="177"/>
      <c r="J33" s="169">
        <f>IF(J29=0,0,SUMIFS(операции!$AG:$AG,операции!$X:$X,"&gt;="&amp;J$8,операции!$X:$X,"&lt;="&amp;J$9,операции!$P:$P,$E33)/J29-SUMIFS(операции!$AF:$AF,операции!$X:$X,"&gt;="&amp;J$8,операции!$X:$X,"&lt;="&amp;J$9,операции!$P:$P,$E33)/J30)</f>
        <v>50.507573198548926</v>
      </c>
      <c r="K33" s="169">
        <f>IF(K29=0,0,SUMIFS(операции!$AG:$AG,операции!$X:$X,"&gt;="&amp;K$8,операции!$X:$X,"&lt;="&amp;K$9,операции!$P:$P,$E33)/K29-SUMIFS(операции!$AF:$AF,операции!$X:$X,"&gt;="&amp;K$8,операции!$X:$X,"&lt;="&amp;K$9,операции!$P:$P,$E33)/K30)</f>
        <v>27.057201714313123</v>
      </c>
      <c r="L33" s="169">
        <f>IF(L29=0,0,SUMIFS(операции!$AG:$AG,операции!$X:$X,"&gt;="&amp;L$8,операции!$X:$X,"&lt;="&amp;L$9,операции!$P:$P,$E33)/L29-SUMIFS(операции!$AF:$AF,операции!$X:$X,"&gt;="&amp;L$8,операции!$X:$X,"&lt;="&amp;L$9,операции!$P:$P,$E33)/L30)</f>
        <v>27.624482624953089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>
      <c r="A34" s="12"/>
      <c r="B34" s="12"/>
      <c r="C34" s="12"/>
      <c r="D34" s="131" t="s">
        <v>238</v>
      </c>
      <c r="E34" s="131" t="str">
        <f t="shared" si="7"/>
        <v>Домашнее хозяйство</v>
      </c>
      <c r="F34" s="131" t="s">
        <v>217</v>
      </c>
      <c r="G34" s="131"/>
      <c r="H34" s="166">
        <f>SUMIFS(операции!$V:$V,операции!$T:$T,"&lt;="&amp;$H$9,операции!$X:$X,"",операции!$P:$P,$E34)</f>
        <v>78282.459999999992</v>
      </c>
      <c r="I34" s="178">
        <f>H34-L34</f>
        <v>0</v>
      </c>
      <c r="J34" s="167">
        <f>SUMIFS(операции!$V:$V,операции!$T:$T,"&lt;="&amp;J$9,операции!$X:$X,"",операции!$P:$P,$E34)+SUMIFS(операции!$V:$V,операции!$T:$T,"&lt;="&amp;J$9,операции!$X:$X,"&gt;"&amp;J$9,операции!$P:$P,$E34)</f>
        <v>161847.23999999996</v>
      </c>
      <c r="K34" s="167">
        <f>SUMIFS(операции!$V:$V,операции!$T:$T,"&lt;="&amp;K$9,операции!$X:$X,"",операции!$P:$P,$E34)+SUMIFS(операции!$V:$V,операции!$T:$T,"&lt;="&amp;K$9,операции!$X:$X,"&gt;"&amp;K$9,операции!$P:$P,$E34)</f>
        <v>68372.479999999996</v>
      </c>
      <c r="L34" s="167">
        <f>SUMIFS(операции!$V:$V,операции!$T:$T,"&lt;="&amp;L$9,операции!$X:$X,"",операции!$P:$P,$E34)+SUMIFS(операции!$V:$V,операции!$T:$T,"&lt;="&amp;L$9,операции!$X:$X,"&gt;"&amp;L$9,операции!$P:$P,$E34)</f>
        <v>78282.459999999992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5" customFormat="1">
      <c r="A35" s="1"/>
      <c r="B35" s="1"/>
      <c r="C35" s="1"/>
      <c r="D35" s="168" t="s">
        <v>239</v>
      </c>
      <c r="E35" s="168" t="str">
        <f t="shared" si="7"/>
        <v>Домашнее хозяйство</v>
      </c>
      <c r="F35" s="168" t="s">
        <v>219</v>
      </c>
      <c r="G35" s="168"/>
      <c r="H35" s="169">
        <f>IF(H34=0,0,$H$9-SUMIFS(операции!$AF:$AF,операции!$T:$T,"&lt;="&amp;$H$9,операции!$X:$X,"",операции!$P:$P,$E35)/H34)</f>
        <v>69.115860436679213</v>
      </c>
      <c r="I35" s="177">
        <f>H35-L35</f>
        <v>0</v>
      </c>
      <c r="J35" s="169">
        <f>IF(J34=0,0,J$9-(SUMIFS(операции!$AF:$AF,операции!$T:$T,"&lt;="&amp;J$9,операции!$X:$X,"",операции!$P:$P,$E35)+SUMIFS(операции!$AF:$AF,операции!$T:$T,"&lt;="&amp;J$9,операции!$X:$X,"&gt;"&amp;J$9,операции!$P:$P,$E35))/J34)</f>
        <v>36.316943989877473</v>
      </c>
      <c r="K35" s="169">
        <f>IF(K34=0,0,K$9-(SUMIFS(операции!$AF:$AF,операции!$T:$T,"&lt;="&amp;K$9,операции!$X:$X,"",операции!$P:$P,$E35)+SUMIFS(операции!$AF:$AF,операции!$T:$T,"&lt;="&amp;K$9,операции!$X:$X,"&gt;"&amp;K$9,операции!$P:$P,$E35))/K34)</f>
        <v>65.501201360544655</v>
      </c>
      <c r="L35" s="169">
        <f>IF(L34=0,0,L$9-(SUMIFS(операции!$AF:$AF,операции!$T:$T,"&lt;="&amp;L$9,операции!$X:$X,"",операции!$P:$P,$E35)+SUMIFS(операции!$AF:$AF,операции!$T:$T,"&lt;="&amp;L$9,операции!$X:$X,"&gt;"&amp;L$9,операции!$P:$P,$E35))/L34)</f>
        <v>69.115860436679213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93" customFormat="1" ht="15">
      <c r="A36" s="92"/>
      <c r="B36" s="92"/>
      <c r="C36" s="92"/>
      <c r="D36" s="98" t="s">
        <v>237</v>
      </c>
      <c r="E36" s="120" t="str">
        <f t="shared" si="7"/>
        <v>Домашнее хозяйство</v>
      </c>
      <c r="F36" s="98" t="s">
        <v>219</v>
      </c>
      <c r="G36" s="98"/>
      <c r="H36" s="99">
        <f>IF(H29=0,H35,(SUMIFS(операции!$AG:$AG,операции!$X:$X,"&gt;="&amp;$H$8,операции!$X:$X,"&lt;="&amp;$H$9,операции!$P:$P,$E36)+$H$9*H34)/(H29+H34)-(SUMIFS(операции!$AF:$AF,операции!$X:$X,"&gt;="&amp;$H$8,операции!$X:$X,"&lt;="&amp;$H$9,операции!$P:$P,$E36)+SUMIFS(операции!$AF:$AF,операции!$T:$T,"&lt;="&amp;$H$9,операции!$X:$X,"",операции!$P:$P,$E36))/(H30+H34))</f>
        <v>39.900239191367291</v>
      </c>
      <c r="I36" s="175"/>
      <c r="J36" s="99">
        <f>IF(J29=0,J35,(SUMIFS(операции!$AG:$AG,операции!$X:$X,"&gt;="&amp;J$8,операции!$X:$X,"&lt;="&amp;J$9,операции!$P:$P,$E36)+J$9*J34)/(J29+J34)-(SUMIFS(операции!$AF:$AF,операции!$X:$X,"&gt;="&amp;J$8,операции!$X:$X,"&lt;="&amp;J$9,операции!$P:$P,$E36)+SUMIFS(операции!$AF:$AF,операции!$T:$T,"&lt;="&amp;J$9,операции!$X:$X,"",операции!$P:$P,$E36)+SUMIFS(операции!$AF:$AF,операции!$T:$T,"&lt;="&amp;J$9,операции!$X:$X,"&gt;"&amp;J$9,операции!$P:$P,$E36))/(J30+J34))</f>
        <v>39.714968136904645</v>
      </c>
      <c r="K36" s="99">
        <f>IF(K29=0,K35,(SUMIFS(операции!$AG:$AG,операции!$X:$X,"&gt;="&amp;K$8,операции!$X:$X,"&lt;="&amp;K$9,операции!$P:$P,$E36)+K$9*K34)/(K29+K34)-(SUMIFS(операции!$AF:$AF,операции!$X:$X,"&gt;="&amp;K$8,операции!$X:$X,"&lt;="&amp;K$9,операции!$P:$P,$E36)+SUMIFS(операции!$AF:$AF,операции!$T:$T,"&lt;="&amp;K$9,операции!$X:$X,"",операции!$P:$P,$E36)+SUMIFS(операции!$AF:$AF,операции!$T:$T,"&lt;="&amp;K$9,операции!$X:$X,"&gt;"&amp;K$9,операции!$P:$P,$E36))/(K30+K34))</f>
        <v>37.475293405928824</v>
      </c>
      <c r="L36" s="99">
        <f>IF(L29=0,L35,(SUMIFS(операции!$AG:$AG,операции!$X:$X,"&gt;="&amp;L$8,операции!$X:$X,"&lt;="&amp;L$9,операции!$P:$P,$E36)+L$9*L34)/(L29+L34)-(SUMIFS(операции!$AF:$AF,операции!$X:$X,"&gt;="&amp;L$8,операции!$X:$X,"&lt;="&amp;L$9,операции!$P:$P,$E36)+SUMIFS(операции!$AF:$AF,операции!$T:$T,"&lt;="&amp;L$9,операции!$X:$X,"",операции!$P:$P,$E36)+SUMIFS(операции!$AF:$AF,операции!$T:$T,"&lt;="&amp;L$9,операции!$X:$X,"&gt;"&amp;L$9,операции!$P:$P,$E36))/(L30+L34))</f>
        <v>57.428484253825445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</row>
    <row r="37" spans="1:27">
      <c r="A37" s="12"/>
      <c r="B37" s="12"/>
      <c r="C37" s="12"/>
      <c r="D37" s="97"/>
      <c r="E37" s="97"/>
      <c r="F37" s="97"/>
      <c r="G37" s="97"/>
      <c r="H37" s="100"/>
      <c r="I37" s="109"/>
      <c r="J37" s="97"/>
      <c r="K37" s="97"/>
      <c r="L37" s="9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>
      <c r="A38" s="12"/>
      <c r="B38" s="12"/>
      <c r="C38" s="12"/>
      <c r="D38" s="12" t="s">
        <v>210</v>
      </c>
      <c r="E38" s="12" t="str">
        <f>микс!$H$48</f>
        <v>Спортивный инвентарь</v>
      </c>
      <c r="F38" s="12" t="s">
        <v>217</v>
      </c>
      <c r="G38" s="12"/>
      <c r="H38" s="90">
        <f>SUMIFS(операции!$Z:$Z,операции!$X:$X,"&gt;="&amp;H$8,операции!$X:$X,"&lt;="&amp;H$9,операции!$P:$P,$E38)</f>
        <v>339905</v>
      </c>
      <c r="I38" s="108"/>
      <c r="J38" s="53">
        <f>SUMIFS(операции!$Z:$Z,операции!$X:$X,"&gt;="&amp;J$8,операции!$X:$X,"&lt;="&amp;J$9,операции!$P:$P,$E38)</f>
        <v>93096</v>
      </c>
      <c r="K38" s="53">
        <f>SUMIFS(операции!$Z:$Z,операции!$X:$X,"&gt;="&amp;K$8,операции!$X:$X,"&lt;="&amp;K$9,операции!$P:$P,$E38)</f>
        <v>145622</v>
      </c>
      <c r="L38" s="53">
        <f>SUMIFS(операции!$Z:$Z,операции!$X:$X,"&gt;="&amp;L$8,операции!$X:$X,"&lt;="&amp;L$9,операции!$P:$P,$E38)</f>
        <v>101187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>
      <c r="A39" s="12"/>
      <c r="B39" s="12"/>
      <c r="C39" s="12"/>
      <c r="D39" s="12" t="s">
        <v>211</v>
      </c>
      <c r="E39" s="12" t="str">
        <f>E38</f>
        <v>Спортивный инвентарь</v>
      </c>
      <c r="F39" s="12" t="s">
        <v>217</v>
      </c>
      <c r="G39" s="12"/>
      <c r="H39" s="90">
        <f>SUMIFS(операции!$V:$V,операции!$X:$X,"&gt;="&amp;H$8,операции!$X:$X,"&lt;="&amp;H$9,операции!$P:$P,$E39)</f>
        <v>296689.77999999968</v>
      </c>
      <c r="I39" s="108"/>
      <c r="J39" s="53">
        <f>SUMIFS(операции!$V:$V,операции!$X:$X,"&gt;="&amp;J$8,операции!$X:$X,"&lt;="&amp;J$9,операции!$P:$P,$E39)</f>
        <v>81275.98000000001</v>
      </c>
      <c r="K39" s="53">
        <f>SUMIFS(операции!$V:$V,операции!$X:$X,"&gt;="&amp;K$8,операции!$X:$X,"&lt;="&amp;K$9,операции!$P:$P,$E39)</f>
        <v>122686.20000000004</v>
      </c>
      <c r="L39" s="53">
        <f>SUMIFS(операции!$V:$V,операции!$X:$X,"&gt;="&amp;L$8,операции!$X:$X,"&lt;="&amp;L$9,операции!$P:$P,$E39)</f>
        <v>92727.599999999991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27">
      <c r="A40" s="12"/>
      <c r="B40" s="12"/>
      <c r="C40" s="12"/>
      <c r="D40" s="12" t="s">
        <v>212</v>
      </c>
      <c r="E40" s="12" t="str">
        <f t="shared" ref="E40:E45" si="10">E39</f>
        <v>Спортивный инвентарь</v>
      </c>
      <c r="F40" s="12" t="s">
        <v>217</v>
      </c>
      <c r="G40" s="12"/>
      <c r="H40" s="90">
        <f>H38-H39</f>
        <v>43215.220000000321</v>
      </c>
      <c r="I40" s="108"/>
      <c r="J40" s="53">
        <f>J38-J39</f>
        <v>11820.01999999999</v>
      </c>
      <c r="K40" s="53">
        <f t="shared" ref="K40:L40" si="11">K38-K39</f>
        <v>22935.799999999959</v>
      </c>
      <c r="L40" s="53">
        <f t="shared" si="11"/>
        <v>8459.4000000000087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s="119" customFormat="1">
      <c r="A41" s="87"/>
      <c r="B41" s="87"/>
      <c r="C41" s="87"/>
      <c r="D41" s="87" t="s">
        <v>213</v>
      </c>
      <c r="E41" s="87" t="str">
        <f t="shared" si="10"/>
        <v>Спортивный инвентарь</v>
      </c>
      <c r="F41" s="87" t="s">
        <v>218</v>
      </c>
      <c r="G41" s="87"/>
      <c r="H41" s="116">
        <f>IF(H38=0,0,H40/H38)</f>
        <v>0.12713911239905362</v>
      </c>
      <c r="I41" s="117"/>
      <c r="J41" s="118">
        <f>IF(J38=0,0,J40/J38)</f>
        <v>0.12696592764458181</v>
      </c>
      <c r="K41" s="118">
        <f t="shared" ref="K41:L41" si="12">IF(K38=0,0,K40/K38)</f>
        <v>0.15750230047657607</v>
      </c>
      <c r="L41" s="118">
        <f t="shared" si="12"/>
        <v>8.3601648433099196E-2</v>
      </c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s="5" customFormat="1">
      <c r="A42" s="1"/>
      <c r="B42" s="1"/>
      <c r="C42" s="1"/>
      <c r="D42" s="168" t="s">
        <v>220</v>
      </c>
      <c r="E42" s="168" t="str">
        <f t="shared" si="10"/>
        <v>Спортивный инвентарь</v>
      </c>
      <c r="F42" s="168" t="s">
        <v>219</v>
      </c>
      <c r="G42" s="168"/>
      <c r="H42" s="169">
        <f>IF(H38=0,0,SUMIFS(операции!$AG:$AG,операции!$X:$X,"&gt;="&amp;H$8,операции!$X:$X,"&lt;="&amp;H$9,операции!$P:$P,$E42)/H38-SUMIFS(операции!$AF:$AF,операции!$X:$X,"&gt;="&amp;H$8,операции!$X:$X,"&lt;="&amp;H$9,операции!$P:$P,$E42)/H39)</f>
        <v>46.659001527943474</v>
      </c>
      <c r="I42" s="177"/>
      <c r="J42" s="169">
        <f>IF(J38=0,0,SUMIFS(операции!$AG:$AG,операции!$X:$X,"&gt;="&amp;J$8,операции!$X:$X,"&lt;="&amp;J$9,операции!$P:$P,$E42)/J38-SUMIFS(операции!$AF:$AF,операции!$X:$X,"&gt;="&amp;J$8,операции!$X:$X,"&lt;="&amp;J$9,операции!$P:$P,$E42)/J39)</f>
        <v>68.254511375795119</v>
      </c>
      <c r="K42" s="169">
        <f>IF(K38=0,0,SUMIFS(операции!$AG:$AG,операции!$X:$X,"&gt;="&amp;K$8,операции!$X:$X,"&lt;="&amp;K$9,операции!$P:$P,$E42)/K38-SUMIFS(операции!$AF:$AF,операции!$X:$X,"&gt;="&amp;K$8,операции!$X:$X,"&lt;="&amp;K$9,операции!$P:$P,$E42)/K39)</f>
        <v>55.089861170148652</v>
      </c>
      <c r="L42" s="169">
        <f>IF(L38=0,0,SUMIFS(операции!$AG:$AG,операции!$X:$X,"&gt;="&amp;L$8,операции!$X:$X,"&lt;="&amp;L$9,операции!$P:$P,$E42)/L38-SUMIFS(операции!$AF:$AF,операции!$X:$X,"&gt;="&amp;L$8,операции!$X:$X,"&lt;="&amp;L$9,операции!$P:$P,$E42)/L39)</f>
        <v>17.530914184513676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>
      <c r="A43" s="12"/>
      <c r="B43" s="12"/>
      <c r="C43" s="12"/>
      <c r="D43" s="131" t="s">
        <v>238</v>
      </c>
      <c r="E43" s="131" t="str">
        <f t="shared" si="10"/>
        <v>Спортивный инвентарь</v>
      </c>
      <c r="F43" s="131" t="s">
        <v>217</v>
      </c>
      <c r="G43" s="131"/>
      <c r="H43" s="166">
        <f>SUMIFS(операции!$V:$V,операции!$T:$T,"&lt;="&amp;$H$9,операции!$X:$X,"",операции!$P:$P,$E43)</f>
        <v>81127.73</v>
      </c>
      <c r="I43" s="178">
        <f>H43-L43</f>
        <v>0</v>
      </c>
      <c r="J43" s="167">
        <f>SUMIFS(операции!$V:$V,операции!$T:$T,"&lt;="&amp;J$9,операции!$X:$X,"",операции!$P:$P,$E43)+SUMIFS(операции!$V:$V,операции!$T:$T,"&lt;="&amp;J$9,операции!$X:$X,"&gt;"&amp;J$9,операции!$P:$P,$E43)</f>
        <v>150958.78999999998</v>
      </c>
      <c r="K43" s="167">
        <f>SUMIFS(операции!$V:$V,операции!$T:$T,"&lt;="&amp;K$9,операции!$X:$X,"",операции!$P:$P,$E43)+SUMIFS(операции!$V:$V,операции!$T:$T,"&lt;="&amp;K$9,операции!$X:$X,"&gt;"&amp;K$9,операции!$P:$P,$E43)</f>
        <v>158230.63999999998</v>
      </c>
      <c r="L43" s="167">
        <f>SUMIFS(операции!$V:$V,операции!$T:$T,"&lt;="&amp;L$9,операции!$X:$X,"",операции!$P:$P,$E43)+SUMIFS(операции!$V:$V,операции!$T:$T,"&lt;="&amp;L$9,операции!$X:$X,"&gt;"&amp;L$9,операции!$P:$P,$E43)</f>
        <v>81127.73</v>
      </c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27" s="5" customFormat="1">
      <c r="A44" s="1"/>
      <c r="B44" s="1"/>
      <c r="C44" s="1"/>
      <c r="D44" s="168" t="s">
        <v>239</v>
      </c>
      <c r="E44" s="168" t="str">
        <f t="shared" si="10"/>
        <v>Спортивный инвентарь</v>
      </c>
      <c r="F44" s="168" t="s">
        <v>219</v>
      </c>
      <c r="G44" s="168"/>
      <c r="H44" s="169">
        <f>IF(H43=0,0,$H$9-SUMIFS(операции!$AF:$AF,операции!$T:$T,"&lt;="&amp;$H$9,операции!$X:$X,"",операции!$P:$P,$E44)/H43)</f>
        <v>136.33437358594529</v>
      </c>
      <c r="I44" s="177">
        <f>H44-L44</f>
        <v>0</v>
      </c>
      <c r="J44" s="169">
        <f>IF(J43=0,0,J$9-(SUMIFS(операции!$AF:$AF,операции!$T:$T,"&lt;="&amp;J$9,операции!$X:$X,"",операции!$P:$P,$E44)+SUMIFS(операции!$AF:$AF,операции!$T:$T,"&lt;="&amp;J$9,операции!$X:$X,"&gt;"&amp;J$9,операции!$P:$P,$E44))/J43)</f>
        <v>86.024980658621644</v>
      </c>
      <c r="K44" s="169">
        <f>IF(K43=0,0,K$9-(SUMIFS(операции!$AF:$AF,операции!$T:$T,"&lt;="&amp;K$9,операции!$X:$X,"",операции!$P:$P,$E44)+SUMIFS(операции!$AF:$AF,операции!$T:$T,"&lt;="&amp;K$9,операции!$X:$X,"&gt;"&amp;K$9,операции!$P:$P,$E44))/K43)</f>
        <v>63.341468883649213</v>
      </c>
      <c r="L44" s="169">
        <f>IF(L43=0,0,L$9-(SUMIFS(операции!$AF:$AF,операции!$T:$T,"&lt;="&amp;L$9,операции!$X:$X,"",операции!$P:$P,$E44)+SUMIFS(операции!$AF:$AF,операции!$T:$T,"&lt;="&amp;L$9,операции!$X:$X,"&gt;"&amp;L$9,операции!$P:$P,$E44))/L43)</f>
        <v>136.33437358594529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s="93" customFormat="1" ht="15">
      <c r="A45" s="92"/>
      <c r="B45" s="92"/>
      <c r="C45" s="92"/>
      <c r="D45" s="98" t="s">
        <v>237</v>
      </c>
      <c r="E45" s="120" t="str">
        <f t="shared" si="10"/>
        <v>Спортивный инвентарь</v>
      </c>
      <c r="F45" s="98" t="s">
        <v>219</v>
      </c>
      <c r="G45" s="98"/>
      <c r="H45" s="99">
        <f>IF(H38=0,H44,(SUMIFS(операции!$AG:$AG,операции!$X:$X,"&gt;="&amp;$H$8,операции!$X:$X,"&lt;="&amp;$H$9,операции!$P:$P,$E45)+$H$9*H43)/(H38+H43)-(SUMIFS(операции!$AF:$AF,операции!$X:$X,"&gt;="&amp;$H$8,операции!$X:$X,"&lt;="&amp;$H$9,операции!$P:$P,$E45)+SUMIFS(операции!$AF:$AF,операции!$T:$T,"&lt;="&amp;$H$9,операции!$X:$X,"",операции!$P:$P,$E45))/(H39+H43))</f>
        <v>64.908509625442093</v>
      </c>
      <c r="I45" s="175"/>
      <c r="J45" s="99">
        <f>IF(J38=0,J44,(SUMIFS(операции!$AG:$AG,операции!$X:$X,"&gt;="&amp;J$8,операции!$X:$X,"&lt;="&amp;J$9,операции!$P:$P,$E45)+J$9*J43)/(J38+J43)-(SUMIFS(операции!$AF:$AF,операции!$X:$X,"&gt;="&amp;J$8,операции!$X:$X,"&lt;="&amp;J$9,операции!$P:$P,$E45)+SUMIFS(операции!$AF:$AF,операции!$T:$T,"&lt;="&amp;J$9,операции!$X:$X,"",операции!$P:$P,$E45)+SUMIFS(операции!$AF:$AF,операции!$T:$T,"&lt;="&amp;J$9,операции!$X:$X,"&gt;"&amp;J$9,операции!$P:$P,$E45))/(J39+J43))</f>
        <v>79.659143638717069</v>
      </c>
      <c r="K45" s="99">
        <f>IF(K38=0,K44,(SUMIFS(операции!$AG:$AG,операции!$X:$X,"&gt;="&amp;K$8,операции!$X:$X,"&lt;="&amp;K$9,операции!$P:$P,$E45)+K$9*K43)/(K38+K43)-(SUMIFS(операции!$AF:$AF,операции!$X:$X,"&gt;="&amp;K$8,операции!$X:$X,"&lt;="&amp;K$9,операции!$P:$P,$E45)+SUMIFS(операции!$AF:$AF,операции!$T:$T,"&lt;="&amp;K$9,операции!$X:$X,"",операции!$P:$P,$E45)+SUMIFS(операции!$AF:$AF,операции!$T:$T,"&lt;="&amp;K$9,операции!$X:$X,"&gt;"&amp;K$9,операции!$P:$P,$E45))/(K39+K43))</f>
        <v>59.083702604628343</v>
      </c>
      <c r="L45" s="99">
        <f>IF(L38=0,L44,(SUMIFS(операции!$AG:$AG,операции!$X:$X,"&gt;="&amp;L$8,операции!$X:$X,"&lt;="&amp;L$9,операции!$P:$P,$E45)+L$9*L43)/(L38+L43)-(SUMIFS(операции!$AF:$AF,операции!$X:$X,"&gt;="&amp;L$8,операции!$X:$X,"&lt;="&amp;L$9,операции!$P:$P,$E45)+SUMIFS(операции!$AF:$AF,операции!$T:$T,"&lt;="&amp;L$9,операции!$X:$X,"",операции!$P:$P,$E45)+SUMIFS(операции!$AF:$AF,операции!$T:$T,"&lt;="&amp;L$9,операции!$X:$X,"&gt;"&amp;L$9,операции!$P:$P,$E45))/(L39+L43))</f>
        <v>72.401841132501431</v>
      </c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</row>
    <row r="46" spans="1:27">
      <c r="A46" s="12"/>
      <c r="B46" s="12"/>
      <c r="C46" s="12"/>
      <c r="D46" s="12"/>
      <c r="E46" s="12"/>
      <c r="F46" s="12"/>
      <c r="G46" s="12"/>
      <c r="H46" s="1"/>
      <c r="I46" s="108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>
      <c r="A47" s="12"/>
      <c r="B47" s="12"/>
      <c r="C47" s="12"/>
      <c r="D47" s="12" t="s">
        <v>210</v>
      </c>
      <c r="E47" s="12" t="str">
        <f>микс!$H$49</f>
        <v>Товары для детей</v>
      </c>
      <c r="F47" s="12" t="s">
        <v>217</v>
      </c>
      <c r="G47" s="12"/>
      <c r="H47" s="90">
        <f>SUMIFS(операции!$Z:$Z,операции!$X:$X,"&gt;="&amp;H$8,операции!$X:$X,"&lt;="&amp;H$9,операции!$P:$P,$E47)</f>
        <v>2705371</v>
      </c>
      <c r="I47" s="108"/>
      <c r="J47" s="53">
        <f>SUMIFS(операции!$Z:$Z,операции!$X:$X,"&gt;="&amp;J$8,операции!$X:$X,"&lt;="&amp;J$9,операции!$P:$P,$E47)</f>
        <v>550818</v>
      </c>
      <c r="K47" s="53">
        <f>SUMIFS(операции!$Z:$Z,операции!$X:$X,"&gt;="&amp;K$8,операции!$X:$X,"&lt;="&amp;K$9,операции!$P:$P,$E47)</f>
        <v>1233461</v>
      </c>
      <c r="L47" s="53">
        <f>SUMIFS(операции!$Z:$Z,операции!$X:$X,"&gt;="&amp;L$8,операции!$X:$X,"&lt;="&amp;L$9,операции!$P:$P,$E47)</f>
        <v>921092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>
      <c r="A48" s="12"/>
      <c r="B48" s="12"/>
      <c r="C48" s="12"/>
      <c r="D48" s="12" t="s">
        <v>211</v>
      </c>
      <c r="E48" s="12" t="str">
        <f>E47</f>
        <v>Товары для детей</v>
      </c>
      <c r="F48" s="12" t="s">
        <v>217</v>
      </c>
      <c r="G48" s="12"/>
      <c r="H48" s="90">
        <f>SUMIFS(операции!$V:$V,операции!$X:$X,"&gt;="&amp;H$8,операции!$X:$X,"&lt;="&amp;H$9,операции!$P:$P,$E48)</f>
        <v>2406236.7599999993</v>
      </c>
      <c r="I48" s="108"/>
      <c r="J48" s="53">
        <f>SUMIFS(операции!$V:$V,операции!$X:$X,"&gt;="&amp;J$8,операции!$X:$X,"&lt;="&amp;J$9,операции!$P:$P,$E48)</f>
        <v>494188.7</v>
      </c>
      <c r="K48" s="53">
        <f>SUMIFS(операции!$V:$V,операции!$X:$X,"&gt;="&amp;K$8,операции!$X:$X,"&lt;="&amp;K$9,операции!$P:$P,$E48)</f>
        <v>1066218.1299999999</v>
      </c>
      <c r="L48" s="53">
        <f>SUMIFS(операции!$V:$V,операции!$X:$X,"&gt;="&amp;L$8,операции!$X:$X,"&lt;="&amp;L$9,операции!$P:$P,$E48)</f>
        <v>845829.92999999935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>
      <c r="A49" s="12"/>
      <c r="B49" s="12"/>
      <c r="C49" s="12"/>
      <c r="D49" s="12" t="s">
        <v>212</v>
      </c>
      <c r="E49" s="12" t="str">
        <f t="shared" ref="E49:E54" si="13">E48</f>
        <v>Товары для детей</v>
      </c>
      <c r="F49" s="12" t="s">
        <v>217</v>
      </c>
      <c r="G49" s="12"/>
      <c r="H49" s="90">
        <f>H47-H48</f>
        <v>299134.24000000069</v>
      </c>
      <c r="I49" s="108"/>
      <c r="J49" s="53">
        <f>J47-J48</f>
        <v>56629.299999999988</v>
      </c>
      <c r="K49" s="53">
        <f t="shared" ref="K49:L49" si="14">K47-K48</f>
        <v>167242.87000000011</v>
      </c>
      <c r="L49" s="53">
        <f t="shared" si="14"/>
        <v>75262.070000000647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 s="119" customFormat="1">
      <c r="A50" s="87"/>
      <c r="B50" s="87"/>
      <c r="C50" s="87"/>
      <c r="D50" s="87" t="s">
        <v>213</v>
      </c>
      <c r="E50" s="87" t="str">
        <f t="shared" si="13"/>
        <v>Товары для детей</v>
      </c>
      <c r="F50" s="87" t="s">
        <v>218</v>
      </c>
      <c r="G50" s="87"/>
      <c r="H50" s="116">
        <f>IF(H47=0,0,H49/H47)</f>
        <v>0.11057050585668313</v>
      </c>
      <c r="I50" s="117"/>
      <c r="J50" s="118">
        <f>IF(J47=0,0,J49/J47)</f>
        <v>0.10280945793347347</v>
      </c>
      <c r="K50" s="118">
        <f t="shared" ref="K50:L50" si="15">IF(K47=0,0,K49/K47)</f>
        <v>0.13558829180655094</v>
      </c>
      <c r="L50" s="118">
        <f t="shared" si="15"/>
        <v>8.1709612069153406E-2</v>
      </c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s="5" customFormat="1">
      <c r="A51" s="1"/>
      <c r="B51" s="1"/>
      <c r="C51" s="1"/>
      <c r="D51" s="168" t="s">
        <v>220</v>
      </c>
      <c r="E51" s="168" t="str">
        <f t="shared" si="13"/>
        <v>Товары для детей</v>
      </c>
      <c r="F51" s="168" t="s">
        <v>219</v>
      </c>
      <c r="G51" s="168"/>
      <c r="H51" s="169">
        <f>IF(H47=0,0,SUMIFS(операции!$AG:$AG,операции!$X:$X,"&gt;="&amp;H$8,операции!$X:$X,"&lt;="&amp;H$9,операции!$P:$P,$E51)/H47-SUMIFS(операции!$AF:$AF,операции!$X:$X,"&gt;="&amp;H$8,операции!$X:$X,"&lt;="&amp;H$9,операции!$P:$P,$E51)/H48)</f>
        <v>42.520937715657055</v>
      </c>
      <c r="I51" s="177"/>
      <c r="J51" s="169">
        <f>IF(J47=0,0,SUMIFS(операции!$AG:$AG,операции!$X:$X,"&gt;="&amp;J$8,операции!$X:$X,"&lt;="&amp;J$9,операции!$P:$P,$E51)/J47-SUMIFS(операции!$AF:$AF,операции!$X:$X,"&gt;="&amp;J$8,операции!$X:$X,"&lt;="&amp;J$9,операции!$P:$P,$E51)/J48)</f>
        <v>67.405963188517489</v>
      </c>
      <c r="K51" s="169">
        <f>IF(K47=0,0,SUMIFS(операции!$AG:$AG,операции!$X:$X,"&gt;="&amp;K$8,операции!$X:$X,"&lt;="&amp;K$9,операции!$P:$P,$E51)/K47-SUMIFS(операции!$AF:$AF,операции!$X:$X,"&gt;="&amp;K$8,операции!$X:$X,"&lt;="&amp;K$9,операции!$P:$P,$E51)/K48)</f>
        <v>46.146400872799859</v>
      </c>
      <c r="L51" s="169">
        <f>IF(L47=0,0,SUMIFS(операции!$AG:$AG,операции!$X:$X,"&gt;="&amp;L$8,операции!$X:$X,"&lt;="&amp;L$9,операции!$P:$P,$E51)/L47-SUMIFS(операции!$AF:$AF,операции!$X:$X,"&gt;="&amp;L$8,операции!$X:$X,"&lt;="&amp;L$9,операции!$P:$P,$E51)/L48)</f>
        <v>23.790803159085044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>
      <c r="A52" s="12"/>
      <c r="B52" s="12"/>
      <c r="C52" s="12"/>
      <c r="D52" s="131" t="s">
        <v>238</v>
      </c>
      <c r="E52" s="131" t="str">
        <f t="shared" si="13"/>
        <v>Товары для детей</v>
      </c>
      <c r="F52" s="131" t="s">
        <v>217</v>
      </c>
      <c r="G52" s="131"/>
      <c r="H52" s="166">
        <f>SUMIFS(операции!$V:$V,операции!$T:$T,"&lt;="&amp;$H$9,операции!$X:$X,"",операции!$P:$P,$E52)</f>
        <v>570344.14999999991</v>
      </c>
      <c r="I52" s="178">
        <f>H52-L52</f>
        <v>0</v>
      </c>
      <c r="J52" s="167">
        <f>SUMIFS(операции!$V:$V,операции!$T:$T,"&lt;="&amp;J$9,операции!$X:$X,"",операции!$P:$P,$E52)+SUMIFS(операции!$V:$V,операции!$T:$T,"&lt;="&amp;J$9,операции!$X:$X,"&gt;"&amp;J$9,операции!$P:$P,$E52)</f>
        <v>897189.27999999956</v>
      </c>
      <c r="K52" s="167">
        <f>SUMIFS(операции!$V:$V,операции!$T:$T,"&lt;="&amp;K$9,операции!$X:$X,"",операции!$P:$P,$E52)+SUMIFS(операции!$V:$V,операции!$T:$T,"&lt;="&amp;K$9,операции!$X:$X,"&gt;"&amp;K$9,операции!$P:$P,$E52)</f>
        <v>1278881.5199999993</v>
      </c>
      <c r="L52" s="167">
        <f>SUMIFS(операции!$V:$V,операции!$T:$T,"&lt;="&amp;L$9,операции!$X:$X,"",операции!$P:$P,$E52)+SUMIFS(операции!$V:$V,операции!$T:$T,"&lt;="&amp;L$9,операции!$X:$X,"&gt;"&amp;L$9,операции!$P:$P,$E52)</f>
        <v>570344.14999999991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s="5" customFormat="1">
      <c r="A53" s="1"/>
      <c r="B53" s="1"/>
      <c r="C53" s="1"/>
      <c r="D53" s="168" t="s">
        <v>239</v>
      </c>
      <c r="E53" s="168" t="str">
        <f t="shared" si="13"/>
        <v>Товары для детей</v>
      </c>
      <c r="F53" s="168" t="s">
        <v>219</v>
      </c>
      <c r="G53" s="168"/>
      <c r="H53" s="169">
        <f>IF(H52=0,0,$H$9-SUMIFS(операции!$AF:$AF,операции!$T:$T,"&lt;="&amp;$H$9,операции!$X:$X,"",операции!$P:$P,$E53)/H52)</f>
        <v>139.96443631446164</v>
      </c>
      <c r="I53" s="177">
        <f>H53-L53</f>
        <v>0</v>
      </c>
      <c r="J53" s="169">
        <f>IF(J52=0,0,J$9-(SUMIFS(операции!$AF:$AF,операции!$T:$T,"&lt;="&amp;J$9,операции!$X:$X,"",операции!$P:$P,$E53)+SUMIFS(операции!$AF:$AF,операции!$T:$T,"&lt;="&amp;J$9,операции!$X:$X,"&gt;"&amp;J$9,операции!$P:$P,$E53))/J52)</f>
        <v>115.27658086818701</v>
      </c>
      <c r="K53" s="169">
        <f>IF(K52=0,0,K$9-(SUMIFS(операции!$AF:$AF,операции!$T:$T,"&lt;="&amp;K$9,операции!$X:$X,"",операции!$P:$P,$E53)+SUMIFS(операции!$AF:$AF,операции!$T:$T,"&lt;="&amp;K$9,операции!$X:$X,"&gt;"&amp;K$9,операции!$P:$P,$E53))/K52)</f>
        <v>63.727782359368575</v>
      </c>
      <c r="L53" s="169">
        <f>IF(L52=0,0,L$9-(SUMIFS(операции!$AF:$AF,операции!$T:$T,"&lt;="&amp;L$9,операции!$X:$X,"",операции!$P:$P,$E53)+SUMIFS(операции!$AF:$AF,операции!$T:$T,"&lt;="&amp;L$9,операции!$X:$X,"&gt;"&amp;L$9,операции!$P:$P,$E53))/L52)</f>
        <v>139.96443631446164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s="93" customFormat="1" ht="15">
      <c r="A54" s="92"/>
      <c r="B54" s="92"/>
      <c r="C54" s="92"/>
      <c r="D54" s="98" t="s">
        <v>237</v>
      </c>
      <c r="E54" s="120" t="str">
        <f t="shared" si="13"/>
        <v>Товары для детей</v>
      </c>
      <c r="F54" s="98" t="s">
        <v>219</v>
      </c>
      <c r="G54" s="98"/>
      <c r="H54" s="99">
        <f>IF(H47=0,H53,(SUMIFS(операции!$AG:$AG,операции!$X:$X,"&gt;="&amp;$H$8,операции!$X:$X,"&lt;="&amp;$H$9,операции!$P:$P,$E54)+$H$9*H52)/(H47+H52)-(SUMIFS(операции!$AF:$AF,операции!$X:$X,"&gt;="&amp;$H$8,операции!$X:$X,"&lt;="&amp;$H$9,операции!$P:$P,$E54)+SUMIFS(операции!$AF:$AF,операции!$T:$T,"&lt;="&amp;$H$9,операции!$X:$X,"",операции!$P:$P,$E54))/(H48+H52))</f>
        <v>60.46251692383521</v>
      </c>
      <c r="I54" s="175"/>
      <c r="J54" s="99">
        <f>IF(J47=0,J53,(SUMIFS(операции!$AG:$AG,операции!$X:$X,"&gt;="&amp;J$8,операции!$X:$X,"&lt;="&amp;J$9,операции!$P:$P,$E54)+J$9*J52)/(J47+J52)-(SUMIFS(операции!$AF:$AF,операции!$X:$X,"&gt;="&amp;J$8,операции!$X:$X,"&lt;="&amp;J$9,операции!$P:$P,$E54)+SUMIFS(операции!$AF:$AF,операции!$T:$T,"&lt;="&amp;J$9,операции!$X:$X,"",операции!$P:$P,$E54)+SUMIFS(операции!$AF:$AF,операции!$T:$T,"&lt;="&amp;J$9,операции!$X:$X,"&gt;"&amp;J$9,операции!$P:$P,$E54))/(J48+J52))</f>
        <v>98.120301731491054</v>
      </c>
      <c r="K54" s="99">
        <f>IF(K47=0,K53,(SUMIFS(операции!$AG:$AG,операции!$X:$X,"&gt;="&amp;K$8,операции!$X:$X,"&lt;="&amp;K$9,операции!$P:$P,$E54)+K$9*K52)/(K47+K52)-(SUMIFS(операции!$AF:$AF,операции!$X:$X,"&gt;="&amp;K$8,операции!$X:$X,"&lt;="&amp;K$9,операции!$P:$P,$E54)+SUMIFS(операции!$AF:$AF,операции!$T:$T,"&lt;="&amp;K$9,операции!$X:$X,"",операции!$P:$P,$E54)+SUMIFS(операции!$AF:$AF,операции!$T:$T,"&lt;="&amp;K$9,операции!$X:$X,"&gt;"&amp;K$9,операции!$P:$P,$E54))/(K48+K52))</f>
        <v>55.331809336013976</v>
      </c>
      <c r="L54" s="99">
        <f>IF(L47=0,L53,(SUMIFS(операции!$AG:$AG,операции!$X:$X,"&gt;="&amp;L$8,операции!$X:$X,"&lt;="&amp;L$9,операции!$P:$P,$E54)+L$9*L52)/(L47+L52)-(SUMIFS(операции!$AF:$AF,операции!$X:$X,"&gt;="&amp;L$8,операции!$X:$X,"&lt;="&amp;L$9,операции!$P:$P,$E54)+SUMIFS(операции!$AF:$AF,операции!$T:$T,"&lt;="&amp;L$9,операции!$X:$X,"",операции!$P:$P,$E54)+SUMIFS(операции!$AF:$AF,операции!$T:$T,"&lt;="&amp;L$9,операции!$X:$X,"&gt;"&amp;L$9,операции!$P:$P,$E54))/(L48+L52))</f>
        <v>70.049841331201605</v>
      </c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</row>
    <row r="55" spans="1:27">
      <c r="A55" s="12"/>
      <c r="B55" s="12"/>
      <c r="C55" s="12"/>
      <c r="D55" s="97"/>
      <c r="E55" s="97"/>
      <c r="F55" s="97"/>
      <c r="G55" s="97"/>
      <c r="H55" s="100"/>
      <c r="I55" s="109"/>
      <c r="J55" s="97"/>
      <c r="K55" s="97"/>
      <c r="L55" s="97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>
      <c r="A56" s="12"/>
      <c r="B56" s="12"/>
      <c r="C56" s="12"/>
      <c r="D56" s="12" t="s">
        <v>210</v>
      </c>
      <c r="E56" s="12" t="str">
        <f>микс!$H$50</f>
        <v>Одежда и обувь</v>
      </c>
      <c r="F56" s="12" t="s">
        <v>217</v>
      </c>
      <c r="G56" s="12"/>
      <c r="H56" s="90">
        <f>SUMIFS(операции!$Z:$Z,операции!$X:$X,"&gt;="&amp;H$8,операции!$X:$X,"&lt;="&amp;H$9,операции!$P:$P,$E56)</f>
        <v>132850</v>
      </c>
      <c r="I56" s="108"/>
      <c r="J56" s="53">
        <f>SUMIFS(операции!$Z:$Z,операции!$X:$X,"&gt;="&amp;J$8,операции!$X:$X,"&lt;="&amp;J$9,операции!$P:$P,$E56)</f>
        <v>28283</v>
      </c>
      <c r="K56" s="53">
        <f>SUMIFS(операции!$Z:$Z,операции!$X:$X,"&gt;="&amp;K$8,операции!$X:$X,"&lt;="&amp;K$9,операции!$P:$P,$E56)</f>
        <v>78817</v>
      </c>
      <c r="L56" s="53">
        <f>SUMIFS(операции!$Z:$Z,операции!$X:$X,"&gt;="&amp;L$8,операции!$X:$X,"&lt;="&amp;L$9,операции!$P:$P,$E56)</f>
        <v>25750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>
      <c r="A57" s="12"/>
      <c r="B57" s="12"/>
      <c r="C57" s="12"/>
      <c r="D57" s="12" t="s">
        <v>211</v>
      </c>
      <c r="E57" s="12" t="str">
        <f>E56</f>
        <v>Одежда и обувь</v>
      </c>
      <c r="F57" s="12" t="s">
        <v>217</v>
      </c>
      <c r="G57" s="12"/>
      <c r="H57" s="90">
        <f>SUMIFS(операции!$V:$V,операции!$X:$X,"&gt;="&amp;H$8,операции!$X:$X,"&lt;="&amp;H$9,операции!$P:$P,$E57)</f>
        <v>90252.13</v>
      </c>
      <c r="I57" s="108"/>
      <c r="J57" s="53">
        <f>SUMIFS(операции!$V:$V,операции!$X:$X,"&gt;="&amp;J$8,операции!$X:$X,"&lt;="&amp;J$9,операции!$P:$P,$E57)</f>
        <v>25034</v>
      </c>
      <c r="K57" s="53">
        <f>SUMIFS(операции!$V:$V,операции!$X:$X,"&gt;="&amp;K$8,операции!$X:$X,"&lt;="&amp;K$9,операции!$P:$P,$E57)</f>
        <v>48713.760000000002</v>
      </c>
      <c r="L57" s="53">
        <f>SUMIFS(операции!$V:$V,операции!$X:$X,"&gt;="&amp;L$8,операции!$X:$X,"&lt;="&amp;L$9,операции!$P:$P,$E57)</f>
        <v>16504.370000000003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>
      <c r="A58" s="12"/>
      <c r="B58" s="12"/>
      <c r="C58" s="12"/>
      <c r="D58" s="12" t="s">
        <v>212</v>
      </c>
      <c r="E58" s="12" t="str">
        <f t="shared" ref="E58:E63" si="16">E57</f>
        <v>Одежда и обувь</v>
      </c>
      <c r="F58" s="12" t="s">
        <v>217</v>
      </c>
      <c r="G58" s="12"/>
      <c r="H58" s="90">
        <f>H56-H57</f>
        <v>42597.869999999995</v>
      </c>
      <c r="I58" s="108"/>
      <c r="J58" s="53">
        <f>J56-J57</f>
        <v>3249</v>
      </c>
      <c r="K58" s="53">
        <f t="shared" ref="K58:L58" si="17">K56-K57</f>
        <v>30103.239999999998</v>
      </c>
      <c r="L58" s="53">
        <f t="shared" si="17"/>
        <v>9245.6299999999974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s="119" customFormat="1">
      <c r="A59" s="87"/>
      <c r="B59" s="87"/>
      <c r="C59" s="87"/>
      <c r="D59" s="87" t="s">
        <v>213</v>
      </c>
      <c r="E59" s="87" t="str">
        <f t="shared" si="16"/>
        <v>Одежда и обувь</v>
      </c>
      <c r="F59" s="87" t="s">
        <v>218</v>
      </c>
      <c r="G59" s="87"/>
      <c r="H59" s="116">
        <f>IF(H56=0,0,H58/H56)</f>
        <v>0.32064636808430558</v>
      </c>
      <c r="I59" s="117"/>
      <c r="J59" s="118">
        <f>IF(J56=0,0,J58/J56)</f>
        <v>0.11487465968956617</v>
      </c>
      <c r="K59" s="118">
        <f t="shared" ref="K59:L59" si="18">IF(K56=0,0,K58/K56)</f>
        <v>0.38193841430148318</v>
      </c>
      <c r="L59" s="118">
        <f t="shared" si="18"/>
        <v>0.35905359223300959</v>
      </c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s="5" customFormat="1">
      <c r="A60" s="1"/>
      <c r="B60" s="1"/>
      <c r="C60" s="1"/>
      <c r="D60" s="168" t="s">
        <v>220</v>
      </c>
      <c r="E60" s="168" t="str">
        <f t="shared" si="16"/>
        <v>Одежда и обувь</v>
      </c>
      <c r="F60" s="168" t="s">
        <v>219</v>
      </c>
      <c r="G60" s="168"/>
      <c r="H60" s="169">
        <f>IF(H56=0,0,SUMIFS(операции!$AG:$AG,операции!$X:$X,"&gt;="&amp;H$8,операции!$X:$X,"&lt;="&amp;H$9,операции!$P:$P,$E60)/H56-SUMIFS(операции!$AF:$AF,операции!$X:$X,"&gt;="&amp;H$8,операции!$X:$X,"&lt;="&amp;H$9,операции!$P:$P,$E60)/H57)</f>
        <v>94.123083225596929</v>
      </c>
      <c r="I60" s="177"/>
      <c r="J60" s="169">
        <f>IF(J56=0,0,SUMIFS(операции!$AG:$AG,операции!$X:$X,"&gt;="&amp;J$8,операции!$X:$X,"&lt;="&amp;J$9,операции!$P:$P,$E60)/J56-SUMIFS(операции!$AF:$AF,операции!$X:$X,"&gt;="&amp;J$8,операции!$X:$X,"&lt;="&amp;J$9,операции!$P:$P,$E60)/J57)</f>
        <v>89.050859888993728</v>
      </c>
      <c r="K60" s="169">
        <f>IF(K56=0,0,SUMIFS(операции!$AG:$AG,операции!$X:$X,"&gt;="&amp;K$8,операции!$X:$X,"&lt;="&amp;K$9,операции!$P:$P,$E60)/K56-SUMIFS(операции!$AF:$AF,операции!$X:$X,"&gt;="&amp;K$8,операции!$X:$X,"&lt;="&amp;K$9,операции!$P:$P,$E60)/K57)</f>
        <v>91.663081641316239</v>
      </c>
      <c r="L60" s="169">
        <f>IF(L56=0,0,SUMIFS(операции!$AG:$AG,операции!$X:$X,"&gt;="&amp;L$8,операции!$X:$X,"&lt;="&amp;L$9,операции!$P:$P,$E60)/L56-SUMIFS(операции!$AF:$AF,операции!$X:$X,"&gt;="&amp;L$8,операции!$X:$X,"&lt;="&amp;L$9,операции!$P:$P,$E60)/L57)</f>
        <v>99.81203961839492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>
      <c r="A61" s="12"/>
      <c r="B61" s="12"/>
      <c r="C61" s="12"/>
      <c r="D61" s="131" t="s">
        <v>238</v>
      </c>
      <c r="E61" s="131" t="str">
        <f t="shared" si="16"/>
        <v>Одежда и обувь</v>
      </c>
      <c r="F61" s="131" t="s">
        <v>217</v>
      </c>
      <c r="G61" s="131"/>
      <c r="H61" s="166">
        <f>SUMIFS(операции!$V:$V,операции!$T:$T,"&lt;="&amp;$H$9,операции!$X:$X,"",операции!$P:$P,$E61)</f>
        <v>82590.240000000005</v>
      </c>
      <c r="I61" s="178">
        <f>H61-L61</f>
        <v>0</v>
      </c>
      <c r="J61" s="167">
        <f>SUMIFS(операции!$V:$V,операции!$T:$T,"&lt;="&amp;J$9,операции!$X:$X,"",операции!$P:$P,$E61)+SUMIFS(операции!$V:$V,операции!$T:$T,"&lt;="&amp;J$9,операции!$X:$X,"&gt;"&amp;J$9,операции!$P:$P,$E61)</f>
        <v>147808.37</v>
      </c>
      <c r="K61" s="167">
        <f>SUMIFS(операции!$V:$V,операции!$T:$T,"&lt;="&amp;K$9,операции!$X:$X,"",операции!$P:$P,$E61)+SUMIFS(операции!$V:$V,операции!$T:$T,"&lt;="&amp;K$9,операции!$X:$X,"&gt;"&amp;K$9,операции!$P:$P,$E61)</f>
        <v>99094.610000000015</v>
      </c>
      <c r="L61" s="167">
        <f>SUMIFS(операции!$V:$V,операции!$T:$T,"&lt;="&amp;L$9,операции!$X:$X,"",операции!$P:$P,$E61)+SUMIFS(операции!$V:$V,операции!$T:$T,"&lt;="&amp;L$9,операции!$X:$X,"&gt;"&amp;L$9,операции!$P:$P,$E61)</f>
        <v>82590.240000000005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s="5" customFormat="1">
      <c r="A62" s="1"/>
      <c r="B62" s="1"/>
      <c r="C62" s="1"/>
      <c r="D62" s="168" t="s">
        <v>239</v>
      </c>
      <c r="E62" s="168" t="str">
        <f t="shared" si="16"/>
        <v>Одежда и обувь</v>
      </c>
      <c r="F62" s="168" t="s">
        <v>219</v>
      </c>
      <c r="G62" s="168"/>
      <c r="H62" s="169">
        <f>IF(H61=0,0,$H$9-SUMIFS(операции!$AF:$AF,операции!$T:$T,"&lt;="&amp;$H$9,операции!$X:$X,"",операции!$P:$P,$E62)/H61)</f>
        <v>161.3880757581137</v>
      </c>
      <c r="I62" s="177">
        <f>H62-L62</f>
        <v>0</v>
      </c>
      <c r="J62" s="169">
        <f>IF(J61=0,0,J$9-(SUMIFS(операции!$AF:$AF,операции!$T:$T,"&lt;="&amp;J$9,операции!$X:$X,"",операции!$P:$P,$E62)+SUMIFS(операции!$AF:$AF,операции!$T:$T,"&lt;="&amp;J$9,операции!$X:$X,"&gt;"&amp;J$9,операции!$P:$P,$E62))/J61)</f>
        <v>87.492127610916214</v>
      </c>
      <c r="K62" s="169">
        <f>IF(K61=0,0,K$9-(SUMIFS(операции!$AF:$AF,операции!$T:$T,"&lt;="&amp;K$9,операции!$X:$X,"",операции!$P:$P,$E62)+SUMIFS(операции!$AF:$AF,операции!$T:$T,"&lt;="&amp;K$9,операции!$X:$X,"&gt;"&amp;K$9,операции!$P:$P,$E62))/K61)</f>
        <v>124.98871129319014</v>
      </c>
      <c r="L62" s="169">
        <f>IF(L61=0,0,L$9-(SUMIFS(операции!$AF:$AF,операции!$T:$T,"&lt;="&amp;L$9,операции!$X:$X,"",операции!$P:$P,$E62)+SUMIFS(операции!$AF:$AF,операции!$T:$T,"&lt;="&amp;L$9,операции!$X:$X,"&gt;"&amp;L$9,операции!$P:$P,$E62))/L61)</f>
        <v>161.3880757581137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s="93" customFormat="1" ht="15">
      <c r="A63" s="92"/>
      <c r="B63" s="92"/>
      <c r="C63" s="92"/>
      <c r="D63" s="98" t="s">
        <v>237</v>
      </c>
      <c r="E63" s="120" t="str">
        <f t="shared" si="16"/>
        <v>Одежда и обувь</v>
      </c>
      <c r="F63" s="98" t="s">
        <v>219</v>
      </c>
      <c r="G63" s="98"/>
      <c r="H63" s="99">
        <f>IF(H56=0,H62,(SUMIFS(операции!$AG:$AG,операции!$X:$X,"&gt;="&amp;$H$8,операции!$X:$X,"&lt;="&amp;$H$9,операции!$P:$P,$E63)+$H$9*H61)/(H56+H61)-(SUMIFS(операции!$AF:$AF,операции!$X:$X,"&gt;="&amp;$H$8,операции!$X:$X,"&lt;="&amp;$H$9,операции!$P:$P,$E63)+SUMIFS(операции!$AF:$AF,операции!$T:$T,"&lt;="&amp;$H$9,операции!$X:$X,"",операции!$P:$P,$E63))/(H57+H61))</f>
        <v>122.07769934203679</v>
      </c>
      <c r="I63" s="175"/>
      <c r="J63" s="99">
        <f>IF(J56=0,J62,(SUMIFS(операции!$AG:$AG,операции!$X:$X,"&gt;="&amp;J$8,операции!$X:$X,"&lt;="&amp;J$9,операции!$P:$P,$E63)+J$9*J61)/(J56+J61)-(SUMIFS(операции!$AF:$AF,операции!$X:$X,"&gt;="&amp;J$8,операции!$X:$X,"&lt;="&amp;J$9,операции!$P:$P,$E63)+SUMIFS(операции!$AF:$AF,операции!$T:$T,"&lt;="&amp;J$9,операции!$X:$X,"",операции!$P:$P,$E63)+SUMIFS(операции!$AF:$AF,операции!$T:$T,"&lt;="&amp;J$9,операции!$X:$X,"&gt;"&amp;J$9,операции!$P:$P,$E63))/(J57+J61))</f>
        <v>87.643032975021924</v>
      </c>
      <c r="K63" s="99">
        <f>IF(K56=0,K62,(SUMIFS(операции!$AG:$AG,операции!$X:$X,"&gt;="&amp;K$8,операции!$X:$X,"&lt;="&amp;K$9,операции!$P:$P,$E63)+K$9*K61)/(K56+K61)-(SUMIFS(операции!$AF:$AF,операции!$X:$X,"&gt;="&amp;K$8,операции!$X:$X,"&lt;="&amp;K$9,операции!$P:$P,$E63)+SUMIFS(операции!$AF:$AF,операции!$T:$T,"&lt;="&amp;K$9,операции!$X:$X,"",операции!$P:$P,$E63)+SUMIFS(операции!$AF:$AF,операции!$T:$T,"&lt;="&amp;K$9,операции!$X:$X,"&gt;"&amp;K$9,операции!$P:$P,$E63))/(K57+K61))</f>
        <v>112.80535646651697</v>
      </c>
      <c r="L63" s="99">
        <f>IF(L56=0,L62,(SUMIFS(операции!$AG:$AG,операции!$X:$X,"&gt;="&amp;L$8,операции!$X:$X,"&lt;="&amp;L$9,операции!$P:$P,$E63)+L$9*L61)/(L56+L61)-(SUMIFS(операции!$AF:$AF,операции!$X:$X,"&gt;="&amp;L$8,операции!$X:$X,"&lt;="&amp;L$9,операции!$P:$P,$E63)+SUMIFS(операции!$AF:$AF,операции!$T:$T,"&lt;="&amp;L$9,операции!$X:$X,"",операции!$P:$P,$E63)+SUMIFS(операции!$AF:$AF,операции!$T:$T,"&lt;="&amp;L$9,операции!$X:$X,"&gt;"&amp;L$9,операции!$P:$P,$E63))/(L57+L61))</f>
        <v>149.05864541923802</v>
      </c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</row>
    <row r="64" spans="1:27">
      <c r="A64" s="12"/>
      <c r="B64" s="12"/>
      <c r="C64" s="12"/>
      <c r="D64" s="12"/>
      <c r="E64" s="12"/>
      <c r="F64" s="12"/>
      <c r="G64" s="12"/>
      <c r="H64" s="1"/>
      <c r="I64" s="108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>
      <c r="A65" s="12"/>
      <c r="B65" s="12"/>
      <c r="C65" s="12"/>
      <c r="D65" s="12" t="s">
        <v>210</v>
      </c>
      <c r="E65" s="12" t="str">
        <f>микс!$H$51</f>
        <v>Авто</v>
      </c>
      <c r="F65" s="12" t="s">
        <v>217</v>
      </c>
      <c r="G65" s="12"/>
      <c r="H65" s="90">
        <f>SUMIFS(операции!$Z:$Z,операции!$X:$X,"&gt;="&amp;H$8,операции!$X:$X,"&lt;="&amp;H$9,операции!$P:$P,$E65)</f>
        <v>9690</v>
      </c>
      <c r="I65" s="108"/>
      <c r="J65" s="53">
        <f>SUMIFS(операции!$Z:$Z,операции!$X:$X,"&gt;="&amp;J$8,операции!$X:$X,"&lt;="&amp;J$9,операции!$P:$P,$E65)</f>
        <v>6460</v>
      </c>
      <c r="K65" s="53">
        <f>SUMIFS(операции!$Z:$Z,операции!$X:$X,"&gt;="&amp;K$8,операции!$X:$X,"&lt;="&amp;K$9,операции!$P:$P,$E65)</f>
        <v>3230</v>
      </c>
      <c r="L65" s="53">
        <f>SUMIFS(операции!$Z:$Z,операции!$X:$X,"&gt;="&amp;L$8,операции!$X:$X,"&lt;="&amp;L$9,операции!$P:$P,$E65)</f>
        <v>0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>
      <c r="A66" s="12"/>
      <c r="B66" s="12"/>
      <c r="C66" s="12"/>
      <c r="D66" s="12" t="s">
        <v>211</v>
      </c>
      <c r="E66" s="12" t="str">
        <f>E65</f>
        <v>Авто</v>
      </c>
      <c r="F66" s="12" t="s">
        <v>217</v>
      </c>
      <c r="G66" s="12"/>
      <c r="H66" s="90">
        <f>SUMIFS(операции!$V:$V,операции!$X:$X,"&gt;="&amp;H$8,операции!$X:$X,"&lt;="&amp;H$9,операции!$P:$P,$E66)</f>
        <v>15300</v>
      </c>
      <c r="I66" s="108"/>
      <c r="J66" s="53">
        <f>SUMIFS(операции!$V:$V,операции!$X:$X,"&gt;="&amp;J$8,операции!$X:$X,"&lt;="&amp;J$9,операции!$P:$P,$E66)</f>
        <v>10200</v>
      </c>
      <c r="K66" s="53">
        <f>SUMIFS(операции!$V:$V,операции!$X:$X,"&gt;="&amp;K$8,операции!$X:$X,"&lt;="&amp;K$9,операции!$P:$P,$E66)</f>
        <v>5100</v>
      </c>
      <c r="L66" s="53">
        <f>SUMIFS(операции!$V:$V,операции!$X:$X,"&gt;="&amp;L$8,операции!$X:$X,"&lt;="&amp;L$9,операции!$P:$P,$E66)</f>
        <v>0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>
      <c r="A67" s="12"/>
      <c r="B67" s="12"/>
      <c r="C67" s="12"/>
      <c r="D67" s="12" t="s">
        <v>212</v>
      </c>
      <c r="E67" s="12" t="str">
        <f t="shared" ref="E67:E72" si="19">E66</f>
        <v>Авто</v>
      </c>
      <c r="F67" s="12" t="s">
        <v>217</v>
      </c>
      <c r="G67" s="12"/>
      <c r="H67" s="90">
        <f>H65-H66</f>
        <v>-5610</v>
      </c>
      <c r="I67" s="108"/>
      <c r="J67" s="53">
        <f>J65-J66</f>
        <v>-3740</v>
      </c>
      <c r="K67" s="53">
        <f t="shared" ref="K67:L67" si="20">K65-K66</f>
        <v>-1870</v>
      </c>
      <c r="L67" s="53">
        <f t="shared" si="20"/>
        <v>0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s="119" customFormat="1">
      <c r="A68" s="87"/>
      <c r="B68" s="87"/>
      <c r="C68" s="87"/>
      <c r="D68" s="87" t="s">
        <v>213</v>
      </c>
      <c r="E68" s="87" t="str">
        <f t="shared" si="19"/>
        <v>Авто</v>
      </c>
      <c r="F68" s="87" t="s">
        <v>218</v>
      </c>
      <c r="G68" s="87"/>
      <c r="H68" s="116">
        <f>IF(H65=0,0,H67/H65)</f>
        <v>-0.57894736842105265</v>
      </c>
      <c r="I68" s="117"/>
      <c r="J68" s="118">
        <f>IF(J65=0,0,J67/J65)</f>
        <v>-0.57894736842105265</v>
      </c>
      <c r="K68" s="118">
        <f t="shared" ref="K68:L68" si="21">IF(K65=0,0,K67/K65)</f>
        <v>-0.57894736842105265</v>
      </c>
      <c r="L68" s="118">
        <f t="shared" si="21"/>
        <v>0</v>
      </c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s="5" customFormat="1">
      <c r="A69" s="1"/>
      <c r="B69" s="1"/>
      <c r="C69" s="1"/>
      <c r="D69" s="168" t="s">
        <v>220</v>
      </c>
      <c r="E69" s="168" t="str">
        <f t="shared" si="19"/>
        <v>Авто</v>
      </c>
      <c r="F69" s="168" t="s">
        <v>219</v>
      </c>
      <c r="G69" s="168"/>
      <c r="H69" s="169">
        <f>IF(H65=0,0,SUMIFS(операции!$AG:$AG,операции!$X:$X,"&gt;="&amp;H$8,операции!$X:$X,"&lt;="&amp;H$9,операции!$P:$P,$E69)/H65-SUMIFS(операции!$AF:$AF,операции!$X:$X,"&gt;="&amp;H$8,операции!$X:$X,"&lt;="&amp;H$9,операции!$P:$P,$E69)/H66)</f>
        <v>161</v>
      </c>
      <c r="I69" s="177"/>
      <c r="J69" s="169">
        <f>IF(J65=0,0,SUMIFS(операции!$AG:$AG,операции!$X:$X,"&gt;="&amp;J$8,операции!$X:$X,"&lt;="&amp;J$9,операции!$P:$P,$E69)/J65-SUMIFS(операции!$AF:$AF,операции!$X:$X,"&gt;="&amp;J$8,операции!$X:$X,"&lt;="&amp;J$9,операции!$P:$P,$E69)/J66)</f>
        <v>152.5</v>
      </c>
      <c r="K69" s="169">
        <f>IF(K65=0,0,SUMIFS(операции!$AG:$AG,операции!$X:$X,"&gt;="&amp;K$8,операции!$X:$X,"&lt;="&amp;K$9,операции!$P:$P,$E69)/K65-SUMIFS(операции!$AF:$AF,операции!$X:$X,"&gt;="&amp;K$8,операции!$X:$X,"&lt;="&amp;K$9,операции!$P:$P,$E69)/K66)</f>
        <v>178</v>
      </c>
      <c r="L69" s="169">
        <f>IF(L65=0,0,SUMIFS(операции!$AG:$AG,операции!$X:$X,"&gt;="&amp;L$8,операции!$X:$X,"&lt;="&amp;L$9,операции!$P:$P,$E69)/L65-SUMIFS(операции!$AF:$AF,операции!$X:$X,"&gt;="&amp;L$8,операции!$X:$X,"&lt;="&amp;L$9,операции!$P:$P,$E69)/L66)</f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>
      <c r="A70" s="12"/>
      <c r="B70" s="12"/>
      <c r="C70" s="12"/>
      <c r="D70" s="131" t="s">
        <v>238</v>
      </c>
      <c r="E70" s="131" t="str">
        <f t="shared" si="19"/>
        <v>Авто</v>
      </c>
      <c r="F70" s="131" t="s">
        <v>217</v>
      </c>
      <c r="G70" s="131"/>
      <c r="H70" s="166">
        <f>SUMIFS(операции!$V:$V,операции!$T:$T,"&lt;="&amp;$H$9,операции!$X:$X,"",операции!$P:$P,$E70)</f>
        <v>0</v>
      </c>
      <c r="I70" s="178">
        <f>H70-L70</f>
        <v>0</v>
      </c>
      <c r="J70" s="167">
        <f>SUMIFS(операции!$V:$V,операции!$T:$T,"&lt;="&amp;J$9,операции!$X:$X,"",операции!$P:$P,$E70)+SUMIFS(операции!$V:$V,операции!$T:$T,"&lt;="&amp;J$9,операции!$X:$X,"&gt;"&amp;J$9,операции!$P:$P,$E70)</f>
        <v>5100</v>
      </c>
      <c r="K70" s="167">
        <f>SUMIFS(операции!$V:$V,операции!$T:$T,"&lt;="&amp;K$9,операции!$X:$X,"",операции!$P:$P,$E70)+SUMIFS(операции!$V:$V,операции!$T:$T,"&lt;="&amp;K$9,операции!$X:$X,"&gt;"&amp;K$9,операции!$P:$P,$E70)</f>
        <v>0</v>
      </c>
      <c r="L70" s="167">
        <f>SUMIFS(операции!$V:$V,операции!$T:$T,"&lt;="&amp;L$9,операции!$X:$X,"",операции!$P:$P,$E70)+SUMIFS(операции!$V:$V,операции!$T:$T,"&lt;="&amp;L$9,операции!$X:$X,"&gt;"&amp;L$9,операции!$P:$P,$E70)</f>
        <v>0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s="5" customFormat="1">
      <c r="A71" s="1"/>
      <c r="B71" s="1"/>
      <c r="C71" s="1"/>
      <c r="D71" s="168" t="s">
        <v>239</v>
      </c>
      <c r="E71" s="168" t="str">
        <f t="shared" si="19"/>
        <v>Авто</v>
      </c>
      <c r="F71" s="168" t="s">
        <v>219</v>
      </c>
      <c r="G71" s="168"/>
      <c r="H71" s="169">
        <f>IF(H70=0,0,$H$9-SUMIFS(операции!$AF:$AF,операции!$T:$T,"&lt;="&amp;$H$9,операции!$X:$X,"",операции!$P:$P,$E71)/H70)</f>
        <v>0</v>
      </c>
      <c r="I71" s="177">
        <f>H71-L71</f>
        <v>0</v>
      </c>
      <c r="J71" s="169">
        <f>IF(J70=0,0,J$9-(SUMIFS(операции!$AF:$AF,операции!$T:$T,"&lt;="&amp;J$9,операции!$X:$X,"",операции!$P:$P,$E71)+SUMIFS(операции!$AF:$AF,операции!$T:$T,"&lt;="&amp;J$9,операции!$X:$X,"&gt;"&amp;J$9,операции!$P:$P,$E71))/J70)</f>
        <v>157</v>
      </c>
      <c r="K71" s="169">
        <f>IF(K70=0,0,K$9-(SUMIFS(операции!$AF:$AF,операции!$T:$T,"&lt;="&amp;K$9,операции!$X:$X,"",операции!$P:$P,$E71)+SUMIFS(операции!$AF:$AF,операции!$T:$T,"&lt;="&amp;K$9,операции!$X:$X,"&gt;"&amp;K$9,операции!$P:$P,$E71))/K70)</f>
        <v>0</v>
      </c>
      <c r="L71" s="169">
        <f>IF(L70=0,0,L$9-(SUMIFS(операции!$AF:$AF,операции!$T:$T,"&lt;="&amp;L$9,операции!$X:$X,"",операции!$P:$P,$E71)+SUMIFS(операции!$AF:$AF,операции!$T:$T,"&lt;="&amp;L$9,операции!$X:$X,"&gt;"&amp;L$9,операции!$P:$P,$E71))/L70)</f>
        <v>0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s="93" customFormat="1" ht="15">
      <c r="A72" s="92"/>
      <c r="B72" s="92"/>
      <c r="C72" s="92"/>
      <c r="D72" s="98" t="s">
        <v>237</v>
      </c>
      <c r="E72" s="120" t="str">
        <f t="shared" si="19"/>
        <v>Авто</v>
      </c>
      <c r="F72" s="98" t="s">
        <v>219</v>
      </c>
      <c r="G72" s="98"/>
      <c r="H72" s="99">
        <f>IF(H65=0,H71,(SUMIFS(операции!$AG:$AG,операции!$X:$X,"&gt;="&amp;$H$8,операции!$X:$X,"&lt;="&amp;$H$9,операции!$P:$P,$E72)+$H$9*H70)/(H65+H70)-(SUMIFS(операции!$AF:$AF,операции!$X:$X,"&gt;="&amp;$H$8,операции!$X:$X,"&lt;="&amp;$H$9,операции!$P:$P,$E72)+SUMIFS(операции!$AF:$AF,операции!$T:$T,"&lt;="&amp;$H$9,операции!$X:$X,"",операции!$P:$P,$E72))/(H66+H70))</f>
        <v>161</v>
      </c>
      <c r="I72" s="175"/>
      <c r="J72" s="99">
        <f>IF(J65=0,J71,(SUMIFS(операции!$AG:$AG,операции!$X:$X,"&gt;="&amp;J$8,операции!$X:$X,"&lt;="&amp;J$9,операции!$P:$P,$E72)+J$9*J70)/(J65+J70)-(SUMIFS(операции!$AF:$AF,операции!$X:$X,"&gt;="&amp;J$8,операции!$X:$X,"&lt;="&amp;J$9,операции!$P:$P,$E72)+SUMIFS(операции!$AF:$AF,операции!$T:$T,"&lt;="&amp;J$9,операции!$X:$X,"",операции!$P:$P,$E72)+SUMIFS(операции!$AF:$AF,операции!$T:$T,"&lt;="&amp;J$9,операции!$X:$X,"&gt;"&amp;J$9,операции!$P:$P,$E72))/(J66+J70))</f>
        <v>155.07843137254531</v>
      </c>
      <c r="K72" s="99">
        <f>IF(K65=0,K71,(SUMIFS(операции!$AG:$AG,операции!$X:$X,"&gt;="&amp;K$8,операции!$X:$X,"&lt;="&amp;K$9,операции!$P:$P,$E72)+K$9*K70)/(K65+K70)-(SUMIFS(операции!$AF:$AF,операции!$X:$X,"&gt;="&amp;K$8,операции!$X:$X,"&lt;="&amp;K$9,операции!$P:$P,$E72)+SUMIFS(операции!$AF:$AF,операции!$T:$T,"&lt;="&amp;K$9,операции!$X:$X,"",операции!$P:$P,$E72)+SUMIFS(операции!$AF:$AF,операции!$T:$T,"&lt;="&amp;K$9,операции!$X:$X,"&gt;"&amp;K$9,операции!$P:$P,$E72))/(K66+K70))</f>
        <v>178</v>
      </c>
      <c r="L72" s="99">
        <f>IF(L65=0,L71,(SUMIFS(операции!$AG:$AG,операции!$X:$X,"&gt;="&amp;L$8,операции!$X:$X,"&lt;="&amp;L$9,операции!$P:$P,$E72)+L$9*L70)/(L65+L70)-(SUMIFS(операции!$AF:$AF,операции!$X:$X,"&gt;="&amp;L$8,операции!$X:$X,"&lt;="&amp;L$9,операции!$P:$P,$E72)+SUMIFS(операции!$AF:$AF,операции!$T:$T,"&lt;="&amp;L$9,операции!$X:$X,"",операции!$P:$P,$E72)+SUMIFS(операции!$AF:$AF,операции!$T:$T,"&lt;="&amp;L$9,операции!$X:$X,"&gt;"&amp;L$9,операции!$P:$P,$E72))/(L66+L70))</f>
        <v>0</v>
      </c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</row>
    <row r="73" spans="1:27">
      <c r="A73" s="12"/>
      <c r="B73" s="12"/>
      <c r="C73" s="12"/>
      <c r="D73" s="12"/>
      <c r="E73" s="12"/>
      <c r="F73" s="12"/>
      <c r="G73" s="12"/>
      <c r="H73" s="1"/>
      <c r="I73" s="108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>
      <c r="A74" s="12"/>
      <c r="B74" s="12"/>
      <c r="C74" s="12"/>
      <c r="D74" s="12"/>
      <c r="E74" s="12"/>
      <c r="F74" s="12"/>
      <c r="G74" s="12"/>
      <c r="H74" s="1"/>
      <c r="I74" s="108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>
      <c r="A75" s="12"/>
      <c r="B75" s="12"/>
      <c r="C75" s="12"/>
      <c r="D75" s="12"/>
      <c r="E75" s="12"/>
      <c r="F75" s="12"/>
      <c r="G75" s="12"/>
      <c r="H75" s="1"/>
      <c r="I75" s="108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>
      <c r="A76" s="12"/>
      <c r="B76" s="12"/>
      <c r="C76" s="12"/>
      <c r="D76" s="12"/>
      <c r="E76" s="12"/>
      <c r="F76" s="12"/>
      <c r="G76" s="12"/>
      <c r="H76" s="1"/>
      <c r="I76" s="108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>
      <c r="A77" s="12"/>
      <c r="B77" s="12"/>
      <c r="C77" s="12"/>
      <c r="D77" s="12"/>
      <c r="E77" s="12"/>
      <c r="F77" s="12"/>
      <c r="G77" s="12"/>
      <c r="H77" s="1"/>
      <c r="I77" s="108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>
      <c r="A78" s="12"/>
      <c r="B78" s="12"/>
      <c r="C78" s="12"/>
      <c r="D78" s="12"/>
      <c r="E78" s="12"/>
      <c r="F78" s="12"/>
      <c r="G78" s="12"/>
      <c r="H78" s="1"/>
      <c r="I78" s="108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>
      <c r="A79" s="12"/>
      <c r="B79" s="12"/>
      <c r="C79" s="12"/>
      <c r="D79" s="12"/>
      <c r="E79" s="12"/>
      <c r="F79" s="12"/>
      <c r="G79" s="12"/>
      <c r="H79" s="1"/>
      <c r="I79" s="108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7">
      <c r="A80" s="12"/>
      <c r="B80" s="12"/>
      <c r="C80" s="12"/>
      <c r="D80" s="12"/>
      <c r="E80" s="12"/>
      <c r="F80" s="12"/>
      <c r="G80" s="12"/>
      <c r="H80" s="1"/>
      <c r="I80" s="108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</row>
    <row r="81" spans="1:27">
      <c r="A81" s="12"/>
      <c r="B81" s="12"/>
      <c r="C81" s="12"/>
      <c r="D81" s="12"/>
      <c r="E81" s="12"/>
      <c r="F81" s="12"/>
      <c r="G81" s="12"/>
      <c r="H81" s="1"/>
      <c r="I81" s="108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>
      <c r="A82" s="12"/>
      <c r="B82" s="12"/>
      <c r="C82" s="12"/>
      <c r="D82" s="12"/>
      <c r="E82" s="12"/>
      <c r="F82" s="12"/>
      <c r="G82" s="12"/>
      <c r="H82" s="1"/>
      <c r="I82" s="108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>
      <c r="A83" s="12"/>
      <c r="B83" s="12"/>
      <c r="C83" s="12"/>
      <c r="D83" s="12"/>
      <c r="E83" s="12"/>
      <c r="F83" s="12"/>
      <c r="G83" s="12"/>
      <c r="H83" s="1"/>
      <c r="I83" s="108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>
      <c r="A84" s="12"/>
      <c r="B84" s="12"/>
      <c r="C84" s="12"/>
      <c r="D84" s="12"/>
      <c r="E84" s="12"/>
      <c r="F84" s="12"/>
      <c r="G84" s="12"/>
      <c r="H84" s="1"/>
      <c r="I84" s="108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>
      <c r="A85" s="12"/>
      <c r="B85" s="12"/>
      <c r="C85" s="12"/>
      <c r="D85" s="12"/>
      <c r="E85" s="12"/>
      <c r="F85" s="12"/>
      <c r="G85" s="12"/>
      <c r="H85" s="1"/>
      <c r="I85" s="108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>
      <c r="A86" s="12"/>
      <c r="B86" s="12"/>
      <c r="C86" s="12"/>
      <c r="D86" s="12"/>
      <c r="E86" s="12"/>
      <c r="F86" s="12"/>
      <c r="G86" s="12"/>
      <c r="H86" s="1"/>
      <c r="I86" s="108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</row>
    <row r="87" spans="1:27">
      <c r="A87" s="12"/>
      <c r="B87" s="12"/>
      <c r="C87" s="12"/>
      <c r="D87" s="12"/>
      <c r="E87" s="12"/>
      <c r="F87" s="12"/>
      <c r="G87" s="12"/>
      <c r="H87" s="1"/>
      <c r="I87" s="108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>
      <c r="A88" s="12"/>
      <c r="B88" s="12"/>
      <c r="C88" s="12"/>
      <c r="D88" s="12"/>
      <c r="E88" s="12"/>
      <c r="F88" s="12"/>
      <c r="G88" s="12"/>
      <c r="H88" s="1"/>
      <c r="I88" s="108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>
      <c r="A89" s="12"/>
      <c r="B89" s="12"/>
      <c r="C89" s="12"/>
      <c r="D89" s="12"/>
      <c r="E89" s="12"/>
      <c r="F89" s="12"/>
      <c r="G89" s="12"/>
      <c r="H89" s="1"/>
      <c r="I89" s="108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>
      <c r="A90" s="12"/>
      <c r="B90" s="12"/>
      <c r="C90" s="12"/>
      <c r="D90" s="12"/>
      <c r="E90" s="12"/>
      <c r="F90" s="12"/>
      <c r="G90" s="12"/>
      <c r="H90" s="1"/>
      <c r="I90" s="108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>
      <c r="A91" s="12"/>
      <c r="B91" s="12"/>
      <c r="C91" s="12"/>
      <c r="D91" s="12"/>
      <c r="E91" s="12"/>
      <c r="F91" s="12"/>
      <c r="G91" s="12"/>
      <c r="H91" s="1"/>
      <c r="I91" s="108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>
      <c r="A92" s="12"/>
      <c r="B92" s="12"/>
      <c r="C92" s="12"/>
      <c r="D92" s="12"/>
      <c r="E92" s="12"/>
      <c r="F92" s="12"/>
      <c r="G92" s="12"/>
      <c r="H92" s="1"/>
      <c r="I92" s="108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>
      <c r="A93" s="12"/>
      <c r="B93" s="12"/>
      <c r="C93" s="12"/>
      <c r="D93" s="12"/>
      <c r="E93" s="12"/>
      <c r="F93" s="12"/>
      <c r="G93" s="12"/>
      <c r="H93" s="1"/>
      <c r="I93" s="108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>
      <c r="A94" s="12"/>
      <c r="B94" s="12"/>
      <c r="C94" s="12"/>
      <c r="D94" s="12"/>
      <c r="E94" s="12"/>
      <c r="F94" s="12"/>
      <c r="G94" s="12"/>
      <c r="H94" s="1"/>
      <c r="I94" s="108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>
      <c r="A95" s="12"/>
      <c r="B95" s="12"/>
      <c r="C95" s="12"/>
      <c r="D95" s="12"/>
      <c r="E95" s="12"/>
      <c r="F95" s="12"/>
      <c r="G95" s="12"/>
      <c r="H95" s="1"/>
      <c r="I95" s="108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</row>
    <row r="96" spans="1:27">
      <c r="A96" s="12"/>
      <c r="B96" s="12"/>
      <c r="C96" s="12"/>
      <c r="D96" s="12"/>
      <c r="E96" s="12"/>
      <c r="F96" s="12"/>
      <c r="G96" s="12"/>
      <c r="H96" s="1"/>
      <c r="I96" s="108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</row>
    <row r="97" spans="1:27">
      <c r="A97" s="12"/>
      <c r="B97" s="12"/>
      <c r="C97" s="12"/>
      <c r="D97" s="12"/>
      <c r="E97" s="12"/>
      <c r="F97" s="12"/>
      <c r="G97" s="12"/>
      <c r="H97" s="1"/>
      <c r="I97" s="108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>
      <c r="A98" s="12"/>
      <c r="B98" s="12"/>
      <c r="C98" s="12"/>
      <c r="D98" s="12"/>
      <c r="E98" s="12"/>
      <c r="F98" s="12"/>
      <c r="G98" s="12"/>
      <c r="H98" s="1"/>
      <c r="I98" s="108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</row>
    <row r="99" spans="1:27">
      <c r="A99" s="12"/>
      <c r="B99" s="12"/>
      <c r="C99" s="12"/>
      <c r="D99" s="12"/>
      <c r="E99" s="12"/>
      <c r="F99" s="12"/>
      <c r="G99" s="12"/>
      <c r="H99" s="1"/>
      <c r="I99" s="108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</row>
    <row r="100" spans="1:27">
      <c r="A100" s="12"/>
      <c r="B100" s="12"/>
      <c r="C100" s="12"/>
      <c r="D100" s="12"/>
      <c r="E100" s="12"/>
      <c r="F100" s="12"/>
      <c r="G100" s="12"/>
      <c r="H100" s="1"/>
      <c r="I100" s="108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>
      <c r="A101" s="12"/>
      <c r="B101" s="12"/>
      <c r="C101" s="12"/>
      <c r="D101" s="12"/>
      <c r="E101" s="12"/>
      <c r="F101" s="12"/>
      <c r="G101" s="12"/>
      <c r="H101" s="1"/>
      <c r="I101" s="108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>
      <c r="A102" s="12"/>
      <c r="B102" s="12"/>
      <c r="C102" s="12"/>
      <c r="D102" s="12"/>
      <c r="E102" s="12"/>
      <c r="F102" s="12"/>
      <c r="G102" s="12"/>
      <c r="H102" s="1"/>
      <c r="I102" s="108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>
      <c r="A103" s="12"/>
      <c r="B103" s="12"/>
      <c r="C103" s="12"/>
      <c r="D103" s="12"/>
      <c r="E103" s="12"/>
      <c r="F103" s="12"/>
      <c r="G103" s="12"/>
      <c r="H103" s="1"/>
      <c r="I103" s="108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>
      <c r="A104" s="12"/>
      <c r="B104" s="12"/>
      <c r="C104" s="12"/>
      <c r="D104" s="12"/>
      <c r="E104" s="12"/>
      <c r="F104" s="12"/>
      <c r="G104" s="12"/>
      <c r="H104" s="1"/>
      <c r="I104" s="108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>
      <c r="A105" s="12"/>
      <c r="B105" s="12"/>
      <c r="C105" s="12"/>
      <c r="D105" s="12"/>
      <c r="E105" s="12"/>
      <c r="F105" s="12"/>
      <c r="G105" s="12"/>
      <c r="H105" s="1"/>
      <c r="I105" s="108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>
      <c r="A106" s="12"/>
      <c r="B106" s="12"/>
      <c r="C106" s="12"/>
      <c r="D106" s="12"/>
      <c r="E106" s="12"/>
      <c r="F106" s="12"/>
      <c r="G106" s="12"/>
      <c r="H106" s="1"/>
      <c r="I106" s="108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>
      <c r="A107" s="12"/>
      <c r="B107" s="12"/>
      <c r="C107" s="12"/>
      <c r="D107" s="12"/>
      <c r="E107" s="12"/>
      <c r="F107" s="12"/>
      <c r="G107" s="12"/>
      <c r="H107" s="1"/>
      <c r="I107" s="108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>
      <c r="A108" s="12"/>
      <c r="B108" s="12"/>
      <c r="C108" s="12"/>
      <c r="D108" s="12"/>
      <c r="E108" s="12"/>
      <c r="F108" s="12"/>
      <c r="G108" s="12"/>
      <c r="H108" s="1"/>
      <c r="I108" s="108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>
      <c r="A109" s="12"/>
      <c r="B109" s="12"/>
      <c r="C109" s="12"/>
      <c r="D109" s="12"/>
      <c r="E109" s="12"/>
      <c r="F109" s="12"/>
      <c r="G109" s="12"/>
      <c r="H109" s="1"/>
      <c r="I109" s="108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>
      <c r="A110" s="12"/>
      <c r="B110" s="12"/>
      <c r="C110" s="12"/>
      <c r="D110" s="12"/>
      <c r="E110" s="12"/>
      <c r="F110" s="12"/>
      <c r="G110" s="12"/>
      <c r="H110" s="1"/>
      <c r="I110" s="108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>
      <c r="A111" s="12"/>
      <c r="B111" s="12"/>
      <c r="C111" s="12"/>
      <c r="D111" s="12"/>
      <c r="E111" s="12"/>
      <c r="F111" s="12"/>
      <c r="G111" s="12"/>
      <c r="H111" s="1"/>
      <c r="I111" s="108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>
      <c r="A112" s="12"/>
      <c r="B112" s="12"/>
      <c r="C112" s="12"/>
      <c r="D112" s="12"/>
      <c r="E112" s="12"/>
      <c r="F112" s="12"/>
      <c r="G112" s="12"/>
      <c r="H112" s="1"/>
      <c r="I112" s="108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>
      <c r="A113" s="12"/>
      <c r="B113" s="12"/>
      <c r="C113" s="12"/>
      <c r="D113" s="12"/>
      <c r="E113" s="12"/>
      <c r="F113" s="12"/>
      <c r="G113" s="12"/>
      <c r="H113" s="1"/>
      <c r="I113" s="108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>
      <c r="A114" s="12"/>
      <c r="B114" s="12"/>
      <c r="C114" s="12"/>
      <c r="D114" s="12"/>
      <c r="E114" s="12"/>
      <c r="F114" s="12"/>
      <c r="G114" s="12"/>
      <c r="H114" s="1"/>
      <c r="I114" s="108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>
      <c r="A115" s="12"/>
      <c r="B115" s="12"/>
      <c r="C115" s="12"/>
      <c r="D115" s="12"/>
      <c r="E115" s="12"/>
      <c r="F115" s="12"/>
      <c r="G115" s="12"/>
      <c r="H115" s="1"/>
      <c r="I115" s="108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>
      <c r="A116" s="12"/>
      <c r="B116" s="12"/>
      <c r="C116" s="12"/>
      <c r="D116" s="12"/>
      <c r="E116" s="12"/>
      <c r="F116" s="12"/>
      <c r="G116" s="12"/>
      <c r="H116" s="1"/>
      <c r="I116" s="108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>
      <c r="A117" s="12"/>
      <c r="B117" s="12"/>
      <c r="C117" s="12"/>
      <c r="D117" s="12"/>
      <c r="E117" s="12"/>
      <c r="F117" s="12"/>
      <c r="G117" s="12"/>
      <c r="H117" s="1"/>
      <c r="I117" s="108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>
      <c r="A118" s="12"/>
      <c r="B118" s="12"/>
      <c r="C118" s="12"/>
      <c r="D118" s="12"/>
      <c r="E118" s="12"/>
      <c r="F118" s="12"/>
      <c r="G118" s="12"/>
      <c r="H118" s="1"/>
      <c r="I118" s="108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>
      <c r="A119" s="12"/>
      <c r="B119" s="12"/>
      <c r="C119" s="12"/>
      <c r="D119" s="12"/>
      <c r="E119" s="12"/>
      <c r="F119" s="12"/>
      <c r="G119" s="12"/>
      <c r="H119" s="1"/>
      <c r="I119" s="108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>
      <c r="A120" s="12"/>
      <c r="B120" s="12"/>
      <c r="C120" s="12"/>
      <c r="D120" s="12"/>
      <c r="E120" s="12"/>
      <c r="F120" s="12"/>
      <c r="G120" s="12"/>
      <c r="H120" s="1"/>
      <c r="I120" s="108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>
      <c r="A121" s="12"/>
      <c r="B121" s="12"/>
      <c r="C121" s="12"/>
      <c r="D121" s="12"/>
      <c r="E121" s="12"/>
      <c r="F121" s="12"/>
      <c r="G121" s="12"/>
      <c r="H121" s="1"/>
      <c r="I121" s="108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>
      <c r="A122" s="12"/>
      <c r="B122" s="12"/>
      <c r="C122" s="12"/>
      <c r="D122" s="12"/>
      <c r="E122" s="12"/>
      <c r="F122" s="12"/>
      <c r="G122" s="12"/>
      <c r="H122" s="1"/>
      <c r="I122" s="108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</row>
    <row r="123" spans="1:27">
      <c r="A123" s="12"/>
      <c r="B123" s="12"/>
      <c r="C123" s="12"/>
      <c r="D123" s="12"/>
      <c r="E123" s="12"/>
      <c r="F123" s="12"/>
      <c r="G123" s="12"/>
      <c r="H123" s="1"/>
      <c r="I123" s="108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</row>
    <row r="124" spans="1:27">
      <c r="A124" s="12"/>
      <c r="B124" s="12"/>
      <c r="C124" s="12"/>
      <c r="D124" s="12"/>
      <c r="E124" s="12"/>
      <c r="F124" s="12"/>
      <c r="G124" s="12"/>
      <c r="H124" s="1"/>
      <c r="I124" s="108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>
      <c r="A125" s="12"/>
      <c r="B125" s="12"/>
      <c r="C125" s="12"/>
      <c r="D125" s="12"/>
      <c r="E125" s="12"/>
      <c r="F125" s="12"/>
      <c r="G125" s="12"/>
      <c r="H125" s="1"/>
      <c r="I125" s="108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>
      <c r="A126" s="12"/>
      <c r="B126" s="12"/>
      <c r="C126" s="12"/>
      <c r="D126" s="12"/>
      <c r="E126" s="12"/>
      <c r="F126" s="12"/>
      <c r="G126" s="12"/>
      <c r="H126" s="1"/>
      <c r="I126" s="108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>
      <c r="A127" s="12"/>
      <c r="B127" s="12"/>
      <c r="C127" s="12"/>
      <c r="D127" s="12"/>
      <c r="E127" s="12"/>
      <c r="F127" s="12"/>
      <c r="G127" s="12"/>
      <c r="H127" s="1"/>
      <c r="I127" s="108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>
      <c r="A128" s="12"/>
      <c r="B128" s="12"/>
      <c r="C128" s="12"/>
      <c r="D128" s="12"/>
      <c r="E128" s="12"/>
      <c r="F128" s="12"/>
      <c r="G128" s="12"/>
      <c r="H128" s="1"/>
      <c r="I128" s="108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>
      <c r="A129" s="12"/>
      <c r="B129" s="12"/>
      <c r="C129" s="12"/>
      <c r="D129" s="12"/>
      <c r="E129" s="12"/>
      <c r="F129" s="12"/>
      <c r="G129" s="12"/>
      <c r="H129" s="1"/>
      <c r="I129" s="108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>
      <c r="A130" s="12"/>
      <c r="B130" s="12"/>
      <c r="C130" s="12"/>
      <c r="D130" s="12"/>
      <c r="E130" s="12"/>
      <c r="F130" s="12"/>
      <c r="G130" s="12"/>
      <c r="H130" s="1"/>
      <c r="I130" s="108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>
      <c r="A131" s="12"/>
      <c r="B131" s="12"/>
      <c r="C131" s="12"/>
      <c r="D131" s="12"/>
      <c r="E131" s="12"/>
      <c r="F131" s="12"/>
      <c r="G131" s="12"/>
      <c r="H131" s="1"/>
      <c r="I131" s="108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</row>
    <row r="132" spans="1:27">
      <c r="A132" s="12"/>
      <c r="B132" s="12"/>
      <c r="C132" s="12"/>
      <c r="D132" s="12"/>
      <c r="E132" s="12"/>
      <c r="F132" s="12"/>
      <c r="G132" s="12"/>
      <c r="H132" s="1"/>
      <c r="I132" s="108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</row>
    <row r="133" spans="1:27">
      <c r="A133" s="12"/>
      <c r="B133" s="12"/>
      <c r="C133" s="12"/>
      <c r="D133" s="12"/>
      <c r="E133" s="12"/>
      <c r="F133" s="12"/>
      <c r="G133" s="12"/>
      <c r="H133" s="1"/>
      <c r="I133" s="108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>
      <c r="A134" s="12"/>
      <c r="B134" s="12"/>
      <c r="C134" s="12"/>
      <c r="D134" s="12"/>
      <c r="E134" s="12"/>
      <c r="F134" s="12"/>
      <c r="G134" s="12"/>
      <c r="H134" s="1"/>
      <c r="I134" s="108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</row>
    <row r="135" spans="1:27">
      <c r="A135" s="12"/>
      <c r="B135" s="12"/>
      <c r="C135" s="12"/>
      <c r="D135" s="12"/>
      <c r="E135" s="12"/>
      <c r="F135" s="12"/>
      <c r="G135" s="12"/>
      <c r="H135" s="1"/>
      <c r="I135" s="108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</row>
    <row r="136" spans="1:27">
      <c r="A136" s="12"/>
      <c r="B136" s="12"/>
      <c r="C136" s="12"/>
      <c r="D136" s="12"/>
      <c r="E136" s="12"/>
      <c r="F136" s="12"/>
      <c r="G136" s="12"/>
      <c r="H136" s="1"/>
      <c r="I136" s="108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>
      <c r="A137" s="12"/>
      <c r="B137" s="12"/>
      <c r="C137" s="12"/>
      <c r="D137" s="12"/>
      <c r="E137" s="12"/>
      <c r="F137" s="12"/>
      <c r="G137" s="12"/>
      <c r="H137" s="1"/>
      <c r="I137" s="108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>
      <c r="A138" s="12"/>
      <c r="B138" s="12"/>
      <c r="C138" s="12"/>
      <c r="D138" s="12"/>
      <c r="E138" s="12"/>
      <c r="F138" s="12"/>
      <c r="G138" s="12"/>
      <c r="H138" s="1"/>
      <c r="I138" s="108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>
      <c r="A139" s="12"/>
      <c r="B139" s="12"/>
      <c r="C139" s="12"/>
      <c r="D139" s="12"/>
      <c r="E139" s="12"/>
      <c r="F139" s="12"/>
      <c r="G139" s="12"/>
      <c r="H139" s="1"/>
      <c r="I139" s="108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>
      <c r="A140" s="12"/>
      <c r="B140" s="12"/>
      <c r="C140" s="12"/>
      <c r="D140" s="12"/>
      <c r="E140" s="12"/>
      <c r="F140" s="12"/>
      <c r="G140" s="12"/>
      <c r="H140" s="1"/>
      <c r="I140" s="108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</row>
    <row r="141" spans="1:27">
      <c r="A141" s="12"/>
      <c r="B141" s="12"/>
      <c r="C141" s="12"/>
      <c r="D141" s="12"/>
      <c r="E141" s="12"/>
      <c r="F141" s="12"/>
      <c r="G141" s="12"/>
      <c r="H141" s="1"/>
      <c r="I141" s="108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</row>
    <row r="142" spans="1:27">
      <c r="A142" s="12"/>
      <c r="B142" s="12"/>
      <c r="C142" s="12"/>
      <c r="D142" s="12"/>
      <c r="E142" s="12"/>
      <c r="F142" s="12"/>
      <c r="G142" s="12"/>
      <c r="H142" s="1"/>
      <c r="I142" s="108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>
      <c r="A143" s="12"/>
      <c r="B143" s="12"/>
      <c r="C143" s="12"/>
      <c r="D143" s="12"/>
      <c r="E143" s="12"/>
      <c r="F143" s="12"/>
      <c r="G143" s="12"/>
      <c r="H143" s="1"/>
      <c r="I143" s="108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</row>
    <row r="144" spans="1:27">
      <c r="A144" s="12"/>
      <c r="B144" s="12"/>
      <c r="C144" s="12"/>
      <c r="D144" s="12"/>
      <c r="E144" s="12"/>
      <c r="F144" s="12"/>
      <c r="G144" s="12"/>
      <c r="H144" s="1"/>
      <c r="I144" s="108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</row>
    <row r="145" spans="1:27">
      <c r="A145" s="12"/>
      <c r="B145" s="12"/>
      <c r="C145" s="12"/>
      <c r="D145" s="12"/>
      <c r="E145" s="12"/>
      <c r="F145" s="12"/>
      <c r="G145" s="12"/>
      <c r="H145" s="1"/>
      <c r="I145" s="108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микс</vt:lpstr>
      <vt:lpstr>условия_KPI</vt:lpstr>
      <vt:lpstr>мотивация</vt:lpstr>
      <vt:lpstr>рейтинг_поставщиков</vt:lpstr>
      <vt:lpstr>рейтинг_расчет</vt:lpstr>
      <vt:lpstr>ПОбТЗ</vt:lpstr>
      <vt:lpstr>ПОбТЗ_1</vt:lpstr>
      <vt:lpstr>ПОбТЗ_2</vt:lpstr>
      <vt:lpstr>ПОбТЗ_3</vt:lpstr>
      <vt:lpstr>расчеты</vt:lpstr>
      <vt:lpstr>операции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2016-07-12T02:08:07Z</dcterms:modified>
</cp:coreProperties>
</file>